
<file path=[Content_Types].xml><?xml version="1.0" encoding="utf-8"?>
<Types xmlns="http://schemas.openxmlformats.org/package/2006/content-types">
  <Default Extension="bin" ContentType="application/vnd.openxmlformats-officedocument.spreadsheetml.printerSettings"/>
  <Default Extension="emf" ContentType="image/x-emf"/>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slicerCaches/slicerCache1.xml" ContentType="application/vnd.ms-excel.slicerCache+xml"/>
  <Override PartName="/xl/slicerCaches/slicerCache2.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tables/table1.xml" ContentType="application/vnd.openxmlformats-officedocument.spreadsheetml.table+xml"/>
  <Override PartName="/xl/queryTables/queryTable1.xml" ContentType="application/vnd.openxmlformats-officedocument.spreadsheetml.queryTable+xml"/>
  <Override PartName="/xl/slicers/slicer1.xml" ContentType="application/vnd.ms-excel.slicer+xml"/>
  <Override PartName="/xl/charts/chartEx1.xml" ContentType="application/vnd.ms-office.chartex+xml"/>
  <Override PartName="/xl/charts/style1.xml" ContentType="application/vnd.ms-office.chartstyle+xml"/>
  <Override PartName="/xl/charts/colors1.xml" ContentType="application/vnd.ms-office.chartcolorstyle+xml"/>
  <Override PartName="/xl/charts/chart1.xml" ContentType="application/vnd.openxmlformats-officedocument.drawingml.chart+xml"/>
  <Override PartName="/xl/charts/style2.xml" ContentType="application/vnd.ms-office.chartstyle+xml"/>
  <Override PartName="/xl/charts/colors2.xml" ContentType="application/vnd.ms-office.chartcolorstyle+xml"/>
  <Override PartName="/xl/charts/chart2.xml" ContentType="application/vnd.openxmlformats-officedocument.drawingml.chart+xml"/>
  <Override PartName="/xl/charts/style3.xml" ContentType="application/vnd.ms-office.chartstyle+xml"/>
  <Override PartName="/xl/charts/colors3.xml" ContentType="application/vnd.ms-office.chartcolorstyle+xml"/>
  <Override PartName="/xl/drawings/drawing2.xml" ContentType="application/vnd.openxmlformats-officedocument.drawing+xml"/>
  <Override PartName="/xl/tables/table2.xml" ContentType="application/vnd.openxmlformats-officedocument.spreadsheetml.table+xml"/>
  <Override PartName="/xl/queryTables/queryTable2.xml" ContentType="application/vnd.openxmlformats-officedocument.spreadsheetml.queryTable+xml"/>
  <Override PartName="/xl/tables/table3.xml" ContentType="application/vnd.openxmlformats-officedocument.spreadsheetml.table+xml"/>
  <Override PartName="/xl/queryTables/queryTable3.xml" ContentType="application/vnd.openxmlformats-officedocument.spreadsheetml.query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queryTables/queryTable4.xml" ContentType="application/vnd.openxmlformats-officedocument.spreadsheetml.queryTable+xml"/>
  <Override PartName="/xl/tables/table7.xml" ContentType="application/vnd.openxmlformats-officedocument.spreadsheetml.table+xml"/>
  <Override PartName="/xl/queryTables/queryTable5.xml" ContentType="application/vnd.openxmlformats-officedocument.spreadsheetml.queryTable+xml"/>
  <Override PartName="/xl/tables/table8.xml" ContentType="application/vnd.openxmlformats-officedocument.spreadsheetml.table+xml"/>
  <Override PartName="/xl/queryTables/queryTable6.xml" ContentType="application/vnd.openxmlformats-officedocument.spreadsheetml.queryTable+xml"/>
  <Override PartName="/xl/drawings/drawing3.xml" ContentType="application/vnd.openxmlformats-officedocument.drawing+xml"/>
  <Override PartName="/xl/charts/chart3.xml" ContentType="application/vnd.openxmlformats-officedocument.drawingml.chart+xml"/>
  <Override PartName="/xl/charts/style4.xml" ContentType="application/vnd.ms-office.chartstyle+xml"/>
  <Override PartName="/xl/charts/colors4.xml" ContentType="application/vnd.ms-office.chartcolorstyle+xml"/>
  <Override PartName="/xl/charts/chart4.xml" ContentType="application/vnd.openxmlformats-officedocument.drawingml.chart+xml"/>
  <Override PartName="/xl/charts/style5.xml" ContentType="application/vnd.ms-office.chartstyle+xml"/>
  <Override PartName="/xl/charts/colors5.xml" ContentType="application/vnd.ms-office.chartcolorsty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9"/>
  <workbookPr codeName="ThisWorkbook" defaultThemeVersion="202300"/>
  <mc:AlternateContent xmlns:mc="http://schemas.openxmlformats.org/markup-compatibility/2006">
    <mc:Choice Requires="x15">
      <x15ac:absPath xmlns:x15ac="http://schemas.microsoft.com/office/spreadsheetml/2010/11/ac" url="C:\Users\Paul\funneler\frontend\"/>
    </mc:Choice>
  </mc:AlternateContent>
  <xr:revisionPtr revIDLastSave="0" documentId="13_ncr:1_{DF3F3875-6DA6-45CA-ABE1-9F337306618D}" xr6:coauthVersionLast="47" xr6:coauthVersionMax="47" xr10:uidLastSave="{00000000-0000-0000-0000-000000000000}"/>
  <bookViews>
    <workbookView xWindow="19090" yWindow="-110" windowWidth="38620" windowHeight="21100" xr2:uid="{CDF61347-1E32-4F62-9AD6-B33051915A35}"/>
  </bookViews>
  <sheets>
    <sheet name="Pipeline" sheetId="4" r:id="rId1"/>
    <sheet name="Roadmap" sheetId="8" state="hidden" r:id="rId2"/>
    <sheet name="Contacts" sheetId="11" state="hidden" r:id="rId3"/>
    <sheet name="Milestones" sheetId="10" state="hidden" r:id="rId4"/>
    <sheet name="Settings" sheetId="6" r:id="rId5"/>
    <sheet name="recurrence" sheetId="12" state="hidden" r:id="rId6"/>
    <sheet name="Opportunities" sheetId="3" state="hidden" r:id="rId7"/>
    <sheet name="Customers" sheetId="2" state="hidden" r:id="rId8"/>
    <sheet name="graphics" sheetId="5" state="hidden" r:id="rId9"/>
    <sheet name="tables" sheetId="9" state="hidden" r:id="rId10"/>
  </sheets>
  <definedNames>
    <definedName name="_xlchart.v2.0" hidden="1">graphics!$A$11:$A$16</definedName>
    <definedName name="_xlchart.v2.1" hidden="1">graphics!$C$11:$C$16</definedName>
    <definedName name="calendarType">Pipeline!$F$2</definedName>
    <definedName name="clientId">Settings!$D$16</definedName>
    <definedName name="contactList">Settings!$D$14</definedName>
    <definedName name="contactListAppend">Settings!$C$14</definedName>
    <definedName name="custList">Settings!$D$12</definedName>
    <definedName name="custListAppend">Settings!$C$12</definedName>
    <definedName name="dateRange">Pipeline!$H$2</definedName>
    <definedName name="ExternalData_1" localSheetId="7" hidden="1">'Customers'!$A$1:$K$31</definedName>
    <definedName name="ExternalData_1" localSheetId="3" hidden="1">Milestones!$A$1:$I$101</definedName>
    <definedName name="ExternalData_2" localSheetId="2" hidden="1">'Contacts'!$A$1:$J$76</definedName>
    <definedName name="ExternalData_2" localSheetId="6" hidden="1">Opportunities!$A$1:$O$41</definedName>
    <definedName name="ExternalData_3" localSheetId="0" hidden="1">Pipeline!$Q$7:$Q$47</definedName>
    <definedName name="ExternalData_3" localSheetId="5" hidden="1">'recurrence'!$A$1:$F$35</definedName>
    <definedName name="fqStart">Settings!$D$1</definedName>
    <definedName name="listPrefix">Settings!$D$11</definedName>
    <definedName name="milestoneList">Settings!$D$15</definedName>
    <definedName name="milestoneListAppend">Settings!$C$15</definedName>
    <definedName name="oppList">Settings!$D$13</definedName>
    <definedName name="oppListAppend">Settings!$C$13</definedName>
    <definedName name="pipelineType">Pipeline!$F$3</definedName>
    <definedName name="probabilityThreshold">Settings!#REF!</definedName>
    <definedName name="psAftermetter">" -SiteUrl "&amp;""""&amp;siteUrl&amp;""""&amp;" -ListPrefix "&amp;""""&amp;listPrefix&amp;"""" &amp; " -ClientId "&amp;""""&amp;IF(clientId="","31359c7f-bd7e-475c-86db-fdb8c937548e",clientId)&amp;""""</definedName>
    <definedName name="siteUrl">Settings!$D$10</definedName>
    <definedName name="Slicer_Close_Quarter">#N/A</definedName>
    <definedName name="Slicer_Stage">#N/A</definedName>
  </definedNames>
  <calcPr calcId="191029"/>
  <extLst>
    <ext xmlns:x14="http://schemas.microsoft.com/office/spreadsheetml/2009/9/main" uri="{79F54976-1DA5-4618-B147-4CDE4B953A38}">
      <x14:workbookPr/>
    </ext>
    <ext xmlns:x15="http://schemas.microsoft.com/office/spreadsheetml/2010/11/main" uri="{46BE6895-7355-4a93-B00E-2C351335B9C9}">
      <x15:slicerCaches xmlns:x14="http://schemas.microsoft.com/office/spreadsheetml/2009/9/main">
        <x14:slicerCache r:id="rId11"/>
        <x14:slicerCache r:id="rId12"/>
      </x15:slicerCaches>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J1" i="12" l="1" a="1"/>
  <c r="J1" i="12" s="1"/>
  <c r="H2" i="12"/>
  <c r="H3" i="12"/>
  <c r="H4" i="12"/>
  <c r="H5" i="12"/>
  <c r="H6" i="12"/>
  <c r="H7" i="12"/>
  <c r="H8" i="12"/>
  <c r="H9" i="12"/>
  <c r="H10" i="12"/>
  <c r="H11" i="12"/>
  <c r="H12" i="12"/>
  <c r="H13" i="12"/>
  <c r="H14" i="12"/>
  <c r="H15" i="12"/>
  <c r="H16" i="12"/>
  <c r="H17" i="12"/>
  <c r="H18" i="12"/>
  <c r="H19" i="12"/>
  <c r="H20" i="12"/>
  <c r="H21" i="12"/>
  <c r="H22" i="12"/>
  <c r="H23" i="12"/>
  <c r="H24" i="12"/>
  <c r="H25" i="12"/>
  <c r="H26" i="12"/>
  <c r="H27" i="12"/>
  <c r="H28" i="12"/>
  <c r="H29" i="12"/>
  <c r="H30" i="12"/>
  <c r="H31" i="12"/>
  <c r="H32" i="12"/>
  <c r="H33" i="12"/>
  <c r="H34" i="12"/>
  <c r="H35" i="12"/>
  <c r="G2" i="12"/>
  <c r="G3" i="12"/>
  <c r="G4" i="12"/>
  <c r="G5" i="12"/>
  <c r="G6" i="12"/>
  <c r="G7" i="12"/>
  <c r="G8" i="12"/>
  <c r="G9" i="12"/>
  <c r="G10" i="12"/>
  <c r="G11" i="12"/>
  <c r="G12" i="12"/>
  <c r="G13" i="12"/>
  <c r="G14" i="12"/>
  <c r="G15" i="12"/>
  <c r="G16" i="12"/>
  <c r="G17" i="12"/>
  <c r="G18" i="12"/>
  <c r="G19" i="12"/>
  <c r="G20" i="12"/>
  <c r="G21" i="12"/>
  <c r="G22" i="12"/>
  <c r="G23" i="12"/>
  <c r="G24" i="12"/>
  <c r="G25" i="12"/>
  <c r="G26" i="12"/>
  <c r="G27" i="12"/>
  <c r="G28" i="12"/>
  <c r="G29" i="12"/>
  <c r="G30" i="12"/>
  <c r="G31" i="12"/>
  <c r="G32" i="12"/>
  <c r="G33" i="12"/>
  <c r="G34" i="12"/>
  <c r="G35" i="12"/>
  <c r="N41" i="3" a="1"/>
  <c r="N41" i="3" s="1"/>
  <c r="N40" i="3" a="1"/>
  <c r="N40" i="3" s="1"/>
  <c r="N39" i="3" a="1"/>
  <c r="N39" i="3" s="1"/>
  <c r="N38" i="3" a="1"/>
  <c r="N38" i="3" s="1"/>
  <c r="N37" i="3" a="1"/>
  <c r="N37" i="3" s="1"/>
  <c r="N36" i="3" a="1"/>
  <c r="N36" i="3" s="1"/>
  <c r="N35" i="3" a="1"/>
  <c r="N35" i="3" s="1"/>
  <c r="N34" i="3" a="1"/>
  <c r="N34" i="3" s="1"/>
  <c r="N33" i="3" a="1"/>
  <c r="N33" i="3" s="1"/>
  <c r="N32" i="3" a="1"/>
  <c r="N32" i="3" s="1"/>
  <c r="N31" i="3" a="1"/>
  <c r="N31" i="3" s="1"/>
  <c r="N30" i="3" a="1"/>
  <c r="N30" i="3" s="1"/>
  <c r="N29" i="3" a="1"/>
  <c r="N29" i="3" s="1"/>
  <c r="N28" i="3" a="1"/>
  <c r="N28" i="3" s="1"/>
  <c r="N27" i="3" a="1"/>
  <c r="N27" i="3" s="1"/>
  <c r="N26" i="3" a="1"/>
  <c r="N26" i="3" s="1"/>
  <c r="N25" i="3" a="1"/>
  <c r="N25" i="3" s="1"/>
  <c r="N24" i="3" a="1"/>
  <c r="N24" i="3" s="1"/>
  <c r="N23" i="3" a="1"/>
  <c r="N23" i="3" s="1"/>
  <c r="N22" i="3" a="1"/>
  <c r="N22" i="3" s="1"/>
  <c r="N21" i="3" a="1"/>
  <c r="N21" i="3" s="1"/>
  <c r="N20" i="3" a="1"/>
  <c r="N20" i="3" s="1"/>
  <c r="N19" i="3" a="1"/>
  <c r="N19" i="3" s="1"/>
  <c r="N18" i="3" a="1"/>
  <c r="N18" i="3" s="1"/>
  <c r="N17" i="3" a="1"/>
  <c r="N17" i="3" s="1"/>
  <c r="N16" i="3" a="1"/>
  <c r="N16" i="3" s="1"/>
  <c r="N15" i="3" a="1"/>
  <c r="N15" i="3" s="1"/>
  <c r="N14" i="3" a="1"/>
  <c r="N14" i="3" s="1"/>
  <c r="N13" i="3" a="1"/>
  <c r="N13" i="3" s="1"/>
  <c r="N12" i="3" a="1"/>
  <c r="N12" i="3" s="1"/>
  <c r="N11" i="3" a="1"/>
  <c r="N11" i="3" s="1"/>
  <c r="N10" i="3" a="1"/>
  <c r="N10" i="3" s="1"/>
  <c r="N9" i="3" a="1"/>
  <c r="N9" i="3" s="1"/>
  <c r="N8" i="3" a="1"/>
  <c r="N8" i="3" s="1"/>
  <c r="N7" i="3" a="1"/>
  <c r="N7" i="3" s="1"/>
  <c r="N6" i="3" a="1"/>
  <c r="N6" i="3" s="1"/>
  <c r="N5" i="3" a="1"/>
  <c r="N5" i="3" s="1"/>
  <c r="N3" i="3" a="1"/>
  <c r="N3" i="3" s="1"/>
  <c r="N2" i="3" a="1"/>
  <c r="N2" i="3" s="1"/>
  <c r="N4" i="3" a="1"/>
  <c r="N4" i="3" s="1"/>
  <c r="P2" i="3"/>
  <c r="P3" i="3"/>
  <c r="P4" i="3"/>
  <c r="P5" i="3"/>
  <c r="P6" i="3"/>
  <c r="P7" i="3"/>
  <c r="P8" i="3"/>
  <c r="P9" i="3"/>
  <c r="P10" i="3"/>
  <c r="P11" i="3"/>
  <c r="P12" i="3"/>
  <c r="P13" i="3"/>
  <c r="P14" i="3"/>
  <c r="P15" i="3"/>
  <c r="P16" i="3"/>
  <c r="P17" i="3"/>
  <c r="P18" i="3"/>
  <c r="P19" i="3"/>
  <c r="P20" i="3"/>
  <c r="P21" i="3"/>
  <c r="P22" i="3"/>
  <c r="P23" i="3"/>
  <c r="P24" i="3"/>
  <c r="P25" i="3"/>
  <c r="P26" i="3"/>
  <c r="P27" i="3"/>
  <c r="P28" i="3"/>
  <c r="P29" i="3"/>
  <c r="P30" i="3"/>
  <c r="P31" i="3"/>
  <c r="P32" i="3"/>
  <c r="P33" i="3"/>
  <c r="P34" i="3"/>
  <c r="P35" i="3"/>
  <c r="P36" i="3"/>
  <c r="P37" i="3"/>
  <c r="P38" i="3"/>
  <c r="P39" i="3"/>
  <c r="P40" i="3"/>
  <c r="P41" i="3"/>
  <c r="Q2" i="3"/>
  <c r="Q3" i="3"/>
  <c r="Q4" i="3"/>
  <c r="Q5" i="3"/>
  <c r="Q6" i="3"/>
  <c r="Q7" i="3"/>
  <c r="Q8" i="3"/>
  <c r="Q9" i="3"/>
  <c r="Q10" i="3"/>
  <c r="Q11" i="3"/>
  <c r="Q12" i="3"/>
  <c r="Q13" i="3"/>
  <c r="Q14" i="3"/>
  <c r="Q15" i="3"/>
  <c r="Q16" i="3"/>
  <c r="Q17" i="3"/>
  <c r="Q18" i="3"/>
  <c r="Q19" i="3"/>
  <c r="Q20" i="3"/>
  <c r="Q21" i="3"/>
  <c r="Q22" i="3"/>
  <c r="Q23" i="3"/>
  <c r="Q24" i="3"/>
  <c r="Q25" i="3"/>
  <c r="Q26" i="3"/>
  <c r="Q27" i="3"/>
  <c r="Q28" i="3"/>
  <c r="Q29" i="3"/>
  <c r="Q30" i="3"/>
  <c r="Q31" i="3"/>
  <c r="Q32" i="3"/>
  <c r="Q33" i="3"/>
  <c r="Q34" i="3"/>
  <c r="Q35" i="3"/>
  <c r="Q36" i="3"/>
  <c r="Q37" i="3"/>
  <c r="Q38" i="3"/>
  <c r="Q39" i="3"/>
  <c r="Q40" i="3"/>
  <c r="Q41" i="3"/>
  <c r="S2" i="3"/>
  <c r="S3" i="3"/>
  <c r="S4" i="3"/>
  <c r="S5" i="3"/>
  <c r="S6" i="3"/>
  <c r="S7" i="3"/>
  <c r="S8" i="3"/>
  <c r="S9" i="3"/>
  <c r="S10" i="3"/>
  <c r="S11" i="3"/>
  <c r="S12" i="3"/>
  <c r="S13" i="3"/>
  <c r="S14" i="3"/>
  <c r="S15" i="3"/>
  <c r="S16" i="3"/>
  <c r="S17" i="3"/>
  <c r="S18" i="3"/>
  <c r="S19" i="3"/>
  <c r="S20" i="3"/>
  <c r="S21" i="3"/>
  <c r="S22" i="3"/>
  <c r="S23" i="3"/>
  <c r="S24" i="3"/>
  <c r="S25" i="3"/>
  <c r="S26" i="3"/>
  <c r="S27" i="3"/>
  <c r="S28" i="3"/>
  <c r="S29" i="3"/>
  <c r="S30" i="3"/>
  <c r="S31" i="3"/>
  <c r="S32" i="3"/>
  <c r="S33" i="3"/>
  <c r="S34" i="3"/>
  <c r="S35" i="3"/>
  <c r="S36" i="3"/>
  <c r="S37" i="3"/>
  <c r="S38" i="3"/>
  <c r="S39" i="3"/>
  <c r="S40" i="3"/>
  <c r="S41" i="3"/>
  <c r="U2" i="3"/>
  <c r="U3" i="3"/>
  <c r="U4" i="3"/>
  <c r="U5" i="3"/>
  <c r="U6" i="3"/>
  <c r="U7" i="3"/>
  <c r="U8" i="3"/>
  <c r="U9" i="3"/>
  <c r="U10" i="3"/>
  <c r="U11" i="3"/>
  <c r="U12" i="3"/>
  <c r="U13" i="3"/>
  <c r="U14" i="3"/>
  <c r="U15" i="3"/>
  <c r="U16" i="3"/>
  <c r="U17" i="3"/>
  <c r="U18" i="3"/>
  <c r="U19" i="3"/>
  <c r="U20" i="3"/>
  <c r="U21" i="3"/>
  <c r="U22" i="3"/>
  <c r="U23" i="3"/>
  <c r="U24" i="3"/>
  <c r="U25" i="3"/>
  <c r="U26" i="3"/>
  <c r="U27" i="3"/>
  <c r="U28" i="3"/>
  <c r="U29" i="3"/>
  <c r="U30" i="3"/>
  <c r="U31" i="3"/>
  <c r="U32" i="3"/>
  <c r="U33" i="3"/>
  <c r="U34" i="3"/>
  <c r="U35" i="3"/>
  <c r="U36" i="3"/>
  <c r="U37" i="3"/>
  <c r="U38" i="3"/>
  <c r="U39" i="3"/>
  <c r="U40" i="3"/>
  <c r="U41" i="3"/>
  <c r="V2" i="3" a="1"/>
  <c r="V2" i="3" s="1"/>
  <c r="V3" i="3" a="1"/>
  <c r="V3" i="3" s="1"/>
  <c r="V4" i="3" a="1"/>
  <c r="V4" i="3" s="1"/>
  <c r="V5" i="3" a="1"/>
  <c r="V5" i="3" s="1"/>
  <c r="V6" i="3" a="1"/>
  <c r="V6" i="3" s="1"/>
  <c r="V7" i="3" a="1"/>
  <c r="V7" i="3" s="1"/>
  <c r="V8" i="3" a="1"/>
  <c r="V8" i="3" s="1"/>
  <c r="V9" i="3" a="1"/>
  <c r="V9" i="3" s="1"/>
  <c r="V10" i="3" a="1"/>
  <c r="V10" i="3" s="1"/>
  <c r="V11" i="3" a="1"/>
  <c r="V11" i="3" s="1"/>
  <c r="V12" i="3" a="1"/>
  <c r="V12" i="3" s="1"/>
  <c r="V13" i="3" a="1"/>
  <c r="V13" i="3" s="1"/>
  <c r="V14" i="3" a="1"/>
  <c r="V14" i="3" s="1"/>
  <c r="V15" i="3" a="1"/>
  <c r="V15" i="3" s="1"/>
  <c r="V16" i="3" a="1"/>
  <c r="V16" i="3" s="1"/>
  <c r="V17" i="3" a="1"/>
  <c r="V17" i="3" s="1"/>
  <c r="V18" i="3" a="1"/>
  <c r="V18" i="3" s="1"/>
  <c r="V19" i="3" a="1"/>
  <c r="V19" i="3" s="1"/>
  <c r="V20" i="3" a="1"/>
  <c r="V20" i="3" s="1"/>
  <c r="V21" i="3" a="1"/>
  <c r="V21" i="3" s="1"/>
  <c r="V22" i="3" a="1"/>
  <c r="V22" i="3" s="1"/>
  <c r="V23" i="3" a="1"/>
  <c r="V23" i="3" s="1"/>
  <c r="V24" i="3" a="1"/>
  <c r="V24" i="3" s="1"/>
  <c r="V25" i="3" a="1"/>
  <c r="V25" i="3" s="1"/>
  <c r="V26" i="3" a="1"/>
  <c r="V26" i="3" s="1"/>
  <c r="V27" i="3" a="1"/>
  <c r="V27" i="3" s="1"/>
  <c r="V28" i="3" a="1"/>
  <c r="V28" i="3" s="1"/>
  <c r="V29" i="3" a="1"/>
  <c r="V29" i="3" s="1"/>
  <c r="V30" i="3" a="1"/>
  <c r="V30" i="3" s="1"/>
  <c r="V31" i="3" a="1"/>
  <c r="V31" i="3" s="1"/>
  <c r="V32" i="3" a="1"/>
  <c r="V32" i="3" s="1"/>
  <c r="V33" i="3" a="1"/>
  <c r="V33" i="3" s="1"/>
  <c r="V34" i="3" a="1"/>
  <c r="V34" i="3" s="1"/>
  <c r="V35" i="3" a="1"/>
  <c r="V35" i="3" s="1"/>
  <c r="V36" i="3" a="1"/>
  <c r="V36" i="3" s="1"/>
  <c r="V37" i="3" a="1"/>
  <c r="V37" i="3" s="1"/>
  <c r="V38" i="3" a="1"/>
  <c r="V38" i="3" s="1"/>
  <c r="V39" i="3" a="1"/>
  <c r="V39" i="3" s="1"/>
  <c r="V40" i="3" a="1"/>
  <c r="V40" i="3" s="1"/>
  <c r="V41" i="3" a="1"/>
  <c r="V41" i="3" s="1"/>
  <c r="W2" i="3"/>
  <c r="Z2" i="3" s="1"/>
  <c r="W3" i="3"/>
  <c r="W4" i="3"/>
  <c r="W5" i="3"/>
  <c r="W6" i="3"/>
  <c r="W7" i="3"/>
  <c r="W8" i="3"/>
  <c r="W9" i="3"/>
  <c r="W10" i="3"/>
  <c r="W11" i="3"/>
  <c r="W12" i="3"/>
  <c r="W13" i="3"/>
  <c r="W14" i="3"/>
  <c r="W15" i="3"/>
  <c r="W16" i="3"/>
  <c r="W17" i="3"/>
  <c r="W18" i="3"/>
  <c r="W19" i="3"/>
  <c r="W20" i="3"/>
  <c r="W21" i="3"/>
  <c r="W22" i="3"/>
  <c r="W23" i="3"/>
  <c r="W24" i="3"/>
  <c r="W25" i="3"/>
  <c r="W26" i="3"/>
  <c r="W27" i="3"/>
  <c r="W28" i="3"/>
  <c r="W29" i="3"/>
  <c r="W30" i="3"/>
  <c r="W31" i="3"/>
  <c r="W32" i="3"/>
  <c r="W33" i="3"/>
  <c r="W34" i="3"/>
  <c r="W35" i="3"/>
  <c r="W36" i="3"/>
  <c r="W37" i="3"/>
  <c r="W38" i="3"/>
  <c r="W39" i="3"/>
  <c r="W40" i="3"/>
  <c r="W41" i="3"/>
  <c r="AA2" i="3"/>
  <c r="AA3" i="3"/>
  <c r="AA4" i="3"/>
  <c r="AA5" i="3"/>
  <c r="AA6" i="3"/>
  <c r="AA7" i="3"/>
  <c r="AA8" i="3"/>
  <c r="AA9" i="3"/>
  <c r="AA10" i="3"/>
  <c r="AA11" i="3"/>
  <c r="AA12" i="3"/>
  <c r="AA13" i="3"/>
  <c r="AA14" i="3"/>
  <c r="AA15" i="3"/>
  <c r="AA16" i="3"/>
  <c r="AA17" i="3"/>
  <c r="AA18" i="3"/>
  <c r="AA19" i="3"/>
  <c r="AA20" i="3"/>
  <c r="AA21" i="3"/>
  <c r="AA22" i="3"/>
  <c r="AA23" i="3"/>
  <c r="AA24" i="3"/>
  <c r="AA25" i="3"/>
  <c r="AA26" i="3"/>
  <c r="AA27" i="3"/>
  <c r="AA28" i="3"/>
  <c r="AA29" i="3"/>
  <c r="AA30" i="3"/>
  <c r="AA31" i="3"/>
  <c r="AA32" i="3"/>
  <c r="AA33" i="3"/>
  <c r="AA34" i="3"/>
  <c r="AA35" i="3"/>
  <c r="AA36" i="3"/>
  <c r="AA37" i="3"/>
  <c r="AA38" i="3"/>
  <c r="AA39" i="3"/>
  <c r="AA40" i="3"/>
  <c r="AA41" i="3"/>
  <c r="AC2" i="3" a="1"/>
  <c r="AC2" i="3" s="1"/>
  <c r="AC3" i="3" a="1"/>
  <c r="AC3" i="3" s="1"/>
  <c r="AD3" i="3" s="1"/>
  <c r="AC4" i="3" a="1"/>
  <c r="AC4" i="3" s="1"/>
  <c r="AD4" i="3" s="1"/>
  <c r="AC5" i="3" a="1"/>
  <c r="AC5" i="3" s="1"/>
  <c r="AD5" i="3" s="1"/>
  <c r="AC6" i="3" a="1"/>
  <c r="AC6" i="3" s="1"/>
  <c r="AD6" i="3" s="1"/>
  <c r="AC7" i="3" a="1"/>
  <c r="AC7" i="3" s="1"/>
  <c r="AD7" i="3" s="1"/>
  <c r="AC8" i="3" a="1"/>
  <c r="AC8" i="3" s="1"/>
  <c r="AD8" i="3" s="1"/>
  <c r="AC9" i="3" a="1"/>
  <c r="AC9" i="3" s="1"/>
  <c r="AD9" i="3" s="1"/>
  <c r="AC10" i="3" a="1"/>
  <c r="AC10" i="3" s="1"/>
  <c r="AD10" i="3" s="1"/>
  <c r="AC11" i="3" a="1"/>
  <c r="AC11" i="3" s="1"/>
  <c r="AD11" i="3" s="1"/>
  <c r="AC12" i="3" a="1"/>
  <c r="AC12" i="3" s="1"/>
  <c r="AD12" i="3" s="1"/>
  <c r="AC13" i="3" a="1"/>
  <c r="AC13" i="3" s="1"/>
  <c r="AD13" i="3" s="1"/>
  <c r="AC14" i="3" a="1"/>
  <c r="AC14" i="3" s="1"/>
  <c r="AD14" i="3" s="1"/>
  <c r="AC15" i="3" a="1"/>
  <c r="AC15" i="3" s="1"/>
  <c r="AD15" i="3" s="1"/>
  <c r="AC16" i="3" a="1"/>
  <c r="AC16" i="3" s="1"/>
  <c r="AD16" i="3" s="1"/>
  <c r="AC17" i="3" a="1"/>
  <c r="AC17" i="3" s="1"/>
  <c r="AD17" i="3" s="1"/>
  <c r="AC18" i="3" a="1"/>
  <c r="AC18" i="3" s="1"/>
  <c r="AC19" i="3" a="1"/>
  <c r="AC19" i="3" s="1"/>
  <c r="AD19" i="3" s="1"/>
  <c r="AC20" i="3" a="1"/>
  <c r="AC20" i="3" s="1"/>
  <c r="AD20" i="3" s="1"/>
  <c r="AC21" i="3" a="1"/>
  <c r="AC21" i="3" s="1"/>
  <c r="AD21" i="3" s="1"/>
  <c r="AC22" i="3" a="1"/>
  <c r="AC22" i="3" s="1"/>
  <c r="AD22" i="3" s="1"/>
  <c r="AC23" i="3" a="1"/>
  <c r="AC23" i="3" s="1"/>
  <c r="AD23" i="3" s="1"/>
  <c r="AC24" i="3" a="1"/>
  <c r="AC24" i="3" s="1"/>
  <c r="AD24" i="3" s="1"/>
  <c r="AC25" i="3" a="1"/>
  <c r="AC25" i="3" s="1"/>
  <c r="AD25" i="3" s="1"/>
  <c r="AC26" i="3" a="1"/>
  <c r="AC26" i="3" s="1"/>
  <c r="AD26" i="3" s="1"/>
  <c r="AC27" i="3" a="1"/>
  <c r="AC27" i="3" s="1"/>
  <c r="AD27" i="3" s="1"/>
  <c r="AC28" i="3" a="1"/>
  <c r="AC28" i="3" s="1"/>
  <c r="AD28" i="3" s="1"/>
  <c r="AC29" i="3" a="1"/>
  <c r="AC29" i="3" s="1"/>
  <c r="AD29" i="3" s="1"/>
  <c r="AC30" i="3" a="1"/>
  <c r="AC30" i="3" s="1"/>
  <c r="AD30" i="3" s="1"/>
  <c r="AC31" i="3" a="1"/>
  <c r="AC31" i="3" s="1"/>
  <c r="AD31" i="3" s="1"/>
  <c r="AC32" i="3" a="1"/>
  <c r="AC32" i="3" s="1"/>
  <c r="AD32" i="3" s="1"/>
  <c r="AC33" i="3" a="1"/>
  <c r="AC33" i="3" s="1"/>
  <c r="AD33" i="3" s="1"/>
  <c r="AC34" i="3" a="1"/>
  <c r="AC34" i="3" s="1"/>
  <c r="AD34" i="3" s="1"/>
  <c r="AC35" i="3" a="1"/>
  <c r="AC35" i="3" s="1"/>
  <c r="AD35" i="3" s="1"/>
  <c r="AC36" i="3" a="1"/>
  <c r="AC36" i="3" s="1"/>
  <c r="AD36" i="3" s="1"/>
  <c r="AC37" i="3" a="1"/>
  <c r="AC37" i="3" s="1"/>
  <c r="AD37" i="3" s="1"/>
  <c r="AC38" i="3" a="1"/>
  <c r="AC38" i="3" s="1"/>
  <c r="AD38" i="3" s="1"/>
  <c r="AC39" i="3" a="1"/>
  <c r="AC39" i="3" s="1"/>
  <c r="AD39" i="3" s="1"/>
  <c r="AC40" i="3" a="1"/>
  <c r="AC40" i="3" s="1"/>
  <c r="AD40" i="3" s="1"/>
  <c r="AC41" i="3" a="1"/>
  <c r="AC41" i="3" s="1"/>
  <c r="AD41" i="3" s="1"/>
  <c r="AD2" i="3"/>
  <c r="AD18" i="3"/>
  <c r="H8" i="4"/>
  <c r="H9" i="4"/>
  <c r="H10" i="4"/>
  <c r="H11" i="4"/>
  <c r="H12" i="4"/>
  <c r="H13" i="4"/>
  <c r="H14" i="4"/>
  <c r="H15" i="4"/>
  <c r="H16" i="4"/>
  <c r="H17" i="4"/>
  <c r="H18" i="4"/>
  <c r="H19" i="4"/>
  <c r="H20" i="4"/>
  <c r="H21" i="4"/>
  <c r="H22" i="4"/>
  <c r="H23" i="4"/>
  <c r="H24" i="4"/>
  <c r="H25" i="4"/>
  <c r="H26" i="4"/>
  <c r="H27" i="4"/>
  <c r="H28" i="4"/>
  <c r="H29" i="4"/>
  <c r="H30" i="4"/>
  <c r="H31" i="4"/>
  <c r="H32" i="4"/>
  <c r="H33" i="4"/>
  <c r="H34" i="4"/>
  <c r="H35" i="4"/>
  <c r="H36" i="4"/>
  <c r="H37" i="4"/>
  <c r="H38" i="4"/>
  <c r="H39" i="4"/>
  <c r="H40" i="4"/>
  <c r="H41" i="4"/>
  <c r="H42" i="4"/>
  <c r="H43" i="4"/>
  <c r="H44" i="4"/>
  <c r="H45" i="4"/>
  <c r="H46" i="4"/>
  <c r="H47" i="4"/>
  <c r="Z34" i="3" l="1"/>
  <c r="Z18" i="3"/>
  <c r="Z38" i="3"/>
  <c r="Z30" i="3"/>
  <c r="Z26" i="3"/>
  <c r="Z22" i="3"/>
  <c r="Z14" i="3"/>
  <c r="Z10" i="3"/>
  <c r="Z6" i="3"/>
  <c r="Z41" i="3"/>
  <c r="Z37" i="3"/>
  <c r="Z33" i="3"/>
  <c r="Z29" i="3"/>
  <c r="Z25" i="3"/>
  <c r="Z21" i="3"/>
  <c r="Z17" i="3"/>
  <c r="Z13" i="3"/>
  <c r="Z9" i="3"/>
  <c r="Z5" i="3"/>
  <c r="Z40" i="3"/>
  <c r="Z36" i="3"/>
  <c r="Z32" i="3"/>
  <c r="Z28" i="3"/>
  <c r="Z24" i="3"/>
  <c r="Z20" i="3"/>
  <c r="Z16" i="3"/>
  <c r="Z12" i="3"/>
  <c r="Z8" i="3"/>
  <c r="Z4" i="3"/>
  <c r="Z39" i="3"/>
  <c r="Z35" i="3"/>
  <c r="Z31" i="3"/>
  <c r="Z27" i="3"/>
  <c r="Z23" i="3"/>
  <c r="Z19" i="3"/>
  <c r="Z15" i="3"/>
  <c r="Z11" i="3"/>
  <c r="Z7" i="3"/>
  <c r="Z3" i="3"/>
  <c r="H1" i="4" l="1"/>
  <c r="M2" i="2"/>
  <c r="M3" i="2"/>
  <c r="M4" i="2"/>
  <c r="M5" i="2"/>
  <c r="M6" i="2"/>
  <c r="M7" i="2"/>
  <c r="M8" i="2"/>
  <c r="M9" i="2"/>
  <c r="M10" i="2"/>
  <c r="M11" i="2"/>
  <c r="M12" i="2"/>
  <c r="M13" i="2"/>
  <c r="M14" i="2"/>
  <c r="M15" i="2"/>
  <c r="M16" i="2"/>
  <c r="M17" i="2"/>
  <c r="M18" i="2"/>
  <c r="M19" i="2"/>
  <c r="M20" i="2"/>
  <c r="M21" i="2"/>
  <c r="M22" i="2"/>
  <c r="M23" i="2"/>
  <c r="M24" i="2"/>
  <c r="M25" i="2"/>
  <c r="M26" i="2"/>
  <c r="M27" i="2"/>
  <c r="M28" i="2"/>
  <c r="M29" i="2"/>
  <c r="M30" i="2"/>
  <c r="M31" i="2"/>
  <c r="W8" i="4"/>
  <c r="Y3" i="3" s="1"/>
  <c r="W22" i="4"/>
  <c r="Y5" i="3" s="1"/>
  <c r="W38" i="4"/>
  <c r="Y15" i="3" s="1"/>
  <c r="W41" i="4"/>
  <c r="Y27" i="3" s="1"/>
  <c r="W36" i="4"/>
  <c r="Y37" i="3" s="1"/>
  <c r="M18" i="4"/>
  <c r="V18" i="4" s="1"/>
  <c r="M26" i="4"/>
  <c r="V26" i="4" s="1"/>
  <c r="M16" i="4"/>
  <c r="V16" i="4" s="1"/>
  <c r="W19" i="4"/>
  <c r="Y34" i="3" s="1"/>
  <c r="W31" i="4"/>
  <c r="Y32" i="3" s="1"/>
  <c r="W12" i="4"/>
  <c r="Y14" i="3" s="1"/>
  <c r="W26" i="4"/>
  <c r="Y29" i="3" s="1"/>
  <c r="W25" i="4"/>
  <c r="Y36" i="3" s="1"/>
  <c r="L41" i="4"/>
  <c r="L16" i="4"/>
  <c r="L35" i="4"/>
  <c r="L32" i="4"/>
  <c r="L18" i="4"/>
  <c r="L39" i="4"/>
  <c r="L23" i="4"/>
  <c r="L19" i="4"/>
  <c r="L8" i="4"/>
  <c r="L22" i="4"/>
  <c r="L10" i="4"/>
  <c r="L11" i="4"/>
  <c r="L28" i="4"/>
  <c r="L37" i="4"/>
  <c r="L17" i="4"/>
  <c r="L31" i="4"/>
  <c r="L13" i="4"/>
  <c r="L27" i="4"/>
  <c r="L29" i="4"/>
  <c r="L42" i="4"/>
  <c r="L40" i="4"/>
  <c r="L33" i="4"/>
  <c r="L46" i="4"/>
  <c r="L24" i="4"/>
  <c r="L38" i="4"/>
  <c r="L43" i="4"/>
  <c r="L21" i="4"/>
  <c r="L12" i="4"/>
  <c r="L47" i="4"/>
  <c r="L15" i="4"/>
  <c r="L30" i="4"/>
  <c r="L26" i="4"/>
  <c r="L34" i="4"/>
  <c r="L14" i="4"/>
  <c r="L9" i="4"/>
  <c r="L45" i="4"/>
  <c r="L36" i="4"/>
  <c r="L44" i="4"/>
  <c r="L20" i="4"/>
  <c r="L25" i="4"/>
  <c r="M32" i="4"/>
  <c r="V32" i="4" s="1"/>
  <c r="M39" i="4"/>
  <c r="V39" i="4" s="1"/>
  <c r="M23" i="4"/>
  <c r="V23" i="4" s="1"/>
  <c r="M19" i="4"/>
  <c r="V19" i="4" s="1"/>
  <c r="M22" i="4"/>
  <c r="V22" i="4" s="1"/>
  <c r="M10" i="4"/>
  <c r="V10" i="4" s="1"/>
  <c r="M28" i="4"/>
  <c r="V28" i="4" s="1"/>
  <c r="M37" i="4"/>
  <c r="V37" i="4" s="1"/>
  <c r="M13" i="4"/>
  <c r="V13" i="4" s="1"/>
  <c r="M27" i="4"/>
  <c r="V27" i="4" s="1"/>
  <c r="M40" i="4"/>
  <c r="V40" i="4" s="1"/>
  <c r="M46" i="4"/>
  <c r="M43" i="4"/>
  <c r="V43" i="4" s="1"/>
  <c r="M12" i="4"/>
  <c r="V12" i="4" s="1"/>
  <c r="M15" i="4"/>
  <c r="V15" i="4" s="1"/>
  <c r="M30" i="4"/>
  <c r="V30" i="4" s="1"/>
  <c r="M34" i="4"/>
  <c r="V34" i="4" s="1"/>
  <c r="M14" i="4"/>
  <c r="V14" i="4" s="1"/>
  <c r="M45" i="4"/>
  <c r="V45" i="4" s="1"/>
  <c r="M44" i="4"/>
  <c r="V44" i="4" s="1"/>
  <c r="M20" i="4"/>
  <c r="V20" i="4" s="1"/>
  <c r="M25" i="4"/>
  <c r="V25" i="4" s="1"/>
  <c r="O41" i="4"/>
  <c r="O16" i="4"/>
  <c r="O35" i="4"/>
  <c r="O32" i="4"/>
  <c r="O18" i="4"/>
  <c r="O39" i="4"/>
  <c r="O23" i="4"/>
  <c r="S23" i="4" s="1"/>
  <c r="O19" i="4"/>
  <c r="S19" i="4" s="1"/>
  <c r="O8" i="4"/>
  <c r="S8" i="4" s="1"/>
  <c r="O22" i="4"/>
  <c r="S22" i="4" s="1"/>
  <c r="O10" i="4"/>
  <c r="S10" i="4" s="1"/>
  <c r="O11" i="4"/>
  <c r="S11" i="4" s="1"/>
  <c r="O28" i="4"/>
  <c r="S28" i="4" s="1"/>
  <c r="O37" i="4"/>
  <c r="S37" i="4" s="1"/>
  <c r="O17" i="4"/>
  <c r="S17" i="4" s="1"/>
  <c r="O31" i="4"/>
  <c r="O13" i="4"/>
  <c r="S13" i="4" s="1"/>
  <c r="O27" i="4"/>
  <c r="S27" i="4" s="1"/>
  <c r="O29" i="4"/>
  <c r="S29" i="4" s="1"/>
  <c r="O42" i="4"/>
  <c r="O40" i="4"/>
  <c r="S40" i="4" s="1"/>
  <c r="O33" i="4"/>
  <c r="O46" i="4"/>
  <c r="S46" i="4" s="1"/>
  <c r="O24" i="4"/>
  <c r="S24" i="4" s="1"/>
  <c r="O38" i="4"/>
  <c r="S38" i="4" s="1"/>
  <c r="O43" i="4"/>
  <c r="S43" i="4" s="1"/>
  <c r="O21" i="4"/>
  <c r="S21" i="4" s="1"/>
  <c r="O12" i="4"/>
  <c r="S12" i="4" s="1"/>
  <c r="O47" i="4"/>
  <c r="S47" i="4" s="1"/>
  <c r="O15" i="4"/>
  <c r="S15" i="4" s="1"/>
  <c r="O30" i="4"/>
  <c r="S30" i="4" s="1"/>
  <c r="O26" i="4"/>
  <c r="O34" i="4"/>
  <c r="S34" i="4" s="1"/>
  <c r="O14" i="4"/>
  <c r="S14" i="4" s="1"/>
  <c r="O9" i="4"/>
  <c r="O45" i="4"/>
  <c r="S45" i="4" s="1"/>
  <c r="O36" i="4"/>
  <c r="S36" i="4" s="1"/>
  <c r="O44" i="4"/>
  <c r="S44" i="4" s="1"/>
  <c r="O20" i="4"/>
  <c r="S20" i="4" s="1"/>
  <c r="O25" i="4"/>
  <c r="S25" i="4" s="1"/>
  <c r="P41" i="4"/>
  <c r="P16" i="4"/>
  <c r="P35" i="4"/>
  <c r="P32" i="4"/>
  <c r="P18" i="4"/>
  <c r="P39" i="4"/>
  <c r="P23" i="4"/>
  <c r="P19" i="4"/>
  <c r="P8" i="4"/>
  <c r="P22" i="4"/>
  <c r="P10" i="4"/>
  <c r="P11" i="4"/>
  <c r="P28" i="4"/>
  <c r="P37" i="4"/>
  <c r="P17" i="4"/>
  <c r="P31" i="4"/>
  <c r="P13" i="4"/>
  <c r="P27" i="4"/>
  <c r="P29" i="4"/>
  <c r="P42" i="4"/>
  <c r="P40" i="4"/>
  <c r="P33" i="4"/>
  <c r="P46" i="4"/>
  <c r="P24" i="4"/>
  <c r="P38" i="4"/>
  <c r="P43" i="4"/>
  <c r="P21" i="4"/>
  <c r="P12" i="4"/>
  <c r="P47" i="4"/>
  <c r="P15" i="4"/>
  <c r="P30" i="4"/>
  <c r="P26" i="4"/>
  <c r="P34" i="4"/>
  <c r="P14" i="4"/>
  <c r="P9" i="4"/>
  <c r="P45" i="4"/>
  <c r="P36" i="4"/>
  <c r="P44" i="4"/>
  <c r="P20" i="4"/>
  <c r="P25" i="4"/>
  <c r="R41" i="4"/>
  <c r="R16" i="4"/>
  <c r="R35" i="4"/>
  <c r="R32" i="4"/>
  <c r="R18" i="4"/>
  <c r="R39" i="4"/>
  <c r="R23" i="4"/>
  <c r="R19" i="4"/>
  <c r="R8" i="4"/>
  <c r="R22" i="4"/>
  <c r="R10" i="4"/>
  <c r="R11" i="4"/>
  <c r="R28" i="4"/>
  <c r="R37" i="4"/>
  <c r="R17" i="4"/>
  <c r="R31" i="4"/>
  <c r="R13" i="4"/>
  <c r="R27" i="4"/>
  <c r="R29" i="4"/>
  <c r="R42" i="4"/>
  <c r="R40" i="4"/>
  <c r="R33" i="4"/>
  <c r="R46" i="4"/>
  <c r="R24" i="4"/>
  <c r="R38" i="4"/>
  <c r="R43" i="4"/>
  <c r="R21" i="4"/>
  <c r="R12" i="4"/>
  <c r="R47" i="4"/>
  <c r="R15" i="4"/>
  <c r="R30" i="4"/>
  <c r="R26" i="4"/>
  <c r="R34" i="4"/>
  <c r="R14" i="4"/>
  <c r="R9" i="4"/>
  <c r="R45" i="4"/>
  <c r="R36" i="4"/>
  <c r="R44" i="4"/>
  <c r="R20" i="4"/>
  <c r="R25" i="4"/>
  <c r="S41" i="4"/>
  <c r="S16" i="4"/>
  <c r="S35" i="4"/>
  <c r="S32" i="4"/>
  <c r="S18" i="4"/>
  <c r="S39" i="4"/>
  <c r="S31" i="4"/>
  <c r="S42" i="4"/>
  <c r="S33" i="4"/>
  <c r="S26" i="4"/>
  <c r="S9" i="4"/>
  <c r="T41" i="4"/>
  <c r="N41" i="4" s="1"/>
  <c r="T16" i="4"/>
  <c r="N16" i="4" s="1"/>
  <c r="T35" i="4"/>
  <c r="N35" i="4" s="1"/>
  <c r="T32" i="4"/>
  <c r="N32" i="4" s="1"/>
  <c r="T18" i="4"/>
  <c r="N18" i="4" s="1"/>
  <c r="T39" i="4"/>
  <c r="N39" i="4" s="1"/>
  <c r="T23" i="4"/>
  <c r="N23" i="4" s="1"/>
  <c r="T19" i="4"/>
  <c r="N19" i="4" s="1"/>
  <c r="T8" i="4"/>
  <c r="N8" i="4" s="1"/>
  <c r="T22" i="4"/>
  <c r="N22" i="4" s="1"/>
  <c r="T10" i="4"/>
  <c r="N10" i="4" s="1"/>
  <c r="T11" i="4"/>
  <c r="N11" i="4" s="1"/>
  <c r="T28" i="4"/>
  <c r="N28" i="4" s="1"/>
  <c r="T37" i="4"/>
  <c r="N37" i="4" s="1"/>
  <c r="T17" i="4"/>
  <c r="N17" i="4" s="1"/>
  <c r="T31" i="4"/>
  <c r="N31" i="4" s="1"/>
  <c r="T13" i="4"/>
  <c r="N13" i="4" s="1"/>
  <c r="T27" i="4"/>
  <c r="N27" i="4" s="1"/>
  <c r="T29" i="4"/>
  <c r="N29" i="4" s="1"/>
  <c r="T42" i="4"/>
  <c r="N42" i="4" s="1"/>
  <c r="T40" i="4"/>
  <c r="N40" i="4" s="1"/>
  <c r="T33" i="4"/>
  <c r="N33" i="4" s="1"/>
  <c r="T46" i="4"/>
  <c r="N46" i="4" s="1"/>
  <c r="T24" i="4"/>
  <c r="N24" i="4" s="1"/>
  <c r="T38" i="4"/>
  <c r="N38" i="4" s="1"/>
  <c r="T43" i="4"/>
  <c r="N43" i="4" s="1"/>
  <c r="T21" i="4"/>
  <c r="N21" i="4" s="1"/>
  <c r="T12" i="4"/>
  <c r="N12" i="4" s="1"/>
  <c r="T47" i="4"/>
  <c r="N47" i="4" s="1"/>
  <c r="T15" i="4"/>
  <c r="N15" i="4" s="1"/>
  <c r="T30" i="4"/>
  <c r="N30" i="4" s="1"/>
  <c r="T26" i="4"/>
  <c r="N26" i="4" s="1"/>
  <c r="T34" i="4"/>
  <c r="N34" i="4" s="1"/>
  <c r="T14" i="4"/>
  <c r="N14" i="4" s="1"/>
  <c r="T9" i="4"/>
  <c r="N9" i="4" s="1"/>
  <c r="T45" i="4"/>
  <c r="N45" i="4" s="1"/>
  <c r="T36" i="4"/>
  <c r="N36" i="4" s="1"/>
  <c r="T44" i="4"/>
  <c r="N44" i="4" s="1"/>
  <c r="T20" i="4"/>
  <c r="N20" i="4" s="1"/>
  <c r="T25" i="4"/>
  <c r="N25" i="4" s="1"/>
  <c r="U41" i="4"/>
  <c r="U16" i="4"/>
  <c r="U35" i="4"/>
  <c r="U32" i="4"/>
  <c r="U18" i="4"/>
  <c r="U39" i="4"/>
  <c r="U23" i="4"/>
  <c r="U19" i="4"/>
  <c r="U8" i="4"/>
  <c r="U22" i="4"/>
  <c r="U10" i="4"/>
  <c r="U11" i="4"/>
  <c r="U28" i="4"/>
  <c r="U37" i="4"/>
  <c r="U17" i="4"/>
  <c r="U31" i="4"/>
  <c r="U13" i="4"/>
  <c r="U27" i="4"/>
  <c r="U29" i="4"/>
  <c r="U42" i="4"/>
  <c r="U40" i="4"/>
  <c r="U33" i="4"/>
  <c r="U46" i="4"/>
  <c r="U24" i="4"/>
  <c r="U38" i="4"/>
  <c r="U43" i="4"/>
  <c r="U21" i="4"/>
  <c r="U12" i="4"/>
  <c r="U47" i="4"/>
  <c r="U15" i="4"/>
  <c r="U30" i="4"/>
  <c r="U26" i="4"/>
  <c r="U34" i="4"/>
  <c r="U14" i="4"/>
  <c r="U9" i="4"/>
  <c r="U45" i="4"/>
  <c r="U36" i="4"/>
  <c r="U44" i="4"/>
  <c r="U20" i="4"/>
  <c r="U25" i="4"/>
  <c r="V46" i="4"/>
  <c r="W16" i="4"/>
  <c r="Y33" i="3" s="1"/>
  <c r="W32" i="4"/>
  <c r="Y4" i="3" s="1"/>
  <c r="W18" i="4"/>
  <c r="Y9" i="3" s="1"/>
  <c r="W11" i="4"/>
  <c r="Y21" i="3" s="1"/>
  <c r="W28" i="4"/>
  <c r="Y25" i="3" s="1"/>
  <c r="W37" i="4"/>
  <c r="Y17" i="3" s="1"/>
  <c r="W43" i="4"/>
  <c r="Y13" i="3" s="1"/>
  <c r="W14" i="4"/>
  <c r="Y41" i="3" s="1"/>
  <c r="W45" i="4"/>
  <c r="Y6" i="3" s="1"/>
  <c r="D14" i="6"/>
  <c r="D15" i="6"/>
  <c r="B15" i="6" l="1"/>
  <c r="C4" i="4"/>
  <c r="B4" i="4"/>
  <c r="B14" i="6"/>
  <c r="C5" i="4"/>
  <c r="B5" i="4"/>
  <c r="M24" i="4"/>
  <c r="V24" i="4" s="1"/>
  <c r="M21" i="4"/>
  <c r="V21" i="4" s="1"/>
  <c r="M38" i="4"/>
  <c r="V38" i="4" s="1"/>
  <c r="W24" i="4"/>
  <c r="Y35" i="3" s="1"/>
  <c r="W42" i="4"/>
  <c r="Y19" i="3" s="1"/>
  <c r="M9" i="4"/>
  <c r="V9" i="4" s="1"/>
  <c r="M33" i="4"/>
  <c r="V33" i="4" s="1"/>
  <c r="M42" i="4"/>
  <c r="V42" i="4" s="1"/>
  <c r="M41" i="4"/>
  <c r="V41" i="4" s="1"/>
  <c r="W46" i="4"/>
  <c r="Y28" i="3" s="1"/>
  <c r="W23" i="4"/>
  <c r="Y20" i="3" s="1"/>
  <c r="W30" i="4"/>
  <c r="Y12" i="3" s="1"/>
  <c r="M36" i="4"/>
  <c r="V36" i="4" s="1"/>
  <c r="M47" i="4"/>
  <c r="V47" i="4" s="1"/>
  <c r="M8" i="4"/>
  <c r="V8" i="4" s="1"/>
  <c r="W39" i="4"/>
  <c r="Y38" i="3" s="1"/>
  <c r="W13" i="4"/>
  <c r="Y30" i="3" s="1"/>
  <c r="W10" i="4"/>
  <c r="Y22" i="3" s="1"/>
  <c r="M31" i="4"/>
  <c r="V31" i="4" s="1"/>
  <c r="M11" i="4"/>
  <c r="V11" i="4" s="1"/>
  <c r="W47" i="4"/>
  <c r="Y40" i="3" s="1"/>
  <c r="W35" i="4"/>
  <c r="Y24" i="3" s="1"/>
  <c r="W44" i="4"/>
  <c r="Y16" i="3" s="1"/>
  <c r="W34" i="4"/>
  <c r="Y8" i="3" s="1"/>
  <c r="M29" i="4"/>
  <c r="V29" i="4" s="1"/>
  <c r="M17" i="4"/>
  <c r="V17" i="4" s="1"/>
  <c r="M35" i="4"/>
  <c r="V35" i="4" s="1"/>
  <c r="W20" i="4"/>
  <c r="Y26" i="3" s="1"/>
  <c r="W15" i="4"/>
  <c r="Y18" i="3" s="1"/>
  <c r="W27" i="4"/>
  <c r="Y10" i="3" s="1"/>
  <c r="W40" i="4"/>
  <c r="Y2" i="3" s="1"/>
  <c r="W9" i="4"/>
  <c r="Y39" i="3" s="1"/>
  <c r="W21" i="4"/>
  <c r="Y31" i="3" s="1"/>
  <c r="W29" i="4"/>
  <c r="Y7" i="3" s="1"/>
  <c r="W17" i="4"/>
  <c r="Y11" i="3" s="1"/>
  <c r="W33" i="4"/>
  <c r="Y23" i="3" s="1"/>
  <c r="P13" i="6"/>
  <c r="P14" i="6"/>
  <c r="P15" i="6"/>
  <c r="P16" i="6"/>
  <c r="P17" i="6"/>
  <c r="P18" i="6"/>
  <c r="A6" i="6"/>
  <c r="A5" i="6"/>
  <c r="A4" i="6"/>
  <c r="A3" i="6"/>
  <c r="A2" i="6"/>
  <c r="H9" i="6" a="1"/>
  <c r="H9" i="6" s="1"/>
  <c r="H8" i="6" a="1"/>
  <c r="H8" i="6" s="1"/>
  <c r="H3" i="6" a="1"/>
  <c r="H3" i="6" s="1"/>
  <c r="H6" i="6" a="1"/>
  <c r="H6" i="6" s="1"/>
  <c r="H5" i="6" a="1"/>
  <c r="H5" i="6" s="1"/>
  <c r="H4" i="6" a="1"/>
  <c r="H4" i="6" s="1"/>
  <c r="D12" i="6"/>
  <c r="D13" i="6"/>
  <c r="T3" i="3" l="1"/>
  <c r="K8" i="4" s="1"/>
  <c r="T25" i="3"/>
  <c r="K28" i="4" s="1"/>
  <c r="T4" i="3"/>
  <c r="K32" i="4" s="1"/>
  <c r="T33" i="3"/>
  <c r="K16" i="4" s="1"/>
  <c r="T31" i="3"/>
  <c r="K21" i="4" s="1"/>
  <c r="T36" i="3"/>
  <c r="K25" i="4" s="1"/>
  <c r="T35" i="3"/>
  <c r="K24" i="4" s="1"/>
  <c r="T40" i="3"/>
  <c r="K47" i="4" s="1"/>
  <c r="T7" i="3"/>
  <c r="K29" i="4" s="1"/>
  <c r="T13" i="3"/>
  <c r="K43" i="4" s="1"/>
  <c r="T8" i="3"/>
  <c r="K34" i="4" s="1"/>
  <c r="T16" i="3"/>
  <c r="K44" i="4" s="1"/>
  <c r="T37" i="3"/>
  <c r="K36" i="4" s="1"/>
  <c r="T2" i="3"/>
  <c r="K40" i="4" s="1"/>
  <c r="T10" i="3"/>
  <c r="K27" i="4" s="1"/>
  <c r="T15" i="3"/>
  <c r="K38" i="4" s="1"/>
  <c r="T19" i="3"/>
  <c r="K42" i="4" s="1"/>
  <c r="T27" i="3"/>
  <c r="K41" i="4" s="1"/>
  <c r="T29" i="3"/>
  <c r="K26" i="4" s="1"/>
  <c r="T28" i="3"/>
  <c r="K46" i="4" s="1"/>
  <c r="T22" i="3"/>
  <c r="K10" i="4" s="1"/>
  <c r="T30" i="3"/>
  <c r="K13" i="4" s="1"/>
  <c r="T9" i="3"/>
  <c r="K18" i="4" s="1"/>
  <c r="T5" i="3"/>
  <c r="K22" i="4" s="1"/>
  <c r="T38" i="3"/>
  <c r="K39" i="4" s="1"/>
  <c r="T26" i="3"/>
  <c r="K20" i="4" s="1"/>
  <c r="T14" i="3"/>
  <c r="K12" i="4" s="1"/>
  <c r="T18" i="3"/>
  <c r="K15" i="4" s="1"/>
  <c r="T11" i="3"/>
  <c r="K17" i="4" s="1"/>
  <c r="T32" i="3"/>
  <c r="K31" i="4" s="1"/>
  <c r="T12" i="3"/>
  <c r="K30" i="4" s="1"/>
  <c r="T20" i="3"/>
  <c r="K23" i="4" s="1"/>
  <c r="T24" i="3"/>
  <c r="K35" i="4" s="1"/>
  <c r="T6" i="3"/>
  <c r="K45" i="4" s="1"/>
  <c r="T21" i="3"/>
  <c r="K11" i="4" s="1"/>
  <c r="T23" i="3"/>
  <c r="K33" i="4" s="1"/>
  <c r="T34" i="3"/>
  <c r="K19" i="4" s="1"/>
  <c r="T17" i="3"/>
  <c r="K37" i="4" s="1"/>
  <c r="T41" i="3"/>
  <c r="K14" i="4" s="1"/>
  <c r="T39" i="3"/>
  <c r="K9" i="4" s="1"/>
  <c r="R2" i="3"/>
  <c r="R6" i="3"/>
  <c r="R10" i="3"/>
  <c r="R14" i="3"/>
  <c r="R18" i="3"/>
  <c r="R22" i="3"/>
  <c r="R26" i="3"/>
  <c r="R30" i="3"/>
  <c r="R34" i="3"/>
  <c r="R38" i="3"/>
  <c r="R13" i="3"/>
  <c r="R37" i="3"/>
  <c r="R3" i="3"/>
  <c r="R7" i="3"/>
  <c r="R11" i="3"/>
  <c r="R15" i="3"/>
  <c r="R19" i="3"/>
  <c r="R23" i="3"/>
  <c r="R27" i="3"/>
  <c r="R31" i="3"/>
  <c r="R35" i="3"/>
  <c r="R39" i="3"/>
  <c r="R9" i="3"/>
  <c r="R21" i="3"/>
  <c r="R29" i="3"/>
  <c r="R41" i="3"/>
  <c r="B3" i="4"/>
  <c r="R4" i="3"/>
  <c r="R8" i="3"/>
  <c r="R12" i="3"/>
  <c r="R16" i="3"/>
  <c r="R20" i="3"/>
  <c r="R24" i="3"/>
  <c r="R28" i="3"/>
  <c r="R32" i="3"/>
  <c r="R36" i="3"/>
  <c r="R40" i="3"/>
  <c r="R5" i="3"/>
  <c r="R17" i="3"/>
  <c r="R25" i="3"/>
  <c r="R33" i="3"/>
  <c r="C3" i="4"/>
  <c r="I35" i="4"/>
  <c r="I23" i="4"/>
  <c r="I10" i="4"/>
  <c r="I17" i="4"/>
  <c r="I29" i="4"/>
  <c r="I46" i="4"/>
  <c r="I21" i="4"/>
  <c r="I30" i="4"/>
  <c r="I9" i="4"/>
  <c r="I20" i="4"/>
  <c r="I43" i="4"/>
  <c r="I32" i="4"/>
  <c r="I19" i="4"/>
  <c r="I11" i="4"/>
  <c r="I31" i="4"/>
  <c r="I42" i="4"/>
  <c r="I24" i="4"/>
  <c r="I12" i="4"/>
  <c r="I26" i="4"/>
  <c r="I45" i="4"/>
  <c r="I25" i="4"/>
  <c r="I16" i="4"/>
  <c r="I39" i="4"/>
  <c r="I37" i="4"/>
  <c r="I27" i="4"/>
  <c r="I15" i="4"/>
  <c r="I44" i="4"/>
  <c r="I41" i="4"/>
  <c r="I18" i="4"/>
  <c r="I8" i="4"/>
  <c r="I28" i="4"/>
  <c r="I13" i="4"/>
  <c r="I40" i="4"/>
  <c r="I38" i="4"/>
  <c r="I47" i="4"/>
  <c r="I34" i="4"/>
  <c r="I36" i="4"/>
  <c r="I22" i="4"/>
  <c r="I33" i="4"/>
  <c r="I14" i="4"/>
  <c r="C2" i="4"/>
  <c r="B2" i="4"/>
  <c r="L5" i="2"/>
  <c r="N5" i="2" s="1"/>
  <c r="L9" i="2"/>
  <c r="N9" i="2" s="1"/>
  <c r="L13" i="2"/>
  <c r="N13" i="2" s="1"/>
  <c r="L17" i="2"/>
  <c r="N17" i="2" s="1"/>
  <c r="L21" i="2"/>
  <c r="N21" i="2" s="1"/>
  <c r="L25" i="2"/>
  <c r="N25" i="2" s="1"/>
  <c r="L29" i="2"/>
  <c r="N29" i="2" s="1"/>
  <c r="X21" i="3" s="1"/>
  <c r="J11" i="4" s="1"/>
  <c r="L12" i="2"/>
  <c r="N12" i="2" s="1"/>
  <c r="L2" i="2"/>
  <c r="N2" i="2" s="1"/>
  <c r="L6" i="2"/>
  <c r="N6" i="2" s="1"/>
  <c r="L10" i="2"/>
  <c r="N10" i="2" s="1"/>
  <c r="L14" i="2"/>
  <c r="N14" i="2" s="1"/>
  <c r="L18" i="2"/>
  <c r="N18" i="2" s="1"/>
  <c r="X13" i="3" s="1"/>
  <c r="J43" i="4" s="1"/>
  <c r="L22" i="2"/>
  <c r="N22" i="2" s="1"/>
  <c r="X39" i="3" s="1"/>
  <c r="J9" i="4" s="1"/>
  <c r="L26" i="2"/>
  <c r="N26" i="2" s="1"/>
  <c r="X35" i="3" s="1"/>
  <c r="J24" i="4" s="1"/>
  <c r="L30" i="2"/>
  <c r="N30" i="2" s="1"/>
  <c r="X33" i="3" s="1"/>
  <c r="J16" i="4" s="1"/>
  <c r="L4" i="2"/>
  <c r="N4" i="2" s="1"/>
  <c r="L16" i="2"/>
  <c r="N16" i="2" s="1"/>
  <c r="L20" i="2"/>
  <c r="N20" i="2" s="1"/>
  <c r="X18" i="3" s="1"/>
  <c r="J15" i="4" s="1"/>
  <c r="L24" i="2"/>
  <c r="N24" i="2" s="1"/>
  <c r="X20" i="3" s="1"/>
  <c r="J23" i="4" s="1"/>
  <c r="L28" i="2"/>
  <c r="N28" i="2" s="1"/>
  <c r="X25" i="3" s="1"/>
  <c r="J28" i="4" s="1"/>
  <c r="L3" i="2"/>
  <c r="N3" i="2" s="1"/>
  <c r="L7" i="2"/>
  <c r="N7" i="2" s="1"/>
  <c r="L11" i="2"/>
  <c r="N11" i="2" s="1"/>
  <c r="L15" i="2"/>
  <c r="N15" i="2" s="1"/>
  <c r="L19" i="2"/>
  <c r="N19" i="2" s="1"/>
  <c r="X2" i="3" s="1"/>
  <c r="J40" i="4" s="1"/>
  <c r="L23" i="2"/>
  <c r="N23" i="2" s="1"/>
  <c r="X17" i="3" s="1"/>
  <c r="J37" i="4" s="1"/>
  <c r="L27" i="2"/>
  <c r="N27" i="2" s="1"/>
  <c r="X10" i="3" s="1"/>
  <c r="J27" i="4" s="1"/>
  <c r="L31" i="2"/>
  <c r="N31" i="2" s="1"/>
  <c r="X11" i="3" s="1"/>
  <c r="J17" i="4" s="1"/>
  <c r="L8" i="2"/>
  <c r="N8" i="2" s="1"/>
  <c r="B12" i="6"/>
  <c r="F1" i="9" a="1"/>
  <c r="A16" i="5"/>
  <c r="A13" i="5"/>
  <c r="A14" i="5"/>
  <c r="A11" i="5"/>
  <c r="A15" i="5"/>
  <c r="A12" i="5"/>
  <c r="B13" i="6"/>
  <c r="X30" i="3" l="1"/>
  <c r="J13" i="4" s="1"/>
  <c r="X3" i="3"/>
  <c r="J8" i="4" s="1"/>
  <c r="X9" i="3"/>
  <c r="J18" i="4" s="1"/>
  <c r="X7" i="3"/>
  <c r="J29" i="4" s="1"/>
  <c r="X19" i="3"/>
  <c r="J42" i="4" s="1"/>
  <c r="X36" i="3"/>
  <c r="J25" i="4" s="1"/>
  <c r="X5" i="3"/>
  <c r="J22" i="4" s="1"/>
  <c r="X6" i="3"/>
  <c r="J45" i="4" s="1"/>
  <c r="X4" i="3"/>
  <c r="J32" i="4" s="1"/>
  <c r="X14" i="3"/>
  <c r="J12" i="4" s="1"/>
  <c r="X28" i="3"/>
  <c r="J46" i="4" s="1"/>
  <c r="X15" i="3"/>
  <c r="J38" i="4" s="1"/>
  <c r="X41" i="3"/>
  <c r="J14" i="4" s="1"/>
  <c r="X32" i="3"/>
  <c r="J31" i="4" s="1"/>
  <c r="X16" i="3"/>
  <c r="J44" i="4" s="1"/>
  <c r="X24" i="3"/>
  <c r="J35" i="4" s="1"/>
  <c r="X23" i="3"/>
  <c r="J33" i="4" s="1"/>
  <c r="X8" i="3"/>
  <c r="J34" i="4" s="1"/>
  <c r="X26" i="3"/>
  <c r="J20" i="4" s="1"/>
  <c r="X34" i="3"/>
  <c r="J19" i="4" s="1"/>
  <c r="X12" i="3"/>
  <c r="J30" i="4" s="1"/>
  <c r="X40" i="3"/>
  <c r="J47" i="4" s="1"/>
  <c r="X29" i="3"/>
  <c r="J26" i="4" s="1"/>
  <c r="X37" i="3"/>
  <c r="J36" i="4" s="1"/>
  <c r="X22" i="3"/>
  <c r="J10" i="4" s="1"/>
  <c r="X27" i="3"/>
  <c r="J41" i="4" s="1"/>
  <c r="X31" i="3"/>
  <c r="J21" i="4" s="1"/>
  <c r="X38" i="3"/>
  <c r="J39" i="4" s="1"/>
  <c r="E2" i="5"/>
  <c r="Q2" i="5" a="1"/>
  <c r="Q2" i="5" s="1"/>
  <c r="J2" i="9" a="1"/>
  <c r="J2" i="9" s="1"/>
  <c r="A1" i="9" a="1"/>
  <c r="A1" i="9" s="1"/>
  <c r="K2" i="9" a="1"/>
  <c r="K2" i="9" s="1"/>
  <c r="H2" i="9" a="1"/>
  <c r="H2" i="9" s="1"/>
  <c r="F1" i="9"/>
  <c r="F2" i="9" s="1" a="1"/>
  <c r="F2" i="9" s="1"/>
  <c r="I2" i="9" a="1"/>
  <c r="I2" i="9" s="1"/>
  <c r="G2" i="9" a="1"/>
  <c r="G2" i="9" s="1"/>
  <c r="L2" i="9" a="1"/>
  <c r="L2" i="9" s="1"/>
  <c r="AH1" i="5" a="1"/>
  <c r="R1" i="5" a="1"/>
  <c r="I1" i="5" a="1"/>
  <c r="L4" i="5" s="1"/>
  <c r="AH1" i="5" l="1"/>
  <c r="AL4" i="5"/>
  <c r="AJ3" i="5"/>
  <c r="AL2" i="5"/>
  <c r="AM3" i="5"/>
  <c r="AI3" i="5"/>
  <c r="AK2" i="5"/>
  <c r="AK4" i="5"/>
  <c r="AJ4" i="5"/>
  <c r="AL3" i="5"/>
  <c r="AJ2" i="5"/>
  <c r="AI4" i="5"/>
  <c r="AM2" i="5"/>
  <c r="AM4" i="5"/>
  <c r="AI2" i="5"/>
  <c r="AK3" i="5"/>
  <c r="S7" i="5"/>
  <c r="R1" i="5"/>
  <c r="R5" i="5" s="1"/>
  <c r="L2" i="5"/>
  <c r="M2" i="5"/>
  <c r="K4" i="5"/>
  <c r="K2" i="5"/>
  <c r="N3" i="5"/>
  <c r="I1" i="5"/>
  <c r="I2" i="5" s="1"/>
  <c r="L3" i="5"/>
  <c r="N4" i="5"/>
  <c r="J3" i="5"/>
  <c r="J2" i="5"/>
  <c r="K3" i="5"/>
  <c r="M3" i="5"/>
  <c r="M4" i="5"/>
  <c r="N2" i="5"/>
  <c r="J4" i="5"/>
  <c r="S5" i="5"/>
  <c r="S2" i="5"/>
  <c r="U7" i="5"/>
  <c r="T4" i="5"/>
  <c r="T5" i="5"/>
  <c r="V5" i="5"/>
  <c r="S6" i="5"/>
  <c r="W3" i="5"/>
  <c r="S4" i="5"/>
  <c r="V4" i="5"/>
  <c r="T6" i="5"/>
  <c r="U6" i="5"/>
  <c r="T7" i="5"/>
  <c r="W4" i="5"/>
  <c r="V6" i="5"/>
  <c r="S3" i="5"/>
  <c r="W7" i="5"/>
  <c r="U3" i="5"/>
  <c r="W6" i="5"/>
  <c r="T2" i="5"/>
  <c r="U2" i="5"/>
  <c r="W5" i="5"/>
  <c r="V2" i="5"/>
  <c r="W2" i="5"/>
  <c r="U5" i="5"/>
  <c r="T3" i="5"/>
  <c r="V3" i="5"/>
  <c r="V7" i="5"/>
  <c r="U4" i="5"/>
  <c r="R6" i="5"/>
  <c r="R2" i="5"/>
  <c r="R7" i="5" l="1"/>
  <c r="AH4" i="5"/>
  <c r="AH2" i="5"/>
  <c r="AH3" i="5"/>
  <c r="R4" i="5"/>
  <c r="R3" i="5"/>
  <c r="I3" i="5"/>
  <c r="I4" i="5"/>
  <c r="C2" i="5"/>
  <c r="B2" i="5"/>
  <c r="H2" i="4"/>
  <c r="D13" i="5" l="1"/>
  <c r="D16" i="5"/>
  <c r="D12" i="5"/>
  <c r="D14" i="5"/>
  <c r="D15" i="5"/>
  <c r="D2" i="5"/>
  <c r="C13" i="5"/>
  <c r="C16" i="5"/>
  <c r="C12" i="5"/>
  <c r="C15" i="5"/>
  <c r="C14" i="5"/>
  <c r="D11" i="5" l="1"/>
  <c r="C11" i="5"/>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207BDBAE-852D-44D9-8D93-8DD41A69F40B}" keepAlive="1" name="Query - Contacts" description="Connection to the 'Contacts' query in the workbook." type="5" refreshedVersion="8" background="1" saveData="1">
    <dbPr connection="Provider=Microsoft.Mashup.OleDb.1;Data Source=$Workbook$;Location=Contacts;Extended Properties=&quot;&quot;" command="SELECT * FROM [Contacts]"/>
  </connection>
  <connection id="2" xr16:uid="{F0196890-B1A9-499E-9549-A62879D88EDF}" keepAlive="1" name="Query - Customers" description="Connection to the 'Customers' query in the workbook." type="5" refreshedVersion="8" background="1" saveData="1">
    <dbPr connection="Provider=Microsoft.Mashup.OleDb.1;Data Source=$Workbook$;Location=Customers;Extended Properties=&quot;&quot;" command="SELECT * FROM [Customers]"/>
  </connection>
  <connection id="3" xr16:uid="{2416F84D-36B1-42E3-A5A5-D0A943A0C4A5}" keepAlive="1" name="Query - Milestones" description="Connection to the 'Milestones' query in the workbook." type="5" refreshedVersion="8" background="1" saveData="1">
    <dbPr connection="Provider=Microsoft.Mashup.OleDb.1;Data Source=$Workbook$;Location=Milestones;Extended Properties=&quot;&quot;" command="SELECT * FROM [Milestones]"/>
  </connection>
  <connection id="4" xr16:uid="{A2085320-C93A-4289-861E-CEEDB7D51806}" keepAlive="1" name="Query - Opportunities" description="Connection to the 'Opportunities' query in the workbook." type="5" refreshedVersion="8" background="1" saveData="1">
    <dbPr connection="Provider=Microsoft.Mashup.OleDb.1;Data Source=$Workbook$;Location=Opportunities;Extended Properties=&quot;&quot;" command="SELECT * FROM [Opportunities]"/>
  </connection>
  <connection id="5" xr16:uid="{474F0C0C-5DFA-4095-A24F-F3947A88E5AF}" keepAlive="1" name="Query - recurrence" description="Connection to the 'recurrence' query in the workbook." type="5" refreshedVersion="8" background="1" saveData="1">
    <dbPr connection="Provider=Microsoft.Mashup.OleDb.1;Data Source=$Workbook$;Location=recurrence;Extended Properties=&quot;&quot;" command="SELECT * FROM [recurrence]"/>
  </connection>
  <connection id="6" xr16:uid="{E7F92C6C-DBFD-4CAA-B3C3-C5D288DEC57F}" keepAlive="1" name="Query - View" description="Connection to the 'View' query in the workbook." type="5" refreshedVersion="8" background="1" saveData="1">
    <dbPr connection="Provider=Microsoft.Mashup.OleDb.1;Data Source=$Workbook$;Location=View;Extended Properties=&quot;&quot;" command="SELECT * FROM [View]"/>
  </connection>
</connections>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<sst xmlns="http://schemas.openxmlformats.org/spreadsheetml/2006/main" count="1652" uniqueCount="810">
  <si>
    <t>Id</t>
  </si>
  <si>
    <t>Created</t>
  </si>
  <si>
    <t>Modified</t>
  </si>
  <si>
    <t>PrimaryContact</t>
  </si>
  <si>
    <t>PrimaryContactTitle</t>
  </si>
  <si>
    <t>AlternateContact</t>
  </si>
  <si>
    <t>AlternateContactTitle</t>
  </si>
  <si>
    <t>AlternateContact2</t>
  </si>
  <si>
    <t>AlternateContact2Title</t>
  </si>
  <si>
    <t>CEO</t>
  </si>
  <si>
    <t>CTO</t>
  </si>
  <si>
    <t>Chief Medical Officer</t>
  </si>
  <si>
    <t>David Lee</t>
  </si>
  <si>
    <t>Status</t>
  </si>
  <si>
    <t>Stage</t>
  </si>
  <si>
    <t>Amount</t>
  </si>
  <si>
    <t>Probability</t>
  </si>
  <si>
    <t>At Risk</t>
  </si>
  <si>
    <t>Negotiation</t>
  </si>
  <si>
    <t>Active</t>
  </si>
  <si>
    <t>Lead Qualification</t>
  </si>
  <si>
    <t>Project Execution</t>
  </si>
  <si>
    <t>Proposal</t>
  </si>
  <si>
    <t>Nurturing</t>
  </si>
  <si>
    <t>Closeout</t>
  </si>
  <si>
    <t>Critical</t>
  </si>
  <si>
    <t>Total Pipeline</t>
  </si>
  <si>
    <t>Avg Probability</t>
  </si>
  <si>
    <t>High Probability</t>
  </si>
  <si>
    <t>url</t>
  </si>
  <si>
    <t>Close Quarter</t>
  </si>
  <si>
    <t>FQ</t>
  </si>
  <si>
    <t>CQ</t>
  </si>
  <si>
    <t>Index</t>
  </si>
  <si>
    <t>Close</t>
  </si>
  <si>
    <t>StageNumber</t>
  </si>
  <si>
    <t>DisplayStage</t>
  </si>
  <si>
    <t>Calendar</t>
  </si>
  <si>
    <t>NextMilestone</t>
  </si>
  <si>
    <t>NextMilestoneDate</t>
  </si>
  <si>
    <t>Next Milestone</t>
  </si>
  <si>
    <t>Weighted</t>
  </si>
  <si>
    <t>Pipeline Type</t>
  </si>
  <si>
    <t>Unweighted</t>
  </si>
  <si>
    <t>Visible</t>
  </si>
  <si>
    <t>Comment Log</t>
  </si>
  <si>
    <t xml:space="preserve">🔗Customer </t>
  </si>
  <si>
    <t>FY Start</t>
  </si>
  <si>
    <t>Opportunities</t>
  </si>
  <si>
    <t>Site URL</t>
  </si>
  <si>
    <t>https://cleansheet5.sharepoint.com/sites/SalesFunnel/</t>
  </si>
  <si>
    <t>{</t>
  </si>
  <si>
    <t xml:space="preserve">    "sections": [</t>
  </si>
  <si>
    <t xml:space="preserve">        {</t>
  </si>
  <si>
    <t xml:space="preserve">            "fields": [</t>
  </si>
  <si>
    <t xml:space="preserve">                "Name",</t>
  </si>
  <si>
    <t xml:space="preserve">            ]</t>
  </si>
  <si>
    <t xml:space="preserve">        },</t>
  </si>
  <si>
    <t xml:space="preserve">        }</t>
  </si>
  <si>
    <t xml:space="preserve">    ]</t>
  </si>
  <si>
    <t>}</t>
  </si>
  <si>
    <t xml:space="preserve">            "displayname": "Customer Details",</t>
  </si>
  <si>
    <t xml:space="preserve">                "Website"</t>
  </si>
  <si>
    <t xml:space="preserve">            "displayname": "Primary Contact",</t>
  </si>
  <si>
    <t xml:space="preserve">                "PrimaryContact",</t>
  </si>
  <si>
    <t xml:space="preserve">                "PrimaryContactTitle"</t>
  </si>
  <si>
    <t xml:space="preserve">            "displayname": "Alternate 1 Contact",</t>
  </si>
  <si>
    <t xml:space="preserve">                "AlternateContact",</t>
  </si>
  <si>
    <t xml:space="preserve">                "AlternateContactTitle"</t>
  </si>
  <si>
    <t xml:space="preserve">            "displayname": "Alternate 2 Contact",</t>
  </si>
  <si>
    <t xml:space="preserve">                "AlternateContact2",</t>
  </si>
  <si>
    <t xml:space="preserve">                "AlternateContact2Title"</t>
  </si>
  <si>
    <t>Url</t>
  </si>
  <si>
    <t>url2</t>
  </si>
  <si>
    <t>status symbol</t>
  </si>
  <si>
    <t>Last Comment</t>
  </si>
  <si>
    <t>⮾</t>
  </si>
  <si>
    <t>⚠</t>
  </si>
  <si>
    <t>✓</t>
  </si>
  <si>
    <t>Win Probability</t>
  </si>
  <si>
    <t>Estmated Revenue</t>
  </si>
  <si>
    <t xml:space="preserve"> 🔗Opportunity</t>
  </si>
  <si>
    <t>Medium</t>
  </si>
  <si>
    <t>High</t>
  </si>
  <si>
    <t>Low</t>
  </si>
  <si>
    <t>Customer Name</t>
  </si>
  <si>
    <t>Stage Name</t>
  </si>
  <si>
    <t>Value</t>
  </si>
  <si>
    <t>Global Industries</t>
  </si>
  <si>
    <t>OpportunityOwner</t>
  </si>
  <si>
    <t>OpportunityName</t>
  </si>
  <si>
    <t>ERP Implementation Project</t>
  </si>
  <si>
    <t>John Manager</t>
  </si>
  <si>
    <t>Technical Review</t>
  </si>
  <si>
    <t>Cloud Migration Initiative</t>
  </si>
  <si>
    <t>Sarah Director</t>
  </si>
  <si>
    <t>Contract Finalization</t>
  </si>
  <si>
    <t>Security Assessment &amp; Audit</t>
  </si>
  <si>
    <t>Mike Consultant</t>
  </si>
  <si>
    <t>Stakeholder Meeting</t>
  </si>
  <si>
    <t>Manufacturing Automation System</t>
  </si>
  <si>
    <t>Lisa Engineer</t>
  </si>
  <si>
    <t>Site Survey</t>
  </si>
  <si>
    <t>Healthcare Data Analytics Platform</t>
  </si>
  <si>
    <t>Dr. Tech Advisor</t>
  </si>
  <si>
    <t>ROI Presentation</t>
  </si>
  <si>
    <t>ACME Corporation</t>
  </si>
  <si>
    <t>https://acme.com</t>
  </si>
  <si>
    <t>John Smith</t>
  </si>
  <si>
    <t>Jane Doe</t>
  </si>
  <si>
    <t>VP Sales</t>
  </si>
  <si>
    <t>Bob Wilson</t>
  </si>
  <si>
    <t>https://globalindustries.com</t>
  </si>
  <si>
    <t>Sarah Johnson</t>
  </si>
  <si>
    <t>Director</t>
  </si>
  <si>
    <t>Mike Brown</t>
  </si>
  <si>
    <t>Manager</t>
  </si>
  <si>
    <t>Lisa Davis</t>
  </si>
  <si>
    <t>Coordinator</t>
  </si>
  <si>
    <t>Tech Solutions Inc</t>
  </si>
  <si>
    <t>https://techsolutions.com</t>
  </si>
  <si>
    <t>Founder</t>
  </si>
  <si>
    <t>Emily Chen</t>
  </si>
  <si>
    <t>COO</t>
  </si>
  <si>
    <t>Alex Rodriguez</t>
  </si>
  <si>
    <t>CFO</t>
  </si>
  <si>
    <t>Manufacturing Plus</t>
  </si>
  <si>
    <t>https://manufacturingplus.com</t>
  </si>
  <si>
    <t>Robert Taylor</t>
  </si>
  <si>
    <t>Plant Manager</t>
  </si>
  <si>
    <t>Jennifer White</t>
  </si>
  <si>
    <t>Operations Director</t>
  </si>
  <si>
    <t>Mark Thompson</t>
  </si>
  <si>
    <t>Quality Manager</t>
  </si>
  <si>
    <t>Healthcare Partners</t>
  </si>
  <si>
    <t>https://healthcarepartners.com</t>
  </si>
  <si>
    <t>Dr. Maria Garcia</t>
  </si>
  <si>
    <t>James Anderson</t>
  </si>
  <si>
    <t>Administrator</t>
  </si>
  <si>
    <t>Susan Miller</t>
  </si>
  <si>
    <t>Finance Director</t>
  </si>
  <si>
    <t>CustomerRecordUrl</t>
  </si>
  <si>
    <t>CustomerRecordURL</t>
  </si>
  <si>
    <t>prefix</t>
  </si>
  <si>
    <t>Customers</t>
  </si>
  <si>
    <t>Jennifer PM</t>
  </si>
  <si>
    <t>Proposal Review</t>
  </si>
  <si>
    <t>Digital Transformation Project</t>
  </si>
  <si>
    <t>Requirements Analysis</t>
  </si>
  <si>
    <t>Network Infrastructure Upgrade</t>
  </si>
  <si>
    <t>Maria Coordinator</t>
  </si>
  <si>
    <t>Implementation Planning</t>
  </si>
  <si>
    <t>Business Intelligence Solution</t>
  </si>
  <si>
    <t>Proof of Concept</t>
  </si>
  <si>
    <t>Customer Portal Development</t>
  </si>
  <si>
    <t>Mobile Application Development</t>
  </si>
  <si>
    <t>Data Center Consolidation</t>
  </si>
  <si>
    <t>Robert Analyst</t>
  </si>
  <si>
    <t>Cybersecurity Enhancement</t>
  </si>
  <si>
    <t>Budget Approval</t>
  </si>
  <si>
    <t>E-commerce Platform</t>
  </si>
  <si>
    <t>Document Management System</t>
  </si>
  <si>
    <t>Training &amp; Development Program</t>
  </si>
  <si>
    <t>Quality Management System</t>
  </si>
  <si>
    <t>Supply Chain Optimization</t>
  </si>
  <si>
    <t>Financial Planning Software</t>
  </si>
  <si>
    <t>David Specialist</t>
  </si>
  <si>
    <t>HR Management System</t>
  </si>
  <si>
    <t>Marketing Automation Platform</t>
  </si>
  <si>
    <t>CRM System Upgrade</t>
  </si>
  <si>
    <t>Inventory Management Solution</t>
  </si>
  <si>
    <t>Point of Sale System</t>
  </si>
  <si>
    <t>Compliance Management Tool</t>
  </si>
  <si>
    <t>Project Management Software</t>
  </si>
  <si>
    <t>Video Conferencing Solution</t>
  </si>
  <si>
    <t>Backup &amp; Recovery System</t>
  </si>
  <si>
    <t>Website Redesign Project</t>
  </si>
  <si>
    <t>Social Media Management Tool</t>
  </si>
  <si>
    <t>Customer Service Platform</t>
  </si>
  <si>
    <t>Fleet Management System</t>
  </si>
  <si>
    <t>Environmental Monitoring Solution</t>
  </si>
  <si>
    <t>Safety Management System</t>
  </si>
  <si>
    <t>Performance Analytics Dashboard</t>
  </si>
  <si>
    <t>Workflow Automation Tool</t>
  </si>
  <si>
    <t>Integration Services Project</t>
  </si>
  <si>
    <t>Database Migration Project</t>
  </si>
  <si>
    <t>Legacy System Modernization</t>
  </si>
  <si>
    <t>API Development Project</t>
  </si>
  <si>
    <t>Machine Learning Implementation</t>
  </si>
  <si>
    <t>Automotive Parts Plus</t>
  </si>
  <si>
    <t>https://autopartsplus.com</t>
  </si>
  <si>
    <t>Gregory Johnson</t>
  </si>
  <si>
    <t>Store Manager</t>
  </si>
  <si>
    <t>Brenda Davis</t>
  </si>
  <si>
    <t>Parts Specialist</t>
  </si>
  <si>
    <t>Tony Martinez</t>
  </si>
  <si>
    <t>Service Advisor</t>
  </si>
  <si>
    <t>Textile Manufacturing</t>
  </si>
  <si>
    <t>https://textilemanufacturing.com</t>
  </si>
  <si>
    <t>Victoria Brown</t>
  </si>
  <si>
    <t>Production Manager</t>
  </si>
  <si>
    <t>Samuel Wilson</t>
  </si>
  <si>
    <t>Quality Control</t>
  </si>
  <si>
    <t>Rebecca Taylor</t>
  </si>
  <si>
    <t>Logistics Coordinator</t>
  </si>
  <si>
    <t>Environmental Services</t>
  </si>
  <si>
    <t>https://environmentalservices.com</t>
  </si>
  <si>
    <t>Jonathan Green</t>
  </si>
  <si>
    <t>Environmental Engineer</t>
  </si>
  <si>
    <t>Laura Miller</t>
  </si>
  <si>
    <t>Project Coordinator</t>
  </si>
  <si>
    <t>Kevin White</t>
  </si>
  <si>
    <t>Field Technician</t>
  </si>
  <si>
    <t>Sports &amp; Recreation</t>
  </si>
  <si>
    <t>https://sportsrecreation.com</t>
  </si>
  <si>
    <t>Marcus Johnson</t>
  </si>
  <si>
    <t>Facility Manager</t>
  </si>
  <si>
    <t>Stephanie Clark</t>
  </si>
  <si>
    <t>Program Director</t>
  </si>
  <si>
    <t>Derek Anderson</t>
  </si>
  <si>
    <t>Maintenance Manager</t>
  </si>
  <si>
    <t>Security Solutions</t>
  </si>
  <si>
    <t>https://securitysolutions.com</t>
  </si>
  <si>
    <t>Raymond Davis</t>
  </si>
  <si>
    <t>Security Director</t>
  </si>
  <si>
    <t>Carol Thompson</t>
  </si>
  <si>
    <t>Operations Manager</t>
  </si>
  <si>
    <t>Eugene Garcia</t>
  </si>
  <si>
    <t>Technical Specialist</t>
  </si>
  <si>
    <t>Chemical Processing</t>
  </si>
  <si>
    <t>https://chemicalprocessing.com</t>
  </si>
  <si>
    <t>Donna Martinez</t>
  </si>
  <si>
    <t>Albert Rodriguez</t>
  </si>
  <si>
    <t>Process Engineer</t>
  </si>
  <si>
    <t>Ruth Wilson</t>
  </si>
  <si>
    <t>Safety Manager</t>
  </si>
  <si>
    <t>Publishing House</t>
  </si>
  <si>
    <t>https://publishinghouse.com</t>
  </si>
  <si>
    <t>Arthur Lee</t>
  </si>
  <si>
    <t>Editor-in-Chief</t>
  </si>
  <si>
    <t>Evelyn Brown</t>
  </si>
  <si>
    <t>Walter Kim</t>
  </si>
  <si>
    <t>Marketing Director</t>
  </si>
  <si>
    <t>Mining Operations</t>
  </si>
  <si>
    <t>https://miningoperations.com</t>
  </si>
  <si>
    <t>Harold Johnson</t>
  </si>
  <si>
    <t>Site Manager</t>
  </si>
  <si>
    <t>Gloria Davis</t>
  </si>
  <si>
    <t>Safety Coordinator</t>
  </si>
  <si>
    <t>Ralph Martinez</t>
  </si>
  <si>
    <t>Equipment Supervisor</t>
  </si>
  <si>
    <t>Telecommunications Inc</t>
  </si>
  <si>
    <t>https://telecommunications.com</t>
  </si>
  <si>
    <t>Betty Wilson</t>
  </si>
  <si>
    <t>Network Manager</t>
  </si>
  <si>
    <t>Ernest Thompson</t>
  </si>
  <si>
    <t>Technical Support</t>
  </si>
  <si>
    <t>Mildred Garcia</t>
  </si>
  <si>
    <t>Customer Service Manager</t>
  </si>
  <si>
    <t>Waste Management Co</t>
  </si>
  <si>
    <t>https://wastemanagement.com</t>
  </si>
  <si>
    <t>Gerald Rodriguez</t>
  </si>
  <si>
    <t>Joan Anderson</t>
  </si>
  <si>
    <t>Route Manager</t>
  </si>
  <si>
    <t>Frank Miller</t>
  </si>
  <si>
    <t>Disposal Coordinator</t>
  </si>
  <si>
    <t>Consulting Experts</t>
  </si>
  <si>
    <t>https://consultingexperts.com</t>
  </si>
  <si>
    <t>Louise Clark</t>
  </si>
  <si>
    <t>Senior Consultant</t>
  </si>
  <si>
    <t>Wayne Taylor</t>
  </si>
  <si>
    <t>Project Manager</t>
  </si>
  <si>
    <t>Theresa Brown</t>
  </si>
  <si>
    <t>Business Analyst</t>
  </si>
  <si>
    <t>Financial Dynamics</t>
  </si>
  <si>
    <t>https://financialdynamics.com</t>
  </si>
  <si>
    <t>Peter Jackson</t>
  </si>
  <si>
    <t>President</t>
  </si>
  <si>
    <t>Mary Wilson</t>
  </si>
  <si>
    <t>VP Operations</t>
  </si>
  <si>
    <t>Tom Harris</t>
  </si>
  <si>
    <t>Retail Excellence</t>
  </si>
  <si>
    <t>https://retailexcellence.com</t>
  </si>
  <si>
    <t>Amanda Clark</t>
  </si>
  <si>
    <t>Kevin Martinez</t>
  </si>
  <si>
    <t>Regional Director</t>
  </si>
  <si>
    <t>Nicole Brown</t>
  </si>
  <si>
    <t>Merchandising Manager</t>
  </si>
  <si>
    <t>Energy Solutions Group</t>
  </si>
  <si>
    <t>https://energysolutions.com</t>
  </si>
  <si>
    <t>Michael Turner</t>
  </si>
  <si>
    <t>Engineering Director</t>
  </si>
  <si>
    <t>Rachel Green</t>
  </si>
  <si>
    <t>Daniel White</t>
  </si>
  <si>
    <t>Construction Dynamics</t>
  </si>
  <si>
    <t>https://constructiondynamics.com</t>
  </si>
  <si>
    <t>Steve Robinson</t>
  </si>
  <si>
    <t>General Manager</t>
  </si>
  <si>
    <t>Linda Moore</t>
  </si>
  <si>
    <t>Office Manager</t>
  </si>
  <si>
    <t>Gary Thompson</t>
  </si>
  <si>
    <t>Site Supervisor</t>
  </si>
  <si>
    <t>Education First</t>
  </si>
  <si>
    <t>https://educationfirst.com</t>
  </si>
  <si>
    <t>Dr. Jennifer Adams</t>
  </si>
  <si>
    <t>Superintendent</t>
  </si>
  <si>
    <t>Robert Lewis</t>
  </si>
  <si>
    <t>IT Director</t>
  </si>
  <si>
    <t>Susan Walker</t>
  </si>
  <si>
    <t>Curriculum Director</t>
  </si>
  <si>
    <t>Transport Logistics</t>
  </si>
  <si>
    <t>https://transportlogistics.com</t>
  </si>
  <si>
    <t>Carlos Rodriguez</t>
  </si>
  <si>
    <t>Fleet Manager</t>
  </si>
  <si>
    <t>Angela Davis</t>
  </si>
  <si>
    <t>Bryan Miller</t>
  </si>
  <si>
    <t>Maintenance Supervisor</t>
  </si>
  <si>
    <t>Food Service Partners</t>
  </si>
  <si>
    <t>https://foodservicepartners.com</t>
  </si>
  <si>
    <t>Maria Gonzalez</t>
  </si>
  <si>
    <t>John Wilson</t>
  </si>
  <si>
    <t>Kitchen Manager</t>
  </si>
  <si>
    <t>Lisa Garcia</t>
  </si>
  <si>
    <t>Service Manager</t>
  </si>
  <si>
    <t>Professional Services Group</t>
  </si>
  <si>
    <t>https://professionalservices.com</t>
  </si>
  <si>
    <t>Thomas Anderson</t>
  </si>
  <si>
    <t>Managing Partner</t>
  </si>
  <si>
    <t>Patricia Taylor</t>
  </si>
  <si>
    <t>Senior Associate</t>
  </si>
  <si>
    <t>Richard Brown</t>
  </si>
  <si>
    <t>Media Communications</t>
  </si>
  <si>
    <t>https://mediacommunications.com</t>
  </si>
  <si>
    <t>Jessica Williams</t>
  </si>
  <si>
    <t>Creative Director</t>
  </si>
  <si>
    <t>Andrew Johnson</t>
  </si>
  <si>
    <t>Michelle Davis</t>
  </si>
  <si>
    <t>Account Manager</t>
  </si>
  <si>
    <t>Pharmaceutical Research</t>
  </si>
  <si>
    <t>https://pharmresearch.com</t>
  </si>
  <si>
    <t>Dr. William Chen</t>
  </si>
  <si>
    <t>Research Director</t>
  </si>
  <si>
    <t>Karen Lee</t>
  </si>
  <si>
    <t>Lab Manager</t>
  </si>
  <si>
    <t>David Kim</t>
  </si>
  <si>
    <t>Regulatory Affairs</t>
  </si>
  <si>
    <t>Real Estate Ventures</t>
  </si>
  <si>
    <t>https://realestateventures.com</t>
  </si>
  <si>
    <t>Catherine Moore</t>
  </si>
  <si>
    <t>Broker</t>
  </si>
  <si>
    <t>James Parker</t>
  </si>
  <si>
    <t>Property Manager</t>
  </si>
  <si>
    <t>Sandra Clark</t>
  </si>
  <si>
    <t>Development Manager</t>
  </si>
  <si>
    <t>Insurance Specialists</t>
  </si>
  <si>
    <t>https://insurancespecialists.com</t>
  </si>
  <si>
    <t>Robert Martinez</t>
  </si>
  <si>
    <t>Agency Owner</t>
  </si>
  <si>
    <t>Nancy Thompson</t>
  </si>
  <si>
    <t>Claims Manager</t>
  </si>
  <si>
    <t>Paul Anderson</t>
  </si>
  <si>
    <t>Underwriter</t>
  </si>
  <si>
    <t>Agricultural Systems</t>
  </si>
  <si>
    <t>https://agriculturalsystems.com</t>
  </si>
  <si>
    <t>Frank Wilson</t>
  </si>
  <si>
    <t>Farm Manager</t>
  </si>
  <si>
    <t>Helen Garcia</t>
  </si>
  <si>
    <t>Crop Specialist</t>
  </si>
  <si>
    <t>Mark Rodriguez</t>
  </si>
  <si>
    <t>Equipment Manager</t>
  </si>
  <si>
    <t>Hotel Management Group</t>
  </si>
  <si>
    <t>https://hotelmanagement.com</t>
  </si>
  <si>
    <t>Diana Adams</t>
  </si>
  <si>
    <t>Christopher Lee</t>
  </si>
  <si>
    <t>Front Desk Manager</t>
  </si>
  <si>
    <t>Maria Santos</t>
  </si>
  <si>
    <t>Housekeeping Manager</t>
  </si>
  <si>
    <t>Display</t>
  </si>
  <si>
    <t>1 - Lead Qualification</t>
  </si>
  <si>
    <t>2 - Nurturing</t>
  </si>
  <si>
    <t>3 - Proposal</t>
  </si>
  <si>
    <t>4 - Negotiation</t>
  </si>
  <si>
    <t>5 - Project Execution</t>
  </si>
  <si>
    <t>6 - Closeout</t>
  </si>
  <si>
    <t>ID</t>
  </si>
  <si>
    <t>CustomerId</t>
  </si>
  <si>
    <t>Customer Name2</t>
  </si>
  <si>
    <t>EscalationDisplay</t>
  </si>
  <si>
    <t>Opp Value</t>
  </si>
  <si>
    <t>Expected Rev</t>
  </si>
  <si>
    <t>clientID</t>
  </si>
  <si>
    <t>4f2cadf3-cdfe-4c73-819d-6e8141ad5b51</t>
  </si>
  <si>
    <r>
      <t>Start-</t>
    </r>
    <r>
      <rPr>
        <sz val="11"/>
        <color rgb="FF9334E6"/>
        <rFont val="Courier New"/>
        <family val="3"/>
      </rPr>
      <t>Process</t>
    </r>
    <r>
      <rPr>
        <sz val="11"/>
        <color rgb="FF001D35"/>
        <rFont val="Courier New"/>
        <family val="3"/>
      </rPr>
      <t xml:space="preserve"> pwsh -Verb RunAs</t>
    </r>
  </si>
  <si>
    <t>Amanda Sales</t>
  </si>
  <si>
    <t>Documentation</t>
  </si>
  <si>
    <t>Day 1</t>
  </si>
  <si>
    <t>Day 2</t>
  </si>
  <si>
    <t>Scripts</t>
  </si>
  <si>
    <t>PnP w/interactive auth)</t>
  </si>
  <si>
    <t>WinProbDisplay</t>
  </si>
  <si>
    <t>Symbol</t>
  </si>
  <si>
    <t>➀</t>
  </si>
  <si>
    <t>➁</t>
  </si>
  <si>
    <t>➂</t>
  </si>
  <si>
    <t>➃</t>
  </si>
  <si>
    <t>➄</t>
  </si>
  <si>
    <t>➅</t>
  </si>
  <si>
    <t xml:space="preserve"> (Escalated PowerShell 7 &amp; </t>
  </si>
  <si>
    <t>Contacts</t>
  </si>
  <si>
    <t>Milestones</t>
  </si>
  <si>
    <t>auto12</t>
  </si>
  <si>
    <t>Milestone Name</t>
  </si>
  <si>
    <t>Owner</t>
  </si>
  <si>
    <t>Milestone Date</t>
  </si>
  <si>
    <t>Milestone Status</t>
  </si>
  <si>
    <t>Opportunity ID</t>
  </si>
  <si>
    <t>Opportunity Name</t>
  </si>
  <si>
    <t>Initial Contact</t>
  </si>
  <si>
    <t>Quality Assurance</t>
  </si>
  <si>
    <t>Completed</t>
  </si>
  <si>
    <t>Needs Assessment</t>
  </si>
  <si>
    <t>In Progress</t>
  </si>
  <si>
    <t>Stakeholder Identification</t>
  </si>
  <si>
    <t>Not Started</t>
  </si>
  <si>
    <t>Budget Confirmation</t>
  </si>
  <si>
    <t>Relationship Building</t>
  </si>
  <si>
    <t>Pain Point Analysis</t>
  </si>
  <si>
    <t>Solution Mapping</t>
  </si>
  <si>
    <t>Competitive Analysis</t>
  </si>
  <si>
    <t>Technical Lead</t>
  </si>
  <si>
    <t>ROI Calculation</t>
  </si>
  <si>
    <t>Implementation Specialist</t>
  </si>
  <si>
    <t>Final Delivery</t>
  </si>
  <si>
    <t>Customer Acceptance</t>
  </si>
  <si>
    <t>Documentation Handover</t>
  </si>
  <si>
    <t>Post-Implementation Review</t>
  </si>
  <si>
    <t>Requirements Gathering</t>
  </si>
  <si>
    <t>Project Lead</t>
  </si>
  <si>
    <t>Technical Specification</t>
  </si>
  <si>
    <t>Proposal Development</t>
  </si>
  <si>
    <t>Pricing Analysis</t>
  </si>
  <si>
    <t>Project Kickoff</t>
  </si>
  <si>
    <t>Phase 1 Delivery</t>
  </si>
  <si>
    <t>Phase 2 Delivery</t>
  </si>
  <si>
    <t>Testing &amp; QA</t>
  </si>
  <si>
    <t>User Training</t>
  </si>
  <si>
    <t>Contract Terms Review</t>
  </si>
  <si>
    <t>Legal Review</t>
  </si>
  <si>
    <t>Pricing Negotiation</t>
  </si>
  <si>
    <t>Final Terms Agreement</t>
  </si>
  <si>
    <t>Contact Name</t>
  </si>
  <si>
    <t>Job Title</t>
  </si>
  <si>
    <t>Office Phone</t>
  </si>
  <si>
    <t>Mobile Phone</t>
  </si>
  <si>
    <t>Email</t>
  </si>
  <si>
    <t>Customer ID</t>
  </si>
  <si>
    <t>Sarah Davis</t>
  </si>
  <si>
    <t>Representative</t>
  </si>
  <si>
    <t>398-549-6433</t>
  </si>
  <si>
    <t>349-751-8514</t>
  </si>
  <si>
    <t>sarah.davis@acmecorporation.com</t>
  </si>
  <si>
    <t>Maria Wilson</t>
  </si>
  <si>
    <t>Finance Manager</t>
  </si>
  <si>
    <t>825-257-6299</t>
  </si>
  <si>
    <t>545-885-7893</t>
  </si>
  <si>
    <t>maria.wilson@acmecorporation.com</t>
  </si>
  <si>
    <t>Lisa Wright</t>
  </si>
  <si>
    <t>Senior Manager</t>
  </si>
  <si>
    <t>541-602-7575</t>
  </si>
  <si>
    <t>805-321-8317</t>
  </si>
  <si>
    <t>lisa.wright@acmecorporation.com</t>
  </si>
  <si>
    <t>Daniel Thompson</t>
  </si>
  <si>
    <t>Supervisor</t>
  </si>
  <si>
    <t>913-271-5072</t>
  </si>
  <si>
    <t>483-847-9024</t>
  </si>
  <si>
    <t>daniel.thompson@globalindustries.com</t>
  </si>
  <si>
    <t>David Jones</t>
  </si>
  <si>
    <t>558-495-5080</t>
  </si>
  <si>
    <t>293-896-4818</t>
  </si>
  <si>
    <t>david.jones@globalindustries.com</t>
  </si>
  <si>
    <t>Matthew Lee</t>
  </si>
  <si>
    <t>634-928-9055</t>
  </si>
  <si>
    <t>955-400-1041</t>
  </si>
  <si>
    <t>matthew.lee@techsolutionsinc.com</t>
  </si>
  <si>
    <t>Andrew Wright</t>
  </si>
  <si>
    <t>810-748-7981</t>
  </si>
  <si>
    <t>872-313-3678</t>
  </si>
  <si>
    <t>andrew.wright@techsolutionsinc.com</t>
  </si>
  <si>
    <t>Christopher Thomas</t>
  </si>
  <si>
    <t>Sales Manager</t>
  </si>
  <si>
    <t>552-219-2938</t>
  </si>
  <si>
    <t>951-943-6931</t>
  </si>
  <si>
    <t>christopher.thomas@techsolutionsinc.com</t>
  </si>
  <si>
    <t>Lisa Ramirez</t>
  </si>
  <si>
    <t>Officer</t>
  </si>
  <si>
    <t>270-865-2127</t>
  </si>
  <si>
    <t>564-518-1959</t>
  </si>
  <si>
    <t>lisa.ramirez@manufacturingplus.com</t>
  </si>
  <si>
    <t>William Davis</t>
  </si>
  <si>
    <t>VP</t>
  </si>
  <si>
    <t>936-433-6994</t>
  </si>
  <si>
    <t>792-899-2134</t>
  </si>
  <si>
    <t>william.davis@manufacturingplus.com</t>
  </si>
  <si>
    <t>Matthew Garcia</t>
  </si>
  <si>
    <t>426-917-6937</t>
  </si>
  <si>
    <t>690-271-5349</t>
  </si>
  <si>
    <t>matthew.garcia@healthcarepartners.com</t>
  </si>
  <si>
    <t>David Allen</t>
  </si>
  <si>
    <t>376-681-5175</t>
  </si>
  <si>
    <t>338-448-3749</t>
  </si>
  <si>
    <t>david.allen@healthcarepartners.com</t>
  </si>
  <si>
    <t>Michael Thompson</t>
  </si>
  <si>
    <t>925-547-5937</t>
  </si>
  <si>
    <t>317-633-3897</t>
  </si>
  <si>
    <t>michael.thompson@financialdynamics.com</t>
  </si>
  <si>
    <t>Mary Lee</t>
  </si>
  <si>
    <t>523-866-6875</t>
  </si>
  <si>
    <t>506-574-2728</t>
  </si>
  <si>
    <t>mary.lee@financialdynamics.com</t>
  </si>
  <si>
    <t>Donald Hernandez</t>
  </si>
  <si>
    <t>Assistant</t>
  </si>
  <si>
    <t>656-902-1271</t>
  </si>
  <si>
    <t>457-937-3855</t>
  </si>
  <si>
    <t>donald.hernandez@retailexcellence.com</t>
  </si>
  <si>
    <t>Ruth Smith</t>
  </si>
  <si>
    <t>580-829-5030</t>
  </si>
  <si>
    <t>609-535-8324</t>
  </si>
  <si>
    <t>ruth.smith@retailexcellence.com</t>
  </si>
  <si>
    <t>Thomas Jackson</t>
  </si>
  <si>
    <t>727-889-6789</t>
  </si>
  <si>
    <t>384-312-2774</t>
  </si>
  <si>
    <t>thomas.jackson@retailexcellence.com</t>
  </si>
  <si>
    <t>Helen Martin</t>
  </si>
  <si>
    <t>503-841-6349</t>
  </si>
  <si>
    <t>764-782-6362</t>
  </si>
  <si>
    <t>helen.martin@energysolutionsgroup.com</t>
  </si>
  <si>
    <t>John King</t>
  </si>
  <si>
    <t>Consultant</t>
  </si>
  <si>
    <t>721-387-2935</t>
  </si>
  <si>
    <t>671-954-8095</t>
  </si>
  <si>
    <t>john.king@energysolutionsgroup.com</t>
  </si>
  <si>
    <t>Anthony Brown</t>
  </si>
  <si>
    <t>352-956-9109</t>
  </si>
  <si>
    <t>412-879-3165</t>
  </si>
  <si>
    <t>anthony.brown@energysolutionsgroup.com</t>
  </si>
  <si>
    <t>Linda Allen</t>
  </si>
  <si>
    <t>925-864-7065</t>
  </si>
  <si>
    <t>632-648-3316</t>
  </si>
  <si>
    <t>linda.allen@constructiondynamics.com</t>
  </si>
  <si>
    <t>Joshua Rodriguez</t>
  </si>
  <si>
    <t>856-865-9250</t>
  </si>
  <si>
    <t>204-859-3306</t>
  </si>
  <si>
    <t>joshua.rodriguez@constructiondynamics.com</t>
  </si>
  <si>
    <t>Charles Sanchez</t>
  </si>
  <si>
    <t>Specialist</t>
  </si>
  <si>
    <t>557-306-6683</t>
  </si>
  <si>
    <t>763-538-1994</t>
  </si>
  <si>
    <t>charles.sanchez@constructiondynamics.com</t>
  </si>
  <si>
    <t>Matthew Sanchez</t>
  </si>
  <si>
    <t>504-750-5793</t>
  </si>
  <si>
    <t>390-797-6253</t>
  </si>
  <si>
    <t>matthew.sanchez@educationfirst.com</t>
  </si>
  <si>
    <t>Sandra Johnson</t>
  </si>
  <si>
    <t>Marketing Manager</t>
  </si>
  <si>
    <t>865-795-4193</t>
  </si>
  <si>
    <t>209-978-2784</t>
  </si>
  <si>
    <t>sandra.johnson@educationfirst.com</t>
  </si>
  <si>
    <t>Elizabeth Martinez</t>
  </si>
  <si>
    <t>495-452-4147</t>
  </si>
  <si>
    <t>906-597-8745</t>
  </si>
  <si>
    <t>elizabeth.martinez@transportlogistics.com</t>
  </si>
  <si>
    <t>Linda Wright</t>
  </si>
  <si>
    <t>493-523-7304</t>
  </si>
  <si>
    <t>921-706-6461</t>
  </si>
  <si>
    <t>linda.wright@transportlogistics.com</t>
  </si>
  <si>
    <t>Daniel Johnson</t>
  </si>
  <si>
    <t>752-520-1586</t>
  </si>
  <si>
    <t>580-776-2201</t>
  </si>
  <si>
    <t>daniel.johnson@transportlogistics.com</t>
  </si>
  <si>
    <t>Joshua Jackson</t>
  </si>
  <si>
    <t>957-893-2687</t>
  </si>
  <si>
    <t>303-277-6152</t>
  </si>
  <si>
    <t>joshua.jackson@foodservicepartners.com</t>
  </si>
  <si>
    <t>Barbara Allen</t>
  </si>
  <si>
    <t>576-709-8646</t>
  </si>
  <si>
    <t>658-698-9756</t>
  </si>
  <si>
    <t>barbara.allen@foodservicepartners.com</t>
  </si>
  <si>
    <t>Donald Torres</t>
  </si>
  <si>
    <t>859-887-8795</t>
  </si>
  <si>
    <t>761-542-8868</t>
  </si>
  <si>
    <t>donald.torres@professionalservicesgroup.com</t>
  </si>
  <si>
    <t>Joshua Wright</t>
  </si>
  <si>
    <t>Analyst</t>
  </si>
  <si>
    <t>543-481-5471</t>
  </si>
  <si>
    <t>218-565-3424</t>
  </si>
  <si>
    <t>joshua.wright@professionalservicesgroup.com</t>
  </si>
  <si>
    <t>Daniel Flores</t>
  </si>
  <si>
    <t>762-505-4814</t>
  </si>
  <si>
    <t>662-892-6445</t>
  </si>
  <si>
    <t>daniel.flores@professionalservicesgroup.com</t>
  </si>
  <si>
    <t>Maria Nguyen</t>
  </si>
  <si>
    <t>IT Manager</t>
  </si>
  <si>
    <t>665-854-9435</t>
  </si>
  <si>
    <t>920-841-4695</t>
  </si>
  <si>
    <t>maria.nguyen@mediacommunications.com</t>
  </si>
  <si>
    <t>Helen Moore</t>
  </si>
  <si>
    <t>656-923-2846</t>
  </si>
  <si>
    <t>659-395-9982</t>
  </si>
  <si>
    <t>helen.moore@mediacommunications.com</t>
  </si>
  <si>
    <t>798-322-9723</t>
  </si>
  <si>
    <t>559-432-2660</t>
  </si>
  <si>
    <t>mark.rodriguez@pharmaceuticalresearch.com</t>
  </si>
  <si>
    <t>578-967-5092</t>
  </si>
  <si>
    <t>644-220-5607</t>
  </si>
  <si>
    <t>linda.allen@pharmaceuticalresearch.com</t>
  </si>
  <si>
    <t>Jennifer Moore</t>
  </si>
  <si>
    <t>998-217-8395</t>
  </si>
  <si>
    <t>457-981-8871</t>
  </si>
  <si>
    <t>jennifer.moore@pharmaceuticalresearch.com</t>
  </si>
  <si>
    <t>Anthony Flores</t>
  </si>
  <si>
    <t>582-777-4542</t>
  </si>
  <si>
    <t>782-413-6234</t>
  </si>
  <si>
    <t>anthony.flores@realestateventures.com</t>
  </si>
  <si>
    <t>Charles Perez</t>
  </si>
  <si>
    <t>766-911-3488</t>
  </si>
  <si>
    <t>274-425-1572</t>
  </si>
  <si>
    <t>charles.perez@realestateventures.com</t>
  </si>
  <si>
    <t>344-554-7659</t>
  </si>
  <si>
    <t>470-416-9097</t>
  </si>
  <si>
    <t>joshua.wright@realestateventures.com</t>
  </si>
  <si>
    <t>Lisa Walker</t>
  </si>
  <si>
    <t>777-637-4950</t>
  </si>
  <si>
    <t>888-314-3934</t>
  </si>
  <si>
    <t>lisa.walker@insurancespecialists.com</t>
  </si>
  <si>
    <t>Sarah Jones</t>
  </si>
  <si>
    <t>485-209-3600</t>
  </si>
  <si>
    <t>655-741-9735</t>
  </si>
  <si>
    <t>sarah.jones@insurancespecialists.com</t>
  </si>
  <si>
    <t>Sarah Wilson</t>
  </si>
  <si>
    <t>Technician</t>
  </si>
  <si>
    <t>286-799-4605</t>
  </si>
  <si>
    <t>597-909-1890</t>
  </si>
  <si>
    <t>sarah.wilson@insurancespecialists.com</t>
  </si>
  <si>
    <t>Joseph Thomas</t>
  </si>
  <si>
    <t>787-639-8053</t>
  </si>
  <si>
    <t>644-292-2859</t>
  </si>
  <si>
    <t>joseph.thomas@agriculturalsystems.com</t>
  </si>
  <si>
    <t>Charles Young</t>
  </si>
  <si>
    <t>537-822-9321</t>
  </si>
  <si>
    <t>357-295-3704</t>
  </si>
  <si>
    <t>charles.young@agriculturalsystems.com</t>
  </si>
  <si>
    <t>Ruth Harris</t>
  </si>
  <si>
    <t>978-590-8637</t>
  </si>
  <si>
    <t>378-943-1737</t>
  </si>
  <si>
    <t>ruth.harris@agriculturalsystems.com</t>
  </si>
  <si>
    <t>Dorothy Martin</t>
  </si>
  <si>
    <t>419-537-1896</t>
  </si>
  <si>
    <t>841-418-8085</t>
  </si>
  <si>
    <t>dorothy.martin@hotelmanagementgroup.com</t>
  </si>
  <si>
    <t>Andrew Martin</t>
  </si>
  <si>
    <t>888-325-4729</t>
  </si>
  <si>
    <t>594-618-4058</t>
  </si>
  <si>
    <t>andrew.martin@hotelmanagementgroup.com</t>
  </si>
  <si>
    <t>Thomas Hill</t>
  </si>
  <si>
    <t>215-649-5192</t>
  </si>
  <si>
    <t>386-993-7715</t>
  </si>
  <si>
    <t>thomas.hill@hotelmanagementgroup.com</t>
  </si>
  <si>
    <t>Linda Lee</t>
  </si>
  <si>
    <t>HR Manager</t>
  </si>
  <si>
    <t>884-256-3519</t>
  </si>
  <si>
    <t>633-286-8780</t>
  </si>
  <si>
    <t>linda.lee@automotivepartsplus.com</t>
  </si>
  <si>
    <t>Barbara Davis</t>
  </si>
  <si>
    <t>257-683-9120</t>
  </si>
  <si>
    <t>290-634-4849</t>
  </si>
  <si>
    <t>barbara.davis@automotivepartsplus.com</t>
  </si>
  <si>
    <t>Michael Nguyen</t>
  </si>
  <si>
    <t>521-387-6170</t>
  </si>
  <si>
    <t>618-550-5327</t>
  </si>
  <si>
    <t>michael.nguyen@automotivepartsplus.com</t>
  </si>
  <si>
    <t>Jennifer Thomas</t>
  </si>
  <si>
    <t>680-551-3336</t>
  </si>
  <si>
    <t>875-229-6534</t>
  </si>
  <si>
    <t>jennifer.thomas@textilemanufacturing.com</t>
  </si>
  <si>
    <t>Andrew Nguyen</t>
  </si>
  <si>
    <t>264-699-6247</t>
  </si>
  <si>
    <t>935-780-7633</t>
  </si>
  <si>
    <t>andrew.nguyen@textilemanufacturing.com</t>
  </si>
  <si>
    <t>Sandra Wilson</t>
  </si>
  <si>
    <t>320-300-4749</t>
  </si>
  <si>
    <t>853-640-3625</t>
  </si>
  <si>
    <t>sandra.wilson@environmentalservices.com</t>
  </si>
  <si>
    <t>Christopher Perez</t>
  </si>
  <si>
    <t>Engineer</t>
  </si>
  <si>
    <t>530-878-6152</t>
  </si>
  <si>
    <t>957-367-6661</t>
  </si>
  <si>
    <t>christopher.perez@environmentalservices.com</t>
  </si>
  <si>
    <t>Linda Scott</t>
  </si>
  <si>
    <t>843-521-5576</t>
  </si>
  <si>
    <t>795-989-7624</t>
  </si>
  <si>
    <t>linda.scott@sportsrecreation.com</t>
  </si>
  <si>
    <t>Elizabeth Hernandez</t>
  </si>
  <si>
    <t>715-417-9506</t>
  </si>
  <si>
    <t>788-777-6482</t>
  </si>
  <si>
    <t>elizabeth.hernandez@sportsrecreation.com</t>
  </si>
  <si>
    <t>Joshua Thompson</t>
  </si>
  <si>
    <t>938-841-2397</t>
  </si>
  <si>
    <t>736-825-4468</t>
  </si>
  <si>
    <t>joshua.thompson@securitysolutions.com</t>
  </si>
  <si>
    <t>Dorothy Martinez</t>
  </si>
  <si>
    <t>862-357-3875</t>
  </si>
  <si>
    <t>474-229-5655</t>
  </si>
  <si>
    <t>dorothy.martinez@securitysolutions.com</t>
  </si>
  <si>
    <t>Elizabeth Moore</t>
  </si>
  <si>
    <t>429-472-3033</t>
  </si>
  <si>
    <t>352-912-9398</t>
  </si>
  <si>
    <t>elizabeth.moore@chemicalprocessing.com</t>
  </si>
  <si>
    <t>Christopher Lewis</t>
  </si>
  <si>
    <t>687-435-9739</t>
  </si>
  <si>
    <t>553-867-1090</t>
  </si>
  <si>
    <t>christopher.lewis@chemicalprocessing.com</t>
  </si>
  <si>
    <t>Joshua Martin</t>
  </si>
  <si>
    <t>205-555-9793</t>
  </si>
  <si>
    <t>745-244-2266</t>
  </si>
  <si>
    <t>joshua.martin@chemicalprocessing.com</t>
  </si>
  <si>
    <t>Ruth Thompson</t>
  </si>
  <si>
    <t>734-445-4122</t>
  </si>
  <si>
    <t>420-749-4167</t>
  </si>
  <si>
    <t>ruth.thompson@publishinghouse.com</t>
  </si>
  <si>
    <t>Andrew Harris</t>
  </si>
  <si>
    <t>886-683-5518</t>
  </si>
  <si>
    <t>858-616-5804</t>
  </si>
  <si>
    <t>andrew.harris@publishinghouse.com</t>
  </si>
  <si>
    <t>Karen Lopez</t>
  </si>
  <si>
    <t>358-229-2242</t>
  </si>
  <si>
    <t>892-960-3198</t>
  </si>
  <si>
    <t>karen.lopez@miningoperations.com</t>
  </si>
  <si>
    <t>Joshua Miller</t>
  </si>
  <si>
    <t>220-518-6761</t>
  </si>
  <si>
    <t>386-488-4715</t>
  </si>
  <si>
    <t>joshua.miller@miningoperations.com</t>
  </si>
  <si>
    <t>William Jones</t>
  </si>
  <si>
    <t>267-901-9382</t>
  </si>
  <si>
    <t>731-502-2915</t>
  </si>
  <si>
    <t>william.jones@telecommunicationsinc.com</t>
  </si>
  <si>
    <t>Matthew Hill</t>
  </si>
  <si>
    <t>Executive</t>
  </si>
  <si>
    <t>262-517-4555</t>
  </si>
  <si>
    <t>309-308-8743</t>
  </si>
  <si>
    <t>matthew.hill@telecommunicationsinc.com</t>
  </si>
  <si>
    <t>Patricia Scott</t>
  </si>
  <si>
    <t>726-425-9296</t>
  </si>
  <si>
    <t>352-732-7662</t>
  </si>
  <si>
    <t>patricia.scott@wastemanagementco.com</t>
  </si>
  <si>
    <t>Dorothy Thompson</t>
  </si>
  <si>
    <t>892-790-3768</t>
  </si>
  <si>
    <t>508-224-3115</t>
  </si>
  <si>
    <t>dorothy.thompson@wastemanagementco.com</t>
  </si>
  <si>
    <t>Donna Wright</t>
  </si>
  <si>
    <t>916-741-9135</t>
  </si>
  <si>
    <t>995-915-3131</t>
  </si>
  <si>
    <t>donna.wright@consultingexperts.com</t>
  </si>
  <si>
    <t>David Williams</t>
  </si>
  <si>
    <t>559-581-1464</t>
  </si>
  <si>
    <t>300-330-6139</t>
  </si>
  <si>
    <t>david.williams@consultingexperts.com</t>
  </si>
  <si>
    <t>Elizabeth Scott</t>
  </si>
  <si>
    <t>267-342-9659</t>
  </si>
  <si>
    <t>972-988-6218</t>
  </si>
  <si>
    <t>elizabeth.scott@consultingexperts.com</t>
  </si>
  <si>
    <t>2025-08-12T19:46:18Z</t>
  </si>
  <si>
    <t>2025-08-12T19:46:20Z</t>
  </si>
  <si>
    <t>2025-08-12T19:46:21Z</t>
  </si>
  <si>
    <t>2025-08-12T19:46:23Z</t>
  </si>
  <si>
    <t>2025-08-12T19:46:25Z</t>
  </si>
  <si>
    <t>2025-08-12T19:46:26Z</t>
  </si>
  <si>
    <t>2025-08-12T19:46:28Z</t>
  </si>
  <si>
    <t>2025-08-12T19:46:29Z</t>
  </si>
  <si>
    <t>2025-08-12T19:46:31Z</t>
  </si>
  <si>
    <t>2025-08-12T19:46:33Z</t>
  </si>
  <si>
    <t>2025-08-12T19:46:34Z</t>
  </si>
  <si>
    <t>2025-08-12T19:46:36Z</t>
  </si>
  <si>
    <t>2025-08-12T19:46:38Z</t>
  </si>
  <si>
    <t>2025-08-12T19:46:39Z</t>
  </si>
  <si>
    <t>2025-08-12T19:46:41Z</t>
  </si>
  <si>
    <t>2025-08-12T19:46:43Z</t>
  </si>
  <si>
    <t>2025-08-12T19:46:44Z</t>
  </si>
  <si>
    <t>2025-08-12T19:46:46Z</t>
  </si>
  <si>
    <t>2025-08-12T19:46:47Z</t>
  </si>
  <si>
    <t>2025-08-12T19:46:49Z</t>
  </si>
  <si>
    <t>2025-08-12T19:46:51Z</t>
  </si>
  <si>
    <t>2025-08-12T19:46:52Z</t>
  </si>
  <si>
    <t>2025-08-12T19:46:54Z</t>
  </si>
  <si>
    <t>2025-08-12T19:46:56Z</t>
  </si>
  <si>
    <t>2025-08-12T19:46:57Z</t>
  </si>
  <si>
    <t>2025-08-12T19:46:59Z</t>
  </si>
  <si>
    <t>2025-08-12T19:47:01Z</t>
  </si>
  <si>
    <t>2025-08-12T19:47:03Z</t>
  </si>
  <si>
    <t>2025-08-12T19:47:04Z</t>
  </si>
  <si>
    <t>2025-08-12T19:47:06Z</t>
  </si>
  <si>
    <t>RecurringRevenueModel</t>
  </si>
  <si>
    <t>Recurrences</t>
  </si>
  <si>
    <t>StartDate</t>
  </si>
  <si>
    <t>Annually</t>
  </si>
  <si>
    <t>Monthly</t>
  </si>
  <si>
    <t>One-time</t>
  </si>
  <si>
    <t>Semi-Annually</t>
  </si>
  <si>
    <t>Quarterly</t>
  </si>
  <si>
    <t>Usage-based</t>
  </si>
  <si>
    <t>Transaction Amount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</si>
</sst>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8">
    <numFmt numFmtId="44" formatCode="_(&quot;$&quot;* #,##0.00_);_(&quot;$&quot;* \(#,##0.00\);_(&quot;$&quot;* &quot;-&quot;??_);_(@_)"/>
    <numFmt numFmtId="43" formatCode="_(* #,##0.00_);_(* \(#,##0.00\);_(* &quot;-&quot;??_);_(@_)"/>
    <numFmt numFmtId="164" formatCode="&quot;$&quot;\ #,##0.0&quot;k&quot;"/>
    <numFmt numFmtId="165" formatCode="yyyy\-mmm\-dd"/>
    <numFmt numFmtId="166" formatCode="#&quot;d&quot;"/>
    <numFmt numFmtId="167" formatCode="&quot;$&quot;\ #,##0.0&quot;m&quot;"/>
    <numFmt numFmtId="168" formatCode="&quot;$&quot;#,##0.00"/>
    <numFmt numFmtId="169" formatCode="&quot;$&quot;\ 0.0&quot;k&quot;"/>
  </numFmts>
  <fonts count="19" x14ac:knownFonts="1">
    <font>
      <sz val="11"/>
      <color theme="1"/>
      <name val="Aptos Narrow"/>
      <family val="2"/>
      <scheme val="minor"/>
    </font>
    <font>
      <sz val="11"/>
      <color theme="1"/>
      <name val="Aptos Narrow"/>
      <family val="2"/>
      <scheme val="minor"/>
    </font>
    <font>
      <b/>
      <sz val="11"/>
      <color theme="0"/>
      <name val="Aptos Narrow"/>
      <family val="2"/>
      <scheme val="minor"/>
    </font>
    <font>
      <sz val="11"/>
      <color theme="0"/>
      <name val="Aptos Narrow"/>
      <family val="2"/>
      <scheme val="minor"/>
    </font>
    <font>
      <sz val="8"/>
      <name val="Aptos Narrow"/>
      <family val="2"/>
      <scheme val="minor"/>
    </font>
    <font>
      <u/>
      <sz val="11"/>
      <color theme="10"/>
      <name val="Aptos Narrow"/>
      <family val="2"/>
      <scheme val="minor"/>
    </font>
    <font>
      <b/>
      <sz val="16"/>
      <color theme="0"/>
      <name val="Aptos Narrow"/>
      <family val="2"/>
      <scheme val="minor"/>
    </font>
    <font>
      <sz val="9"/>
      <color theme="1"/>
      <name val="Aptos Narrow"/>
      <family val="2"/>
      <scheme val="minor"/>
    </font>
    <font>
      <b/>
      <sz val="11"/>
      <color rgb="FF660000"/>
      <name val="Aptos Narrow"/>
      <family val="2"/>
      <scheme val="minor"/>
    </font>
    <font>
      <b/>
      <sz val="10"/>
      <color theme="0" tint="-0.499984740745262"/>
      <name val="Aptos Narrow"/>
      <family val="2"/>
      <scheme val="minor"/>
    </font>
    <font>
      <sz val="10"/>
      <color theme="0" tint="-0.499984740745262"/>
      <name val="Aptos Narrow"/>
      <family val="2"/>
      <scheme val="minor"/>
    </font>
    <font>
      <i/>
      <sz val="11"/>
      <color theme="0" tint="-0.499984740745262"/>
      <name val="Aptos Narrow"/>
      <family val="2"/>
      <scheme val="minor"/>
    </font>
    <font>
      <sz val="11"/>
      <color theme="1" tint="0.499984740745262"/>
      <name val="Aptos Narrow"/>
      <family val="2"/>
      <scheme val="minor"/>
    </font>
    <font>
      <u/>
      <sz val="11"/>
      <color theme="0"/>
      <name val="Aptos Narrow"/>
      <family val="2"/>
      <scheme val="minor"/>
    </font>
    <font>
      <i/>
      <u/>
      <sz val="11"/>
      <color theme="10"/>
      <name val="Aptos Narrow"/>
      <family val="2"/>
      <scheme val="minor"/>
    </font>
    <font>
      <sz val="11"/>
      <color rgb="FF001D35"/>
      <name val="Courier New"/>
      <family val="3"/>
    </font>
    <font>
      <sz val="11"/>
      <color rgb="FF9334E6"/>
      <name val="Courier New"/>
      <family val="3"/>
    </font>
    <font>
      <i/>
      <sz val="11"/>
      <color theme="0"/>
      <name val="Aptos Narrow"/>
      <family val="2"/>
      <scheme val="minor"/>
    </font>
    <font>
      <sz val="16"/>
      <color rgb="FF000000"/>
      <name val="Arial"/>
      <family val="2"/>
    </font>
  </fonts>
  <fills count="5">
    <fill>
      <patternFill patternType="none"/>
    </fill>
    <fill>
      <patternFill patternType="gray125"/>
    </fill>
    <fill>
      <patternFill patternType="solid">
        <fgColor theme="2"/>
        <bgColor indexed="64"/>
      </patternFill>
    </fill>
    <fill>
      <patternFill patternType="solid">
        <fgColor rgb="FF660000"/>
        <bgColor indexed="64"/>
      </patternFill>
    </fill>
    <fill>
      <patternFill patternType="solid">
        <fgColor theme="1" tint="0.499984740745262"/>
        <bgColor indexed="64"/>
      </patternFill>
    </fill>
  </fills>
  <borders count="4">
    <border>
      <left/>
      <right/>
      <top/>
      <bottom/>
      <diagonal/>
    </border>
    <border>
      <left/>
      <right/>
      <top style="thin">
        <color theme="1"/>
      </top>
      <bottom style="thin">
        <color theme="1"/>
      </bottom>
      <diagonal/>
    </border>
    <border>
      <left style="thick">
        <color rgb="FF660000"/>
      </left>
      <right style="thick">
        <color rgb="FF660000"/>
      </right>
      <top/>
      <bottom/>
      <diagonal/>
    </border>
    <border>
      <left style="thick">
        <color rgb="FF660000"/>
      </left>
      <right/>
      <top/>
      <bottom/>
      <diagonal/>
    </border>
  </borders>
  <cellStyleXfs count="5">
    <xf numFmtId="0" fontId="0" fillId="0" borderId="0"/>
    <xf numFmtId="43" fontId="1" fillId="0" borderId="0" applyFont="0" applyFill="0" applyBorder="0" applyAlignment="0" applyProtection="0"/>
    <xf numFmtId="44" fontId="1" fillId="0" borderId="0" applyFont="0" applyFill="0" applyBorder="0" applyAlignment="0" applyProtection="0"/>
    <xf numFmtId="9" fontId="1" fillId="0" borderId="0" applyFont="0" applyFill="0" applyBorder="0" applyAlignment="0" applyProtection="0"/>
    <xf numFmtId="0" fontId="5" fillId="0" borderId="0" applyNumberFormat="0" applyFill="0" applyBorder="0" applyAlignment="0" applyProtection="0"/>
  </cellStyleXfs>
  <cellXfs count="58">
    <xf numFmtId="0" fontId="0" fillId="0" borderId="0" xfId="0"/>
    <xf numFmtId="164" fontId="0" fillId="0" borderId="0" xfId="1" applyNumberFormat="1" applyFont="1"/>
    <xf numFmtId="165" fontId="0" fillId="0" borderId="0" xfId="3" applyNumberFormat="1" applyFont="1"/>
    <xf numFmtId="166" fontId="0" fillId="0" borderId="0" xfId="3" applyNumberFormat="1" applyFont="1"/>
    <xf numFmtId="164" fontId="0" fillId="0" borderId="0" xfId="0" applyNumberFormat="1"/>
    <xf numFmtId="0" fontId="7" fillId="0" borderId="0" xfId="0" applyFont="1" applyAlignment="1">
      <alignment horizontal="center" vertical="top"/>
    </xf>
    <xf numFmtId="0" fontId="0" fillId="2" borderId="0" xfId="0" applyFill="1" applyAlignment="1">
      <alignment horizontal="left" indent="1"/>
    </xf>
    <xf numFmtId="0" fontId="6" fillId="3" borderId="0" xfId="0" applyFont="1" applyFill="1" applyAlignment="1">
      <alignment horizontal="centerContinuous"/>
    </xf>
    <xf numFmtId="167" fontId="6" fillId="3" borderId="0" xfId="1" applyNumberFormat="1" applyFont="1" applyFill="1" applyAlignment="1">
      <alignment horizontal="centerContinuous"/>
    </xf>
    <xf numFmtId="168" fontId="6" fillId="3" borderId="0" xfId="0" applyNumberFormat="1" applyFont="1" applyFill="1" applyAlignment="1">
      <alignment horizontal="centerContinuous"/>
    </xf>
    <xf numFmtId="0" fontId="3" fillId="3" borderId="0" xfId="0" applyFont="1" applyFill="1" applyAlignment="1">
      <alignment horizontal="centerContinuous"/>
    </xf>
    <xf numFmtId="0" fontId="2" fillId="3" borderId="1" xfId="0" applyFont="1" applyFill="1" applyBorder="1"/>
    <xf numFmtId="0" fontId="3" fillId="3" borderId="0" xfId="0" applyFont="1" applyFill="1"/>
    <xf numFmtId="0" fontId="7" fillId="0" borderId="2" xfId="0" applyFont="1" applyBorder="1" applyAlignment="1">
      <alignment horizontal="center" vertical="top"/>
    </xf>
    <xf numFmtId="167" fontId="8" fillId="0" borderId="2" xfId="0" applyNumberFormat="1" applyFont="1" applyBorder="1" applyAlignment="1">
      <alignment horizontal="center"/>
    </xf>
    <xf numFmtId="1" fontId="8" fillId="0" borderId="2" xfId="0" applyNumberFormat="1" applyFont="1" applyBorder="1" applyAlignment="1">
      <alignment horizontal="center"/>
    </xf>
    <xf numFmtId="9" fontId="8" fillId="0" borderId="2" xfId="3" applyFont="1" applyBorder="1" applyAlignment="1">
      <alignment horizontal="center"/>
    </xf>
    <xf numFmtId="0" fontId="0" fillId="3" borderId="0" xfId="0" applyFill="1" applyAlignment="1">
      <alignment horizontal="centerContinuous"/>
    </xf>
    <xf numFmtId="167" fontId="8" fillId="0" borderId="3" xfId="0" applyNumberFormat="1" applyFont="1" applyBorder="1" applyAlignment="1">
      <alignment horizontal="center"/>
    </xf>
    <xf numFmtId="0" fontId="2" fillId="3" borderId="0" xfId="0" applyFont="1" applyFill="1" applyAlignment="1">
      <alignment horizontal="right"/>
    </xf>
    <xf numFmtId="0" fontId="5" fillId="0" borderId="0" xfId="4"/>
    <xf numFmtId="167" fontId="0" fillId="0" borderId="0" xfId="2" applyNumberFormat="1" applyFont="1"/>
    <xf numFmtId="0" fontId="9" fillId="0" borderId="0" xfId="0" applyFont="1"/>
    <xf numFmtId="0" fontId="10" fillId="0" borderId="0" xfId="0" applyFont="1"/>
    <xf numFmtId="165" fontId="11" fillId="0" borderId="0" xfId="3" applyNumberFormat="1" applyFont="1" applyAlignment="1">
      <alignment horizontal="left" indent="1"/>
    </xf>
    <xf numFmtId="0" fontId="5" fillId="0" borderId="0" xfId="4" applyAlignment="1">
      <alignment horizontal="left" vertical="top"/>
    </xf>
    <xf numFmtId="169" fontId="0" fillId="0" borderId="0" xfId="0" applyNumberFormat="1"/>
    <xf numFmtId="164" fontId="0" fillId="0" borderId="0" xfId="3" applyNumberFormat="1" applyFont="1" applyAlignment="1">
      <alignment horizontal="left" indent="1"/>
    </xf>
    <xf numFmtId="164" fontId="0" fillId="0" borderId="0" xfId="3" applyNumberFormat="1" applyFont="1" applyAlignment="1">
      <alignment horizontal="right" indent="1"/>
    </xf>
    <xf numFmtId="165" fontId="0" fillId="2" borderId="0" xfId="0" applyNumberFormat="1" applyFill="1" applyAlignment="1" applyProtection="1">
      <alignment horizontal="left" indent="2"/>
      <protection locked="0"/>
    </xf>
    <xf numFmtId="0" fontId="12" fillId="0" borderId="0" xfId="0" applyFont="1"/>
    <xf numFmtId="0" fontId="0" fillId="0" borderId="0" xfId="0" applyAlignment="1" applyProtection="1">
      <alignment horizontal="right"/>
      <protection locked="0"/>
    </xf>
    <xf numFmtId="0" fontId="13" fillId="4" borderId="0" xfId="4" applyFont="1" applyFill="1" applyAlignment="1">
      <alignment horizontal="right" indent="1"/>
    </xf>
    <xf numFmtId="0" fontId="14" fillId="0" borderId="0" xfId="4" applyNumberFormat="1" applyFont="1" applyAlignment="1">
      <alignment horizontal="left" indent="1"/>
    </xf>
    <xf numFmtId="0" fontId="0" fillId="0" borderId="0" xfId="0" applyAlignment="1">
      <alignment horizontal="left" indent="1"/>
    </xf>
    <xf numFmtId="9" fontId="0" fillId="0" borderId="0" xfId="3" applyFont="1" applyProtection="1">
      <protection locked="0"/>
    </xf>
    <xf numFmtId="14" fontId="0" fillId="0" borderId="0" xfId="0" applyNumberFormat="1"/>
    <xf numFmtId="0" fontId="0" fillId="0" borderId="0" xfId="0" applyAlignment="1">
      <alignment vertical="top"/>
    </xf>
    <xf numFmtId="0" fontId="0" fillId="0" borderId="0" xfId="0" applyAlignment="1">
      <alignment vertical="top" wrapText="1"/>
    </xf>
    <xf numFmtId="0" fontId="0" fillId="0" borderId="0" xfId="0" applyAlignment="1">
      <alignment horizontal="left" vertical="top" wrapText="1"/>
    </xf>
    <xf numFmtId="0" fontId="2" fillId="3" borderId="0" xfId="0" applyFont="1" applyFill="1" applyAlignment="1">
      <alignment vertical="top" wrapText="1"/>
    </xf>
    <xf numFmtId="0" fontId="0" fillId="3" borderId="0" xfId="0" applyFill="1"/>
    <xf numFmtId="0" fontId="2" fillId="3" borderId="0" xfId="0" applyFont="1" applyFill="1"/>
    <xf numFmtId="0" fontId="0" fillId="2" borderId="0" xfId="0" applyFill="1"/>
    <xf numFmtId="0" fontId="15" fillId="0" borderId="0" xfId="0" applyFont="1"/>
    <xf numFmtId="164" fontId="5" fillId="0" borderId="0" xfId="4" applyNumberFormat="1" applyAlignment="1">
      <alignment horizontal="left" indent="1"/>
    </xf>
    <xf numFmtId="0" fontId="5" fillId="0" borderId="0" xfId="4" applyAlignment="1">
      <alignment horizontal="left" indent="1"/>
    </xf>
    <xf numFmtId="0" fontId="2" fillId="3" borderId="0" xfId="0" applyFont="1" applyFill="1" applyAlignment="1">
      <alignment horizontal="right" indent="1"/>
    </xf>
    <xf numFmtId="0" fontId="17" fillId="3" borderId="0" xfId="0" applyFont="1" applyFill="1" applyAlignment="1">
      <alignment horizontal="right" indent="1"/>
    </xf>
    <xf numFmtId="0" fontId="18" fillId="0" borderId="0" xfId="0" applyFont="1"/>
    <xf numFmtId="22" fontId="0" fillId="0" borderId="0" xfId="0" applyNumberFormat="1"/>
    <xf numFmtId="0" fontId="0" fillId="0" borderId="0" xfId="0" applyAlignment="1">
      <alignment horizontal="right" vertical="top" indent="1"/>
    </xf>
    <xf numFmtId="0" fontId="0" fillId="2" borderId="0" xfId="0" applyFill="1" applyAlignment="1">
      <alignment horizontal="left"/>
    </xf>
    <xf numFmtId="0" fontId="2" fillId="3" borderId="0" xfId="0" applyFont="1" applyFill="1" applyAlignment="1">
      <alignment horizontal="right" vertical="center"/>
    </xf>
    <xf numFmtId="0" fontId="5" fillId="2" borderId="0" xfId="4" applyFill="1" applyAlignment="1" applyProtection="1">
      <alignment horizontal="left" vertical="center"/>
      <protection locked="0"/>
    </xf>
    <xf numFmtId="0" fontId="0" fillId="2" borderId="0" xfId="0" applyFill="1" applyAlignment="1" applyProtection="1">
      <alignment horizontal="left" vertical="center"/>
      <protection locked="0"/>
    </xf>
    <xf numFmtId="0" fontId="12" fillId="2" borderId="0" xfId="0" applyFont="1" applyFill="1" applyAlignment="1">
      <alignment horizontal="left" vertical="center"/>
    </xf>
    <xf numFmtId="0" fontId="0" fillId="0" borderId="0" xfId="0" applyNumberFormat="1"/>
  </cellXfs>
  <cellStyles count="5">
    <cellStyle name="Comma" xfId="1" builtinId="3"/>
    <cellStyle name="Currency" xfId="2" builtinId="4"/>
    <cellStyle name="Hyperlink" xfId="4" builtinId="8"/>
    <cellStyle name="Normal" xfId="0" builtinId="0"/>
    <cellStyle name="Percent" xfId="3" builtinId="5"/>
  </cellStyles>
  <dxfs count="70">
    <dxf>
      <numFmt numFmtId="0" formatCode="General"/>
    </dxf>
    <dxf>
      <numFmt numFmtId="0" formatCode="General"/>
    </dxf>
    <dxf>
      <fill>
        <patternFill>
          <bgColor theme="3" tint="0.89996032593768116"/>
        </patternFill>
      </fill>
    </dxf>
    <dxf>
      <fill>
        <patternFill>
          <bgColor theme="0" tint="-4.9989318521683403E-2"/>
        </patternFill>
      </fill>
    </dxf>
    <dxf>
      <fill>
        <patternFill>
          <bgColor theme="2"/>
        </patternFill>
      </fill>
    </dxf>
    <dxf>
      <fill>
        <patternFill>
          <bgColor theme="9" tint="0.79998168889431442"/>
        </patternFill>
      </fill>
    </dxf>
    <dxf>
      <font>
        <color theme="0"/>
      </font>
      <fill>
        <patternFill>
          <bgColor theme="3" tint="0.499984740745262"/>
        </patternFill>
      </fill>
    </dxf>
    <dxf>
      <fill>
        <patternFill>
          <bgColor theme="3" tint="0.749961851863155"/>
        </patternFill>
      </fill>
    </dxf>
    <dxf>
      <font>
        <color theme="6"/>
      </font>
    </dxf>
    <dxf>
      <font>
        <color rgb="FF660000"/>
      </font>
    </dxf>
    <dxf>
      <font>
        <color theme="5" tint="-0.24994659260841701"/>
      </font>
    </dxf>
    <dxf>
      <font>
        <color theme="6"/>
      </font>
    </dxf>
    <dxf>
      <font>
        <color rgb="FF660000"/>
      </font>
    </dxf>
    <dxf>
      <font>
        <color theme="5" tint="-0.24994659260841701"/>
      </font>
    </dxf>
    <dxf>
      <fill>
        <patternFill>
          <bgColor theme="6" tint="0.79998168889431442"/>
        </patternFill>
      </fill>
    </dxf>
    <dxf>
      <font>
        <color rgb="FF660000"/>
      </font>
      <fill>
        <patternFill>
          <bgColor rgb="FFFFABAB"/>
        </patternFill>
      </fill>
    </dxf>
    <dxf>
      <fill>
        <patternFill>
          <bgColor theme="5" tint="0.79998168889431442"/>
        </patternFill>
      </fill>
    </dxf>
    <dxf>
      <numFmt numFmtId="19" formatCode="m/d/yyyy"/>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19" formatCode="m/d/yyyy"/>
    </dxf>
    <dxf>
      <numFmt numFmtId="19" formatCode="m/d/yyyy"/>
    </dxf>
    <dxf>
      <numFmt numFmtId="19" formatCode="m/d/yyyy"/>
    </dxf>
    <dxf>
      <protection locked="0" hidden="0"/>
    </dxf>
    <dxf>
      <alignment horizontal="right" vertical="bottom" textRotation="0" wrapText="0" indent="0" justifyLastLine="0" shrinkToFit="0" readingOrder="0"/>
      <protection locked="0" hidden="0"/>
    </dxf>
    <dxf>
      <protection locked="0" hidden="0"/>
    </dxf>
    <dxf>
      <font>
        <b val="0"/>
        <i val="0"/>
        <strike val="0"/>
        <condense val="0"/>
        <extend val="0"/>
        <outline val="0"/>
        <shadow val="0"/>
        <u val="none"/>
        <vertAlign val="baseline"/>
        <sz val="11"/>
        <color theme="0"/>
        <name val="Aptos Narrow"/>
        <family val="2"/>
        <scheme val="minor"/>
      </font>
      <fill>
        <patternFill patternType="solid">
          <fgColor indexed="64"/>
          <bgColor rgb="FF660000"/>
        </patternFill>
      </fill>
    </dxf>
    <dxf>
      <font>
        <strike val="0"/>
        <outline val="0"/>
        <shadow val="0"/>
        <u val="none"/>
        <vertAlign val="baseline"/>
        <sz val="11"/>
        <color theme="1" tint="0.499984740745262"/>
        <name val="Aptos Narrow"/>
        <family val="2"/>
        <scheme val="minor"/>
      </font>
      <numFmt numFmtId="0" formatCode="General"/>
    </dxf>
    <dxf>
      <font>
        <strike val="0"/>
        <outline val="0"/>
        <shadow val="0"/>
        <u val="none"/>
        <vertAlign val="baseline"/>
        <sz val="11"/>
        <color theme="1" tint="0.499984740745262"/>
        <name val="Aptos Narrow"/>
        <family val="2"/>
        <scheme val="minor"/>
      </font>
    </dxf>
    <dxf>
      <font>
        <b val="0"/>
        <i val="0"/>
        <strike val="0"/>
        <condense val="0"/>
        <extend val="0"/>
        <outline val="0"/>
        <shadow val="0"/>
        <u val="none"/>
        <vertAlign val="baseline"/>
        <sz val="11"/>
        <color theme="1" tint="0.499984740745262"/>
        <name val="Aptos Narrow"/>
        <family val="2"/>
        <scheme val="minor"/>
      </font>
    </dxf>
    <dxf>
      <font>
        <strike val="0"/>
        <outline val="0"/>
        <shadow val="0"/>
        <u val="none"/>
        <vertAlign val="baseline"/>
        <sz val="11"/>
        <color theme="1" tint="0.499984740745262"/>
        <name val="Aptos Narrow"/>
        <family val="2"/>
        <scheme val="minor"/>
      </font>
    </dxf>
    <dxf>
      <font>
        <strike val="0"/>
        <outline val="0"/>
        <shadow val="0"/>
        <u val="none"/>
        <vertAlign val="baseline"/>
        <sz val="11"/>
        <color theme="1" tint="0.499984740745262"/>
        <name val="Aptos Narrow"/>
        <family val="2"/>
        <scheme val="minor"/>
      </font>
    </dxf>
    <dxf>
      <font>
        <strike val="0"/>
        <outline val="0"/>
        <shadow val="0"/>
        <u val="none"/>
        <vertAlign val="baseline"/>
        <sz val="11"/>
        <color theme="0"/>
        <name val="Aptos Narrow"/>
        <family val="2"/>
        <scheme val="minor"/>
      </font>
      <fill>
        <patternFill patternType="solid">
          <fgColor indexed="64"/>
          <bgColor rgb="FF660000"/>
        </patternFill>
      </fill>
    </dxf>
    <dxf>
      <numFmt numFmtId="27" formatCode="m/d/yyyy\ h:mm"/>
    </dxf>
    <dxf>
      <numFmt numFmtId="27" formatCode="m/d/yyyy\ h:mm"/>
    </dxf>
    <dxf>
      <numFmt numFmtId="27" formatCode="m/d/yyyy\ h:mm"/>
    </dxf>
    <dxf>
      <numFmt numFmtId="27" formatCode="m/d/yyyy\ h:mm"/>
    </dxf>
    <dxf>
      <numFmt numFmtId="27" formatCode="m/d/yyyy\ h:mm"/>
    </dxf>
    <dxf>
      <numFmt numFmtId="0" formatCode="General"/>
    </dxf>
    <dxf>
      <numFmt numFmtId="0" formatCode="General"/>
    </dxf>
    <dxf>
      <numFmt numFmtId="164" formatCode="&quot;$&quot;\ #,##0.0&quot;k&quot;"/>
    </dxf>
    <dxf>
      <numFmt numFmtId="164" formatCode="&quot;$&quot;\ #,##0.0&quot;k&quot;"/>
    </dxf>
    <dxf>
      <numFmt numFmtId="0" formatCode="General"/>
      <alignment horizontal="left" vertical="bottom" textRotation="0" wrapText="0" indent="1" justifyLastLine="0" shrinkToFit="0" readingOrder="0"/>
    </dxf>
    <dxf>
      <font>
        <b val="0"/>
        <i val="0"/>
        <strike val="0"/>
        <condense val="0"/>
        <extend val="0"/>
        <outline val="0"/>
        <shadow val="0"/>
        <u val="none"/>
        <vertAlign val="baseline"/>
        <sz val="11"/>
        <color theme="1"/>
        <name val="Aptos Narrow"/>
        <family val="2"/>
        <scheme val="minor"/>
      </font>
      <numFmt numFmtId="166" formatCode="#&quot;d&quot;"/>
    </dxf>
    <dxf>
      <font>
        <b val="0"/>
        <i/>
        <strike val="0"/>
        <condense val="0"/>
        <extend val="0"/>
        <outline val="0"/>
        <shadow val="0"/>
        <u val="none"/>
        <vertAlign val="baseline"/>
        <sz val="11"/>
        <color theme="0" tint="-0.499984740745262"/>
        <name val="Aptos Narrow"/>
        <family val="2"/>
        <scheme val="minor"/>
      </font>
      <numFmt numFmtId="165" formatCode="yyyy\-mmm\-dd"/>
      <alignment horizontal="left" vertical="bottom" textRotation="0" wrapText="0" indent="1" justifyLastLine="0" shrinkToFit="0" readingOrder="0"/>
    </dxf>
    <dxf>
      <font>
        <b val="0"/>
        <i val="0"/>
        <strike val="0"/>
        <condense val="0"/>
        <extend val="0"/>
        <outline val="0"/>
        <shadow val="0"/>
        <u val="none"/>
        <vertAlign val="baseline"/>
        <sz val="11"/>
        <color theme="1"/>
        <name val="Aptos Narrow"/>
        <family val="2"/>
        <scheme val="minor"/>
      </font>
      <numFmt numFmtId="165" formatCode="yyyy\-mmm\-dd"/>
    </dxf>
    <dxf>
      <font>
        <b val="0"/>
        <i val="0"/>
        <strike val="0"/>
        <condense val="0"/>
        <extend val="0"/>
        <outline val="0"/>
        <shadow val="0"/>
        <u val="none"/>
        <vertAlign val="baseline"/>
        <sz val="11"/>
        <color theme="1"/>
        <name val="Aptos Narrow"/>
        <family val="2"/>
        <scheme val="minor"/>
      </font>
      <numFmt numFmtId="164" formatCode="&quot;$&quot;\ #,##0.0&quot;k&quot;"/>
      <alignment horizontal="right" vertical="bottom" textRotation="0" wrapText="0" indent="1" justifyLastLine="0" shrinkToFit="0" readingOrder="0"/>
    </dxf>
    <dxf>
      <font>
        <b val="0"/>
        <i val="0"/>
        <strike val="0"/>
        <condense val="0"/>
        <extend val="0"/>
        <outline val="0"/>
        <shadow val="0"/>
        <u val="none"/>
        <vertAlign val="baseline"/>
        <sz val="11"/>
        <color theme="1"/>
        <name val="Aptos Narrow"/>
        <family val="2"/>
        <scheme val="minor"/>
      </font>
      <numFmt numFmtId="164" formatCode="&quot;$&quot;\ #,##0.0&quot;k&quot;"/>
      <alignment horizontal="left" vertical="bottom" textRotation="0" wrapText="0" indent="1" justifyLastLine="0" shrinkToFit="0" readingOrder="0"/>
    </dxf>
    <dxf>
      <numFmt numFmtId="164" formatCode="&quot;$&quot;\ #,##0.0&quot;k&quot;"/>
    </dxf>
    <dxf>
      <numFmt numFmtId="0" formatCode="General"/>
      <fill>
        <patternFill patternType="none">
          <fgColor indexed="64"/>
          <bgColor indexed="65"/>
        </patternFill>
      </fill>
      <alignment horizontal="left" vertical="bottom" textRotation="0" wrapText="0" indent="1" justifyLastLine="0" shrinkToFit="0" readingOrder="0"/>
    </dxf>
    <dxf>
      <font>
        <b/>
        <u/>
        <color theme="10"/>
      </font>
      <numFmt numFmtId="164" formatCode="&quot;$&quot;\ #,##0.0&quot;k&quot;"/>
      <alignment horizontal="left" vertical="bottom" textRotation="0" wrapText="0" indent="1" justifyLastLine="0" shrinkToFit="0" readingOrder="0"/>
    </dxf>
    <dxf>
      <font>
        <i/>
        <u/>
        <color theme="10"/>
      </font>
      <numFmt numFmtId="0" formatCode="General"/>
      <alignment horizontal="left" vertical="bottom" textRotation="0" wrapText="0" indent="1" justifyLastLine="0" shrinkToFit="0" readingOrder="0"/>
    </dxf>
    <dxf>
      <font>
        <strike val="0"/>
        <outline val="0"/>
        <shadow val="0"/>
        <u val="none"/>
        <vertAlign val="baseline"/>
        <sz val="11"/>
        <color theme="1"/>
        <name val="Aptos Narrow"/>
        <family val="2"/>
        <scheme val="minor"/>
      </font>
      <numFmt numFmtId="0" formatCode="General"/>
      <alignment horizontal="right" vertical="top" textRotation="0" wrapText="0" indent="1" justifyLastLine="0" shrinkToFit="0" readingOrder="0"/>
    </dxf>
  </dxfs>
  <tableStyles count="0" defaultTableStyle="TableStyleMedium2" defaultPivotStyle="PivotStyleLight16"/>
  <colors>
    <mruColors>
      <color rgb="FF660000"/>
      <color rgb="FFFF7D7D"/>
      <color rgb="FFFFABAB"/>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18" Type="http://schemas.openxmlformats.org/officeDocument/2006/relationships/calcChain" Target="calcChain.xml"/><Relationship Id="rId3" Type="http://schemas.openxmlformats.org/officeDocument/2006/relationships/worksheet" Target="worksheets/sheet3.xml"/><Relationship Id="rId21" Type="http://schemas.openxmlformats.org/officeDocument/2006/relationships/customXml" Target="../customXml/item3.xml"/><Relationship Id="rId7" Type="http://schemas.openxmlformats.org/officeDocument/2006/relationships/worksheet" Target="worksheets/sheet7.xml"/><Relationship Id="rId12" Type="http://schemas.microsoft.com/office/2007/relationships/slicerCache" Target="slicerCaches/slicerCache2.xml"/><Relationship Id="rId17" Type="http://schemas.openxmlformats.org/officeDocument/2006/relationships/sheetMetadata" Target="metadata.xml"/><Relationship Id="rId2" Type="http://schemas.openxmlformats.org/officeDocument/2006/relationships/worksheet" Target="worksheets/sheet2.xml"/><Relationship Id="rId16" Type="http://schemas.openxmlformats.org/officeDocument/2006/relationships/sharedStrings" Target="sharedStrings.xml"/><Relationship Id="rId20" Type="http://schemas.openxmlformats.org/officeDocument/2006/relationships/customXml" Target="../customXml/item2.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07/relationships/slicerCache" Target="slicerCaches/slicerCache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onnections" Target="connections.xml"/><Relationship Id="rId22" Type="http://schemas.openxmlformats.org/officeDocument/2006/relationships/customXml" Target="../customXml/item4.xml"/></Relationships>
</file>

<file path=xl/charts/_rels/chart1.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2.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3.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4.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Ex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col"/>
        <c:grouping val="clustered"/>
        <c:varyColors val="0"/>
        <c:ser>
          <c:idx val="1"/>
          <c:order val="1"/>
          <c:tx>
            <c:strRef>
              <c:f>graphics!$H$3</c:f>
              <c:strCache>
                <c:ptCount val="1"/>
                <c:pt idx="0">
                  <c:v>Unweighted</c:v>
                </c:pt>
              </c:strCache>
            </c:strRef>
          </c:tx>
          <c:spPr>
            <a:solidFill>
              <a:schemeClr val="tx2">
                <a:lumMod val="10000"/>
                <a:lumOff val="90000"/>
              </a:schemeClr>
            </a:solidFill>
            <a:ln>
              <a:noFill/>
            </a:ln>
            <a:effectLst/>
          </c:spPr>
          <c:invertIfNegative val="0"/>
          <c:cat>
            <c:strRef>
              <c:f>graphics!$I$1:$N$1</c:f>
              <c:strCache>
                <c:ptCount val="6"/>
                <c:pt idx="0">
                  <c:v>FY26-Q1</c:v>
                </c:pt>
                <c:pt idx="1">
                  <c:v>FY26-Q2</c:v>
                </c:pt>
                <c:pt idx="2">
                  <c:v>FY26-Q3</c:v>
                </c:pt>
                <c:pt idx="3">
                  <c:v>FY26-Q4</c:v>
                </c:pt>
                <c:pt idx="4">
                  <c:v>FY27-Q1</c:v>
                </c:pt>
                <c:pt idx="5">
                  <c:v>FY27-Q2</c:v>
                </c:pt>
              </c:strCache>
            </c:strRef>
          </c:cat>
          <c:val>
            <c:numRef>
              <c:f>graphics!$I$3:$N$3</c:f>
              <c:numCache>
                <c:formatCode>"$"\ #,##0.0"k"</c:formatCode>
                <c:ptCount val="6"/>
                <c:pt idx="0">
                  <c:v>3.8018620000000003</c:v>
                </c:pt>
                <c:pt idx="1">
                  <c:v>9.7790689999999998</c:v>
                </c:pt>
                <c:pt idx="2">
                  <c:v>5.5999679999999996</c:v>
                </c:pt>
                <c:pt idx="3">
                  <c:v>9.8344160000000009</c:v>
                </c:pt>
                <c:pt idx="4">
                  <c:v>8.4019849999999998</c:v>
                </c:pt>
                <c:pt idx="5">
                  <c:v>10.655579000000001</c:v>
                </c:pt>
              </c:numCache>
            </c:numRef>
          </c:val>
          <c:extLst>
            <c:ext xmlns:c16="http://schemas.microsoft.com/office/drawing/2014/chart" uri="{C3380CC4-5D6E-409C-BE32-E72D297353CC}">
              <c16:uniqueId val="{00000000-5BE4-4183-AEEB-98DD779A6AE3}"/>
            </c:ext>
          </c:extLst>
        </c:ser>
        <c:ser>
          <c:idx val="2"/>
          <c:order val="2"/>
          <c:tx>
            <c:strRef>
              <c:f>graphics!$H$4</c:f>
              <c:strCache>
                <c:ptCount val="1"/>
                <c:pt idx="0">
                  <c:v>Weighted</c:v>
                </c:pt>
              </c:strCache>
            </c:strRef>
          </c:tx>
          <c:spPr>
            <a:solidFill>
              <a:schemeClr val="tx2"/>
            </a:solidFill>
            <a:ln>
              <a:noFill/>
            </a:ln>
            <a:effectLst/>
          </c:spPr>
          <c:invertIfNegative val="0"/>
          <c:cat>
            <c:strRef>
              <c:f>graphics!$I$1:$N$1</c:f>
              <c:strCache>
                <c:ptCount val="6"/>
                <c:pt idx="0">
                  <c:v>FY26-Q1</c:v>
                </c:pt>
                <c:pt idx="1">
                  <c:v>FY26-Q2</c:v>
                </c:pt>
                <c:pt idx="2">
                  <c:v>FY26-Q3</c:v>
                </c:pt>
                <c:pt idx="3">
                  <c:v>FY26-Q4</c:v>
                </c:pt>
                <c:pt idx="4">
                  <c:v>FY27-Q1</c:v>
                </c:pt>
                <c:pt idx="5">
                  <c:v>FY27-Q2</c:v>
                </c:pt>
              </c:strCache>
            </c:strRef>
          </c:cat>
          <c:val>
            <c:numRef>
              <c:f>graphics!$I$4:$N$4</c:f>
              <c:numCache>
                <c:formatCode>"$"\ #,##0.0"k"</c:formatCode>
                <c:ptCount val="6"/>
                <c:pt idx="0">
                  <c:v>1.1544082</c:v>
                </c:pt>
                <c:pt idx="1">
                  <c:v>3.5330436000000005</c:v>
                </c:pt>
                <c:pt idx="2">
                  <c:v>1.8872377999999999</c:v>
                </c:pt>
                <c:pt idx="3">
                  <c:v>4.5365847000000006</c:v>
                </c:pt>
                <c:pt idx="4">
                  <c:v>3.0271736000000002</c:v>
                </c:pt>
                <c:pt idx="5">
                  <c:v>6.274628100000001</c:v>
                </c:pt>
              </c:numCache>
            </c:numRef>
          </c:val>
          <c:extLst>
            <c:ext xmlns:c16="http://schemas.microsoft.com/office/drawing/2014/chart" uri="{C3380CC4-5D6E-409C-BE32-E72D297353CC}">
              <c16:uniqueId val="{00000001-5BE4-4183-AEEB-98DD779A6AE3}"/>
            </c:ext>
          </c:extLst>
        </c:ser>
        <c:dLbls>
          <c:showLegendKey val="0"/>
          <c:showVal val="0"/>
          <c:showCatName val="0"/>
          <c:showSerName val="0"/>
          <c:showPercent val="0"/>
          <c:showBubbleSize val="0"/>
        </c:dLbls>
        <c:gapWidth val="150"/>
        <c:axId val="1423137647"/>
        <c:axId val="1423138127"/>
      </c:barChart>
      <c:lineChart>
        <c:grouping val="standard"/>
        <c:varyColors val="0"/>
        <c:ser>
          <c:idx val="0"/>
          <c:order val="0"/>
          <c:tx>
            <c:strRef>
              <c:f>graphics!$H$2</c:f>
              <c:strCache>
                <c:ptCount val="1"/>
                <c:pt idx="0">
                  <c:v>Opportunities</c:v>
                </c:pt>
              </c:strCache>
            </c:strRef>
          </c:tx>
          <c:spPr>
            <a:ln w="28575" cap="rnd">
              <a:solidFill>
                <a:schemeClr val="accent1"/>
              </a:solidFill>
              <a:round/>
            </a:ln>
            <a:effectLst/>
          </c:spPr>
          <c:marker>
            <c:symbol val="none"/>
          </c:marker>
          <c:cat>
            <c:strRef>
              <c:f>graphics!$I$1:$N$1</c:f>
              <c:strCache>
                <c:ptCount val="6"/>
                <c:pt idx="0">
                  <c:v>FY26-Q1</c:v>
                </c:pt>
                <c:pt idx="1">
                  <c:v>FY26-Q2</c:v>
                </c:pt>
                <c:pt idx="2">
                  <c:v>FY26-Q3</c:v>
                </c:pt>
                <c:pt idx="3">
                  <c:v>FY26-Q4</c:v>
                </c:pt>
                <c:pt idx="4">
                  <c:v>FY27-Q1</c:v>
                </c:pt>
                <c:pt idx="5">
                  <c:v>FY27-Q2</c:v>
                </c:pt>
              </c:strCache>
            </c:strRef>
          </c:cat>
          <c:val>
            <c:numRef>
              <c:f>graphics!$I$2:$N$2</c:f>
              <c:numCache>
                <c:formatCode>General</c:formatCode>
                <c:ptCount val="6"/>
                <c:pt idx="0">
                  <c:v>4</c:v>
                </c:pt>
                <c:pt idx="1">
                  <c:v>8</c:v>
                </c:pt>
                <c:pt idx="2">
                  <c:v>5</c:v>
                </c:pt>
                <c:pt idx="3">
                  <c:v>7</c:v>
                </c:pt>
                <c:pt idx="4">
                  <c:v>6</c:v>
                </c:pt>
                <c:pt idx="5">
                  <c:v>9</c:v>
                </c:pt>
              </c:numCache>
            </c:numRef>
          </c:val>
          <c:smooth val="0"/>
          <c:extLst>
            <c:ext xmlns:c16="http://schemas.microsoft.com/office/drawing/2014/chart" uri="{C3380CC4-5D6E-409C-BE32-E72D297353CC}">
              <c16:uniqueId val="{00000002-5BE4-4183-AEEB-98DD779A6AE3}"/>
            </c:ext>
          </c:extLst>
        </c:ser>
        <c:dLbls>
          <c:showLegendKey val="0"/>
          <c:showVal val="0"/>
          <c:showCatName val="0"/>
          <c:showSerName val="0"/>
          <c:showPercent val="0"/>
          <c:showBubbleSize val="0"/>
        </c:dLbls>
        <c:marker val="1"/>
        <c:smooth val="0"/>
        <c:axId val="554942319"/>
        <c:axId val="554938959"/>
      </c:lineChart>
      <c:catAx>
        <c:axId val="142313764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23138127"/>
        <c:crosses val="autoZero"/>
        <c:auto val="1"/>
        <c:lblAlgn val="ctr"/>
        <c:lblOffset val="100"/>
        <c:noMultiLvlLbl val="0"/>
      </c:catAx>
      <c:valAx>
        <c:axId val="1423138127"/>
        <c:scaling>
          <c:orientation val="minMax"/>
        </c:scaling>
        <c:delete val="0"/>
        <c:axPos val="l"/>
        <c:majorGridlines>
          <c:spPr>
            <a:ln w="9525" cap="flat" cmpd="sng" algn="ctr">
              <a:solidFill>
                <a:schemeClr val="tx1">
                  <a:lumMod val="15000"/>
                  <a:lumOff val="85000"/>
                </a:schemeClr>
              </a:solidFill>
              <a:round/>
            </a:ln>
            <a:effectLst/>
          </c:spPr>
        </c:majorGridlines>
        <c:numFmt formatCode="&quot;$&quot;\ #,##0.0&quot;k&quot;"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23137647"/>
        <c:crosses val="autoZero"/>
        <c:crossBetween val="between"/>
      </c:valAx>
      <c:valAx>
        <c:axId val="554938959"/>
        <c:scaling>
          <c:orientation val="minMax"/>
        </c:scaling>
        <c:delete val="0"/>
        <c:axPos val="r"/>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54942319"/>
        <c:crosses val="max"/>
        <c:crossBetween val="between"/>
      </c:valAx>
      <c:catAx>
        <c:axId val="554942319"/>
        <c:scaling>
          <c:orientation val="minMax"/>
        </c:scaling>
        <c:delete val="1"/>
        <c:axPos val="b"/>
        <c:numFmt formatCode="General" sourceLinked="1"/>
        <c:majorTickMark val="out"/>
        <c:minorTickMark val="none"/>
        <c:tickLblPos val="nextTo"/>
        <c:crossAx val="554938959"/>
        <c:crosses val="autoZero"/>
        <c:auto val="1"/>
        <c:lblAlgn val="ctr"/>
        <c:lblOffset val="100"/>
        <c:noMultiLvlLbl val="0"/>
      </c:cat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bar"/>
        <c:grouping val="stacked"/>
        <c:varyColors val="0"/>
        <c:ser>
          <c:idx val="0"/>
          <c:order val="0"/>
          <c:tx>
            <c:strRef>
              <c:f>graphics!$AG$2</c:f>
              <c:strCache>
                <c:ptCount val="1"/>
                <c:pt idx="0">
                  <c:v>Critical</c:v>
                </c:pt>
              </c:strCache>
            </c:strRef>
          </c:tx>
          <c:spPr>
            <a:solidFill>
              <a:srgbClr val="660000"/>
            </a:solidFill>
            <a:ln>
              <a:noFill/>
            </a:ln>
            <a:effectLst/>
          </c:spPr>
          <c:invertIfNegative val="0"/>
          <c:cat>
            <c:strRef>
              <c:f>graphics!$AH$1:$AO$1</c:f>
              <c:strCache>
                <c:ptCount val="7"/>
                <c:pt idx="0">
                  <c:v>FY27-Q3</c:v>
                </c:pt>
                <c:pt idx="1">
                  <c:v>FY27-Q2</c:v>
                </c:pt>
                <c:pt idx="2">
                  <c:v>FY27-Q1</c:v>
                </c:pt>
                <c:pt idx="3">
                  <c:v>FY26-Q4</c:v>
                </c:pt>
                <c:pt idx="4">
                  <c:v>FY26-Q3</c:v>
                </c:pt>
                <c:pt idx="5">
                  <c:v>FY26-Q2</c:v>
                </c:pt>
                <c:pt idx="6">
                  <c:v>FY26-Q1</c:v>
                </c:pt>
              </c:strCache>
            </c:strRef>
          </c:cat>
          <c:val>
            <c:numRef>
              <c:f>graphics!$AH$2:$AM$2</c:f>
              <c:numCache>
                <c:formatCode>"$"\ 0.0"k"</c:formatCode>
                <c:ptCount val="6"/>
                <c:pt idx="0">
                  <c:v>0</c:v>
                </c:pt>
                <c:pt idx="1">
                  <c:v>0</c:v>
                </c:pt>
                <c:pt idx="2">
                  <c:v>0</c:v>
                </c:pt>
                <c:pt idx="3">
                  <c:v>0</c:v>
                </c:pt>
                <c:pt idx="4">
                  <c:v>0</c:v>
                </c:pt>
                <c:pt idx="5">
                  <c:v>1.1614259999999998</c:v>
                </c:pt>
              </c:numCache>
            </c:numRef>
          </c:val>
          <c:extLst>
            <c:ext xmlns:c16="http://schemas.microsoft.com/office/drawing/2014/chart" uri="{C3380CC4-5D6E-409C-BE32-E72D297353CC}">
              <c16:uniqueId val="{00000000-15DF-406C-8E25-6A8BD7AC4B5D}"/>
            </c:ext>
          </c:extLst>
        </c:ser>
        <c:ser>
          <c:idx val="1"/>
          <c:order val="1"/>
          <c:tx>
            <c:strRef>
              <c:f>graphics!$AG$3</c:f>
              <c:strCache>
                <c:ptCount val="1"/>
                <c:pt idx="0">
                  <c:v>At Risk</c:v>
                </c:pt>
              </c:strCache>
            </c:strRef>
          </c:tx>
          <c:spPr>
            <a:solidFill>
              <a:schemeClr val="accent2">
                <a:lumMod val="20000"/>
                <a:lumOff val="80000"/>
              </a:schemeClr>
            </a:solidFill>
            <a:ln>
              <a:noFill/>
            </a:ln>
            <a:effectLst/>
          </c:spPr>
          <c:invertIfNegative val="0"/>
          <c:cat>
            <c:strRef>
              <c:f>graphics!$AH$1:$AO$1</c:f>
              <c:strCache>
                <c:ptCount val="7"/>
                <c:pt idx="0">
                  <c:v>FY27-Q3</c:v>
                </c:pt>
                <c:pt idx="1">
                  <c:v>FY27-Q2</c:v>
                </c:pt>
                <c:pt idx="2">
                  <c:v>FY27-Q1</c:v>
                </c:pt>
                <c:pt idx="3">
                  <c:v>FY26-Q4</c:v>
                </c:pt>
                <c:pt idx="4">
                  <c:v>FY26-Q3</c:v>
                </c:pt>
                <c:pt idx="5">
                  <c:v>FY26-Q2</c:v>
                </c:pt>
                <c:pt idx="6">
                  <c:v>FY26-Q1</c:v>
                </c:pt>
              </c:strCache>
            </c:strRef>
          </c:cat>
          <c:val>
            <c:numRef>
              <c:f>graphics!$AH$3:$AM$3</c:f>
              <c:numCache>
                <c:formatCode>"$"\ 0.0"k"</c:formatCode>
                <c:ptCount val="6"/>
                <c:pt idx="0">
                  <c:v>0</c:v>
                </c:pt>
                <c:pt idx="1">
                  <c:v>2.01708</c:v>
                </c:pt>
                <c:pt idx="2">
                  <c:v>0</c:v>
                </c:pt>
                <c:pt idx="3">
                  <c:v>1.310673</c:v>
                </c:pt>
                <c:pt idx="4">
                  <c:v>1.7141489999999999</c:v>
                </c:pt>
                <c:pt idx="5">
                  <c:v>0</c:v>
                </c:pt>
              </c:numCache>
            </c:numRef>
          </c:val>
          <c:extLst>
            <c:ext xmlns:c16="http://schemas.microsoft.com/office/drawing/2014/chart" uri="{C3380CC4-5D6E-409C-BE32-E72D297353CC}">
              <c16:uniqueId val="{00000001-15DF-406C-8E25-6A8BD7AC4B5D}"/>
            </c:ext>
          </c:extLst>
        </c:ser>
        <c:ser>
          <c:idx val="2"/>
          <c:order val="2"/>
          <c:tx>
            <c:strRef>
              <c:f>graphics!$AG$4</c:f>
              <c:strCache>
                <c:ptCount val="1"/>
                <c:pt idx="0">
                  <c:v>Active</c:v>
                </c:pt>
              </c:strCache>
            </c:strRef>
          </c:tx>
          <c:spPr>
            <a:solidFill>
              <a:schemeClr val="accent3">
                <a:lumMod val="20000"/>
                <a:lumOff val="80000"/>
              </a:schemeClr>
            </a:solidFill>
            <a:ln>
              <a:noFill/>
            </a:ln>
            <a:effectLst/>
          </c:spPr>
          <c:invertIfNegative val="0"/>
          <c:cat>
            <c:strRef>
              <c:f>graphics!$AH$1:$AO$1</c:f>
              <c:strCache>
                <c:ptCount val="7"/>
                <c:pt idx="0">
                  <c:v>FY27-Q3</c:v>
                </c:pt>
                <c:pt idx="1">
                  <c:v>FY27-Q2</c:v>
                </c:pt>
                <c:pt idx="2">
                  <c:v>FY27-Q1</c:v>
                </c:pt>
                <c:pt idx="3">
                  <c:v>FY26-Q4</c:v>
                </c:pt>
                <c:pt idx="4">
                  <c:v>FY26-Q3</c:v>
                </c:pt>
                <c:pt idx="5">
                  <c:v>FY26-Q2</c:v>
                </c:pt>
                <c:pt idx="6">
                  <c:v>FY26-Q1</c:v>
                </c:pt>
              </c:strCache>
            </c:strRef>
          </c:cat>
          <c:val>
            <c:numRef>
              <c:f>graphics!$AH$4:$AM$4</c:f>
              <c:numCache>
                <c:formatCode>"$"\ 0.0"k"</c:formatCode>
                <c:ptCount val="6"/>
                <c:pt idx="0">
                  <c:v>1.8346640000000001</c:v>
                </c:pt>
                <c:pt idx="1">
                  <c:v>8.6384989999999995</c:v>
                </c:pt>
                <c:pt idx="2">
                  <c:v>8.4019849999999998</c:v>
                </c:pt>
                <c:pt idx="3">
                  <c:v>8.5237429999999978</c:v>
                </c:pt>
                <c:pt idx="4">
                  <c:v>3.8858190000000001</c:v>
                </c:pt>
                <c:pt idx="5">
                  <c:v>8.6176429999999993</c:v>
                </c:pt>
              </c:numCache>
            </c:numRef>
          </c:val>
          <c:extLst>
            <c:ext xmlns:c16="http://schemas.microsoft.com/office/drawing/2014/chart" uri="{C3380CC4-5D6E-409C-BE32-E72D297353CC}">
              <c16:uniqueId val="{00000002-15DF-406C-8E25-6A8BD7AC4B5D}"/>
            </c:ext>
          </c:extLst>
        </c:ser>
        <c:dLbls>
          <c:showLegendKey val="0"/>
          <c:showVal val="0"/>
          <c:showCatName val="0"/>
          <c:showSerName val="0"/>
          <c:showPercent val="0"/>
          <c:showBubbleSize val="0"/>
        </c:dLbls>
        <c:gapWidth val="150"/>
        <c:overlap val="100"/>
        <c:axId val="1857022191"/>
        <c:axId val="1857035151"/>
      </c:barChart>
      <c:catAx>
        <c:axId val="1857022191"/>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57035151"/>
        <c:crosses val="autoZero"/>
        <c:auto val="1"/>
        <c:lblAlgn val="ctr"/>
        <c:lblOffset val="100"/>
        <c:noMultiLvlLbl val="0"/>
      </c:catAx>
      <c:valAx>
        <c:axId val="1857035151"/>
        <c:scaling>
          <c:orientation val="minMax"/>
        </c:scaling>
        <c:delete val="0"/>
        <c:axPos val="b"/>
        <c:majorGridlines>
          <c:spPr>
            <a:ln w="9525" cap="flat" cmpd="sng" algn="ctr">
              <a:solidFill>
                <a:schemeClr val="tx1">
                  <a:lumMod val="15000"/>
                  <a:lumOff val="85000"/>
                </a:schemeClr>
              </a:solidFill>
              <a:round/>
            </a:ln>
            <a:effectLst/>
          </c:spPr>
        </c:majorGridlines>
        <c:numFmt formatCode="&quot;$&quot;\ 0.0&quot;k&quot;"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57022191"/>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col"/>
        <c:grouping val="clustered"/>
        <c:varyColors val="0"/>
        <c:ser>
          <c:idx val="1"/>
          <c:order val="1"/>
          <c:tx>
            <c:strRef>
              <c:f>graphics!$H$3</c:f>
              <c:strCache>
                <c:ptCount val="1"/>
                <c:pt idx="0">
                  <c:v>Unweighted</c:v>
                </c:pt>
              </c:strCache>
            </c:strRef>
          </c:tx>
          <c:spPr>
            <a:solidFill>
              <a:schemeClr val="tx2">
                <a:lumMod val="10000"/>
                <a:lumOff val="90000"/>
              </a:schemeClr>
            </a:solidFill>
            <a:ln>
              <a:noFill/>
            </a:ln>
            <a:effectLst/>
          </c:spPr>
          <c:invertIfNegative val="0"/>
          <c:cat>
            <c:strRef>
              <c:f>graphics!$I$1:$N$1</c:f>
              <c:strCache>
                <c:ptCount val="6"/>
                <c:pt idx="0">
                  <c:v>FY26-Q1</c:v>
                </c:pt>
                <c:pt idx="1">
                  <c:v>FY26-Q2</c:v>
                </c:pt>
                <c:pt idx="2">
                  <c:v>FY26-Q3</c:v>
                </c:pt>
                <c:pt idx="3">
                  <c:v>FY26-Q4</c:v>
                </c:pt>
                <c:pt idx="4">
                  <c:v>FY27-Q1</c:v>
                </c:pt>
                <c:pt idx="5">
                  <c:v>FY27-Q2</c:v>
                </c:pt>
              </c:strCache>
            </c:strRef>
          </c:cat>
          <c:val>
            <c:numRef>
              <c:f>graphics!$I$3:$N$3</c:f>
              <c:numCache>
                <c:formatCode>"$"\ #,##0.0"k"</c:formatCode>
                <c:ptCount val="6"/>
                <c:pt idx="0">
                  <c:v>3.8018620000000003</c:v>
                </c:pt>
                <c:pt idx="1">
                  <c:v>9.7790689999999998</c:v>
                </c:pt>
                <c:pt idx="2">
                  <c:v>5.5999679999999996</c:v>
                </c:pt>
                <c:pt idx="3">
                  <c:v>9.8344160000000009</c:v>
                </c:pt>
                <c:pt idx="4">
                  <c:v>8.4019849999999998</c:v>
                </c:pt>
                <c:pt idx="5">
                  <c:v>10.655579000000001</c:v>
                </c:pt>
              </c:numCache>
            </c:numRef>
          </c:val>
          <c:extLst>
            <c:ext xmlns:c16="http://schemas.microsoft.com/office/drawing/2014/chart" uri="{C3380CC4-5D6E-409C-BE32-E72D297353CC}">
              <c16:uniqueId val="{00000001-C69F-4BD2-97F2-89F2DA78D65E}"/>
            </c:ext>
          </c:extLst>
        </c:ser>
        <c:ser>
          <c:idx val="2"/>
          <c:order val="2"/>
          <c:tx>
            <c:strRef>
              <c:f>graphics!$H$4</c:f>
              <c:strCache>
                <c:ptCount val="1"/>
                <c:pt idx="0">
                  <c:v>Weighted</c:v>
                </c:pt>
              </c:strCache>
            </c:strRef>
          </c:tx>
          <c:spPr>
            <a:solidFill>
              <a:schemeClr val="tx2"/>
            </a:solidFill>
            <a:ln>
              <a:noFill/>
            </a:ln>
            <a:effectLst/>
          </c:spPr>
          <c:invertIfNegative val="0"/>
          <c:cat>
            <c:strRef>
              <c:f>graphics!$I$1:$N$1</c:f>
              <c:strCache>
                <c:ptCount val="6"/>
                <c:pt idx="0">
                  <c:v>FY26-Q1</c:v>
                </c:pt>
                <c:pt idx="1">
                  <c:v>FY26-Q2</c:v>
                </c:pt>
                <c:pt idx="2">
                  <c:v>FY26-Q3</c:v>
                </c:pt>
                <c:pt idx="3">
                  <c:v>FY26-Q4</c:v>
                </c:pt>
                <c:pt idx="4">
                  <c:v>FY27-Q1</c:v>
                </c:pt>
                <c:pt idx="5">
                  <c:v>FY27-Q2</c:v>
                </c:pt>
              </c:strCache>
            </c:strRef>
          </c:cat>
          <c:val>
            <c:numRef>
              <c:f>graphics!$I$4:$N$4</c:f>
              <c:numCache>
                <c:formatCode>"$"\ #,##0.0"k"</c:formatCode>
                <c:ptCount val="6"/>
                <c:pt idx="0">
                  <c:v>1.1544082</c:v>
                </c:pt>
                <c:pt idx="1">
                  <c:v>3.5330436000000005</c:v>
                </c:pt>
                <c:pt idx="2">
                  <c:v>1.8872377999999999</c:v>
                </c:pt>
                <c:pt idx="3">
                  <c:v>4.5365847000000006</c:v>
                </c:pt>
                <c:pt idx="4">
                  <c:v>3.0271736000000002</c:v>
                </c:pt>
                <c:pt idx="5">
                  <c:v>6.274628100000001</c:v>
                </c:pt>
              </c:numCache>
            </c:numRef>
          </c:val>
          <c:extLst>
            <c:ext xmlns:c16="http://schemas.microsoft.com/office/drawing/2014/chart" uri="{C3380CC4-5D6E-409C-BE32-E72D297353CC}">
              <c16:uniqueId val="{00000002-C69F-4BD2-97F2-89F2DA78D65E}"/>
            </c:ext>
          </c:extLst>
        </c:ser>
        <c:dLbls>
          <c:showLegendKey val="0"/>
          <c:showVal val="0"/>
          <c:showCatName val="0"/>
          <c:showSerName val="0"/>
          <c:showPercent val="0"/>
          <c:showBubbleSize val="0"/>
        </c:dLbls>
        <c:gapWidth val="150"/>
        <c:axId val="1423137647"/>
        <c:axId val="1423138127"/>
      </c:barChart>
      <c:lineChart>
        <c:grouping val="standard"/>
        <c:varyColors val="0"/>
        <c:ser>
          <c:idx val="0"/>
          <c:order val="0"/>
          <c:tx>
            <c:strRef>
              <c:f>graphics!$H$2</c:f>
              <c:strCache>
                <c:ptCount val="1"/>
                <c:pt idx="0">
                  <c:v>Opportunities</c:v>
                </c:pt>
              </c:strCache>
            </c:strRef>
          </c:tx>
          <c:spPr>
            <a:ln w="28575" cap="rnd">
              <a:solidFill>
                <a:schemeClr val="accent1"/>
              </a:solidFill>
              <a:round/>
            </a:ln>
            <a:effectLst/>
          </c:spPr>
          <c:marker>
            <c:symbol val="none"/>
          </c:marker>
          <c:cat>
            <c:strRef>
              <c:f>graphics!$I$1:$N$1</c:f>
              <c:strCache>
                <c:ptCount val="6"/>
                <c:pt idx="0">
                  <c:v>FY26-Q1</c:v>
                </c:pt>
                <c:pt idx="1">
                  <c:v>FY26-Q2</c:v>
                </c:pt>
                <c:pt idx="2">
                  <c:v>FY26-Q3</c:v>
                </c:pt>
                <c:pt idx="3">
                  <c:v>FY26-Q4</c:v>
                </c:pt>
                <c:pt idx="4">
                  <c:v>FY27-Q1</c:v>
                </c:pt>
                <c:pt idx="5">
                  <c:v>FY27-Q2</c:v>
                </c:pt>
              </c:strCache>
            </c:strRef>
          </c:cat>
          <c:val>
            <c:numRef>
              <c:f>graphics!$I$2:$N$2</c:f>
              <c:numCache>
                <c:formatCode>General</c:formatCode>
                <c:ptCount val="6"/>
                <c:pt idx="0">
                  <c:v>4</c:v>
                </c:pt>
                <c:pt idx="1">
                  <c:v>8</c:v>
                </c:pt>
                <c:pt idx="2">
                  <c:v>5</c:v>
                </c:pt>
                <c:pt idx="3">
                  <c:v>7</c:v>
                </c:pt>
                <c:pt idx="4">
                  <c:v>6</c:v>
                </c:pt>
                <c:pt idx="5">
                  <c:v>9</c:v>
                </c:pt>
              </c:numCache>
            </c:numRef>
          </c:val>
          <c:smooth val="0"/>
          <c:extLst>
            <c:ext xmlns:c16="http://schemas.microsoft.com/office/drawing/2014/chart" uri="{C3380CC4-5D6E-409C-BE32-E72D297353CC}">
              <c16:uniqueId val="{00000000-C69F-4BD2-97F2-89F2DA78D65E}"/>
            </c:ext>
          </c:extLst>
        </c:ser>
        <c:dLbls>
          <c:showLegendKey val="0"/>
          <c:showVal val="0"/>
          <c:showCatName val="0"/>
          <c:showSerName val="0"/>
          <c:showPercent val="0"/>
          <c:showBubbleSize val="0"/>
        </c:dLbls>
        <c:marker val="1"/>
        <c:smooth val="0"/>
        <c:axId val="554942319"/>
        <c:axId val="554938959"/>
      </c:lineChart>
      <c:catAx>
        <c:axId val="142313764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23138127"/>
        <c:crosses val="autoZero"/>
        <c:auto val="1"/>
        <c:lblAlgn val="ctr"/>
        <c:lblOffset val="100"/>
        <c:noMultiLvlLbl val="0"/>
      </c:catAx>
      <c:valAx>
        <c:axId val="1423138127"/>
        <c:scaling>
          <c:orientation val="minMax"/>
        </c:scaling>
        <c:delete val="0"/>
        <c:axPos val="l"/>
        <c:majorGridlines>
          <c:spPr>
            <a:ln w="9525" cap="flat" cmpd="sng" algn="ctr">
              <a:solidFill>
                <a:schemeClr val="tx1">
                  <a:lumMod val="15000"/>
                  <a:lumOff val="85000"/>
                </a:schemeClr>
              </a:solidFill>
              <a:round/>
            </a:ln>
            <a:effectLst/>
          </c:spPr>
        </c:majorGridlines>
        <c:numFmt formatCode="&quot;$&quot;\ #,##0.0&quot;k&quot;"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23137647"/>
        <c:crosses val="autoZero"/>
        <c:crossBetween val="between"/>
      </c:valAx>
      <c:valAx>
        <c:axId val="554938959"/>
        <c:scaling>
          <c:orientation val="minMax"/>
        </c:scaling>
        <c:delete val="0"/>
        <c:axPos val="r"/>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54942319"/>
        <c:crosses val="max"/>
        <c:crossBetween val="between"/>
      </c:valAx>
      <c:catAx>
        <c:axId val="554942319"/>
        <c:scaling>
          <c:orientation val="minMax"/>
        </c:scaling>
        <c:delete val="1"/>
        <c:axPos val="b"/>
        <c:numFmt formatCode="General" sourceLinked="1"/>
        <c:majorTickMark val="out"/>
        <c:minorTickMark val="none"/>
        <c:tickLblPos val="nextTo"/>
        <c:crossAx val="554938959"/>
        <c:crosses val="autoZero"/>
        <c:auto val="1"/>
        <c:lblAlgn val="ctr"/>
        <c:lblOffset val="100"/>
        <c:noMultiLvlLbl val="0"/>
      </c:cat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bar"/>
        <c:grouping val="stacked"/>
        <c:varyColors val="0"/>
        <c:ser>
          <c:idx val="0"/>
          <c:order val="0"/>
          <c:tx>
            <c:strRef>
              <c:f>graphics!$AG$2</c:f>
              <c:strCache>
                <c:ptCount val="1"/>
                <c:pt idx="0">
                  <c:v>Critical</c:v>
                </c:pt>
              </c:strCache>
            </c:strRef>
          </c:tx>
          <c:spPr>
            <a:solidFill>
              <a:srgbClr val="660000"/>
            </a:solidFill>
            <a:ln>
              <a:noFill/>
            </a:ln>
            <a:effectLst/>
          </c:spPr>
          <c:invertIfNegative val="0"/>
          <c:cat>
            <c:strRef>
              <c:f>graphics!$AH$1:$AO$1</c:f>
              <c:strCache>
                <c:ptCount val="7"/>
                <c:pt idx="0">
                  <c:v>FY27-Q3</c:v>
                </c:pt>
                <c:pt idx="1">
                  <c:v>FY27-Q2</c:v>
                </c:pt>
                <c:pt idx="2">
                  <c:v>FY27-Q1</c:v>
                </c:pt>
                <c:pt idx="3">
                  <c:v>FY26-Q4</c:v>
                </c:pt>
                <c:pt idx="4">
                  <c:v>FY26-Q3</c:v>
                </c:pt>
                <c:pt idx="5">
                  <c:v>FY26-Q2</c:v>
                </c:pt>
                <c:pt idx="6">
                  <c:v>FY26-Q1</c:v>
                </c:pt>
              </c:strCache>
            </c:strRef>
          </c:cat>
          <c:val>
            <c:numRef>
              <c:f>graphics!$AH$2:$AM$2</c:f>
              <c:numCache>
                <c:formatCode>"$"\ 0.0"k"</c:formatCode>
                <c:ptCount val="6"/>
                <c:pt idx="0">
                  <c:v>0</c:v>
                </c:pt>
                <c:pt idx="1">
                  <c:v>0</c:v>
                </c:pt>
                <c:pt idx="2">
                  <c:v>0</c:v>
                </c:pt>
                <c:pt idx="3">
                  <c:v>0</c:v>
                </c:pt>
                <c:pt idx="4">
                  <c:v>0</c:v>
                </c:pt>
                <c:pt idx="5">
                  <c:v>1.1614259999999998</c:v>
                </c:pt>
              </c:numCache>
            </c:numRef>
          </c:val>
          <c:extLst>
            <c:ext xmlns:c16="http://schemas.microsoft.com/office/drawing/2014/chart" uri="{C3380CC4-5D6E-409C-BE32-E72D297353CC}">
              <c16:uniqueId val="{00000000-8A13-4B16-A1DA-3CBD5042E2B1}"/>
            </c:ext>
          </c:extLst>
        </c:ser>
        <c:ser>
          <c:idx val="1"/>
          <c:order val="1"/>
          <c:tx>
            <c:strRef>
              <c:f>graphics!$AG$3</c:f>
              <c:strCache>
                <c:ptCount val="1"/>
                <c:pt idx="0">
                  <c:v>At Risk</c:v>
                </c:pt>
              </c:strCache>
            </c:strRef>
          </c:tx>
          <c:spPr>
            <a:solidFill>
              <a:schemeClr val="accent2">
                <a:lumMod val="20000"/>
                <a:lumOff val="80000"/>
              </a:schemeClr>
            </a:solidFill>
            <a:ln>
              <a:noFill/>
            </a:ln>
            <a:effectLst/>
          </c:spPr>
          <c:invertIfNegative val="0"/>
          <c:cat>
            <c:strRef>
              <c:f>graphics!$AH$1:$AO$1</c:f>
              <c:strCache>
                <c:ptCount val="7"/>
                <c:pt idx="0">
                  <c:v>FY27-Q3</c:v>
                </c:pt>
                <c:pt idx="1">
                  <c:v>FY27-Q2</c:v>
                </c:pt>
                <c:pt idx="2">
                  <c:v>FY27-Q1</c:v>
                </c:pt>
                <c:pt idx="3">
                  <c:v>FY26-Q4</c:v>
                </c:pt>
                <c:pt idx="4">
                  <c:v>FY26-Q3</c:v>
                </c:pt>
                <c:pt idx="5">
                  <c:v>FY26-Q2</c:v>
                </c:pt>
                <c:pt idx="6">
                  <c:v>FY26-Q1</c:v>
                </c:pt>
              </c:strCache>
            </c:strRef>
          </c:cat>
          <c:val>
            <c:numRef>
              <c:f>graphics!$AH$3:$AM$3</c:f>
              <c:numCache>
                <c:formatCode>"$"\ 0.0"k"</c:formatCode>
                <c:ptCount val="6"/>
                <c:pt idx="0">
                  <c:v>0</c:v>
                </c:pt>
                <c:pt idx="1">
                  <c:v>2.01708</c:v>
                </c:pt>
                <c:pt idx="2">
                  <c:v>0</c:v>
                </c:pt>
                <c:pt idx="3">
                  <c:v>1.310673</c:v>
                </c:pt>
                <c:pt idx="4">
                  <c:v>1.7141489999999999</c:v>
                </c:pt>
                <c:pt idx="5">
                  <c:v>0</c:v>
                </c:pt>
              </c:numCache>
            </c:numRef>
          </c:val>
          <c:extLst>
            <c:ext xmlns:c16="http://schemas.microsoft.com/office/drawing/2014/chart" uri="{C3380CC4-5D6E-409C-BE32-E72D297353CC}">
              <c16:uniqueId val="{00000001-8A13-4B16-A1DA-3CBD5042E2B1}"/>
            </c:ext>
          </c:extLst>
        </c:ser>
        <c:ser>
          <c:idx val="2"/>
          <c:order val="2"/>
          <c:tx>
            <c:strRef>
              <c:f>graphics!$AG$4</c:f>
              <c:strCache>
                <c:ptCount val="1"/>
                <c:pt idx="0">
                  <c:v>Active</c:v>
                </c:pt>
              </c:strCache>
            </c:strRef>
          </c:tx>
          <c:spPr>
            <a:solidFill>
              <a:schemeClr val="accent3">
                <a:lumMod val="20000"/>
                <a:lumOff val="80000"/>
              </a:schemeClr>
            </a:solidFill>
            <a:ln>
              <a:noFill/>
            </a:ln>
            <a:effectLst/>
          </c:spPr>
          <c:invertIfNegative val="0"/>
          <c:cat>
            <c:strRef>
              <c:f>graphics!$AH$1:$AO$1</c:f>
              <c:strCache>
                <c:ptCount val="7"/>
                <c:pt idx="0">
                  <c:v>FY27-Q3</c:v>
                </c:pt>
                <c:pt idx="1">
                  <c:v>FY27-Q2</c:v>
                </c:pt>
                <c:pt idx="2">
                  <c:v>FY27-Q1</c:v>
                </c:pt>
                <c:pt idx="3">
                  <c:v>FY26-Q4</c:v>
                </c:pt>
                <c:pt idx="4">
                  <c:v>FY26-Q3</c:v>
                </c:pt>
                <c:pt idx="5">
                  <c:v>FY26-Q2</c:v>
                </c:pt>
                <c:pt idx="6">
                  <c:v>FY26-Q1</c:v>
                </c:pt>
              </c:strCache>
            </c:strRef>
          </c:cat>
          <c:val>
            <c:numRef>
              <c:f>graphics!$AH$4:$AM$4</c:f>
              <c:numCache>
                <c:formatCode>"$"\ 0.0"k"</c:formatCode>
                <c:ptCount val="6"/>
                <c:pt idx="0">
                  <c:v>1.8346640000000001</c:v>
                </c:pt>
                <c:pt idx="1">
                  <c:v>8.6384989999999995</c:v>
                </c:pt>
                <c:pt idx="2">
                  <c:v>8.4019849999999998</c:v>
                </c:pt>
                <c:pt idx="3">
                  <c:v>8.5237429999999978</c:v>
                </c:pt>
                <c:pt idx="4">
                  <c:v>3.8858190000000001</c:v>
                </c:pt>
                <c:pt idx="5">
                  <c:v>8.6176429999999993</c:v>
                </c:pt>
              </c:numCache>
            </c:numRef>
          </c:val>
          <c:extLst>
            <c:ext xmlns:c16="http://schemas.microsoft.com/office/drawing/2014/chart" uri="{C3380CC4-5D6E-409C-BE32-E72D297353CC}">
              <c16:uniqueId val="{00000002-8A13-4B16-A1DA-3CBD5042E2B1}"/>
            </c:ext>
          </c:extLst>
        </c:ser>
        <c:dLbls>
          <c:showLegendKey val="0"/>
          <c:showVal val="0"/>
          <c:showCatName val="0"/>
          <c:showSerName val="0"/>
          <c:showPercent val="0"/>
          <c:showBubbleSize val="0"/>
        </c:dLbls>
        <c:gapWidth val="150"/>
        <c:overlap val="100"/>
        <c:axId val="1857022191"/>
        <c:axId val="1857035151"/>
      </c:barChart>
      <c:catAx>
        <c:axId val="1857022191"/>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57035151"/>
        <c:crosses val="autoZero"/>
        <c:auto val="1"/>
        <c:lblAlgn val="ctr"/>
        <c:lblOffset val="100"/>
        <c:noMultiLvlLbl val="0"/>
      </c:catAx>
      <c:valAx>
        <c:axId val="1857035151"/>
        <c:scaling>
          <c:orientation val="minMax"/>
        </c:scaling>
        <c:delete val="0"/>
        <c:axPos val="b"/>
        <c:majorGridlines>
          <c:spPr>
            <a:ln w="9525" cap="flat" cmpd="sng" algn="ctr">
              <a:solidFill>
                <a:schemeClr val="tx1">
                  <a:lumMod val="15000"/>
                  <a:lumOff val="85000"/>
                </a:schemeClr>
              </a:solidFill>
              <a:round/>
            </a:ln>
            <a:effectLst/>
          </c:spPr>
        </c:majorGridlines>
        <c:numFmt formatCode="&quot;$&quot;\ 0.0&quot;k&quot;"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57022191"/>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strDim type="cat">
        <cx:f>_xlchart.v2.0</cx:f>
      </cx:strDim>
      <cx:numDim type="val">
        <cx:f>_xlchart.v2.1</cx:f>
      </cx:numDim>
    </cx:data>
  </cx:chartData>
  <cx:chart>
    <cx:plotArea>
      <cx:plotAreaRegion>
        <cx:series layoutId="funnel" uniqueId="{EA648490-A732-4863-B08E-CF45A6E8EB0F}">
          <cx:spPr>
            <a:solidFill>
              <a:schemeClr val="accent6">
                <a:lumMod val="20000"/>
                <a:lumOff val="80000"/>
              </a:schemeClr>
            </a:solidFill>
          </cx:spPr>
          <cx:dataPt idx="0">
            <cx:spPr>
              <a:pattFill prst="pct80">
                <a:fgClr>
                  <a:srgbClr val="E8E8E8"/>
                </a:fgClr>
                <a:bgClr>
                  <a:sysClr val="window" lastClr="FFFFFF">
                    <a:lumMod val="95000"/>
                  </a:sysClr>
                </a:bgClr>
              </a:pattFill>
            </cx:spPr>
          </cx:dataPt>
          <cx:dataPt idx="1">
            <cx:spPr>
              <a:solidFill>
                <a:srgbClr val="0E2841">
                  <a:lumMod val="10000"/>
                  <a:lumOff val="90000"/>
                </a:srgbClr>
              </a:solidFill>
            </cx:spPr>
          </cx:dataPt>
          <cx:dataPt idx="2">
            <cx:spPr>
              <a:solidFill>
                <a:srgbClr val="0E2841">
                  <a:lumMod val="25000"/>
                  <a:lumOff val="75000"/>
                </a:srgbClr>
              </a:solidFill>
            </cx:spPr>
          </cx:dataPt>
          <cx:dataPt idx="3">
            <cx:spPr>
              <a:solidFill>
                <a:srgbClr val="0E2841">
                  <a:lumMod val="50000"/>
                  <a:lumOff val="50000"/>
                </a:srgbClr>
              </a:solidFill>
            </cx:spPr>
          </cx:dataPt>
          <cx:dataPt idx="5">
            <cx:spPr>
              <a:solidFill>
                <a:srgbClr val="E8E8E8">
                  <a:lumMod val="90000"/>
                </a:srgbClr>
              </a:solidFill>
            </cx:spPr>
          </cx:dataPt>
          <cx:dataLabels>
            <cx:visibility seriesName="0" categoryName="0" value="1"/>
          </cx:dataLabels>
          <cx:dataId val="0"/>
        </cx:series>
      </cx:plotAreaRegion>
      <cx:axis id="0">
        <cx:catScaling gapWidth="0.0599999987"/>
        <cx:tickLabels/>
      </cx:axis>
    </cx:plotArea>
  </cx:chart>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419">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2.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1.xml"/><Relationship Id="rId2" Type="http://schemas.microsoft.com/office/2014/relationships/chartEx" Target="../charts/chartEx1.xml"/><Relationship Id="rId1" Type="http://schemas.openxmlformats.org/officeDocument/2006/relationships/image" Target="../media/image1.emf"/><Relationship Id="rId4" Type="http://schemas.openxmlformats.org/officeDocument/2006/relationships/chart" Target="../charts/chart2.xml"/></Relationships>
</file>

<file path=xl/drawings/_rels/drawing2.xml.rels><?xml version="1.0" encoding="UTF-8" standalone="yes"?>
<Relationships xmlns="http://schemas.openxmlformats.org/package/2006/relationships"><Relationship Id="rId1" Type="http://schemas.openxmlformats.org/officeDocument/2006/relationships/image" Target="../media/image3.emf"/></Relationships>
</file>

<file path=xl/drawings/_rels/drawing3.xml.rels><?xml version="1.0" encoding="UTF-8" standalone="yes"?>
<Relationships xmlns="http://schemas.openxmlformats.org/package/2006/relationships"><Relationship Id="rId2" Type="http://schemas.openxmlformats.org/officeDocument/2006/relationships/chart" Target="../charts/chart4.xml"/><Relationship Id="rId1" Type="http://schemas.openxmlformats.org/officeDocument/2006/relationships/chart" Target="../charts/chart3.xml"/></Relationships>
</file>

<file path=xl/drawings/_rels/vmlDrawing1.vml.rels><?xml version="1.0" encoding="UTF-8" standalone="yes"?>
<Relationships xmlns="http://schemas.openxmlformats.org/package/2006/relationships"><Relationship Id="rId1" Type="http://schemas.openxmlformats.org/officeDocument/2006/relationships/image" Target="../media/image2.emf"/></Relationships>
</file>

<file path=xl/drawings/_rels/vmlDrawing2.vml.rels><?xml version="1.0" encoding="UTF-8" standalone="yes"?>
<Relationships xmlns="http://schemas.openxmlformats.org/package/2006/relationships"><Relationship Id="rId1" Type="http://schemas.openxmlformats.org/officeDocument/2006/relationships/image" Target="../media/image4.emf"/></Relationships>
</file>

<file path=xl/drawings/drawing1.xml><?xml version="1.0" encoding="utf-8"?>
<xdr:wsDr xmlns:xdr="http://schemas.openxmlformats.org/drawingml/2006/spreadsheetDrawing" xmlns:a="http://schemas.openxmlformats.org/drawingml/2006/main">
  <xdr:twoCellAnchor editAs="absolute">
    <xdr:from>
      <xdr:col>2</xdr:col>
      <xdr:colOff>528918</xdr:colOff>
      <xdr:row>6</xdr:row>
      <xdr:rowOff>22225</xdr:rowOff>
    </xdr:from>
    <xdr:to>
      <xdr:col>5</xdr:col>
      <xdr:colOff>557119</xdr:colOff>
      <xdr:row>17</xdr:row>
      <xdr:rowOff>155575</xdr:rowOff>
    </xdr:to>
    <mc:AlternateContent xmlns:mc="http://schemas.openxmlformats.org/markup-compatibility/2006" xmlns:sle15="http://schemas.microsoft.com/office/drawing/2012/slicer">
      <mc:Choice Requires="sle15">
        <xdr:graphicFrame macro="">
          <xdr:nvGraphicFramePr>
            <xdr:cNvPr id="4" name="Stage">
              <a:extLst>
                <a:ext uri="{FF2B5EF4-FFF2-40B4-BE49-F238E27FC236}">
                  <a16:creationId xmlns:a16="http://schemas.microsoft.com/office/drawing/2014/main" id="{52829658-3B61-01CB-586C-F22D75DC478A}"/>
                </a:ext>
              </a:extLst>
            </xdr:cNvPr>
            <xdr:cNvGraphicFramePr/>
          </xdr:nvGraphicFramePr>
          <xdr:xfrm>
            <a:off x="0" y="0"/>
            <a:ext cx="0" cy="0"/>
          </xdr:xfrm>
          <a:graphic>
            <a:graphicData uri="http://schemas.microsoft.com/office/drawing/2010/slicer">
              <sle:slicer xmlns:sle="http://schemas.microsoft.com/office/drawing/2010/slicer" name="Stage"/>
            </a:graphicData>
          </a:graphic>
        </xdr:graphicFrame>
      </mc:Choice>
      <mc:Fallback xmlns="">
        <xdr:sp macro="" textlink="">
          <xdr:nvSpPr>
            <xdr:cNvPr id="0" name=""/>
            <xdr:cNvSpPr>
              <a:spLocks noTextEdit="1"/>
            </xdr:cNvSpPr>
          </xdr:nvSpPr>
          <xdr:spPr>
            <a:xfrm>
              <a:off x="2028825" y="1241425"/>
              <a:ext cx="1828800" cy="2228850"/>
            </a:xfrm>
            <a:prstGeom prst="rect">
              <a:avLst/>
            </a:prstGeom>
            <a:solidFill>
              <a:prstClr val="white"/>
            </a:solidFill>
            <a:ln w="1">
              <a:solidFill>
                <a:prstClr val="green"/>
              </a:solidFill>
            </a:ln>
          </xdr:spPr>
          <xdr:txBody>
            <a:bodyPr vertOverflow="clip" horzOverflow="clip"/>
            <a:lstStyle/>
            <a:p>
              <a:r>
                <a:rPr lang="en-US"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twoCellAnchor editAs="absolute">
    <xdr:from>
      <xdr:col>0</xdr:col>
      <xdr:colOff>73025</xdr:colOff>
      <xdr:row>6</xdr:row>
      <xdr:rowOff>34925</xdr:rowOff>
    </xdr:from>
    <xdr:to>
      <xdr:col>2</xdr:col>
      <xdr:colOff>395568</xdr:colOff>
      <xdr:row>17</xdr:row>
      <xdr:rowOff>136525</xdr:rowOff>
    </xdr:to>
    <mc:AlternateContent xmlns:mc="http://schemas.openxmlformats.org/markup-compatibility/2006" xmlns:sle15="http://schemas.microsoft.com/office/drawing/2012/slicer">
      <mc:Choice Requires="sle15">
        <xdr:graphicFrame macro="">
          <xdr:nvGraphicFramePr>
            <xdr:cNvPr id="6" name="Close Quarter">
              <a:extLst>
                <a:ext uri="{FF2B5EF4-FFF2-40B4-BE49-F238E27FC236}">
                  <a16:creationId xmlns:a16="http://schemas.microsoft.com/office/drawing/2014/main" id="{371EBEA9-8C76-21D4-7D64-231D907B0C16}"/>
                </a:ext>
              </a:extLst>
            </xdr:cNvPr>
            <xdr:cNvGraphicFramePr/>
          </xdr:nvGraphicFramePr>
          <xdr:xfrm>
            <a:off x="0" y="0"/>
            <a:ext cx="0" cy="0"/>
          </xdr:xfrm>
          <a:graphic>
            <a:graphicData uri="http://schemas.microsoft.com/office/drawing/2010/slicer">
              <sle:slicer xmlns:sle="http://schemas.microsoft.com/office/drawing/2010/slicer" name="Close Quarter"/>
            </a:graphicData>
          </a:graphic>
        </xdr:graphicFrame>
      </mc:Choice>
      <mc:Fallback xmlns="">
        <xdr:sp macro="" textlink="">
          <xdr:nvSpPr>
            <xdr:cNvPr id="0" name=""/>
            <xdr:cNvSpPr>
              <a:spLocks noTextEdit="1"/>
            </xdr:cNvSpPr>
          </xdr:nvSpPr>
          <xdr:spPr>
            <a:xfrm>
              <a:off x="73025" y="1254125"/>
              <a:ext cx="1822450" cy="2197100"/>
            </a:xfrm>
            <a:prstGeom prst="rect">
              <a:avLst/>
            </a:prstGeom>
            <a:solidFill>
              <a:prstClr val="white"/>
            </a:solidFill>
            <a:ln w="1">
              <a:solidFill>
                <a:prstClr val="green"/>
              </a:solidFill>
            </a:ln>
          </xdr:spPr>
          <xdr:txBody>
            <a:bodyPr vertOverflow="clip" horzOverflow="clip"/>
            <a:lstStyle/>
            <a:p>
              <a:r>
                <a:rPr lang="en-US"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mc:AlternateContent xmlns:mc="http://schemas.openxmlformats.org/markup-compatibility/2006">
    <mc:Choice xmlns:a14="http://schemas.microsoft.com/office/drawing/2010/main" Requires="a14">
      <xdr:twoCellAnchor editAs="oneCell">
        <xdr:from>
          <xdr:col>8</xdr:col>
          <xdr:colOff>1252265</xdr:colOff>
          <xdr:row>2</xdr:row>
          <xdr:rowOff>137171</xdr:rowOff>
        </xdr:from>
        <xdr:to>
          <xdr:col>14</xdr:col>
          <xdr:colOff>630972</xdr:colOff>
          <xdr:row>5</xdr:row>
          <xdr:rowOff>1443</xdr:rowOff>
        </xdr:to>
        <xdr:pic>
          <xdr:nvPicPr>
            <xdr:cNvPr id="10" name="Picture 9">
              <a:extLst>
                <a:ext uri="{FF2B5EF4-FFF2-40B4-BE49-F238E27FC236}">
                  <a16:creationId xmlns:a16="http://schemas.microsoft.com/office/drawing/2014/main" id="{CE92B1F7-01FC-244D-8FC0-7CD21E791B0D}"/>
                </a:ext>
              </a:extLst>
            </xdr:cNvPr>
            <xdr:cNvPicPr>
              <a:picLocks noChangeAspect="1" noChangeArrowheads="1"/>
              <a:extLst>
                <a:ext uri="{84589F7E-364E-4C9E-8A38-B11213B215E9}">
                  <a14:cameraTool cellRange="graphics!$B$2:$E$3" spid="_x0000_s4421"/>
                </a:ext>
              </a:extLst>
            </xdr:cNvPicPr>
          </xdr:nvPicPr>
          <xdr:blipFill>
            <a:blip xmlns:r="http://schemas.openxmlformats.org/officeDocument/2006/relationships" r:embed="rId1"/>
            <a:srcRect/>
            <a:stretch>
              <a:fillRect/>
            </a:stretch>
          </xdr:blipFill>
          <xdr:spPr bwMode="auto">
            <a:xfrm>
              <a:off x="7632147" y="600347"/>
              <a:ext cx="8022177" cy="446978"/>
            </a:xfrm>
            <a:prstGeom prst="rect">
              <a:avLst/>
            </a:prstGeom>
            <a:noFill/>
            <a:extLst>
              <a:ext uri="{909E8E84-426E-40DD-AFC4-6F175D3DCCD1}">
                <a14:hiddenFill>
                  <a:solidFill>
                    <a:srgbClr val="FFFFFF"/>
                  </a:solidFill>
                </a14:hiddenFill>
              </a:ext>
            </a:extLst>
          </xdr:spPr>
        </xdr:pic>
        <xdr:clientData/>
      </xdr:twoCellAnchor>
    </mc:Choice>
    <mc:Fallback/>
  </mc:AlternateContent>
  <xdr:twoCellAnchor editAs="absolute">
    <xdr:from>
      <xdr:col>0</xdr:col>
      <xdr:colOff>92075</xdr:colOff>
      <xdr:row>17</xdr:row>
      <xdr:rowOff>187325</xdr:rowOff>
    </xdr:from>
    <xdr:to>
      <xdr:col>5</xdr:col>
      <xdr:colOff>538069</xdr:colOff>
      <xdr:row>25</xdr:row>
      <xdr:rowOff>168275</xdr:rowOff>
    </xdr:to>
    <mc:AlternateContent xmlns:mc="http://schemas.openxmlformats.org/markup-compatibility/2006">
      <mc:Choice xmlns:cx2="http://schemas.microsoft.com/office/drawing/2015/10/21/chartex" Requires="cx2">
        <xdr:graphicFrame macro="">
          <xdr:nvGraphicFramePr>
            <xdr:cNvPr id="13" name="Chart 12">
              <a:extLst>
                <a:ext uri="{FF2B5EF4-FFF2-40B4-BE49-F238E27FC236}">
                  <a16:creationId xmlns:a16="http://schemas.microsoft.com/office/drawing/2014/main" id="{B8A06E76-A107-4CD0-BC1B-10D386CC0493}"/>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2"/>
            </a:graphicData>
          </a:graphic>
        </xdr:graphicFrame>
      </mc:Choice>
      <mc:Fallback>
        <xdr:sp macro="" textlink="">
          <xdr:nvSpPr>
            <xdr:cNvPr id="0" name=""/>
            <xdr:cNvSpPr>
              <a:spLocks noTextEdit="1"/>
            </xdr:cNvSpPr>
          </xdr:nvSpPr>
          <xdr:spPr>
            <a:xfrm>
              <a:off x="92075" y="3502025"/>
              <a:ext cx="3767044" cy="1504950"/>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twoCellAnchor editAs="absolute">
    <xdr:from>
      <xdr:col>0</xdr:col>
      <xdr:colOff>73025</xdr:colOff>
      <xdr:row>26</xdr:row>
      <xdr:rowOff>15875</xdr:rowOff>
    </xdr:from>
    <xdr:to>
      <xdr:col>5</xdr:col>
      <xdr:colOff>557119</xdr:colOff>
      <xdr:row>35</xdr:row>
      <xdr:rowOff>79375</xdr:rowOff>
    </xdr:to>
    <xdr:graphicFrame macro="">
      <xdr:nvGraphicFramePr>
        <xdr:cNvPr id="14" name="Chart 13">
          <a:extLst>
            <a:ext uri="{FF2B5EF4-FFF2-40B4-BE49-F238E27FC236}">
              <a16:creationId xmlns:a16="http://schemas.microsoft.com/office/drawing/2014/main" id="{7EFAC16D-3758-4C7D-AB4F-EA1E431D4E0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absolute">
    <xdr:from>
      <xdr:col>0</xdr:col>
      <xdr:colOff>95250</xdr:colOff>
      <xdr:row>35</xdr:row>
      <xdr:rowOff>168275</xdr:rowOff>
    </xdr:from>
    <xdr:to>
      <xdr:col>5</xdr:col>
      <xdr:colOff>557119</xdr:colOff>
      <xdr:row>45</xdr:row>
      <xdr:rowOff>92075</xdr:rowOff>
    </xdr:to>
    <xdr:graphicFrame macro="">
      <xdr:nvGraphicFramePr>
        <xdr:cNvPr id="2" name="Chart 1">
          <a:extLst>
            <a:ext uri="{FF2B5EF4-FFF2-40B4-BE49-F238E27FC236}">
              <a16:creationId xmlns:a16="http://schemas.microsoft.com/office/drawing/2014/main" id="{1DACE7A4-F7E9-4CC8-A3A0-56C411DD749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wsDr>
</file>

<file path=xl/drawings/drawing2.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17</xdr:col>
          <xdr:colOff>536575</xdr:colOff>
          <xdr:row>21</xdr:row>
          <xdr:rowOff>161925</xdr:rowOff>
        </xdr:to>
        <xdr:pic>
          <xdr:nvPicPr>
            <xdr:cNvPr id="3" name="Picture 2">
              <a:extLst>
                <a:ext uri="{FF2B5EF4-FFF2-40B4-BE49-F238E27FC236}">
                  <a16:creationId xmlns:a16="http://schemas.microsoft.com/office/drawing/2014/main" id="{B7C9B64A-A2FF-476F-A0D6-697C4D396214}"/>
                </a:ext>
              </a:extLst>
            </xdr:cNvPr>
            <xdr:cNvPicPr>
              <a:picLocks noChangeAspect="1" noChangeArrowheads="1"/>
              <a:extLst>
                <a:ext uri="{84589F7E-364E-4C9E-8A38-B11213B215E9}">
                  <a14:cameraTool cellRange="graphics!$AU$40:$BA$49" spid="_x0000_s10289"/>
                </a:ext>
              </a:extLst>
            </xdr:cNvPicPr>
          </xdr:nvPicPr>
          <xdr:blipFill>
            <a:blip xmlns:r="http://schemas.openxmlformats.org/officeDocument/2006/relationships" r:embed="rId1"/>
            <a:srcRect/>
            <a:stretch>
              <a:fillRect/>
            </a:stretch>
          </xdr:blipFill>
          <xdr:spPr bwMode="auto">
            <a:xfrm>
              <a:off x="0" y="0"/>
              <a:ext cx="10899775" cy="4162425"/>
            </a:xfrm>
            <a:prstGeom prst="rect">
              <a:avLst/>
            </a:prstGeom>
            <a:noFill/>
            <a:extLst>
              <a:ext uri="{909E8E84-426E-40DD-AFC4-6F175D3DCCD1}">
                <a14:hiddenFill>
                  <a:solidFill>
                    <a:srgbClr val="FFFFFF"/>
                  </a:solidFill>
                </a14:hiddenFill>
              </a:ext>
            </a:extLst>
          </xdr:spPr>
        </xdr:pic>
        <xdr:clientData/>
      </xdr:twoCellAnchor>
    </mc:Choice>
    <mc:Fallback/>
  </mc:AlternateContent>
</xdr:wsDr>
</file>

<file path=xl/drawings/drawing3.xml><?xml version="1.0" encoding="utf-8"?>
<xdr:wsDr xmlns:xdr="http://schemas.openxmlformats.org/drawingml/2006/spreadsheetDrawing" xmlns:a="http://schemas.openxmlformats.org/drawingml/2006/main">
  <xdr:twoCellAnchor>
    <xdr:from>
      <xdr:col>7</xdr:col>
      <xdr:colOff>390525</xdr:colOff>
      <xdr:row>7</xdr:row>
      <xdr:rowOff>53975</xdr:rowOff>
    </xdr:from>
    <xdr:to>
      <xdr:col>12</xdr:col>
      <xdr:colOff>815975</xdr:colOff>
      <xdr:row>21</xdr:row>
      <xdr:rowOff>130175</xdr:rowOff>
    </xdr:to>
    <xdr:graphicFrame macro="">
      <xdr:nvGraphicFramePr>
        <xdr:cNvPr id="11" name="Chart 10">
          <a:extLst>
            <a:ext uri="{FF2B5EF4-FFF2-40B4-BE49-F238E27FC236}">
              <a16:creationId xmlns:a16="http://schemas.microsoft.com/office/drawing/2014/main" id="{754DB48E-8D3B-2956-D92D-2E1B1C8AAEE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absolute">
    <xdr:from>
      <xdr:col>15</xdr:col>
      <xdr:colOff>152399</xdr:colOff>
      <xdr:row>4</xdr:row>
      <xdr:rowOff>130175</xdr:rowOff>
    </xdr:from>
    <xdr:to>
      <xdr:col>19</xdr:col>
      <xdr:colOff>301624</xdr:colOff>
      <xdr:row>14</xdr:row>
      <xdr:rowOff>57150</xdr:rowOff>
    </xdr:to>
    <xdr:graphicFrame macro="">
      <xdr:nvGraphicFramePr>
        <xdr:cNvPr id="2" name="Chart 1">
          <a:extLst>
            <a:ext uri="{FF2B5EF4-FFF2-40B4-BE49-F238E27FC236}">
              <a16:creationId xmlns:a16="http://schemas.microsoft.com/office/drawing/2014/main" id="{9A176B9F-BCBB-4C55-A01B-CA6C92B1B07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3" connectionId="6" xr16:uid="{5A90C3D6-52B0-4DF4-BC35-405A66772E6B}" autoFormatId="16" applyNumberFormats="0" applyBorderFormats="0" applyFontFormats="0" applyPatternFormats="0" applyAlignmentFormats="0" applyWidthHeightFormats="0">
  <queryTableRefresh nextId="34" unboundColumnsLeft="9" unboundColumnsRight="6">
    <queryTableFields count="16">
      <queryTableField id="23" dataBound="0" tableColumnId="13"/>
      <queryTableField id="4" dataBound="0" tableColumnId="4"/>
      <queryTableField id="3" dataBound="0" tableColumnId="3"/>
      <queryTableField id="5" dataBound="0" tableColumnId="5"/>
      <queryTableField id="7" dataBound="0" tableColumnId="7"/>
      <queryTableField id="8" dataBound="0" tableColumnId="8"/>
      <queryTableField id="31" dataBound="0" tableColumnId="2"/>
      <queryTableField id="10" dataBound="0" tableColumnId="10"/>
      <queryTableField id="30" dataBound="0" tableColumnId="20"/>
      <queryTableField id="1" name="Id" tableColumnId="1"/>
      <queryTableField id="12" dataBound="0" tableColumnId="12"/>
      <queryTableField id="9" dataBound="0" tableColumnId="9"/>
      <queryTableField id="24" dataBound="0" tableColumnId="14"/>
      <queryTableField id="25" dataBound="0" tableColumnId="15"/>
      <queryTableField id="26" dataBound="0" tableColumnId="16"/>
      <queryTableField id="27" dataBound="0" tableColumnId="17"/>
    </queryTableFields>
  </queryTableRefresh>
</queryTable>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ExternalData_2" connectionId="1" xr16:uid="{93B95307-A39E-4775-B758-6A41ABFBD44B}" autoFormatId="16" applyNumberFormats="0" applyBorderFormats="0" applyFontFormats="0" applyPatternFormats="0" applyAlignmentFormats="0" applyWidthHeightFormats="0">
  <queryTableRefresh nextId="11">
    <queryTableFields count="10">
      <queryTableField id="1" name="Id" tableColumnId="1"/>
      <queryTableField id="2" name="Contact Name" tableColumnId="2"/>
      <queryTableField id="3" name="Job Title" tableColumnId="3"/>
      <queryTableField id="4" name="Office Phone" tableColumnId="4"/>
      <queryTableField id="5" name="Mobile Phone" tableColumnId="5"/>
      <queryTableField id="6" name="Email" tableColumnId="6"/>
      <queryTableField id="7" name="Customer ID" tableColumnId="7"/>
      <queryTableField id="8" name="Customer Name" tableColumnId="8"/>
      <queryTableField id="9" name="Modified" tableColumnId="9"/>
      <queryTableField id="10" name="Created" tableColumnId="10"/>
    </queryTableFields>
  </queryTableRefresh>
</queryTable>
</file>

<file path=xl/queryTables/queryTable3.xml><?xml version="1.0" encoding="utf-8"?>
<queryTable xmlns="http://schemas.openxmlformats.org/spreadsheetml/2006/main" xmlns:mc="http://schemas.openxmlformats.org/markup-compatibility/2006" xmlns:xr16="http://schemas.microsoft.com/office/spreadsheetml/2017/revision16" mc:Ignorable="xr16" name="ExternalData_1" connectionId="3" xr16:uid="{12688FB0-1DA1-4DE4-8FC7-E2571A15F952}" autoFormatId="16" applyNumberFormats="0" applyBorderFormats="0" applyFontFormats="0" applyPatternFormats="0" applyAlignmentFormats="0" applyWidthHeightFormats="0">
  <queryTableRefresh nextId="10">
    <queryTableFields count="9">
      <queryTableField id="1" name="Id" tableColumnId="1"/>
      <queryTableField id="2" name="Milestone Name" tableColumnId="2"/>
      <queryTableField id="3" name="Owner" tableColumnId="3"/>
      <queryTableField id="4" name="Milestone Date" tableColumnId="4"/>
      <queryTableField id="5" name="Milestone Status" tableColumnId="5"/>
      <queryTableField id="6" name="Opportunity ID" tableColumnId="6"/>
      <queryTableField id="7" name="Opportunity Name" tableColumnId="7"/>
      <queryTableField id="8" name="Modified" tableColumnId="8"/>
      <queryTableField id="9" name="Created" tableColumnId="9"/>
    </queryTableFields>
  </queryTableRefresh>
</queryTable>
</file>

<file path=xl/queryTables/queryTable4.xml><?xml version="1.0" encoding="utf-8"?>
<queryTable xmlns="http://schemas.openxmlformats.org/spreadsheetml/2006/main" xmlns:mc="http://schemas.openxmlformats.org/markup-compatibility/2006" xmlns:xr16="http://schemas.microsoft.com/office/spreadsheetml/2017/revision16" mc:Ignorable="xr16" name="ExternalData_3" connectionId="5" xr16:uid="{169AB34D-2F69-44ED-997A-B36E3D3D0A3D}" autoFormatId="16" applyNumberFormats="0" applyBorderFormats="0" applyFontFormats="0" applyPatternFormats="0" applyAlignmentFormats="0" applyWidthHeightFormats="0">
  <queryTableRefresh nextId="9" unboundColumnsRight="2">
    <queryTableFields count="8">
      <queryTableField id="1" name="ID" tableColumnId="1"/>
      <queryTableField id="2" name="CustomerId" tableColumnId="2"/>
      <queryTableField id="3" name="RecurringRevenueModel" tableColumnId="3"/>
      <queryTableField id="4" name="Recurrences" tableColumnId="4"/>
      <queryTableField id="5" name="StartDate" tableColumnId="5"/>
      <queryTableField id="6" name="Transaction Amount" tableColumnId="6"/>
      <queryTableField id="7" dataBound="0" tableColumnId="7"/>
      <queryTableField id="8" dataBound="0" tableColumnId="8"/>
    </queryTableFields>
  </queryTableRefresh>
</queryTable>
</file>

<file path=xl/queryTables/queryTable5.xml><?xml version="1.0" encoding="utf-8"?>
<queryTable xmlns="http://schemas.openxmlformats.org/spreadsheetml/2006/main" xmlns:mc="http://schemas.openxmlformats.org/markup-compatibility/2006" xmlns:xr16="http://schemas.microsoft.com/office/spreadsheetml/2017/revision16" mc:Ignorable="xr16" name="ExternalData_2" connectionId="4" xr16:uid="{729422E9-14FA-487D-B5E9-61874EEF7803}" autoFormatId="16" applyNumberFormats="0" applyBorderFormats="0" applyFontFormats="0" applyPatternFormats="0" applyAlignmentFormats="0" applyWidthHeightFormats="0">
  <queryTableRefresh nextId="125" unboundColumnsRight="15">
    <queryTableFields count="30">
      <queryTableField id="2" name="Id" tableColumnId="2"/>
      <queryTableField id="100" name="OpportunityName" tableColumnId="13"/>
      <queryTableField id="19" name="Status" tableColumnId="19"/>
      <queryTableField id="21" name="Stage" tableColumnId="21"/>
      <queryTableField id="22" name="Amount" tableColumnId="22"/>
      <queryTableField id="23" name="Probability" tableColumnId="23"/>
      <queryTableField id="46" name="Close" tableColumnId="37"/>
      <queryTableField id="91" name="NextMilestoneDate" tableColumnId="11"/>
      <queryTableField id="92" name="NextMilestone" tableColumnId="12"/>
      <queryTableField id="107" name="CustomerId" tableColumnId="1"/>
      <queryTableField id="71" name="Comment Log" tableColumnId="53"/>
      <queryTableField id="89" name="OpportunityOwner" tableColumnId="9"/>
      <queryTableField id="122" name="RecurringRevenueModel" tableColumnId="8"/>
      <queryTableField id="123" name="Recurrences" tableColumnId="10"/>
      <queryTableField id="124" name="StartDate" tableColumnId="14"/>
      <queryTableField id="43" dataBound="0" tableColumnId="34"/>
      <queryTableField id="39" dataBound="0" tableColumnId="30"/>
      <queryTableField id="40" dataBound="0" tableColumnId="31"/>
      <queryTableField id="54" dataBound="0" tableColumnId="40"/>
      <queryTableField id="55" dataBound="0" tableColumnId="41"/>
      <queryTableField id="70" dataBound="0" tableColumnId="52"/>
      <queryTableField id="76" dataBound="0" tableColumnId="56"/>
      <queryTableField id="104" dataBound="0" tableColumnId="15"/>
      <queryTableField id="105" dataBound="0" tableColumnId="16"/>
      <queryTableField id="106" dataBound="0" tableColumnId="17"/>
      <queryTableField id="116" dataBound="0" tableColumnId="3"/>
      <queryTableField id="117" dataBound="0" tableColumnId="4"/>
      <queryTableField id="118" dataBound="0" tableColumnId="5"/>
      <queryTableField id="119" dataBound="0" tableColumnId="6"/>
      <queryTableField id="120" dataBound="0" tableColumnId="7"/>
    </queryTableFields>
  </queryTableRefresh>
</queryTable>
</file>

<file path=xl/queryTables/queryTable6.xml><?xml version="1.0" encoding="utf-8"?>
<queryTable xmlns="http://schemas.openxmlformats.org/spreadsheetml/2006/main" xmlns:mc="http://schemas.openxmlformats.org/markup-compatibility/2006" xmlns:xr16="http://schemas.microsoft.com/office/spreadsheetml/2017/revision16" mc:Ignorable="xr16" name="ExternalData_1" connectionId="2" xr16:uid="{CC52348F-B359-43D4-B14F-ECC423B71301}" autoFormatId="16" applyNumberFormats="0" applyBorderFormats="0" applyFontFormats="0" applyPatternFormats="0" applyAlignmentFormats="0" applyWidthHeightFormats="0">
  <queryTableRefresh nextId="70" unboundColumnsRight="3">
    <queryTableFields count="14">
      <queryTableField id="1" name="Id" tableColumnId="1"/>
      <queryTableField id="68" name="Customer Name" tableColumnId="2"/>
      <queryTableField id="45" name="PrimaryContact" tableColumnId="15"/>
      <queryTableField id="46" name="PrimaryContactTitle" tableColumnId="16"/>
      <queryTableField id="47" name="AlternateContact" tableColumnId="17"/>
      <queryTableField id="48" name="AlternateContactTitle" tableColumnId="18"/>
      <queryTableField id="49" name="AlternateContact2" tableColumnId="21"/>
      <queryTableField id="50" name="AlternateContact2Title" tableColumnId="22"/>
      <queryTableField id="26" name="Url" tableColumnId="20"/>
      <queryTableField id="10" name="Modified" tableColumnId="10"/>
      <queryTableField id="11" name="Created" tableColumnId="11"/>
      <queryTableField id="19" dataBound="0" tableColumnId="19"/>
      <queryTableField id="60" dataBound="0" tableColumnId="23"/>
      <queryTableField id="61" dataBound="0" tableColumnId="24"/>
    </queryTableFields>
  </queryTableRefresh>
</queryTable>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tage" xr10:uid="{6B149606-DCC4-49B8-ACA6-80CAE9D0ACAE}" sourceName="Stage">
  <extLst>
    <x:ext xmlns:x15="http://schemas.microsoft.com/office/spreadsheetml/2010/11/main" uri="{2F2917AC-EB37-4324-AD4E-5DD8C200BD13}">
      <x15:tableSlicerCache tableId="3" column="5"/>
    </x:ext>
  </extLst>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lose_Quarter" xr10:uid="{F20C6E9A-4FC0-4F46-A8E7-3C0F59B268F8}" sourceName="Close Quarter">
  <extLst>
    <x:ext xmlns:x15="http://schemas.microsoft.com/office/spreadsheetml/2010/11/main" uri="{2F2917AC-EB37-4324-AD4E-5DD8C200BD13}">
      <x15:tableSlicerCache tableId="3" column="9"/>
    </x:ext>
  </extLst>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Stage" xr10:uid="{27EE4419-517B-44E3-A36C-AC5F1492DFBF}" cache="Slicer_Stage" caption="Stage" style="SlicerStyleOther1" rowHeight="257175"/>
  <slicer name="Close Quarter" xr10:uid="{8A17DDA6-3E07-46A8-B26A-2091359331B6}" cache="Slicer_Close_Quarter" caption="Close Quarter" style="SlicerStyleOther1" rowHeight="257175"/>
</slicers>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_rels/table2.xml.rels><?xml version="1.0" encoding="UTF-8" standalone="yes"?>
<Relationships xmlns="http://schemas.openxmlformats.org/package/2006/relationships"><Relationship Id="rId1" Type="http://schemas.openxmlformats.org/officeDocument/2006/relationships/queryTable" Target="../queryTables/queryTable2.xml"/></Relationships>
</file>

<file path=xl/tables/_rels/table3.xml.rels><?xml version="1.0" encoding="UTF-8" standalone="yes"?>
<Relationships xmlns="http://schemas.openxmlformats.org/package/2006/relationships"><Relationship Id="rId1" Type="http://schemas.openxmlformats.org/officeDocument/2006/relationships/queryTable" Target="../queryTables/queryTable3.xml"/></Relationships>
</file>

<file path=xl/tables/_rels/table6.xml.rels><?xml version="1.0" encoding="UTF-8" standalone="yes"?>
<Relationships xmlns="http://schemas.openxmlformats.org/package/2006/relationships"><Relationship Id="rId1" Type="http://schemas.openxmlformats.org/officeDocument/2006/relationships/queryTable" Target="../queryTables/queryTable4.xml"/></Relationships>
</file>

<file path=xl/tables/_rels/table7.xml.rels><?xml version="1.0" encoding="UTF-8" standalone="yes"?>
<Relationships xmlns="http://schemas.openxmlformats.org/package/2006/relationships"><Relationship Id="rId1" Type="http://schemas.openxmlformats.org/officeDocument/2006/relationships/queryTable" Target="../queryTables/queryTable5.xml"/></Relationships>
</file>

<file path=xl/tables/_rels/table8.xml.rels><?xml version="1.0" encoding="UTF-8" standalone="yes"?>
<Relationships xmlns="http://schemas.openxmlformats.org/package/2006/relationships"><Relationship Id="rId1" Type="http://schemas.openxmlformats.org/officeDocument/2006/relationships/queryTable" Target="../queryTables/queryTable6.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B35EA62C-D81E-48BA-B2FB-27C4C61792D5}" name="View" displayName="View" ref="H7:W47" tableType="queryTable" totalsRowShown="0">
  <autoFilter ref="H7:W47" xr:uid="{B35EA62C-D81E-48BA-B2FB-27C4C61792D5}"/>
  <sortState xmlns:xlrd2="http://schemas.microsoft.com/office/spreadsheetml/2017/richdata2" ref="H8:W47">
    <sortCondition ref="O7:O47"/>
  </sortState>
  <tableColumns count="16">
    <tableColumn id="13" xr3:uid="{147FBFBE-2CFC-486E-B125-6D8C29F38818}" uniqueName="13" name="Status" queryTableFieldId="23" dataDxfId="69">
      <calculatedColumnFormula>_xlfn.XLOOKUP(View[[#This Row],[ID]],Opportunities[ID],Opportunities[Status])</calculatedColumnFormula>
    </tableColumn>
    <tableColumn id="4" xr3:uid="{D0C93997-AE18-4F2C-9498-E378F0368CD3}" uniqueName="4" name=" 🔗Opportunity" queryTableFieldId="4" dataDxfId="68" dataCellStyle="Hyperlink">
      <calculatedColumnFormula>HYPERLINK(siteUrl&amp;"Lists/"&amp;oppList&amp;"/DispForm.aspx?ID="&amp;View[[#This Row],[ID]],_xlfn.XLOOKUP(View[[#This Row],[ID]],Opportunities[ID],Opportunities[OpportunityName]))</calculatedColumnFormula>
    </tableColumn>
    <tableColumn id="3" xr3:uid="{3E4A8EA1-FA0C-4196-B6BC-1AD8EC635331}" uniqueName="3" name="🔗Customer " queryTableFieldId="3" dataDxfId="67" dataCellStyle="Hyperlink">
      <calculatedColumnFormula>HYPERLINK(_xlfn.XLOOKUP(View[[#This Row],[ID]],Opportunities[ID],Opportunities[CustomerRecordURL]),_xlfn.XLOOKUP(View[[#This Row],[ID]],Opportunities[ID],Opportunities[Customer Name]))</calculatedColumnFormula>
    </tableColumn>
    <tableColumn id="5" xr3:uid="{BE8EE8B1-D066-4E99-BDBA-DD40A4432652}" uniqueName="5" name="Stage" queryTableFieldId="5" dataDxfId="66" dataCellStyle="Normal">
      <calculatedColumnFormula>_xlfn.XLOOKUP(View[[#This Row],[ID]],Opportunities[ID],Opportunities[DisplayStage])</calculatedColumnFormula>
    </tableColumn>
    <tableColumn id="7" xr3:uid="{36D3885A-765B-43F4-B223-18E0110E7BAC}" uniqueName="7" name="Opp Value" queryTableFieldId="7" dataDxfId="65" dataCellStyle="Comma">
      <calculatedColumnFormula>IF(pipelineType="Unweighted",_xlfn.XLOOKUP(View[[#This Row],[ID]],Opportunities[ID],Opportunities[Amount])/1000,_xlfn.XLOOKUP(View[[#This Row],[ID]],Opportunities[ID],Opportunities[Weighted])/1000)</calculatedColumnFormula>
    </tableColumn>
    <tableColumn id="8" xr3:uid="{3B6386A9-4665-44D2-94FF-64420F041C4F}" uniqueName="8" name="Win Probability" queryTableFieldId="8" dataDxfId="64" dataCellStyle="Percent">
      <calculatedColumnFormula>_xlfn.XLOOKUP(View[[#This Row],[ID]],Opportunities[ID],Opportunities[WinProbDisplay])</calculatedColumnFormula>
    </tableColumn>
    <tableColumn id="2" xr3:uid="{CEE680CE-7B28-4425-8EF9-E8A1C22CD40F}" uniqueName="2" name="Expected Rev" queryTableFieldId="31" dataDxfId="63" dataCellStyle="Percent">
      <calculatedColumnFormula>View[[#This Row],[Estmated Revenue]]</calculatedColumnFormula>
    </tableColumn>
    <tableColumn id="10" xr3:uid="{B7055589-582D-4A7C-ACCD-633272C194D8}" uniqueName="10" name="Close" queryTableFieldId="10" dataDxfId="62" dataCellStyle="Percent">
      <calculatedColumnFormula>_xlfn.XLOOKUP(View[[#This Row],[ID]],Opportunities[ID],Opportunities[Close])</calculatedColumnFormula>
    </tableColumn>
    <tableColumn id="20" xr3:uid="{59C0ACCC-1D82-45A6-AFAA-3712BAC86C84}" uniqueName="20" name="Last Comment" queryTableFieldId="30" dataDxfId="61" dataCellStyle="Percent">
      <calculatedColumnFormula>IF(_xlfn.XLOOKUP(View[[#This Row],[ID]],Opportunities[ID],Opportunities[Comment Log])=0,"",_xlfn.XLOOKUP(View[[#This Row],[ID]],Opportunities[ID],Opportunities[Comment Log]))</calculatedColumnFormula>
    </tableColumn>
    <tableColumn id="1" xr3:uid="{7671D13C-CCEC-485A-8348-B9D36AA7543D}" uniqueName="1" name="ID" queryTableFieldId="1"/>
    <tableColumn id="12" xr3:uid="{A1ACC7B5-3719-4CFF-831A-06FFA9179F1E}" uniqueName="12" name="Next Milestone" queryTableFieldId="12" dataDxfId="60" dataCellStyle="Percent">
      <calculatedColumnFormula>_xlfn.XLOOKUP(View[[#This Row],[ID]],Opportunities[ID],Opportunities[NextMilestoneDate])-TODAY()</calculatedColumnFormula>
    </tableColumn>
    <tableColumn id="9" xr3:uid="{52FF3CBA-17BB-47F5-85A3-2DEE8B12587C}" uniqueName="9" name="Close Quarter" queryTableFieldId="9" dataDxfId="59">
      <calculatedColumnFormula>IF(calendarType="FQ","FY"&amp;RIGHT(TEXT(IF(MONTH(View[[#This Row],[Close]])&gt;MONTH(fqStart),YEAR(View[[#This Row],[Close]])+1,IF(MONTH(View[[#This Row],[Close]])&lt;MONTH(fqStart),YEAR(View[[#This Row],[Close]]),IF(DAY(View[[#This Row],[Close]])&gt;=DAY(fqStart),YEAR(View[[#This Row],[Close]])+1,YEAR(View[[#This Row],[Close]])))),"0"),2)&amp;"-Q"&amp;ROUNDUP((MONTH(View[[#This Row],[Close]])-MONTH(fqStart)+IF(DAY(View[[#This Row],[Close]])&lt;DAY(fqStart),0,1)+IF(MONTH(View[[#This Row],[Close]])&lt;MONTH(fqStart),12,0))/3,0),_xlfn.XLOOKUP(View[[#This Row],[ID]],Opportunities[ID],Opportunities[CQ]))</calculatedColumnFormula>
    </tableColumn>
    <tableColumn id="14" xr3:uid="{07448A78-D3A9-4A09-89B7-13C1C1A6E61A}" uniqueName="14" name="Estmated Revenue" queryTableFieldId="24" dataDxfId="58" dataCellStyle="Comma">
      <calculatedColumnFormula>_xlfn.XLOOKUP(View[[#This Row],[ID]],Opportunities[ID],Opportunities[Weighted])/1000</calculatedColumnFormula>
    </tableColumn>
    <tableColumn id="15" xr3:uid="{FBDC7969-7E8D-49D4-8066-6E0E6F1203F0}" uniqueName="15" name="Unweighted" queryTableFieldId="25" dataDxfId="57">
      <calculatedColumnFormula>_xlfn.XLOOKUP(View[[#This Row],[ID]],Opportunities[ID],Opportunities[Amount])/1000</calculatedColumnFormula>
    </tableColumn>
    <tableColumn id="16" xr3:uid="{EF89BB7F-252B-45F9-8123-82BF9FB66AF0}" uniqueName="16" name="High Probability" queryTableFieldId="26" dataDxfId="56">
      <calculatedColumnFormula>View[[#This Row],[Win Probability]]="High"</calculatedColumnFormula>
    </tableColumn>
    <tableColumn id="17" xr3:uid="{4BD52F12-45D4-4BCC-83AA-14BDE7142C90}" uniqueName="17" name="Visible" queryTableFieldId="27" dataDxfId="55">
      <calculatedColumnFormula>SUBTOTAL(103, View[[#This Row],[Status]])</calculatedColumnFormula>
    </tableColumn>
  </tableColumns>
  <tableStyleInfo name="TableStyleLight1"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B2688C82-D1FF-4380-80A2-7662A7369E23}" name="Contacts" displayName="Contacts" ref="A1:J76" tableType="queryTable" totalsRowShown="0">
  <autoFilter ref="A1:J76" xr:uid="{B2688C82-D1FF-4380-80A2-7662A7369E23}"/>
  <tableColumns count="10">
    <tableColumn id="1" xr3:uid="{93B02DAD-BC44-4D3D-938F-476EC0FCAAFE}" uniqueName="1" name="Id" queryTableFieldId="1"/>
    <tableColumn id="2" xr3:uid="{B605E93D-C596-496C-ADAE-51B30787DAFD}" uniqueName="2" name="Contact Name" queryTableFieldId="2"/>
    <tableColumn id="3" xr3:uid="{3D3DB438-2401-4AE5-AC2C-136552266C60}" uniqueName="3" name="Job Title" queryTableFieldId="3"/>
    <tableColumn id="4" xr3:uid="{FE839C64-A351-4958-9F9E-25FB942D62DD}" uniqueName="4" name="Office Phone" queryTableFieldId="4"/>
    <tableColumn id="5" xr3:uid="{CB309E58-8A80-44C6-80BF-5AA3170F839C}" uniqueName="5" name="Mobile Phone" queryTableFieldId="5"/>
    <tableColumn id="6" xr3:uid="{492853E5-35C8-425F-98B4-AF191E5F009F}" uniqueName="6" name="Email" queryTableFieldId="6"/>
    <tableColumn id="7" xr3:uid="{3497D918-1F56-48D7-BF4A-7DA2FE347EA9}" uniqueName="7" name="Customer ID" queryTableFieldId="7"/>
    <tableColumn id="8" xr3:uid="{190594CB-1705-4BD2-B642-829EC2D723D5}" uniqueName="8" name="Customer Name" queryTableFieldId="8"/>
    <tableColumn id="9" xr3:uid="{594EF595-7D79-4113-A360-4350F812C907}" uniqueName="9" name="Modified" queryTableFieldId="9" dataDxfId="54"/>
    <tableColumn id="10" xr3:uid="{3BB3C350-8491-477B-8833-319F40B83FE6}" uniqueName="10" name="Created" queryTableFieldId="10" dataDxfId="53"/>
  </tableColumns>
  <tableStyleInfo name="TableStyleMedium7"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0D7BD262-F447-4457-94BD-326D9A40D124}" name="Milestones" displayName="Milestones" ref="A1:I101" tableType="queryTable" totalsRowShown="0">
  <autoFilter ref="A1:I101" xr:uid="{0D7BD262-F447-4457-94BD-326D9A40D124}"/>
  <tableColumns count="9">
    <tableColumn id="1" xr3:uid="{C4297AE6-A8DB-4C2F-BE63-9D68238E49CF}" uniqueName="1" name="Id" queryTableFieldId="1"/>
    <tableColumn id="2" xr3:uid="{C7356D0A-1406-43D9-8EC7-C2421E739854}" uniqueName="2" name="Milestone Name" queryTableFieldId="2"/>
    <tableColumn id="3" xr3:uid="{1CA3F922-3590-491B-9C21-FF265D61DA83}" uniqueName="3" name="Owner" queryTableFieldId="3"/>
    <tableColumn id="4" xr3:uid="{977EFE67-A374-4F89-BE01-77F608E7A3CE}" uniqueName="4" name="Milestone Date" queryTableFieldId="4" dataDxfId="52"/>
    <tableColumn id="5" xr3:uid="{3E5D797F-780E-4B0F-9B1D-FCE9DED6DBA9}" uniqueName="5" name="Milestone Status" queryTableFieldId="5"/>
    <tableColumn id="6" xr3:uid="{CF3BB491-A767-4248-98F7-EBD5EE8C8CE0}" uniqueName="6" name="Opportunity ID" queryTableFieldId="6"/>
    <tableColumn id="7" xr3:uid="{91EB1440-F693-4EA5-88F3-1F7B34943071}" uniqueName="7" name="Opportunity Name" queryTableFieldId="7"/>
    <tableColumn id="8" xr3:uid="{A4AAE5BE-F1AC-421D-A823-FD9AEF7F7940}" uniqueName="8" name="Modified" queryTableFieldId="8" dataDxfId="51"/>
    <tableColumn id="9" xr3:uid="{94AF8B76-9265-4C4C-B50D-EDEFBFAAB27E}" uniqueName="9" name="Created" queryTableFieldId="9" dataDxfId="50"/>
  </tableColumns>
  <tableStyleInfo name="TableStyleMedium7"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798014A7-9B70-4B09-AE44-5A5C555476EA}" name="stage" displayName="stage" ref="M12:P18" totalsRowShown="0" headerRowDxfId="49" dataDxfId="48">
  <autoFilter ref="M12:P18" xr:uid="{798014A7-9B70-4B09-AE44-5A5C555476EA}"/>
  <tableColumns count="4">
    <tableColumn id="2" xr3:uid="{AE651EA8-D54C-41D9-9B8B-F22570081D8A}" name="Index" dataDxfId="47"/>
    <tableColumn id="4" xr3:uid="{C19B61BA-D78B-49C2-A0CB-958A7968F4C6}" name="Symbol" dataDxfId="46"/>
    <tableColumn id="1" xr3:uid="{4A0C0D5E-C576-4851-BAD7-E1720F55F59A}" name="Stage Name" dataDxfId="45"/>
    <tableColumn id="3" xr3:uid="{38808F5D-2627-4FC4-9878-8AC61142049B}" name="Display" dataDxfId="44">
      <calculatedColumnFormula>stage[[#This Row],[Symbol]]&amp;" - "&amp;stage[[#This Row],[Stage Name]]</calculatedColumnFormula>
    </tableColumn>
  </tableColumns>
  <tableStyleInfo name="TableStyleLight1"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7A50DF75-ED41-40F4-8782-A0EFFD2E6988}" name="prob" displayName="prob" ref="C3:D6" totalsRowShown="0" headerRowDxfId="43" dataDxfId="42">
  <autoFilter ref="C3:D6" xr:uid="{7A50DF75-ED41-40F4-8782-A0EFFD2E6988}"/>
  <tableColumns count="2">
    <tableColumn id="1" xr3:uid="{3B8690D0-B449-4F2C-BFA1-0D9AAF577107}" name="Win Probability" dataDxfId="41"/>
    <tableColumn id="2" xr3:uid="{E4A73AC8-36BB-4D8D-934C-54FE86976EC9}" name="Value" dataDxfId="40" dataCellStyle="Percent"/>
  </tableColumns>
  <tableStyleInfo name="TableStyleLight1"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E37C7678-889F-4DE5-9F85-5E4DD4C067AE}" name="recurrence" displayName="recurrence" ref="A1:H35" tableType="queryTable" totalsRowShown="0">
  <autoFilter ref="A1:H35" xr:uid="{E37C7678-889F-4DE5-9F85-5E4DD4C067AE}"/>
  <tableColumns count="8">
    <tableColumn id="1" xr3:uid="{4A24022D-0290-4991-BA0B-6C02C9ED502F}" uniqueName="1" name="ID" queryTableFieldId="1"/>
    <tableColumn id="2" xr3:uid="{14B1F469-CFDA-4565-B0A8-F833DF1C1703}" uniqueName="2" name="CustomerId" queryTableFieldId="2"/>
    <tableColumn id="3" xr3:uid="{293E6218-DB32-480A-A080-BA52B788D8D2}" uniqueName="3" name="RecurringRevenueModel" queryTableFieldId="3" dataDxfId="18"/>
    <tableColumn id="4" xr3:uid="{1C65A3BC-8485-4D07-9C0D-7386C550A4F9}" uniqueName="4" name="Recurrences" queryTableFieldId="4"/>
    <tableColumn id="5" xr3:uid="{F313C5E1-E45E-48A7-844F-9AC704051769}" uniqueName="5" name="StartDate" queryTableFieldId="5" dataDxfId="17"/>
    <tableColumn id="6" xr3:uid="{744035AE-8763-4F70-8F11-123F7FD3320D}" uniqueName="6" name="Transaction Amount" queryTableFieldId="6"/>
    <tableColumn id="7" xr3:uid="{CC38CD4B-720F-42E9-82D3-1E29140E5960}" uniqueName="7" name="FQ" queryTableFieldId="7" dataDxfId="1">
      <calculatedColumnFormula>" FY"&amp;RIGHT(IF(MONTH(recurrence[[#This Row],[StartDate]])&gt;=7,YEAR(recurrence[[#This Row],[StartDate]])+1,YEAR(recurrence[[#This Row],[StartDate]])),2)&amp;"-Q"&amp;IF(MONTH(recurrence[[#This Row],[StartDate]])&gt;=7,CEILING((MONTH(recurrence[[#This Row],[StartDate]])-6)/3,1),CEILING((MONTH(recurrence[[#This Row],[StartDate]])+6)/3,1))</calculatedColumnFormula>
    </tableColumn>
    <tableColumn id="8" xr3:uid="{6A235898-EC7F-472D-AE30-F5CAD0CD0E4A}" uniqueName="8" name="CQ" queryTableFieldId="8" dataDxfId="0">
      <calculatedColumnFormula>"CY"&amp;RIGHT(YEAR(recurrence[[#This Row],[StartDate]]),2)&amp;"-Q"&amp;ROUNDUP(MONTH(recurrence[[#This Row],[StartDate]])/3, 0)</calculatedColumnFormula>
    </tableColumn>
  </tableColumns>
  <tableStyleInfo name="TableStyleMedium7"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8BF0481C-9C4B-466A-BDA0-DD8E3D98821B}" name="Opportunities" displayName="Opportunities" ref="A1:AD41" tableType="queryTable" totalsRowShown="0">
  <autoFilter ref="A1:AD41" xr:uid="{8BF0481C-9C4B-466A-BDA0-DD8E3D98821B}"/>
  <tableColumns count="30">
    <tableColumn id="2" xr3:uid="{B70370C5-B6AF-449E-960D-FFB9104BBF2B}" uniqueName="2" name="ID" queryTableFieldId="2"/>
    <tableColumn id="13" xr3:uid="{256666E2-96C2-471E-974D-0D6F52C20BED}" uniqueName="13" name="OpportunityName" queryTableFieldId="100"/>
    <tableColumn id="19" xr3:uid="{D73E5052-B78D-4CCD-A875-182E21F867EB}" uniqueName="19" name="Status" queryTableFieldId="19"/>
    <tableColumn id="21" xr3:uid="{FA79FF91-3521-45AF-95C6-8165274CE5C6}" uniqueName="21" name="Stage" queryTableFieldId="21"/>
    <tableColumn id="22" xr3:uid="{AF38387D-BBEB-4291-883D-5228FA9BFD2A}" uniqueName="22" name="Amount" queryTableFieldId="22"/>
    <tableColumn id="23" xr3:uid="{A6D400CC-3231-471E-B7DD-16F34E6C0BCF}" uniqueName="23" name="Probability" queryTableFieldId="23"/>
    <tableColumn id="37" xr3:uid="{40351C2D-0AFC-4595-94A2-E12F64F8DF77}" uniqueName="37" name="Close" queryTableFieldId="46" dataDxfId="39"/>
    <tableColumn id="11" xr3:uid="{0D6E2E89-0B8C-4024-A956-046F884205B4}" uniqueName="11" name="NextMilestoneDate" queryTableFieldId="91" dataDxfId="38"/>
    <tableColumn id="12" xr3:uid="{8D70269A-7D67-4EE3-B02A-4A7CC88A1D52}" uniqueName="12" name="NextMilestone" queryTableFieldId="92"/>
    <tableColumn id="1" xr3:uid="{AC2D2C16-65BB-4903-832A-3C37DB79CA2B}" uniqueName="1" name="CustomerId" queryTableFieldId="107"/>
    <tableColumn id="53" xr3:uid="{8B6F3023-16EE-4A61-9C62-F78DACC9B311}" uniqueName="53" name="Comment Log" queryTableFieldId="71"/>
    <tableColumn id="9" xr3:uid="{97DA2E30-FF84-4D59-8B7D-0FB3CF4EF53C}" uniqueName="9" name="OpportunityOwner" queryTableFieldId="89"/>
    <tableColumn id="8" xr3:uid="{252080FC-778F-46AC-B9F1-67CB109BC982}" uniqueName="8" name="RecurringRevenueModel" queryTableFieldId="122"/>
    <tableColumn id="10" xr3:uid="{D5700731-1F94-4787-9C82-65434A6BCF47}" uniqueName="10" name="Recurrences" queryTableFieldId="123"/>
    <tableColumn id="14" xr3:uid="{554AB4FD-1633-4E19-88E1-E54734E24D4C}" uniqueName="14" name="StartDate" queryTableFieldId="124" dataDxfId="37"/>
    <tableColumn id="34" xr3:uid="{A794F34A-F2E4-4230-B129-BE7EF53921FE}" uniqueName="34" name="FQ" queryTableFieldId="43" dataDxfId="36">
      <calculatedColumnFormula>" FY"&amp;RIGHT(IF(MONTH(Opportunities[[#This Row],[Close]])&gt;=7,YEAR(Opportunities[[#This Row],[Close]])+1,YEAR(Opportunities[[#This Row],[Close]])),2)&amp;"-Q"&amp;IF(MONTH(Opportunities[[#This Row],[Close]])&gt;=7,CEILING((MONTH(Opportunities[[#This Row],[Close]])-6)/3,1),CEILING((MONTH(Opportunities[[#This Row],[Close]])+6)/3,1))</calculatedColumnFormula>
    </tableColumn>
    <tableColumn id="30" xr3:uid="{6260D86F-1639-40CB-91DA-FCEB1DCDC857}" uniqueName="30" name="CQ" queryTableFieldId="39" dataDxfId="35">
      <calculatedColumnFormula>"CY"&amp;RIGHT(YEAR(Opportunities[[#This Row],[Close]]),2)&amp;"-Q"&amp;ROUNDUP(MONTH(Opportunities[[#This Row],[Close]])/3, 0)</calculatedColumnFormula>
    </tableColumn>
    <tableColumn id="31" xr3:uid="{AFAB2CEE-41EC-476B-8EF4-F01AEE459A32}" uniqueName="31" name="url" queryTableFieldId="40" dataDxfId="34">
      <calculatedColumnFormula>siteUrl&amp;"/Lists/"&amp;oppList&amp;"/DispForm.aspx?ID="&amp;Opportunities[[#This Row],[ID]]</calculatedColumnFormula>
    </tableColumn>
    <tableColumn id="40" xr3:uid="{8BD6C9BB-E6FD-4E8E-A509-12D471DAA77F}" uniqueName="40" name="StageNumber" queryTableFieldId="54" dataDxfId="33">
      <calculatedColumnFormula>_xlfn.XLOOKUP(Opportunities[[#This Row],[Stage]],stage[Stage Name],stage[Index],"")</calculatedColumnFormula>
    </tableColumn>
    <tableColumn id="41" xr3:uid="{EDB4C612-1CC1-4B3C-B38D-DFE04A906351}" uniqueName="41" name="DisplayStage" queryTableFieldId="55" dataDxfId="32">
      <calculatedColumnFormula>_xlfn.XLOOKUP(Opportunities[[#This Row],[StageNumber]],stage[Index],stage[Display])</calculatedColumnFormula>
    </tableColumn>
    <tableColumn id="52" xr3:uid="{29FD805D-0C67-486B-AABC-E086612B3426}" uniqueName="52" name="Weighted" queryTableFieldId="70" dataDxfId="31">
      <calculatedColumnFormula>Opportunities[[#This Row],[Amount]]*_xlfn.XLOOKUP(Opportunities[[#This Row],[Probability]],prob[Win Probability],prob[Value])</calculatedColumnFormula>
    </tableColumn>
    <tableColumn id="56" xr3:uid="{9E365C66-70DC-4C5C-893A-3785B1B9D44C}" uniqueName="56" name="status symbol" queryTableFieldId="76" dataDxfId="30">
      <calculatedColumnFormula array="1">_xlfn.SWITCH(Opportunities[[#This Row],[Status]],"At Risk","⚠","Active","✓","⮾")</calculatedColumnFormula>
    </tableColumn>
    <tableColumn id="15" xr3:uid="{952135CC-0409-4FA2-BB0A-34668B61689B}" uniqueName="15" name="Customer Name" queryTableFieldId="104" dataDxfId="29">
      <calculatedColumnFormula>_xlfn.XLOOKUP(Opportunities[[#This Row],[CustomerId]],Customers[Id],Customers[Customer Name])</calculatedColumnFormula>
    </tableColumn>
    <tableColumn id="16" xr3:uid="{812C7365-FD2B-4EFB-8119-BF4F00253961}" uniqueName="16" name="CustomerRecordURL" queryTableFieldId="105" dataDxfId="28">
      <calculatedColumnFormula>_xlfn.XLOOKUP(Opportunities[[#This Row],[CustomerId]],Customers[Id],Customers[CustomerRecordUrl])</calculatedColumnFormula>
    </tableColumn>
    <tableColumn id="17" xr3:uid="{39447595-3500-4B90-9B69-594F9ED985D4}" uniqueName="17" name="Visible" queryTableFieldId="106" dataDxfId="27">
      <calculatedColumnFormula>_xlfn.XLOOKUP(Opportunities[[#This Row],[ID]],View[ID],View[Visible])</calculatedColumnFormula>
    </tableColumn>
    <tableColumn id="3" xr3:uid="{11F9B80B-B6B4-4FB8-ACD8-AAAC59768B2A}" uniqueName="3" name="Display" queryTableFieldId="116" dataDxfId="26">
      <calculatedColumnFormula>Opportunities[[#This Row],[status symbol]]&amp;" "&amp; Opportunities[[#This Row],[Customer Name]] &amp;CHAR(10)&amp;"("&amp;Opportunities[[#This Row],[OpportunityName]] &amp; ")"&amp;CHAR(10)&amp;" $"&amp;TEXT(Opportunities[[#This Row],[Amount]]/1000000,"#,0.0")&amp;"m • "&amp; Opportunities[[#This Row],[Stage]]&amp; " • Owner: " &amp; Opportunities[[#This Row],[OpportunityOwner]]</calculatedColumnFormula>
    </tableColumn>
    <tableColumn id="4" xr3:uid="{E5F0C4E2-BC19-440C-8E7A-9D81354C6CA5}" uniqueName="4" name="Close Quarter" queryTableFieldId="117" dataDxfId="25">
      <calculatedColumnFormula>IF(calendarType="FQ","FY"&amp;RIGHT(TEXT(IF(MONTH(Opportunities[[#This Row],[Close]])&gt;MONTH(fqStart),YEAR(Opportunities[[#This Row],[Close]])+1,IF(MONTH(Opportunities[[#This Row],[Close]])&lt;MONTH(fqStart),YEAR(Opportunities[[#This Row],[Close]]),IF(DAY(Opportunities[[#This Row],[Close]])&gt;=DAY(fqStart),YEAR(Opportunities[[#This Row],[Close]])+1,YEAR(Opportunities[[#This Row],[Close]])))),"0"),2)&amp;"-Q"&amp;ROUNDUP((MONTH(Opportunities[[#This Row],[Close]])-MONTH(fqStart)+IF(DAY(Opportunities[[#This Row],[Close]])&lt;DAY(fqStart),0,1)+IF(MONTH(Opportunities[[#This Row],[Close]])&lt;MONTH(fqStart),12,0))/3,0),_xlfn.XLOOKUP(Opportunities[[#This Row],[ID]],Opportunities[ID],Opportunities[CQ]))</calculatedColumnFormula>
    </tableColumn>
    <tableColumn id="5" xr3:uid="{D94B8258-4855-491E-AA1A-4E19A88F166C}" uniqueName="5" name="EscalationDisplay" queryTableFieldId="118" dataDxfId="24"/>
    <tableColumn id="6" xr3:uid="{181A8E3E-DBF5-4AEA-99B6-D8CAED362658}" uniqueName="6" name="WinProbDisplay" queryTableFieldId="119" dataDxfId="23">
      <calculatedColumnFormula array="1">_xlfn.SWITCH(Opportunities[[#This Row],[Probability]],"High","↖","Medium","←","Low","↙")&amp;" " &amp;Opportunities[[#This Row],[Probability]]</calculatedColumnFormula>
    </tableColumn>
    <tableColumn id="7" xr3:uid="{9F06B2D1-4DE6-445F-822E-1ED8C0CBA76B}" uniqueName="7" name="High Probability" queryTableFieldId="120" dataDxfId="22">
      <calculatedColumnFormula>Opportunities[[#This Row],[WinProbDisplay]]="↖ High"</calculatedColumnFormula>
    </tableColumn>
  </tableColumns>
  <tableStyleInfo name="TableStyleMedium7"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464801-8CE7-41B6-B2AB-6D69477B150E}" name="Customers" displayName="Customers" ref="A1:N31" tableType="queryTable" totalsRowShown="0">
  <autoFilter ref="A1:N31" xr:uid="{AE464801-8CE7-41B6-B2AB-6D69477B150E}"/>
  <tableColumns count="14">
    <tableColumn id="1" xr3:uid="{2305243C-9291-4758-997F-C45BB134350E}" uniqueName="1" name="Id" queryTableFieldId="1"/>
    <tableColumn id="2" xr3:uid="{387BF9D4-2CED-40F2-B4ED-A255FD73BA3C}" uniqueName="2" name="Customer Name" queryTableFieldId="68"/>
    <tableColumn id="15" xr3:uid="{23CEF6B2-F844-409B-8BCB-0CC38B20B82C}" uniqueName="15" name="PrimaryContact" queryTableFieldId="45"/>
    <tableColumn id="16" xr3:uid="{3382E165-D6E8-476A-9022-75537FD07766}" uniqueName="16" name="PrimaryContactTitle" queryTableFieldId="46"/>
    <tableColumn id="17" xr3:uid="{CBEBC0CB-C302-4D3B-BBD1-1832301B1932}" uniqueName="17" name="AlternateContact" queryTableFieldId="47"/>
    <tableColumn id="18" xr3:uid="{440F7168-47AE-419A-879A-6661F526D95C}" uniqueName="18" name="AlternateContactTitle" queryTableFieldId="48"/>
    <tableColumn id="21" xr3:uid="{35D2454E-BF7F-41A8-B5E4-A108FBAAC6B9}" uniqueName="21" name="AlternateContact2" queryTableFieldId="49"/>
    <tableColumn id="22" xr3:uid="{DE937772-9C37-48D7-ABCE-7097105DA3A2}" uniqueName="22" name="AlternateContact2Title" queryTableFieldId="50"/>
    <tableColumn id="20" xr3:uid="{3EC9ACD4-AC06-433C-B023-B0859024C43F}" uniqueName="20" name="Url" queryTableFieldId="26"/>
    <tableColumn id="10" xr3:uid="{90217281-99E7-44C5-AC06-64A80AAF7E75}" uniqueName="10" name="Modified" queryTableFieldId="10"/>
    <tableColumn id="11" xr3:uid="{6DDC4946-26E8-4ED8-95E0-30F5C3236EF6}" uniqueName="11" name="Created" queryTableFieldId="11"/>
    <tableColumn id="19" xr3:uid="{041E2B89-1334-402B-BCFC-79B63963763C}" uniqueName="19" name="url2" queryTableFieldId="19" dataDxfId="21">
      <calculatedColumnFormula>siteUrl&amp;"/Lists/"&amp;custList&amp;"/DispForm.aspx?ID="&amp;Customers[[#This Row],[Id]]</calculatedColumnFormula>
    </tableColumn>
    <tableColumn id="23" xr3:uid="{F1BC9043-195B-408B-8596-3FE166B5CF78}" uniqueName="23" name="Customer Name2" queryTableFieldId="60" dataDxfId="20">
      <calculatedColumnFormula>_xlfn.XLOOKUP(Customers[[#This Row],[Id]],Customers[Id],#REF!)</calculatedColumnFormula>
    </tableColumn>
    <tableColumn id="24" xr3:uid="{388F5F30-FCA2-45B0-938D-A8DFAA1EFCA9}" uniqueName="24" name="CustomerRecordUrl" queryTableFieldId="61" dataDxfId="19">
      <calculatedColumnFormula>_xlfn.XLOOKUP(Customers[[#This Row],[Id]],Customers[Id],Customers[url2])</calculatedColumnFormula>
    </tableColumn>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5" Type="http://schemas.microsoft.com/office/2007/relationships/slicer" Target="../slicers/slicer1.xml"/><Relationship Id="rId4" Type="http://schemas.openxmlformats.org/officeDocument/2006/relationships/table" Target="../tables/table1.xml"/></Relationships>
</file>

<file path=xl/worksheets/_rels/sheet2.xml.rels><?xml version="1.0" encoding="UTF-8" standalone="yes"?>
<Relationships xmlns="http://schemas.openxmlformats.org/package/2006/relationships"><Relationship Id="rId2" Type="http://schemas.openxmlformats.org/officeDocument/2006/relationships/vmlDrawing" Target="../drawings/vmlDrawing2.vml"/><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table" Target="../tables/table2.xml"/></Relationships>
</file>

<file path=xl/worksheets/_rels/sheet4.xml.rels><?xml version="1.0" encoding="UTF-8" standalone="yes"?>
<Relationships xmlns="http://schemas.openxmlformats.org/package/2006/relationships"><Relationship Id="rId1" Type="http://schemas.openxmlformats.org/officeDocument/2006/relationships/table" Target="../tables/table3.xml"/></Relationships>
</file>

<file path=xl/worksheets/_rels/sheet5.xml.rels><?xml version="1.0" encoding="UTF-8" standalone="yes"?>
<Relationships xmlns="http://schemas.openxmlformats.org/package/2006/relationships"><Relationship Id="rId3" Type="http://schemas.openxmlformats.org/officeDocument/2006/relationships/table" Target="../tables/table4.xml"/><Relationship Id="rId2" Type="http://schemas.openxmlformats.org/officeDocument/2006/relationships/printerSettings" Target="../printerSettings/printerSettings2.bin"/><Relationship Id="rId1" Type="http://schemas.openxmlformats.org/officeDocument/2006/relationships/hyperlink" Target="../" TargetMode="External"/><Relationship Id="rId4" Type="http://schemas.openxmlformats.org/officeDocument/2006/relationships/table" Target="../tables/table5.xml"/></Relationships>
</file>

<file path=xl/worksheets/_rels/sheet6.xml.rels><?xml version="1.0" encoding="UTF-8" standalone="yes"?>
<Relationships xmlns="http://schemas.openxmlformats.org/package/2006/relationships"><Relationship Id="rId1" Type="http://schemas.openxmlformats.org/officeDocument/2006/relationships/table" Target="../tables/table6.xml"/></Relationships>
</file>

<file path=xl/worksheets/_rels/sheet7.xml.rels><?xml version="1.0" encoding="UTF-8" standalone="yes"?>
<Relationships xmlns="http://schemas.openxmlformats.org/package/2006/relationships"><Relationship Id="rId1" Type="http://schemas.openxmlformats.org/officeDocument/2006/relationships/table" Target="../tables/table7.xml"/></Relationships>
</file>

<file path=xl/worksheets/_rels/sheet8.xml.rels><?xml version="1.0" encoding="UTF-8" standalone="yes"?>
<Relationships xmlns="http://schemas.openxmlformats.org/package/2006/relationships"><Relationship Id="rId1" Type="http://schemas.openxmlformats.org/officeDocument/2006/relationships/table" Target="../tables/table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53AE52-65EE-4C26-B3CD-4209BF9D18A7}">
  <sheetPr codeName="Sheet1">
    <tabColor rgb="FF660000"/>
  </sheetPr>
  <dimension ref="A1:Z47"/>
  <sheetViews>
    <sheetView showGridLines="0" tabSelected="1" zoomScale="85" zoomScaleNormal="85" workbookViewId="0">
      <selection activeCell="C3" sqref="C3"/>
    </sheetView>
  </sheetViews>
  <sheetFormatPr defaultRowHeight="15" outlineLevelCol="1" x14ac:dyDescent="0.25"/>
  <cols>
    <col min="1" max="1" width="13.7109375" bestFit="1" customWidth="1"/>
    <col min="4" max="4" width="4.42578125" customWidth="1"/>
    <col min="5" max="5" width="13.28515625" bestFit="1" customWidth="1"/>
    <col min="6" max="6" width="12.5703125" bestFit="1" customWidth="1"/>
    <col min="7" max="7" width="5.140625" customWidth="1"/>
    <col min="8" max="8" width="9.28515625" bestFit="1" customWidth="1"/>
    <col min="9" max="9" width="33.85546875" bestFit="1" customWidth="1"/>
    <col min="10" max="10" width="28.28515625" bestFit="1" customWidth="1"/>
    <col min="11" max="11" width="22.140625" bestFit="1" customWidth="1"/>
    <col min="12" max="12" width="12.42578125" bestFit="1" customWidth="1"/>
    <col min="13" max="13" width="17.140625" bestFit="1" customWidth="1"/>
    <col min="14" max="14" width="15.7109375" customWidth="1"/>
    <col min="15" max="15" width="17" customWidth="1"/>
    <col min="16" max="16" width="16.5703125" bestFit="1" customWidth="1"/>
    <col min="17" max="17" width="5.7109375" hidden="1" customWidth="1" outlineLevel="1"/>
    <col min="18" max="18" width="17.140625" hidden="1" customWidth="1" outlineLevel="1"/>
    <col min="19" max="19" width="16" hidden="1" customWidth="1" outlineLevel="1"/>
    <col min="20" max="20" width="20.5703125" hidden="1" customWidth="1" outlineLevel="1"/>
    <col min="21" max="21" width="14.28515625" hidden="1" customWidth="1" outlineLevel="1"/>
    <col min="22" max="22" width="17.7109375" hidden="1" customWidth="1" outlineLevel="1"/>
    <col min="23" max="23" width="9.7109375" hidden="1" customWidth="1" outlineLevel="1"/>
    <col min="24" max="24" width="9.140625" collapsed="1"/>
  </cols>
  <sheetData>
    <row r="1" spans="1:26" ht="21" x14ac:dyDescent="0.35">
      <c r="E1" s="25"/>
      <c r="H1" s="7" t="str">
        <f>listPrefix&amp;" Sales Pipeline Dashboard"</f>
        <v>auto12 Sales Pipeline Dashboard</v>
      </c>
      <c r="I1" s="7"/>
      <c r="J1" s="7"/>
      <c r="K1" s="8"/>
      <c r="L1" s="9"/>
      <c r="M1" s="7"/>
      <c r="N1" s="7"/>
      <c r="O1" s="7"/>
      <c r="P1" s="7"/>
      <c r="Q1" s="7"/>
      <c r="R1" s="7"/>
      <c r="S1" s="7"/>
      <c r="T1" s="7"/>
      <c r="U1" s="7"/>
      <c r="V1" s="17"/>
      <c r="W1" s="41"/>
      <c r="Z1" s="20"/>
    </row>
    <row r="2" spans="1:26" x14ac:dyDescent="0.25">
      <c r="A2" s="19" t="s">
        <v>144</v>
      </c>
      <c r="B2" s="46" t="str">
        <f>HYPERLINK(siteUrl&amp;"Lists/"&amp;custList&amp;"/NewForm.aspx?","New")</f>
        <v>New</v>
      </c>
      <c r="C2" s="46" t="str">
        <f>HYPERLINK(siteUrl&amp;"/Lists/"&amp;custList,"List")</f>
        <v>List</v>
      </c>
      <c r="E2" s="19" t="s">
        <v>37</v>
      </c>
      <c r="F2" s="6" t="s">
        <v>31</v>
      </c>
      <c r="H2" s="10" t="str">
        <f>_xlfn.XLOOKUP(SUBTOTAL(5,View[Close]),View[Close],View[Close Quarter]) &amp;" to " &amp; _xlfn.XLOOKUP(SUBTOTAL(4,View[Close]),View[Close],View[Close Quarter])</f>
        <v>FY26-Q1 to FY27-Q3</v>
      </c>
      <c r="I2" s="10"/>
      <c r="J2" s="10"/>
      <c r="K2" s="10"/>
      <c r="L2" s="10"/>
      <c r="M2" s="10"/>
      <c r="N2" s="10"/>
      <c r="O2" s="10"/>
      <c r="P2" s="10"/>
      <c r="Q2" s="10"/>
      <c r="R2" s="10"/>
      <c r="S2" s="10"/>
      <c r="T2" s="10"/>
      <c r="U2" s="10"/>
      <c r="V2" s="17"/>
      <c r="W2" s="41"/>
    </row>
    <row r="3" spans="1:26" x14ac:dyDescent="0.25">
      <c r="A3" s="19" t="s">
        <v>48</v>
      </c>
      <c r="B3" s="46" t="str">
        <f>HYPERLINK(siteUrl&amp;"Lists/"&amp;oppList&amp;"/NewForm.aspx?","New")</f>
        <v>New</v>
      </c>
      <c r="C3" s="46" t="str">
        <f>HYPERLINK(siteUrl&amp;"/Lists/"&amp;oppList,"List")</f>
        <v>List</v>
      </c>
      <c r="E3" s="19" t="s">
        <v>42</v>
      </c>
      <c r="F3" s="6" t="s">
        <v>43</v>
      </c>
    </row>
    <row r="4" spans="1:26" x14ac:dyDescent="0.25">
      <c r="A4" s="19" t="s">
        <v>409</v>
      </c>
      <c r="B4" s="46" t="str">
        <f>HYPERLINK(siteUrl&amp;"Lists/"&amp;milestoneList&amp;"/NewForm.aspx?","New")</f>
        <v>New</v>
      </c>
      <c r="C4" s="46" t="str">
        <f>HYPERLINK(siteUrl&amp;"/Lists/"&amp;milestoneList,"List")</f>
        <v>List</v>
      </c>
      <c r="E4" s="22"/>
    </row>
    <row r="5" spans="1:26" x14ac:dyDescent="0.25">
      <c r="A5" s="19" t="s">
        <v>408</v>
      </c>
      <c r="B5" s="46" t="str">
        <f>HYPERLINK(siteUrl&amp;"Lists/"&amp;contactList&amp;"/NewForm.aspx?","New")</f>
        <v>New</v>
      </c>
      <c r="C5" s="46" t="str">
        <f>HYPERLINK(siteUrl&amp;"/Lists/"&amp;contactList,"List")</f>
        <v>List</v>
      </c>
      <c r="E5" s="23"/>
    </row>
    <row r="7" spans="1:26" x14ac:dyDescent="0.25">
      <c r="H7" s="11" t="s">
        <v>13</v>
      </c>
      <c r="I7" s="12" t="s">
        <v>81</v>
      </c>
      <c r="J7" s="12" t="s">
        <v>46</v>
      </c>
      <c r="K7" s="12" t="s">
        <v>14</v>
      </c>
      <c r="L7" s="12" t="s">
        <v>388</v>
      </c>
      <c r="M7" s="12" t="s">
        <v>79</v>
      </c>
      <c r="N7" s="12" t="s">
        <v>389</v>
      </c>
      <c r="O7" s="12" t="s">
        <v>34</v>
      </c>
      <c r="P7" s="12" t="s">
        <v>75</v>
      </c>
      <c r="Q7" s="12" t="s">
        <v>384</v>
      </c>
      <c r="R7" s="12" t="s">
        <v>40</v>
      </c>
      <c r="S7" s="12" t="s">
        <v>30</v>
      </c>
      <c r="T7" s="12" t="s">
        <v>80</v>
      </c>
      <c r="U7" s="12" t="s">
        <v>43</v>
      </c>
      <c r="V7" s="12" t="s">
        <v>28</v>
      </c>
      <c r="W7" s="12" t="s">
        <v>44</v>
      </c>
    </row>
    <row r="8" spans="1:26" x14ac:dyDescent="0.25">
      <c r="H8" s="51" t="str">
        <f>_xlfn.XLOOKUP(View[[#This Row],[ID]],Opportunities[ID],Opportunities[Status])</f>
        <v>Active</v>
      </c>
      <c r="I8" s="33" t="str">
        <f>HYPERLINK(siteUrl&amp;"Lists/"&amp;oppList&amp;"/DispForm.aspx?ID="&amp;View[[#This Row],[ID]],_xlfn.XLOOKUP(View[[#This Row],[ID]],Opportunities[ID],Opportunities[OpportunityName]))</f>
        <v>Cloud Migration Initiative</v>
      </c>
      <c r="J8" s="45" t="str">
        <f>HYPERLINK(_xlfn.XLOOKUP(View[[#This Row],[ID]],Opportunities[ID],Opportunities[CustomerRecordURL]),_xlfn.XLOOKUP(View[[#This Row],[ID]],Opportunities[ID],Opportunities[Customer Name]))</f>
        <v>Education First</v>
      </c>
      <c r="K8" s="34" t="str">
        <f>_xlfn.XLOOKUP(View[[#This Row],[ID]],Opportunities[ID],Opportunities[DisplayStage])</f>
        <v>➁ - Nurturing</v>
      </c>
      <c r="L8" s="1">
        <f>IF(pipelineType="Unweighted",_xlfn.XLOOKUP(View[[#This Row],[ID]],Opportunities[ID],Opportunities[Amount])/1000,_xlfn.XLOOKUP(View[[#This Row],[ID]],Opportunities[ID],Opportunities[Weighted])/1000)</f>
        <v>1781.9380000000001</v>
      </c>
      <c r="M8" s="27" t="str">
        <f>_xlfn.XLOOKUP(View[[#This Row],[ID]],Opportunities[ID],Opportunities[WinProbDisplay])</f>
        <v>← Medium</v>
      </c>
      <c r="N8" s="28">
        <f>View[[#This Row],[Estmated Revenue]]</f>
        <v>712.77520000000004</v>
      </c>
      <c r="O8" s="2">
        <f>_xlfn.XLOOKUP(View[[#This Row],[ID]],Opportunities[ID],Opportunities[Close])</f>
        <v>45975</v>
      </c>
      <c r="P8" s="24" t="str">
        <f>IF(_xlfn.XLOOKUP(View[[#This Row],[ID]],Opportunities[ID],Opportunities[Comment Log])=0,"",_xlfn.XLOOKUP(View[[#This Row],[ID]],Opportunities[ID],Opportunities[Comment Log]))</f>
        <v/>
      </c>
      <c r="Q8">
        <v>2</v>
      </c>
      <c r="R8" s="3">
        <f ca="1">_xlfn.XLOOKUP(View[[#This Row],[ID]],Opportunities[ID],Opportunities[NextMilestoneDate])-TODAY()</f>
        <v>23</v>
      </c>
      <c r="S8" s="34" t="str">
        <f>IF(calendarType="FQ","FY"&amp;RIGHT(TEXT(IF(MONTH(View[[#This Row],[Close]])&gt;MONTH(fqStart),YEAR(View[[#This Row],[Close]])+1,IF(MONTH(View[[#This Row],[Close]])&lt;MONTH(fqStart),YEAR(View[[#This Row],[Close]]),IF(DAY(View[[#This Row],[Close]])&gt;=DAY(fqStart),YEAR(View[[#This Row],[Close]])+1,YEAR(View[[#This Row],[Close]])))),"0"),2)&amp;"-Q"&amp;ROUNDUP((MONTH(View[[#This Row],[Close]])-MONTH(fqStart)+IF(DAY(View[[#This Row],[Close]])&lt;DAY(fqStart),0,1)+IF(MONTH(View[[#This Row],[Close]])&lt;MONTH(fqStart),12,0))/3,0),_xlfn.XLOOKUP(View[[#This Row],[ID]],Opportunities[ID],Opportunities[CQ]))</f>
        <v>FY26-Q2</v>
      </c>
      <c r="T8" s="1">
        <f>_xlfn.XLOOKUP(View[[#This Row],[ID]],Opportunities[ID],Opportunities[Weighted])/1000</f>
        <v>712.77520000000004</v>
      </c>
      <c r="U8" s="4">
        <f>_xlfn.XLOOKUP(View[[#This Row],[ID]],Opportunities[ID],Opportunities[Amount])/1000</f>
        <v>1781.9380000000001</v>
      </c>
      <c r="V8" t="b">
        <f>View[[#This Row],[Win Probability]]="High"</f>
        <v>0</v>
      </c>
      <c r="W8">
        <f>SUBTOTAL(103, View[[#This Row],[Status]])</f>
        <v>1</v>
      </c>
    </row>
    <row r="9" spans="1:26" x14ac:dyDescent="0.25">
      <c r="H9" s="51" t="str">
        <f>_xlfn.XLOOKUP(View[[#This Row],[ID]],Opportunities[ID],Opportunities[Status])</f>
        <v>Active</v>
      </c>
      <c r="I9" s="33" t="str">
        <f>HYPERLINK(siteUrl&amp;"Lists/"&amp;oppList&amp;"/DispForm.aspx?ID="&amp;View[[#This Row],[ID]],_xlfn.XLOOKUP(View[[#This Row],[ID]],Opportunities[ID],Opportunities[OpportunityName]))</f>
        <v>Legacy System Modernization</v>
      </c>
      <c r="J9" s="45" t="str">
        <f>HYPERLINK(_xlfn.XLOOKUP(View[[#This Row],[ID]],Opportunities[ID],Opportunities[CustomerRecordURL]),_xlfn.XLOOKUP(View[[#This Row],[ID]],Opportunities[ID],Opportunities[Customer Name]))</f>
        <v>Textile Manufacturing</v>
      </c>
      <c r="K9" s="34" t="str">
        <f>_xlfn.XLOOKUP(View[[#This Row],[ID]],Opportunities[ID],Opportunities[DisplayStage])</f>
        <v>➂ - Proposal</v>
      </c>
      <c r="L9" s="1">
        <f>IF(pipelineType="Unweighted",_xlfn.XLOOKUP(View[[#This Row],[ID]],Opportunities[ID],Opportunities[Amount])/1000,_xlfn.XLOOKUP(View[[#This Row],[ID]],Opportunities[ID],Opportunities[Weighted])/1000)</f>
        <v>914.80499999999995</v>
      </c>
      <c r="M9" s="27" t="str">
        <f>_xlfn.XLOOKUP(View[[#This Row],[ID]],Opportunities[ID],Opportunities[WinProbDisplay])</f>
        <v>← Medium</v>
      </c>
      <c r="N9" s="28">
        <f>View[[#This Row],[Estmated Revenue]]</f>
        <v>365.92200000000003</v>
      </c>
      <c r="O9" s="2">
        <f>_xlfn.XLOOKUP(View[[#This Row],[ID]],Opportunities[ID],Opportunities[Close])</f>
        <v>46339</v>
      </c>
      <c r="P9" s="24" t="str">
        <f>IF(_xlfn.XLOOKUP(View[[#This Row],[ID]],Opportunities[ID],Opportunities[Comment Log])=0,"",_xlfn.XLOOKUP(View[[#This Row],[ID]],Opportunities[ID],Opportunities[Comment Log]))</f>
        <v/>
      </c>
      <c r="Q9">
        <v>38</v>
      </c>
      <c r="R9" s="3">
        <f ca="1">_xlfn.XLOOKUP(View[[#This Row],[ID]],Opportunities[ID],Opportunities[NextMilestoneDate])-TODAY()</f>
        <v>53</v>
      </c>
      <c r="S9" s="34" t="str">
        <f>IF(calendarType="FQ","FY"&amp;RIGHT(TEXT(IF(MONTH(View[[#This Row],[Close]])&gt;MONTH(fqStart),YEAR(View[[#This Row],[Close]])+1,IF(MONTH(View[[#This Row],[Close]])&lt;MONTH(fqStart),YEAR(View[[#This Row],[Close]]),IF(DAY(View[[#This Row],[Close]])&gt;=DAY(fqStart),YEAR(View[[#This Row],[Close]])+1,YEAR(View[[#This Row],[Close]])))),"0"),2)&amp;"-Q"&amp;ROUNDUP((MONTH(View[[#This Row],[Close]])-MONTH(fqStart)+IF(DAY(View[[#This Row],[Close]])&lt;DAY(fqStart),0,1)+IF(MONTH(View[[#This Row],[Close]])&lt;MONTH(fqStart),12,0))/3,0),_xlfn.XLOOKUP(View[[#This Row],[ID]],Opportunities[ID],Opportunities[CQ]))</f>
        <v>FY27-Q2</v>
      </c>
      <c r="T9" s="1">
        <f>_xlfn.XLOOKUP(View[[#This Row],[ID]],Opportunities[ID],Opportunities[Weighted])/1000</f>
        <v>365.92200000000003</v>
      </c>
      <c r="U9" s="4">
        <f>_xlfn.XLOOKUP(View[[#This Row],[ID]],Opportunities[ID],Opportunities[Amount])/1000</f>
        <v>914.80499999999995</v>
      </c>
      <c r="V9" t="b">
        <f>View[[#This Row],[Win Probability]]="High"</f>
        <v>0</v>
      </c>
      <c r="W9">
        <f>SUBTOTAL(103, View[[#This Row],[Status]])</f>
        <v>1</v>
      </c>
    </row>
    <row r="10" spans="1:26" x14ac:dyDescent="0.25">
      <c r="H10" s="51" t="str">
        <f>_xlfn.XLOOKUP(View[[#This Row],[ID]],Opportunities[ID],Opportunities[Status])</f>
        <v>Active</v>
      </c>
      <c r="I10" s="33" t="str">
        <f>HYPERLINK(siteUrl&amp;"Lists/"&amp;oppList&amp;"/DispForm.aspx?ID="&amp;View[[#This Row],[ID]],_xlfn.XLOOKUP(View[[#This Row],[ID]],Opportunities[ID],Opportunities[OpportunityName]))</f>
        <v>CRM System Upgrade</v>
      </c>
      <c r="J10" s="45" t="str">
        <f>HYPERLINK(_xlfn.XLOOKUP(View[[#This Row],[ID]],Opportunities[ID],Opportunities[CustomerRecordURL]),_xlfn.XLOOKUP(View[[#This Row],[ID]],Opportunities[ID],Opportunities[Customer Name]))</f>
        <v>ACME Corporation</v>
      </c>
      <c r="K10" s="34" t="str">
        <f>_xlfn.XLOOKUP(View[[#This Row],[ID]],Opportunities[ID],Opportunities[DisplayStage])</f>
        <v>➅ - Closeout</v>
      </c>
      <c r="L10" s="1">
        <f>IF(pipelineType="Unweighted",_xlfn.XLOOKUP(View[[#This Row],[ID]],Opportunities[ID],Opportunities[Amount])/1000,_xlfn.XLOOKUP(View[[#This Row],[ID]],Opportunities[ID],Opportunities[Weighted])/1000)</f>
        <v>1002.288</v>
      </c>
      <c r="M10" s="27" t="str">
        <f>_xlfn.XLOOKUP(View[[#This Row],[ID]],Opportunities[ID],Opportunities[WinProbDisplay])</f>
        <v>↙ Low</v>
      </c>
      <c r="N10" s="28">
        <f>View[[#This Row],[Estmated Revenue]]</f>
        <v>200.45760000000001</v>
      </c>
      <c r="O10" s="2">
        <f>_xlfn.XLOOKUP(View[[#This Row],[ID]],Opportunities[ID],Opportunities[Close])</f>
        <v>46013</v>
      </c>
      <c r="P10" s="24" t="str">
        <f>IF(_xlfn.XLOOKUP(View[[#This Row],[ID]],Opportunities[ID],Opportunities[Comment Log])=0,"",_xlfn.XLOOKUP(View[[#This Row],[ID]],Opportunities[ID],Opportunities[Comment Log]))</f>
        <v/>
      </c>
      <c r="Q10">
        <v>21</v>
      </c>
      <c r="R10" s="3">
        <f ca="1">_xlfn.XLOOKUP(View[[#This Row],[ID]],Opportunities[ID],Opportunities[NextMilestoneDate])-TODAY()</f>
        <v>58</v>
      </c>
      <c r="S10" s="34" t="str">
        <f>IF(calendarType="FQ","FY"&amp;RIGHT(TEXT(IF(MONTH(View[[#This Row],[Close]])&gt;MONTH(fqStart),YEAR(View[[#This Row],[Close]])+1,IF(MONTH(View[[#This Row],[Close]])&lt;MONTH(fqStart),YEAR(View[[#This Row],[Close]]),IF(DAY(View[[#This Row],[Close]])&gt;=DAY(fqStart),YEAR(View[[#This Row],[Close]])+1,YEAR(View[[#This Row],[Close]])))),"0"),2)&amp;"-Q"&amp;ROUNDUP((MONTH(View[[#This Row],[Close]])-MONTH(fqStart)+IF(DAY(View[[#This Row],[Close]])&lt;DAY(fqStart),0,1)+IF(MONTH(View[[#This Row],[Close]])&lt;MONTH(fqStart),12,0))/3,0),_xlfn.XLOOKUP(View[[#This Row],[ID]],Opportunities[ID],Opportunities[CQ]))</f>
        <v>FY26-Q2</v>
      </c>
      <c r="T10" s="1">
        <f>_xlfn.XLOOKUP(View[[#This Row],[ID]],Opportunities[ID],Opportunities[Weighted])/1000</f>
        <v>200.45760000000001</v>
      </c>
      <c r="U10" s="4">
        <f>_xlfn.XLOOKUP(View[[#This Row],[ID]],Opportunities[ID],Opportunities[Amount])/1000</f>
        <v>1002.288</v>
      </c>
      <c r="V10" t="b">
        <f>View[[#This Row],[Win Probability]]="High"</f>
        <v>0</v>
      </c>
      <c r="W10">
        <f>SUBTOTAL(103, View[[#This Row],[Status]])</f>
        <v>1</v>
      </c>
    </row>
    <row r="11" spans="1:26" x14ac:dyDescent="0.25">
      <c r="H11" s="51" t="str">
        <f>_xlfn.XLOOKUP(View[[#This Row],[ID]],Opportunities[ID],Opportunities[Status])</f>
        <v>Critical</v>
      </c>
      <c r="I11" s="33" t="str">
        <f>HYPERLINK(siteUrl&amp;"Lists/"&amp;oppList&amp;"/DispForm.aspx?ID="&amp;View[[#This Row],[ID]],_xlfn.XLOOKUP(View[[#This Row],[ID]],Opportunities[ID],Opportunities[OpportunityName]))</f>
        <v>Marketing Automation Platform</v>
      </c>
      <c r="J11" s="45" t="str">
        <f>HYPERLINK(_xlfn.XLOOKUP(View[[#This Row],[ID]],Opportunities[ID],Opportunities[CustomerRecordURL]),_xlfn.XLOOKUP(View[[#This Row],[ID]],Opportunities[ID],Opportunities[Customer Name]))</f>
        <v>Telecommunications Inc</v>
      </c>
      <c r="K11" s="34" t="str">
        <f>_xlfn.XLOOKUP(View[[#This Row],[ID]],Opportunities[ID],Opportunities[DisplayStage])</f>
        <v>➂ - Proposal</v>
      </c>
      <c r="L11" s="1">
        <f>IF(pipelineType="Unweighted",_xlfn.XLOOKUP(View[[#This Row],[ID]],Opportunities[ID],Opportunities[Amount])/1000,_xlfn.XLOOKUP(View[[#This Row],[ID]],Opportunities[ID],Opportunities[Weighted])/1000)</f>
        <v>1161.4259999999999</v>
      </c>
      <c r="M11" s="27" t="str">
        <f>_xlfn.XLOOKUP(View[[#This Row],[ID]],Opportunities[ID],Opportunities[WinProbDisplay])</f>
        <v>← Medium</v>
      </c>
      <c r="N11" s="28">
        <f>View[[#This Row],[Estmated Revenue]]</f>
        <v>464.57040000000001</v>
      </c>
      <c r="O11" s="2">
        <f>_xlfn.XLOOKUP(View[[#This Row],[ID]],Opportunities[ID],Opportunities[Close])</f>
        <v>46016</v>
      </c>
      <c r="P11" s="24" t="str">
        <f>IF(_xlfn.XLOOKUP(View[[#This Row],[ID]],Opportunities[ID],Opportunities[Comment Log])=0,"",_xlfn.XLOOKUP(View[[#This Row],[ID]],Opportunities[ID],Opportunities[Comment Log]))</f>
        <v/>
      </c>
      <c r="Q11">
        <v>20</v>
      </c>
      <c r="R11" s="3">
        <f ca="1">_xlfn.XLOOKUP(View[[#This Row],[ID]],Opportunities[ID],Opportunities[NextMilestoneDate])-TODAY()</f>
        <v>9</v>
      </c>
      <c r="S11" s="34" t="str">
        <f>IF(calendarType="FQ","FY"&amp;RIGHT(TEXT(IF(MONTH(View[[#This Row],[Close]])&gt;MONTH(fqStart),YEAR(View[[#This Row],[Close]])+1,IF(MONTH(View[[#This Row],[Close]])&lt;MONTH(fqStart),YEAR(View[[#This Row],[Close]]),IF(DAY(View[[#This Row],[Close]])&gt;=DAY(fqStart),YEAR(View[[#This Row],[Close]])+1,YEAR(View[[#This Row],[Close]])))),"0"),2)&amp;"-Q"&amp;ROUNDUP((MONTH(View[[#This Row],[Close]])-MONTH(fqStart)+IF(DAY(View[[#This Row],[Close]])&lt;DAY(fqStart),0,1)+IF(MONTH(View[[#This Row],[Close]])&lt;MONTH(fqStart),12,0))/3,0),_xlfn.XLOOKUP(View[[#This Row],[ID]],Opportunities[ID],Opportunities[CQ]))</f>
        <v>FY26-Q2</v>
      </c>
      <c r="T11" s="1">
        <f>_xlfn.XLOOKUP(View[[#This Row],[ID]],Opportunities[ID],Opportunities[Weighted])/1000</f>
        <v>464.57040000000001</v>
      </c>
      <c r="U11" s="4">
        <f>_xlfn.XLOOKUP(View[[#This Row],[ID]],Opportunities[ID],Opportunities[Amount])/1000</f>
        <v>1161.4259999999999</v>
      </c>
      <c r="V11" t="b">
        <f>View[[#This Row],[Win Probability]]="High"</f>
        <v>0</v>
      </c>
      <c r="W11">
        <f>SUBTOTAL(103, View[[#This Row],[Status]])</f>
        <v>1</v>
      </c>
    </row>
    <row r="12" spans="1:26" x14ac:dyDescent="0.25">
      <c r="H12" s="51" t="str">
        <f>_xlfn.XLOOKUP(View[[#This Row],[ID]],Opportunities[ID],Opportunities[Status])</f>
        <v>Active</v>
      </c>
      <c r="I12" s="33" t="str">
        <f>HYPERLINK(siteUrl&amp;"Lists/"&amp;oppList&amp;"/DispForm.aspx?ID="&amp;View[[#This Row],[ID]],_xlfn.XLOOKUP(View[[#This Row],[ID]],Opportunities[ID],Opportunities[OpportunityName]))</f>
        <v>E-commerce Platform</v>
      </c>
      <c r="J12" s="45" t="str">
        <f>HYPERLINK(_xlfn.XLOOKUP(View[[#This Row],[ID]],Opportunities[ID],Opportunities[CustomerRecordURL]),_xlfn.XLOOKUP(View[[#This Row],[ID]],Opportunities[ID],Opportunities[Customer Name]))</f>
        <v>Global Industries</v>
      </c>
      <c r="K12" s="34" t="str">
        <f>_xlfn.XLOOKUP(View[[#This Row],[ID]],Opportunities[ID],Opportunities[DisplayStage])</f>
        <v>➃ - Negotiation</v>
      </c>
      <c r="L12" s="1">
        <f>IF(pipelineType="Unweighted",_xlfn.XLOOKUP(View[[#This Row],[ID]],Opportunities[ID],Opportunities[Amount])/1000,_xlfn.XLOOKUP(View[[#This Row],[ID]],Opportunities[ID],Opportunities[Weighted])/1000)</f>
        <v>1236.6369999999999</v>
      </c>
      <c r="M12" s="27" t="str">
        <f>_xlfn.XLOOKUP(View[[#This Row],[ID]],Opportunities[ID],Opportunities[WinProbDisplay])</f>
        <v>← Medium</v>
      </c>
      <c r="N12" s="28">
        <f>View[[#This Row],[Estmated Revenue]]</f>
        <v>494.65480000000002</v>
      </c>
      <c r="O12" s="2">
        <f>_xlfn.XLOOKUP(View[[#This Row],[ID]],Opportunities[ID],Opportunities[Close])</f>
        <v>46246</v>
      </c>
      <c r="P12" s="24" t="str">
        <f>IF(_xlfn.XLOOKUP(View[[#This Row],[ID]],Opportunities[ID],Opportunities[Comment Log])=0,"",_xlfn.XLOOKUP(View[[#This Row],[ID]],Opportunities[ID],Opportunities[Comment Log]))</f>
        <v/>
      </c>
      <c r="Q12">
        <v>13</v>
      </c>
      <c r="R12" s="3">
        <f ca="1">_xlfn.XLOOKUP(View[[#This Row],[ID]],Opportunities[ID],Opportunities[NextMilestoneDate])-TODAY()</f>
        <v>58</v>
      </c>
      <c r="S12" s="34" t="str">
        <f>IF(calendarType="FQ","FY"&amp;RIGHT(TEXT(IF(MONTH(View[[#This Row],[Close]])&gt;MONTH(fqStart),YEAR(View[[#This Row],[Close]])+1,IF(MONTH(View[[#This Row],[Close]])&lt;MONTH(fqStart),YEAR(View[[#This Row],[Close]]),IF(DAY(View[[#This Row],[Close]])&gt;=DAY(fqStart),YEAR(View[[#This Row],[Close]])+1,YEAR(View[[#This Row],[Close]])))),"0"),2)&amp;"-Q"&amp;ROUNDUP((MONTH(View[[#This Row],[Close]])-MONTH(fqStart)+IF(DAY(View[[#This Row],[Close]])&lt;DAY(fqStart),0,1)+IF(MONTH(View[[#This Row],[Close]])&lt;MONTH(fqStart),12,0))/3,0),_xlfn.XLOOKUP(View[[#This Row],[ID]],Opportunities[ID],Opportunities[CQ]))</f>
        <v>FY27-Q1</v>
      </c>
      <c r="T12" s="1">
        <f>_xlfn.XLOOKUP(View[[#This Row],[ID]],Opportunities[ID],Opportunities[Weighted])/1000</f>
        <v>494.65480000000002</v>
      </c>
      <c r="U12" s="4">
        <f>_xlfn.XLOOKUP(View[[#This Row],[ID]],Opportunities[ID],Opportunities[Amount])/1000</f>
        <v>1236.6369999999999</v>
      </c>
      <c r="V12" t="b">
        <f>View[[#This Row],[Win Probability]]="High"</f>
        <v>0</v>
      </c>
      <c r="W12">
        <f>SUBTOTAL(103, View[[#This Row],[Status]])</f>
        <v>1</v>
      </c>
    </row>
    <row r="13" spans="1:26" x14ac:dyDescent="0.25">
      <c r="H13" s="51" t="str">
        <f>_xlfn.XLOOKUP(View[[#This Row],[ID]],Opportunities[ID],Opportunities[Status])</f>
        <v>Active</v>
      </c>
      <c r="I13" s="33" t="str">
        <f>HYPERLINK(siteUrl&amp;"Lists/"&amp;oppList&amp;"/DispForm.aspx?ID="&amp;View[[#This Row],[ID]],_xlfn.XLOOKUP(View[[#This Row],[ID]],Opportunities[ID],Opportunities[OpportunityName]))</f>
        <v>Social Media Management Tool</v>
      </c>
      <c r="J13" s="45" t="str">
        <f>HYPERLINK(_xlfn.XLOOKUP(View[[#This Row],[ID]],Opportunities[ID],Opportunities[CustomerRecordURL]),_xlfn.XLOOKUP(View[[#This Row],[ID]],Opportunities[ID],Opportunities[Customer Name]))</f>
        <v>Education First</v>
      </c>
      <c r="K13" s="34" t="str">
        <f>_xlfn.XLOOKUP(View[[#This Row],[ID]],Opportunities[ID],Opportunities[DisplayStage])</f>
        <v>➅ - Closeout</v>
      </c>
      <c r="L13" s="1">
        <f>IF(pipelineType="Unweighted",_xlfn.XLOOKUP(View[[#This Row],[ID]],Opportunities[ID],Opportunities[Amount])/1000,_xlfn.XLOOKUP(View[[#This Row],[ID]],Opportunities[ID],Opportunities[Weighted])/1000)</f>
        <v>1805.761</v>
      </c>
      <c r="M13" s="27" t="str">
        <f>_xlfn.XLOOKUP(View[[#This Row],[ID]],Opportunities[ID],Opportunities[WinProbDisplay])</f>
        <v>← Medium</v>
      </c>
      <c r="N13" s="28">
        <f>View[[#This Row],[Estmated Revenue]]</f>
        <v>722.30439999999999</v>
      </c>
      <c r="O13" s="2">
        <f>_xlfn.XLOOKUP(View[[#This Row],[ID]],Opportunities[ID],Opportunities[Close])</f>
        <v>46107</v>
      </c>
      <c r="P13" s="24" t="str">
        <f>IF(_xlfn.XLOOKUP(View[[#This Row],[ID]],Opportunities[ID],Opportunities[Comment Log])=0,"",_xlfn.XLOOKUP(View[[#This Row],[ID]],Opportunities[ID],Opportunities[Comment Log]))</f>
        <v/>
      </c>
      <c r="Q13">
        <v>29</v>
      </c>
      <c r="R13" s="3">
        <f ca="1">_xlfn.XLOOKUP(View[[#This Row],[ID]],Opportunities[ID],Opportunities[NextMilestoneDate])-TODAY()</f>
        <v>27</v>
      </c>
      <c r="S13" s="34" t="str">
        <f>IF(calendarType="FQ","FY"&amp;RIGHT(TEXT(IF(MONTH(View[[#This Row],[Close]])&gt;MONTH(fqStart),YEAR(View[[#This Row],[Close]])+1,IF(MONTH(View[[#This Row],[Close]])&lt;MONTH(fqStart),YEAR(View[[#This Row],[Close]]),IF(DAY(View[[#This Row],[Close]])&gt;=DAY(fqStart),YEAR(View[[#This Row],[Close]])+1,YEAR(View[[#This Row],[Close]])))),"0"),2)&amp;"-Q"&amp;ROUNDUP((MONTH(View[[#This Row],[Close]])-MONTH(fqStart)+IF(DAY(View[[#This Row],[Close]])&lt;DAY(fqStart),0,1)+IF(MONTH(View[[#This Row],[Close]])&lt;MONTH(fqStart),12,0))/3,0),_xlfn.XLOOKUP(View[[#This Row],[ID]],Opportunities[ID],Opportunities[CQ]))</f>
        <v>FY26-Q3</v>
      </c>
      <c r="T13" s="1">
        <f>_xlfn.XLOOKUP(View[[#This Row],[ID]],Opportunities[ID],Opportunities[Weighted])/1000</f>
        <v>722.30439999999999</v>
      </c>
      <c r="U13" s="4">
        <f>_xlfn.XLOOKUP(View[[#This Row],[ID]],Opportunities[ID],Opportunities[Amount])/1000</f>
        <v>1805.761</v>
      </c>
      <c r="V13" t="b">
        <f>View[[#This Row],[Win Probability]]="High"</f>
        <v>0</v>
      </c>
      <c r="W13">
        <f>SUBTOTAL(103, View[[#This Row],[Status]])</f>
        <v>1</v>
      </c>
    </row>
    <row r="14" spans="1:26" x14ac:dyDescent="0.25">
      <c r="H14" s="51" t="str">
        <f>_xlfn.XLOOKUP(View[[#This Row],[ID]],Opportunities[ID],Opportunities[Status])</f>
        <v>Active</v>
      </c>
      <c r="I14" s="33" t="str">
        <f>HYPERLINK(siteUrl&amp;"Lists/"&amp;oppList&amp;"/DispForm.aspx?ID="&amp;View[[#This Row],[ID]],_xlfn.XLOOKUP(View[[#This Row],[ID]],Opportunities[ID],Opportunities[OpportunityName]))</f>
        <v>Machine Learning Implementation</v>
      </c>
      <c r="J14" s="45" t="str">
        <f>HYPERLINK(_xlfn.XLOOKUP(View[[#This Row],[ID]],Opportunities[ID],Opportunities[CustomerRecordURL]),_xlfn.XLOOKUP(View[[#This Row],[ID]],Opportunities[ID],Opportunities[Customer Name]))</f>
        <v>Pharmaceutical Research</v>
      </c>
      <c r="K14" s="34" t="str">
        <f>_xlfn.XLOOKUP(View[[#This Row],[ID]],Opportunities[ID],Opportunities[DisplayStage])</f>
        <v>➂ - Proposal</v>
      </c>
      <c r="L14" s="1">
        <f>IF(pipelineType="Unweighted",_xlfn.XLOOKUP(View[[#This Row],[ID]],Opportunities[ID],Opportunities[Amount])/1000,_xlfn.XLOOKUP(View[[#This Row],[ID]],Opportunities[ID],Opportunities[Weighted])/1000)</f>
        <v>481.92599999999999</v>
      </c>
      <c r="M14" s="27" t="str">
        <f>_xlfn.XLOOKUP(View[[#This Row],[ID]],Opportunities[ID],Opportunities[WinProbDisplay])</f>
        <v>↖ High</v>
      </c>
      <c r="N14" s="28">
        <f>View[[#This Row],[Estmated Revenue]]</f>
        <v>433.73340000000002</v>
      </c>
      <c r="O14" s="2">
        <f>_xlfn.XLOOKUP(View[[#This Row],[ID]],Opportunities[ID],Opportunities[Close])</f>
        <v>46338</v>
      </c>
      <c r="P14" s="24" t="str">
        <f>IF(_xlfn.XLOOKUP(View[[#This Row],[ID]],Opportunities[ID],Opportunities[Comment Log])=0,"",_xlfn.XLOOKUP(View[[#This Row],[ID]],Opportunities[ID],Opportunities[Comment Log]))</f>
        <v/>
      </c>
      <c r="Q14">
        <v>40</v>
      </c>
      <c r="R14" s="3">
        <f ca="1">_xlfn.XLOOKUP(View[[#This Row],[ID]],Opportunities[ID],Opportunities[NextMilestoneDate])-TODAY()</f>
        <v>16</v>
      </c>
      <c r="S14" s="34" t="str">
        <f>IF(calendarType="FQ","FY"&amp;RIGHT(TEXT(IF(MONTH(View[[#This Row],[Close]])&gt;MONTH(fqStart),YEAR(View[[#This Row],[Close]])+1,IF(MONTH(View[[#This Row],[Close]])&lt;MONTH(fqStart),YEAR(View[[#This Row],[Close]]),IF(DAY(View[[#This Row],[Close]])&gt;=DAY(fqStart),YEAR(View[[#This Row],[Close]])+1,YEAR(View[[#This Row],[Close]])))),"0"),2)&amp;"-Q"&amp;ROUNDUP((MONTH(View[[#This Row],[Close]])-MONTH(fqStart)+IF(DAY(View[[#This Row],[Close]])&lt;DAY(fqStart),0,1)+IF(MONTH(View[[#This Row],[Close]])&lt;MONTH(fqStart),12,0))/3,0),_xlfn.XLOOKUP(View[[#This Row],[ID]],Opportunities[ID],Opportunities[CQ]))</f>
        <v>FY27-Q2</v>
      </c>
      <c r="T14" s="1">
        <f>_xlfn.XLOOKUP(View[[#This Row],[ID]],Opportunities[ID],Opportunities[Weighted])/1000</f>
        <v>433.73340000000002</v>
      </c>
      <c r="U14" s="4">
        <f>_xlfn.XLOOKUP(View[[#This Row],[ID]],Opportunities[ID],Opportunities[Amount])/1000</f>
        <v>481.92599999999999</v>
      </c>
      <c r="V14" t="b">
        <f>View[[#This Row],[Win Probability]]="High"</f>
        <v>0</v>
      </c>
      <c r="W14">
        <f>SUBTOTAL(103, View[[#This Row],[Status]])</f>
        <v>1</v>
      </c>
    </row>
    <row r="15" spans="1:26" x14ac:dyDescent="0.25">
      <c r="H15" s="51" t="str">
        <f>_xlfn.XLOOKUP(View[[#This Row],[ID]],Opportunities[ID],Opportunities[Status])</f>
        <v>Active</v>
      </c>
      <c r="I15" s="33" t="str">
        <f>HYPERLINK(siteUrl&amp;"Lists/"&amp;oppList&amp;"/DispForm.aspx?ID="&amp;View[[#This Row],[ID]],_xlfn.XLOOKUP(View[[#This Row],[ID]],Opportunities[ID],Opportunities[OpportunityName]))</f>
        <v>Supply Chain Optimization</v>
      </c>
      <c r="J15" s="45" t="str">
        <f>HYPERLINK(_xlfn.XLOOKUP(View[[#This Row],[ID]],Opportunities[ID],Opportunities[CustomerRecordURL]),_xlfn.XLOOKUP(View[[#This Row],[ID]],Opportunities[ID],Opportunities[Customer Name]))</f>
        <v>Hotel Management Group</v>
      </c>
      <c r="K15" s="34" t="str">
        <f>_xlfn.XLOOKUP(View[[#This Row],[ID]],Opportunities[ID],Opportunities[DisplayStage])</f>
        <v>➃ - Negotiation</v>
      </c>
      <c r="L15" s="1">
        <f>IF(pipelineType="Unweighted",_xlfn.XLOOKUP(View[[#This Row],[ID]],Opportunities[ID],Opportunities[Amount])/1000,_xlfn.XLOOKUP(View[[#This Row],[ID]],Opportunities[ID],Opportunities[Weighted])/1000)</f>
        <v>1668.1020000000001</v>
      </c>
      <c r="M15" s="27" t="str">
        <f>_xlfn.XLOOKUP(View[[#This Row],[ID]],Opportunities[ID],Opportunities[WinProbDisplay])</f>
        <v>↙ Low</v>
      </c>
      <c r="N15" s="28">
        <f>View[[#This Row],[Estmated Revenue]]</f>
        <v>333.62040000000002</v>
      </c>
      <c r="O15" s="2">
        <f>_xlfn.XLOOKUP(View[[#This Row],[ID]],Opportunities[ID],Opportunities[Close])</f>
        <v>46287</v>
      </c>
      <c r="P15" s="24" t="str">
        <f>IF(_xlfn.XLOOKUP(View[[#This Row],[ID]],Opportunities[ID],Opportunities[Comment Log])=0,"",_xlfn.XLOOKUP(View[[#This Row],[ID]],Opportunities[ID],Opportunities[Comment Log]))</f>
        <v/>
      </c>
      <c r="Q15">
        <v>17</v>
      </c>
      <c r="R15" s="3">
        <f ca="1">_xlfn.XLOOKUP(View[[#This Row],[ID]],Opportunities[ID],Opportunities[NextMilestoneDate])-TODAY()</f>
        <v>44</v>
      </c>
      <c r="S15" s="34" t="str">
        <f>IF(calendarType="FQ","FY"&amp;RIGHT(TEXT(IF(MONTH(View[[#This Row],[Close]])&gt;MONTH(fqStart),YEAR(View[[#This Row],[Close]])+1,IF(MONTH(View[[#This Row],[Close]])&lt;MONTH(fqStart),YEAR(View[[#This Row],[Close]]),IF(DAY(View[[#This Row],[Close]])&gt;=DAY(fqStart),YEAR(View[[#This Row],[Close]])+1,YEAR(View[[#This Row],[Close]])))),"0"),2)&amp;"-Q"&amp;ROUNDUP((MONTH(View[[#This Row],[Close]])-MONTH(fqStart)+IF(DAY(View[[#This Row],[Close]])&lt;DAY(fqStart),0,1)+IF(MONTH(View[[#This Row],[Close]])&lt;MONTH(fqStart),12,0))/3,0),_xlfn.XLOOKUP(View[[#This Row],[ID]],Opportunities[ID],Opportunities[CQ]))</f>
        <v>FY27-Q1</v>
      </c>
      <c r="T15" s="1">
        <f>_xlfn.XLOOKUP(View[[#This Row],[ID]],Opportunities[ID],Opportunities[Weighted])/1000</f>
        <v>333.62040000000002</v>
      </c>
      <c r="U15" s="4">
        <f>_xlfn.XLOOKUP(View[[#This Row],[ID]],Opportunities[ID],Opportunities[Amount])/1000</f>
        <v>1668.1020000000001</v>
      </c>
      <c r="V15" t="b">
        <f>View[[#This Row],[Win Probability]]="High"</f>
        <v>0</v>
      </c>
      <c r="W15">
        <f>SUBTOTAL(103, View[[#This Row],[Status]])</f>
        <v>1</v>
      </c>
    </row>
    <row r="16" spans="1:26" x14ac:dyDescent="0.25">
      <c r="H16" s="51" t="str">
        <f>_xlfn.XLOOKUP(View[[#This Row],[ID]],Opportunities[ID],Opportunities[Status])</f>
        <v>Active</v>
      </c>
      <c r="I16" s="33" t="str">
        <f>HYPERLINK(siteUrl&amp;"Lists/"&amp;oppList&amp;"/DispForm.aspx?ID="&amp;View[[#This Row],[ID]],_xlfn.XLOOKUP(View[[#This Row],[ID]],Opportunities[ID],Opportunities[OpportunityName]))</f>
        <v>Environmental Monitoring Solution</v>
      </c>
      <c r="J16" s="45" t="str">
        <f>HYPERLINK(_xlfn.XLOOKUP(View[[#This Row],[ID]],Opportunities[ID],Opportunities[CustomerRecordURL]),_xlfn.XLOOKUP(View[[#This Row],[ID]],Opportunities[ID],Opportunities[Customer Name]))</f>
        <v>Waste Management Co</v>
      </c>
      <c r="K16" s="34" t="str">
        <f>_xlfn.XLOOKUP(View[[#This Row],[ID]],Opportunities[ID],Opportunities[DisplayStage])</f>
        <v>➁ - Nurturing</v>
      </c>
      <c r="L16" s="1">
        <f>IF(pipelineType="Unweighted",_xlfn.XLOOKUP(View[[#This Row],[ID]],Opportunities[ID],Opportunities[Amount])/1000,_xlfn.XLOOKUP(View[[#This Row],[ID]],Opportunities[ID],Opportunities[Weighted])/1000)</f>
        <v>695.46100000000001</v>
      </c>
      <c r="M16" s="27" t="str">
        <f>_xlfn.XLOOKUP(View[[#This Row],[ID]],Opportunities[ID],Opportunities[WinProbDisplay])</f>
        <v>↙ Low</v>
      </c>
      <c r="N16" s="28">
        <f>View[[#This Row],[Estmated Revenue]]</f>
        <v>139.09220000000002</v>
      </c>
      <c r="O16" s="2">
        <f>_xlfn.XLOOKUP(View[[#This Row],[ID]],Opportunities[ID],Opportunities[Close])</f>
        <v>45904</v>
      </c>
      <c r="P16" s="24" t="str">
        <f>IF(_xlfn.XLOOKUP(View[[#This Row],[ID]],Opportunities[ID],Opportunities[Comment Log])=0,"",_xlfn.XLOOKUP(View[[#This Row],[ID]],Opportunities[ID],Opportunities[Comment Log]))</f>
        <v/>
      </c>
      <c r="Q16">
        <v>32</v>
      </c>
      <c r="R16" s="3">
        <f ca="1">_xlfn.XLOOKUP(View[[#This Row],[ID]],Opportunities[ID],Opportunities[NextMilestoneDate])-TODAY()</f>
        <v>54</v>
      </c>
      <c r="S16" s="34" t="str">
        <f>IF(calendarType="FQ","FY"&amp;RIGHT(TEXT(IF(MONTH(View[[#This Row],[Close]])&gt;MONTH(fqStart),YEAR(View[[#This Row],[Close]])+1,IF(MONTH(View[[#This Row],[Close]])&lt;MONTH(fqStart),YEAR(View[[#This Row],[Close]]),IF(DAY(View[[#This Row],[Close]])&gt;=DAY(fqStart),YEAR(View[[#This Row],[Close]])+1,YEAR(View[[#This Row],[Close]])))),"0"),2)&amp;"-Q"&amp;ROUNDUP((MONTH(View[[#This Row],[Close]])-MONTH(fqStart)+IF(DAY(View[[#This Row],[Close]])&lt;DAY(fqStart),0,1)+IF(MONTH(View[[#This Row],[Close]])&lt;MONTH(fqStart),12,0))/3,0),_xlfn.XLOOKUP(View[[#This Row],[ID]],Opportunities[ID],Opportunities[CQ]))</f>
        <v>FY26-Q1</v>
      </c>
      <c r="T16" s="1">
        <f>_xlfn.XLOOKUP(View[[#This Row],[ID]],Opportunities[ID],Opportunities[Weighted])/1000</f>
        <v>139.09220000000002</v>
      </c>
      <c r="U16" s="4">
        <f>_xlfn.XLOOKUP(View[[#This Row],[ID]],Opportunities[ID],Opportunities[Amount])/1000</f>
        <v>695.46100000000001</v>
      </c>
      <c r="V16" t="b">
        <f>View[[#This Row],[Win Probability]]="High"</f>
        <v>0</v>
      </c>
      <c r="W16">
        <f>SUBTOTAL(103, View[[#This Row],[Status]])</f>
        <v>1</v>
      </c>
    </row>
    <row r="17" spans="8:23" x14ac:dyDescent="0.25">
      <c r="H17" s="51" t="str">
        <f>_xlfn.XLOOKUP(View[[#This Row],[ID]],Opportunities[ID],Opportunities[Status])</f>
        <v>Active</v>
      </c>
      <c r="I17" s="33" t="str">
        <f>HYPERLINK(siteUrl&amp;"Lists/"&amp;oppList&amp;"/DispForm.aspx?ID="&amp;View[[#This Row],[ID]],_xlfn.XLOOKUP(View[[#This Row],[ID]],Opportunities[ID],Opportunities[OpportunityName]))</f>
        <v>Mobile Application Development</v>
      </c>
      <c r="J17" s="45" t="str">
        <f>HYPERLINK(_xlfn.XLOOKUP(View[[#This Row],[ID]],Opportunities[ID],Opportunities[CustomerRecordURL]),_xlfn.XLOOKUP(View[[#This Row],[ID]],Opportunities[ID],Opportunities[Customer Name]))</f>
        <v>Consulting Experts</v>
      </c>
      <c r="K17" s="34" t="str">
        <f>_xlfn.XLOOKUP(View[[#This Row],[ID]],Opportunities[ID],Opportunities[DisplayStage])</f>
        <v>➃ - Negotiation</v>
      </c>
      <c r="L17" s="1">
        <f>IF(pipelineType="Unweighted",_xlfn.XLOOKUP(View[[#This Row],[ID]],Opportunities[ID],Opportunities[Amount])/1000,_xlfn.XLOOKUP(View[[#This Row],[ID]],Opportunities[ID],Opportunities[Weighted])/1000)</f>
        <v>1085.1759999999999</v>
      </c>
      <c r="M17" s="27" t="str">
        <f>_xlfn.XLOOKUP(View[[#This Row],[ID]],Opportunities[ID],Opportunities[WinProbDisplay])</f>
        <v>← Medium</v>
      </c>
      <c r="N17" s="28">
        <f>View[[#This Row],[Estmated Revenue]]</f>
        <v>434.07040000000001</v>
      </c>
      <c r="O17" s="2">
        <f>_xlfn.XLOOKUP(View[[#This Row],[ID]],Opportunities[ID],Opportunities[Close])</f>
        <v>46063</v>
      </c>
      <c r="P17" s="24" t="str">
        <f>IF(_xlfn.XLOOKUP(View[[#This Row],[ID]],Opportunities[ID],Opportunities[Comment Log])=0,"",_xlfn.XLOOKUP(View[[#This Row],[ID]],Opportunities[ID],Opportunities[Comment Log]))</f>
        <v/>
      </c>
      <c r="Q17">
        <v>10</v>
      </c>
      <c r="R17" s="3">
        <f ca="1">_xlfn.XLOOKUP(View[[#This Row],[ID]],Opportunities[ID],Opportunities[NextMilestoneDate])-TODAY()</f>
        <v>47</v>
      </c>
      <c r="S17" s="34" t="str">
        <f>IF(calendarType="FQ","FY"&amp;RIGHT(TEXT(IF(MONTH(View[[#This Row],[Close]])&gt;MONTH(fqStart),YEAR(View[[#This Row],[Close]])+1,IF(MONTH(View[[#This Row],[Close]])&lt;MONTH(fqStart),YEAR(View[[#This Row],[Close]]),IF(DAY(View[[#This Row],[Close]])&gt;=DAY(fqStart),YEAR(View[[#This Row],[Close]])+1,YEAR(View[[#This Row],[Close]])))),"0"),2)&amp;"-Q"&amp;ROUNDUP((MONTH(View[[#This Row],[Close]])-MONTH(fqStart)+IF(DAY(View[[#This Row],[Close]])&lt;DAY(fqStart),0,1)+IF(MONTH(View[[#This Row],[Close]])&lt;MONTH(fqStart),12,0))/3,0),_xlfn.XLOOKUP(View[[#This Row],[ID]],Opportunities[ID],Opportunities[CQ]))</f>
        <v>FY26-Q3</v>
      </c>
      <c r="T17" s="1">
        <f>_xlfn.XLOOKUP(View[[#This Row],[ID]],Opportunities[ID],Opportunities[Weighted])/1000</f>
        <v>434.07040000000001</v>
      </c>
      <c r="U17" s="4">
        <f>_xlfn.XLOOKUP(View[[#This Row],[ID]],Opportunities[ID],Opportunities[Amount])/1000</f>
        <v>1085.1759999999999</v>
      </c>
      <c r="V17" t="b">
        <f>View[[#This Row],[Win Probability]]="High"</f>
        <v>0</v>
      </c>
      <c r="W17">
        <f>SUBTOTAL(103, View[[#This Row],[Status]])</f>
        <v>1</v>
      </c>
    </row>
    <row r="18" spans="8:23" x14ac:dyDescent="0.25">
      <c r="H18" s="51" t="str">
        <f>_xlfn.XLOOKUP(View[[#This Row],[ID]],Opportunities[ID],Opportunities[Status])</f>
        <v>Active</v>
      </c>
      <c r="I18" s="33" t="str">
        <f>HYPERLINK(siteUrl&amp;"Lists/"&amp;oppList&amp;"/DispForm.aspx?ID="&amp;View[[#This Row],[ID]],_xlfn.XLOOKUP(View[[#This Row],[ID]],Opportunities[ID],Opportunities[OpportunityName]))</f>
        <v>Business Intelligence Solution</v>
      </c>
      <c r="J18" s="45" t="str">
        <f>HYPERLINK(_xlfn.XLOOKUP(View[[#This Row],[ID]],Opportunities[ID],Opportunities[CustomerRecordURL]),_xlfn.XLOOKUP(View[[#This Row],[ID]],Opportunities[ID],Opportunities[Customer Name]))</f>
        <v>Professional Services Group</v>
      </c>
      <c r="K18" s="34" t="str">
        <f>_xlfn.XLOOKUP(View[[#This Row],[ID]],Opportunities[ID],Opportunities[DisplayStage])</f>
        <v>➅ - Closeout</v>
      </c>
      <c r="L18" s="1">
        <f>IF(pipelineType="Unweighted",_xlfn.XLOOKUP(View[[#This Row],[ID]],Opportunities[ID],Opportunities[Amount])/1000,_xlfn.XLOOKUP(View[[#This Row],[ID]],Opportunities[ID],Opportunities[Weighted])/1000)</f>
        <v>1003.602</v>
      </c>
      <c r="M18" s="27" t="str">
        <f>_xlfn.XLOOKUP(View[[#This Row],[ID]],Opportunities[ID],Opportunities[WinProbDisplay])</f>
        <v>← Medium</v>
      </c>
      <c r="N18" s="28">
        <f>View[[#This Row],[Estmated Revenue]]</f>
        <v>401.44080000000002</v>
      </c>
      <c r="O18" s="2">
        <f>_xlfn.XLOOKUP(View[[#This Row],[ID]],Opportunities[ID],Opportunities[Close])</f>
        <v>45937</v>
      </c>
      <c r="P18" s="24" t="str">
        <f>IF(_xlfn.XLOOKUP(View[[#This Row],[ID]],Opportunities[ID],Opportunities[Comment Log])=0,"",_xlfn.XLOOKUP(View[[#This Row],[ID]],Opportunities[ID],Opportunities[Comment Log]))</f>
        <v/>
      </c>
      <c r="Q18">
        <v>8</v>
      </c>
      <c r="R18" s="3">
        <f ca="1">_xlfn.XLOOKUP(View[[#This Row],[ID]],Opportunities[ID],Opportunities[NextMilestoneDate])-TODAY()</f>
        <v>16</v>
      </c>
      <c r="S18" s="34" t="str">
        <f>IF(calendarType="FQ","FY"&amp;RIGHT(TEXT(IF(MONTH(View[[#This Row],[Close]])&gt;MONTH(fqStart),YEAR(View[[#This Row],[Close]])+1,IF(MONTH(View[[#This Row],[Close]])&lt;MONTH(fqStart),YEAR(View[[#This Row],[Close]]),IF(DAY(View[[#This Row],[Close]])&gt;=DAY(fqStart),YEAR(View[[#This Row],[Close]])+1,YEAR(View[[#This Row],[Close]])))),"0"),2)&amp;"-Q"&amp;ROUNDUP((MONTH(View[[#This Row],[Close]])-MONTH(fqStart)+IF(DAY(View[[#This Row],[Close]])&lt;DAY(fqStart),0,1)+IF(MONTH(View[[#This Row],[Close]])&lt;MONTH(fqStart),12,0))/3,0),_xlfn.XLOOKUP(View[[#This Row],[ID]],Opportunities[ID],Opportunities[CQ]))</f>
        <v>FY26-Q2</v>
      </c>
      <c r="T18" s="1">
        <f>_xlfn.XLOOKUP(View[[#This Row],[ID]],Opportunities[ID],Opportunities[Weighted])/1000</f>
        <v>401.44080000000002</v>
      </c>
      <c r="U18" s="4">
        <f>_xlfn.XLOOKUP(View[[#This Row],[ID]],Opportunities[ID],Opportunities[Amount])/1000</f>
        <v>1003.602</v>
      </c>
      <c r="V18" t="b">
        <f>View[[#This Row],[Win Probability]]="High"</f>
        <v>0</v>
      </c>
      <c r="W18">
        <f>SUBTOTAL(103, View[[#This Row],[Status]])</f>
        <v>1</v>
      </c>
    </row>
    <row r="19" spans="8:23" x14ac:dyDescent="0.25">
      <c r="H19" s="51" t="str">
        <f>_xlfn.XLOOKUP(View[[#This Row],[ID]],Opportunities[ID],Opportunities[Status])</f>
        <v>Active</v>
      </c>
      <c r="I19" s="33" t="str">
        <f>HYPERLINK(siteUrl&amp;"Lists/"&amp;oppList&amp;"/DispForm.aspx?ID="&amp;View[[#This Row],[ID]],_xlfn.XLOOKUP(View[[#This Row],[ID]],Opportunities[ID],Opportunities[OpportunityName]))</f>
        <v>Safety Management System</v>
      </c>
      <c r="J19" s="45" t="str">
        <f>HYPERLINK(_xlfn.XLOOKUP(View[[#This Row],[ID]],Opportunities[ID],Opportunities[CustomerRecordURL]),_xlfn.XLOOKUP(View[[#This Row],[ID]],Opportunities[ID],Opportunities[Customer Name]))</f>
        <v>Tech Solutions Inc</v>
      </c>
      <c r="K19" s="34" t="str">
        <f>_xlfn.XLOOKUP(View[[#This Row],[ID]],Opportunities[ID],Opportunities[DisplayStage])</f>
        <v>➂ - Proposal</v>
      </c>
      <c r="L19" s="1">
        <f>IF(pipelineType="Unweighted",_xlfn.XLOOKUP(View[[#This Row],[ID]],Opportunities[ID],Opportunities[Amount])/1000,_xlfn.XLOOKUP(View[[#This Row],[ID]],Opportunities[ID],Opportunities[Weighted])/1000)</f>
        <v>1958.261</v>
      </c>
      <c r="M19" s="27" t="str">
        <f>_xlfn.XLOOKUP(View[[#This Row],[ID]],Opportunities[ID],Opportunities[WinProbDisplay])</f>
        <v>← Medium</v>
      </c>
      <c r="N19" s="28">
        <f>View[[#This Row],[Estmated Revenue]]</f>
        <v>783.30439999999999</v>
      </c>
      <c r="O19" s="2">
        <f>_xlfn.XLOOKUP(View[[#This Row],[ID]],Opportunities[ID],Opportunities[Close])</f>
        <v>45954</v>
      </c>
      <c r="P19" s="24" t="str">
        <f>IF(_xlfn.XLOOKUP(View[[#This Row],[ID]],Opportunities[ID],Opportunities[Comment Log])=0,"",_xlfn.XLOOKUP(View[[#This Row],[ID]],Opportunities[ID],Opportunities[Comment Log]))</f>
        <v/>
      </c>
      <c r="Q19">
        <v>33</v>
      </c>
      <c r="R19" s="3">
        <f ca="1">_xlfn.XLOOKUP(View[[#This Row],[ID]],Opportunities[ID],Opportunities[NextMilestoneDate])-TODAY()</f>
        <v>7</v>
      </c>
      <c r="S19" s="34" t="str">
        <f>IF(calendarType="FQ","FY"&amp;RIGHT(TEXT(IF(MONTH(View[[#This Row],[Close]])&gt;MONTH(fqStart),YEAR(View[[#This Row],[Close]])+1,IF(MONTH(View[[#This Row],[Close]])&lt;MONTH(fqStart),YEAR(View[[#This Row],[Close]]),IF(DAY(View[[#This Row],[Close]])&gt;=DAY(fqStart),YEAR(View[[#This Row],[Close]])+1,YEAR(View[[#This Row],[Close]])))),"0"),2)&amp;"-Q"&amp;ROUNDUP((MONTH(View[[#This Row],[Close]])-MONTH(fqStart)+IF(DAY(View[[#This Row],[Close]])&lt;DAY(fqStart),0,1)+IF(MONTH(View[[#This Row],[Close]])&lt;MONTH(fqStart),12,0))/3,0),_xlfn.XLOOKUP(View[[#This Row],[ID]],Opportunities[ID],Opportunities[CQ]))</f>
        <v>FY26-Q2</v>
      </c>
      <c r="T19" s="1">
        <f>_xlfn.XLOOKUP(View[[#This Row],[ID]],Opportunities[ID],Opportunities[Weighted])/1000</f>
        <v>783.30439999999999</v>
      </c>
      <c r="U19" s="4">
        <f>_xlfn.XLOOKUP(View[[#This Row],[ID]],Opportunities[ID],Opportunities[Amount])/1000</f>
        <v>1958.261</v>
      </c>
      <c r="V19" t="b">
        <f>View[[#This Row],[Win Probability]]="High"</f>
        <v>0</v>
      </c>
      <c r="W19">
        <f>SUBTOTAL(103, View[[#This Row],[Status]])</f>
        <v>1</v>
      </c>
    </row>
    <row r="20" spans="8:23" x14ac:dyDescent="0.25">
      <c r="H20" s="51" t="str">
        <f>_xlfn.XLOOKUP(View[[#This Row],[ID]],Opportunities[ID],Opportunities[Status])</f>
        <v>Active</v>
      </c>
      <c r="I20" s="33" t="str">
        <f>HYPERLINK(siteUrl&amp;"Lists/"&amp;oppList&amp;"/DispForm.aspx?ID="&amp;View[[#This Row],[ID]],_xlfn.XLOOKUP(View[[#This Row],[ID]],Opportunities[ID],Opportunities[OpportunityName]))</f>
        <v>Project Management Software</v>
      </c>
      <c r="J20" s="45" t="str">
        <f>HYPERLINK(_xlfn.XLOOKUP(View[[#This Row],[ID]],Opportunities[ID],Opportunities[CustomerRecordURL]),_xlfn.XLOOKUP(View[[#This Row],[ID]],Opportunities[ID],Opportunities[Customer Name]))</f>
        <v>Media Communications</v>
      </c>
      <c r="K20" s="34" t="str">
        <f>_xlfn.XLOOKUP(View[[#This Row],[ID]],Opportunities[ID],Opportunities[DisplayStage])</f>
        <v>➅ - Closeout</v>
      </c>
      <c r="L20" s="1">
        <f>IF(pipelineType="Unweighted",_xlfn.XLOOKUP(View[[#This Row],[ID]],Opportunities[ID],Opportunities[Amount])/1000,_xlfn.XLOOKUP(View[[#This Row],[ID]],Opportunities[ID],Opportunities[Weighted])/1000)</f>
        <v>1052.288</v>
      </c>
      <c r="M20" s="27" t="str">
        <f>_xlfn.XLOOKUP(View[[#This Row],[ID]],Opportunities[ID],Opportunities[WinProbDisplay])</f>
        <v>← Medium</v>
      </c>
      <c r="N20" s="28">
        <f>View[[#This Row],[Estmated Revenue]]</f>
        <v>420.91520000000003</v>
      </c>
      <c r="O20" s="2">
        <f>_xlfn.XLOOKUP(View[[#This Row],[ID]],Opportunities[ID],Opportunities[Close])</f>
        <v>46380</v>
      </c>
      <c r="P20" s="24" t="str">
        <f>IF(_xlfn.XLOOKUP(View[[#This Row],[ID]],Opportunities[ID],Opportunities[Comment Log])=0,"",_xlfn.XLOOKUP(View[[#This Row],[ID]],Opportunities[ID],Opportunities[Comment Log]))</f>
        <v/>
      </c>
      <c r="Q20">
        <v>25</v>
      </c>
      <c r="R20" s="3">
        <f ca="1">_xlfn.XLOOKUP(View[[#This Row],[ID]],Opportunities[ID],Opportunities[NextMilestoneDate])-TODAY()</f>
        <v>38</v>
      </c>
      <c r="S20" s="34" t="str">
        <f>IF(calendarType="FQ","FY"&amp;RIGHT(TEXT(IF(MONTH(View[[#This Row],[Close]])&gt;MONTH(fqStart),YEAR(View[[#This Row],[Close]])+1,IF(MONTH(View[[#This Row],[Close]])&lt;MONTH(fqStart),YEAR(View[[#This Row],[Close]]),IF(DAY(View[[#This Row],[Close]])&gt;=DAY(fqStart),YEAR(View[[#This Row],[Close]])+1,YEAR(View[[#This Row],[Close]])))),"0"),2)&amp;"-Q"&amp;ROUNDUP((MONTH(View[[#This Row],[Close]])-MONTH(fqStart)+IF(DAY(View[[#This Row],[Close]])&lt;DAY(fqStart),0,1)+IF(MONTH(View[[#This Row],[Close]])&lt;MONTH(fqStart),12,0))/3,0),_xlfn.XLOOKUP(View[[#This Row],[ID]],Opportunities[ID],Opportunities[CQ]))</f>
        <v>FY27-Q2</v>
      </c>
      <c r="T20" s="1">
        <f>_xlfn.XLOOKUP(View[[#This Row],[ID]],Opportunities[ID],Opportunities[Weighted])/1000</f>
        <v>420.91520000000003</v>
      </c>
      <c r="U20" s="4">
        <f>_xlfn.XLOOKUP(View[[#This Row],[ID]],Opportunities[ID],Opportunities[Amount])/1000</f>
        <v>1052.288</v>
      </c>
      <c r="V20" t="b">
        <f>View[[#This Row],[Win Probability]]="High"</f>
        <v>0</v>
      </c>
      <c r="W20">
        <f>SUBTOTAL(103, View[[#This Row],[Status]])</f>
        <v>1</v>
      </c>
    </row>
    <row r="21" spans="8:23" x14ac:dyDescent="0.25">
      <c r="H21" s="51" t="str">
        <f>_xlfn.XLOOKUP(View[[#This Row],[ID]],Opportunities[ID],Opportunities[Status])</f>
        <v>Active</v>
      </c>
      <c r="I21" s="33" t="str">
        <f>HYPERLINK(siteUrl&amp;"Lists/"&amp;oppList&amp;"/DispForm.aspx?ID="&amp;View[[#This Row],[ID]],_xlfn.XLOOKUP(View[[#This Row],[ID]],Opportunities[ID],Opportunities[OpportunityName]))</f>
        <v>Customer Service Platform</v>
      </c>
      <c r="J21" s="45" t="str">
        <f>HYPERLINK(_xlfn.XLOOKUP(View[[#This Row],[ID]],Opportunities[ID],Opportunities[CustomerRecordURL]),_xlfn.XLOOKUP(View[[#This Row],[ID]],Opportunities[ID],Opportunities[Customer Name]))</f>
        <v>ACME Corporation</v>
      </c>
      <c r="K21" s="34" t="str">
        <f>_xlfn.XLOOKUP(View[[#This Row],[ID]],Opportunities[ID],Opportunities[DisplayStage])</f>
        <v>➁ - Nurturing</v>
      </c>
      <c r="L21" s="1">
        <f>IF(pipelineType="Unweighted",_xlfn.XLOOKUP(View[[#This Row],[ID]],Opportunities[ID],Opportunities[Amount])/1000,_xlfn.XLOOKUP(View[[#This Row],[ID]],Opportunities[ID],Opportunities[Weighted])/1000)</f>
        <v>1172.164</v>
      </c>
      <c r="M21" s="27" t="str">
        <f>_xlfn.XLOOKUP(View[[#This Row],[ID]],Opportunities[ID],Opportunities[WinProbDisplay])</f>
        <v>← Medium</v>
      </c>
      <c r="N21" s="28">
        <f>View[[#This Row],[Estmated Revenue]]</f>
        <v>468.86560000000003</v>
      </c>
      <c r="O21" s="2">
        <f>_xlfn.XLOOKUP(View[[#This Row],[ID]],Opportunities[ID],Opportunities[Close])</f>
        <v>46233</v>
      </c>
      <c r="P21" s="24" t="str">
        <f>IF(_xlfn.XLOOKUP(View[[#This Row],[ID]],Opportunities[ID],Opportunities[Comment Log])=0,"",_xlfn.XLOOKUP(View[[#This Row],[ID]],Opportunities[ID],Opportunities[Comment Log]))</f>
        <v/>
      </c>
      <c r="Q21">
        <v>30</v>
      </c>
      <c r="R21" s="3">
        <f ca="1">_xlfn.XLOOKUP(View[[#This Row],[ID]],Opportunities[ID],Opportunities[NextMilestoneDate])-TODAY()</f>
        <v>36</v>
      </c>
      <c r="S21" s="34" t="str">
        <f>IF(calendarType="FQ","FY"&amp;RIGHT(TEXT(IF(MONTH(View[[#This Row],[Close]])&gt;MONTH(fqStart),YEAR(View[[#This Row],[Close]])+1,IF(MONTH(View[[#This Row],[Close]])&lt;MONTH(fqStart),YEAR(View[[#This Row],[Close]]),IF(DAY(View[[#This Row],[Close]])&gt;=DAY(fqStart),YEAR(View[[#This Row],[Close]])+1,YEAR(View[[#This Row],[Close]])))),"0"),2)&amp;"-Q"&amp;ROUNDUP((MONTH(View[[#This Row],[Close]])-MONTH(fqStart)+IF(DAY(View[[#This Row],[Close]])&lt;DAY(fqStart),0,1)+IF(MONTH(View[[#This Row],[Close]])&lt;MONTH(fqStart),12,0))/3,0),_xlfn.XLOOKUP(View[[#This Row],[ID]],Opportunities[ID],Opportunities[CQ]))</f>
        <v>FY27-Q1</v>
      </c>
      <c r="T21" s="1">
        <f>_xlfn.XLOOKUP(View[[#This Row],[ID]],Opportunities[ID],Opportunities[Weighted])/1000</f>
        <v>468.86560000000003</v>
      </c>
      <c r="U21" s="4">
        <f>_xlfn.XLOOKUP(View[[#This Row],[ID]],Opportunities[ID],Opportunities[Amount])/1000</f>
        <v>1172.164</v>
      </c>
      <c r="V21" t="b">
        <f>View[[#This Row],[Win Probability]]="High"</f>
        <v>0</v>
      </c>
      <c r="W21">
        <f>SUBTOTAL(103, View[[#This Row],[Status]])</f>
        <v>1</v>
      </c>
    </row>
    <row r="22" spans="8:23" x14ac:dyDescent="0.25">
      <c r="H22" s="51" t="str">
        <f>_xlfn.XLOOKUP(View[[#This Row],[ID]],Opportunities[ID],Opportunities[Status])</f>
        <v>Active</v>
      </c>
      <c r="I22" s="33" t="str">
        <f>HYPERLINK(siteUrl&amp;"Lists/"&amp;oppList&amp;"/DispForm.aspx?ID="&amp;View[[#This Row],[ID]],_xlfn.XLOOKUP(View[[#This Row],[ID]],Opportunities[ID],Opportunities[OpportunityName]))</f>
        <v>Manufacturing Automation System</v>
      </c>
      <c r="J22" s="45" t="str">
        <f>HYPERLINK(_xlfn.XLOOKUP(View[[#This Row],[ID]],Opportunities[ID],Opportunities[CustomerRecordURL]),_xlfn.XLOOKUP(View[[#This Row],[ID]],Opportunities[ID],Opportunities[Customer Name]))</f>
        <v>Food Service Partners</v>
      </c>
      <c r="K22" s="34" t="str">
        <f>_xlfn.XLOOKUP(View[[#This Row],[ID]],Opportunities[ID],Opportunities[DisplayStage])</f>
        <v>➅ - Closeout</v>
      </c>
      <c r="L22" s="1">
        <f>IF(pipelineType="Unweighted",_xlfn.XLOOKUP(View[[#This Row],[ID]],Opportunities[ID],Opportunities[Amount])/1000,_xlfn.XLOOKUP(View[[#This Row],[ID]],Opportunities[ID],Opportunities[Weighted])/1000)</f>
        <v>744.79899999999998</v>
      </c>
      <c r="M22" s="27" t="str">
        <f>_xlfn.XLOOKUP(View[[#This Row],[ID]],Opportunities[ID],Opportunities[WinProbDisplay])</f>
        <v>← Medium</v>
      </c>
      <c r="N22" s="28">
        <f>View[[#This Row],[Estmated Revenue]]</f>
        <v>297.91960000000006</v>
      </c>
      <c r="O22" s="2">
        <f>_xlfn.XLOOKUP(View[[#This Row],[ID]],Opportunities[ID],Opportunities[Close])</f>
        <v>46009</v>
      </c>
      <c r="P22" s="24" t="str">
        <f>IF(_xlfn.XLOOKUP(View[[#This Row],[ID]],Opportunities[ID],Opportunities[Comment Log])=0,"",_xlfn.XLOOKUP(View[[#This Row],[ID]],Opportunities[ID],Opportunities[Comment Log]))</f>
        <v/>
      </c>
      <c r="Q22">
        <v>4</v>
      </c>
      <c r="R22" s="3">
        <f ca="1">_xlfn.XLOOKUP(View[[#This Row],[ID]],Opportunities[ID],Opportunities[NextMilestoneDate])-TODAY()</f>
        <v>13</v>
      </c>
      <c r="S22" s="34" t="str">
        <f>IF(calendarType="FQ","FY"&amp;RIGHT(TEXT(IF(MONTH(View[[#This Row],[Close]])&gt;MONTH(fqStart),YEAR(View[[#This Row],[Close]])+1,IF(MONTH(View[[#This Row],[Close]])&lt;MONTH(fqStart),YEAR(View[[#This Row],[Close]]),IF(DAY(View[[#This Row],[Close]])&gt;=DAY(fqStart),YEAR(View[[#This Row],[Close]])+1,YEAR(View[[#This Row],[Close]])))),"0"),2)&amp;"-Q"&amp;ROUNDUP((MONTH(View[[#This Row],[Close]])-MONTH(fqStart)+IF(DAY(View[[#This Row],[Close]])&lt;DAY(fqStart),0,1)+IF(MONTH(View[[#This Row],[Close]])&lt;MONTH(fqStart),12,0))/3,0),_xlfn.XLOOKUP(View[[#This Row],[ID]],Opportunities[ID],Opportunities[CQ]))</f>
        <v>FY26-Q2</v>
      </c>
      <c r="T22" s="1">
        <f>_xlfn.XLOOKUP(View[[#This Row],[ID]],Opportunities[ID],Opportunities[Weighted])/1000</f>
        <v>297.91960000000006</v>
      </c>
      <c r="U22" s="4">
        <f>_xlfn.XLOOKUP(View[[#This Row],[ID]],Opportunities[ID],Opportunities[Amount])/1000</f>
        <v>744.79899999999998</v>
      </c>
      <c r="V22" t="b">
        <f>View[[#This Row],[Win Probability]]="High"</f>
        <v>0</v>
      </c>
      <c r="W22">
        <f>SUBTOTAL(103, View[[#This Row],[Status]])</f>
        <v>1</v>
      </c>
    </row>
    <row r="23" spans="8:23" x14ac:dyDescent="0.25">
      <c r="H23" s="51" t="str">
        <f>_xlfn.XLOOKUP(View[[#This Row],[ID]],Opportunities[ID],Opportunities[Status])</f>
        <v>Active</v>
      </c>
      <c r="I23" s="33" t="str">
        <f>HYPERLINK(siteUrl&amp;"Lists/"&amp;oppList&amp;"/DispForm.aspx?ID="&amp;View[[#This Row],[ID]],_xlfn.XLOOKUP(View[[#This Row],[ID]],Opportunities[ID],Opportunities[OpportunityName]))</f>
        <v>HR Management System</v>
      </c>
      <c r="J23" s="45" t="str">
        <f>HYPERLINK(_xlfn.XLOOKUP(View[[#This Row],[ID]],Opportunities[ID],Opportunities[CustomerRecordURL]),_xlfn.XLOOKUP(View[[#This Row],[ID]],Opportunities[ID],Opportunities[Customer Name]))</f>
        <v>Sports &amp; Recreation</v>
      </c>
      <c r="K23" s="34" t="str">
        <f>_xlfn.XLOOKUP(View[[#This Row],[ID]],Opportunities[ID],Opportunities[DisplayStage])</f>
        <v>➃ - Negotiation</v>
      </c>
      <c r="L23" s="1">
        <f>IF(pipelineType="Unweighted",_xlfn.XLOOKUP(View[[#This Row],[ID]],Opportunities[ID],Opportunities[Amount])/1000,_xlfn.XLOOKUP(View[[#This Row],[ID]],Opportunities[ID],Opportunities[Weighted])/1000)</f>
        <v>890.63199999999995</v>
      </c>
      <c r="M23" s="27" t="str">
        <f>_xlfn.XLOOKUP(View[[#This Row],[ID]],Opportunities[ID],Opportunities[WinProbDisplay])</f>
        <v>↙ Low</v>
      </c>
      <c r="N23" s="28">
        <f>View[[#This Row],[Estmated Revenue]]</f>
        <v>178.12640000000002</v>
      </c>
      <c r="O23" s="2">
        <f>_xlfn.XLOOKUP(View[[#This Row],[ID]],Opportunities[ID],Opportunities[Close])</f>
        <v>45943</v>
      </c>
      <c r="P23" s="24" t="str">
        <f>IF(_xlfn.XLOOKUP(View[[#This Row],[ID]],Opportunities[ID],Opportunities[Comment Log])=0,"",_xlfn.XLOOKUP(View[[#This Row],[ID]],Opportunities[ID],Opportunities[Comment Log]))</f>
        <v/>
      </c>
      <c r="Q23">
        <v>19</v>
      </c>
      <c r="R23" s="3">
        <f ca="1">_xlfn.XLOOKUP(View[[#This Row],[ID]],Opportunities[ID],Opportunities[NextMilestoneDate])-TODAY()</f>
        <v>5</v>
      </c>
      <c r="S23" s="34" t="str">
        <f>IF(calendarType="FQ","FY"&amp;RIGHT(TEXT(IF(MONTH(View[[#This Row],[Close]])&gt;MONTH(fqStart),YEAR(View[[#This Row],[Close]])+1,IF(MONTH(View[[#This Row],[Close]])&lt;MONTH(fqStart),YEAR(View[[#This Row],[Close]]),IF(DAY(View[[#This Row],[Close]])&gt;=DAY(fqStart),YEAR(View[[#This Row],[Close]])+1,YEAR(View[[#This Row],[Close]])))),"0"),2)&amp;"-Q"&amp;ROUNDUP((MONTH(View[[#This Row],[Close]])-MONTH(fqStart)+IF(DAY(View[[#This Row],[Close]])&lt;DAY(fqStart),0,1)+IF(MONTH(View[[#This Row],[Close]])&lt;MONTH(fqStart),12,0))/3,0),_xlfn.XLOOKUP(View[[#This Row],[ID]],Opportunities[ID],Opportunities[CQ]))</f>
        <v>FY26-Q2</v>
      </c>
      <c r="T23" s="1">
        <f>_xlfn.XLOOKUP(View[[#This Row],[ID]],Opportunities[ID],Opportunities[Weighted])/1000</f>
        <v>178.12640000000002</v>
      </c>
      <c r="U23" s="4">
        <f>_xlfn.XLOOKUP(View[[#This Row],[ID]],Opportunities[ID],Opportunities[Amount])/1000</f>
        <v>890.63199999999995</v>
      </c>
      <c r="V23" t="b">
        <f>View[[#This Row],[Win Probability]]="High"</f>
        <v>0</v>
      </c>
      <c r="W23">
        <f>SUBTOTAL(103, View[[#This Row],[Status]])</f>
        <v>1</v>
      </c>
    </row>
    <row r="24" spans="8:23" x14ac:dyDescent="0.25">
      <c r="H24" s="51" t="str">
        <f>_xlfn.XLOOKUP(View[[#This Row],[ID]],Opportunities[ID],Opportunities[Status])</f>
        <v>Active</v>
      </c>
      <c r="I24" s="33" t="str">
        <f>HYPERLINK(siteUrl&amp;"Lists/"&amp;oppList&amp;"/DispForm.aspx?ID="&amp;View[[#This Row],[ID]],_xlfn.XLOOKUP(View[[#This Row],[ID]],Opportunities[ID],Opportunities[OpportunityName]))</f>
        <v>Performance Analytics Dashboard</v>
      </c>
      <c r="J24" s="45" t="str">
        <f>HYPERLINK(_xlfn.XLOOKUP(View[[#This Row],[ID]],Opportunities[ID],Opportunities[CustomerRecordURL]),_xlfn.XLOOKUP(View[[#This Row],[ID]],Opportunities[ID],Opportunities[Customer Name]))</f>
        <v>Chemical Processing</v>
      </c>
      <c r="K24" s="34" t="str">
        <f>_xlfn.XLOOKUP(View[[#This Row],[ID]],Opportunities[ID],Opportunities[DisplayStage])</f>
        <v>➁ - Nurturing</v>
      </c>
      <c r="L24" s="1">
        <f>IF(pipelineType="Unweighted",_xlfn.XLOOKUP(View[[#This Row],[ID]],Opportunities[ID],Opportunities[Amount])/1000,_xlfn.XLOOKUP(View[[#This Row],[ID]],Opportunities[ID],Opportunities[Weighted])/1000)</f>
        <v>800.33600000000001</v>
      </c>
      <c r="M24" s="27" t="str">
        <f>_xlfn.XLOOKUP(View[[#This Row],[ID]],Opportunities[ID],Opportunities[WinProbDisplay])</f>
        <v>↖ High</v>
      </c>
      <c r="N24" s="28">
        <f>View[[#This Row],[Estmated Revenue]]</f>
        <v>720.30240000000003</v>
      </c>
      <c r="O24" s="2">
        <f>_xlfn.XLOOKUP(View[[#This Row],[ID]],Opportunities[ID],Opportunities[Close])</f>
        <v>46192</v>
      </c>
      <c r="P24" s="24" t="str">
        <f>IF(_xlfn.XLOOKUP(View[[#This Row],[ID]],Opportunities[ID],Opportunities[Comment Log])=0,"",_xlfn.XLOOKUP(View[[#This Row],[ID]],Opportunities[ID],Opportunities[Comment Log]))</f>
        <v/>
      </c>
      <c r="Q24">
        <v>34</v>
      </c>
      <c r="R24" s="3">
        <f ca="1">_xlfn.XLOOKUP(View[[#This Row],[ID]],Opportunities[ID],Opportunities[NextMilestoneDate])-TODAY()</f>
        <v>42</v>
      </c>
      <c r="S24" s="34" t="str">
        <f>IF(calendarType="FQ","FY"&amp;RIGHT(TEXT(IF(MONTH(View[[#This Row],[Close]])&gt;MONTH(fqStart),YEAR(View[[#This Row],[Close]])+1,IF(MONTH(View[[#This Row],[Close]])&lt;MONTH(fqStart),YEAR(View[[#This Row],[Close]]),IF(DAY(View[[#This Row],[Close]])&gt;=DAY(fqStart),YEAR(View[[#This Row],[Close]])+1,YEAR(View[[#This Row],[Close]])))),"0"),2)&amp;"-Q"&amp;ROUNDUP((MONTH(View[[#This Row],[Close]])-MONTH(fqStart)+IF(DAY(View[[#This Row],[Close]])&lt;DAY(fqStart),0,1)+IF(MONTH(View[[#This Row],[Close]])&lt;MONTH(fqStart),12,0))/3,0),_xlfn.XLOOKUP(View[[#This Row],[ID]],Opportunities[ID],Opportunities[CQ]))</f>
        <v>FY26-Q4</v>
      </c>
      <c r="T24" s="1">
        <f>_xlfn.XLOOKUP(View[[#This Row],[ID]],Opportunities[ID],Opportunities[Weighted])/1000</f>
        <v>720.30240000000003</v>
      </c>
      <c r="U24" s="4">
        <f>_xlfn.XLOOKUP(View[[#This Row],[ID]],Opportunities[ID],Opportunities[Amount])/1000</f>
        <v>800.33600000000001</v>
      </c>
      <c r="V24" t="b">
        <f>View[[#This Row],[Win Probability]]="High"</f>
        <v>0</v>
      </c>
      <c r="W24">
        <f>SUBTOTAL(103, View[[#This Row],[Status]])</f>
        <v>1</v>
      </c>
    </row>
    <row r="25" spans="8:23" x14ac:dyDescent="0.25">
      <c r="H25" s="51" t="str">
        <f>_xlfn.XLOOKUP(View[[#This Row],[ID]],Opportunities[ID],Opportunities[Status])</f>
        <v>Active</v>
      </c>
      <c r="I25" s="33" t="str">
        <f>HYPERLINK(siteUrl&amp;"Lists/"&amp;oppList&amp;"/DispForm.aspx?ID="&amp;View[[#This Row],[ID]],_xlfn.XLOOKUP(View[[#This Row],[ID]],Opportunities[ID],Opportunities[OpportunityName]))</f>
        <v>Workflow Automation Tool</v>
      </c>
      <c r="J25" s="45" t="str">
        <f>HYPERLINK(_xlfn.XLOOKUP(View[[#This Row],[ID]],Opportunities[ID],Opportunities[CustomerRecordURL]),_xlfn.XLOOKUP(View[[#This Row],[ID]],Opportunities[ID],Opportunities[Customer Name]))</f>
        <v>Construction Dynamics</v>
      </c>
      <c r="K25" s="34" t="str">
        <f>_xlfn.XLOOKUP(View[[#This Row],[ID]],Opportunities[ID],Opportunities[DisplayStage])</f>
        <v>➁ - Nurturing</v>
      </c>
      <c r="L25" s="1">
        <f>IF(pipelineType="Unweighted",_xlfn.XLOOKUP(View[[#This Row],[ID]],Opportunities[ID],Opportunities[Amount])/1000,_xlfn.XLOOKUP(View[[#This Row],[ID]],Opportunities[ID],Opportunities[Weighted])/1000)</f>
        <v>1834.664</v>
      </c>
      <c r="M25" s="27" t="str">
        <f>_xlfn.XLOOKUP(View[[#This Row],[ID]],Opportunities[ID],Opportunities[WinProbDisplay])</f>
        <v>↙ Low</v>
      </c>
      <c r="N25" s="28">
        <f>View[[#This Row],[Estmated Revenue]]</f>
        <v>366.93280000000004</v>
      </c>
      <c r="O25" s="2">
        <f>_xlfn.XLOOKUP(View[[#This Row],[ID]],Opportunities[ID],Opportunities[Close])</f>
        <v>46392</v>
      </c>
      <c r="P25" s="24" t="str">
        <f>IF(_xlfn.XLOOKUP(View[[#This Row],[ID]],Opportunities[ID],Opportunities[Comment Log])=0,"",_xlfn.XLOOKUP(View[[#This Row],[ID]],Opportunities[ID],Opportunities[Comment Log]))</f>
        <v/>
      </c>
      <c r="Q25">
        <v>35</v>
      </c>
      <c r="R25" s="3">
        <f ca="1">_xlfn.XLOOKUP(View[[#This Row],[ID]],Opportunities[ID],Opportunities[NextMilestoneDate])-TODAY()</f>
        <v>15</v>
      </c>
      <c r="S25" s="34" t="str">
        <f>IF(calendarType="FQ","FY"&amp;RIGHT(TEXT(IF(MONTH(View[[#This Row],[Close]])&gt;MONTH(fqStart),YEAR(View[[#This Row],[Close]])+1,IF(MONTH(View[[#This Row],[Close]])&lt;MONTH(fqStart),YEAR(View[[#This Row],[Close]]),IF(DAY(View[[#This Row],[Close]])&gt;=DAY(fqStart),YEAR(View[[#This Row],[Close]])+1,YEAR(View[[#This Row],[Close]])))),"0"),2)&amp;"-Q"&amp;ROUNDUP((MONTH(View[[#This Row],[Close]])-MONTH(fqStart)+IF(DAY(View[[#This Row],[Close]])&lt;DAY(fqStart),0,1)+IF(MONTH(View[[#This Row],[Close]])&lt;MONTH(fqStart),12,0))/3,0),_xlfn.XLOOKUP(View[[#This Row],[ID]],Opportunities[ID],Opportunities[CQ]))</f>
        <v>FY27-Q3</v>
      </c>
      <c r="T25" s="1">
        <f>_xlfn.XLOOKUP(View[[#This Row],[ID]],Opportunities[ID],Opportunities[Weighted])/1000</f>
        <v>366.93280000000004</v>
      </c>
      <c r="U25" s="4">
        <f>_xlfn.XLOOKUP(View[[#This Row],[ID]],Opportunities[ID],Opportunities[Amount])/1000</f>
        <v>1834.664</v>
      </c>
      <c r="V25" t="b">
        <f>View[[#This Row],[Win Probability]]="High"</f>
        <v>0</v>
      </c>
      <c r="W25">
        <f>SUBTOTAL(103, View[[#This Row],[Status]])</f>
        <v>1</v>
      </c>
    </row>
    <row r="26" spans="8:23" x14ac:dyDescent="0.25">
      <c r="H26" s="51" t="str">
        <f>_xlfn.XLOOKUP(View[[#This Row],[ID]],Opportunities[ID],Opportunities[Status])</f>
        <v>Active</v>
      </c>
      <c r="I26" s="33" t="str">
        <f>HYPERLINK(siteUrl&amp;"Lists/"&amp;oppList&amp;"/DispForm.aspx?ID="&amp;View[[#This Row],[ID]],_xlfn.XLOOKUP(View[[#This Row],[ID]],Opportunities[ID],Opportunities[OpportunityName]))</f>
        <v>Website Redesign Project</v>
      </c>
      <c r="J26" s="45" t="str">
        <f>HYPERLINK(_xlfn.XLOOKUP(View[[#This Row],[ID]],Opportunities[ID],Opportunities[CustomerRecordURL]),_xlfn.XLOOKUP(View[[#This Row],[ID]],Opportunities[ID],Opportunities[Customer Name]))</f>
        <v>ACME Corporation</v>
      </c>
      <c r="K26" s="34" t="str">
        <f>_xlfn.XLOOKUP(View[[#This Row],[ID]],Opportunities[ID],Opportunities[DisplayStage])</f>
        <v>➀ - Lead Qualification</v>
      </c>
      <c r="L26" s="1">
        <f>IF(pipelineType="Unweighted",_xlfn.XLOOKUP(View[[#This Row],[ID]],Opportunities[ID],Opportunities[Amount])/1000,_xlfn.XLOOKUP(View[[#This Row],[ID]],Opportunities[ID],Opportunities[Weighted])/1000)</f>
        <v>1213.43</v>
      </c>
      <c r="M26" s="27" t="str">
        <f>_xlfn.XLOOKUP(View[[#This Row],[ID]],Opportunities[ID],Opportunities[WinProbDisplay])</f>
        <v>← Medium</v>
      </c>
      <c r="N26" s="28">
        <f>View[[#This Row],[Estmated Revenue]]</f>
        <v>485.37200000000001</v>
      </c>
      <c r="O26" s="2">
        <f>_xlfn.XLOOKUP(View[[#This Row],[ID]],Opportunities[ID],Opportunities[Close])</f>
        <v>46325</v>
      </c>
      <c r="P26" s="24" t="str">
        <f>IF(_xlfn.XLOOKUP(View[[#This Row],[ID]],Opportunities[ID],Opportunities[Comment Log])=0,"",_xlfn.XLOOKUP(View[[#This Row],[ID]],Opportunities[ID],Opportunities[Comment Log]))</f>
        <v/>
      </c>
      <c r="Q26">
        <v>28</v>
      </c>
      <c r="R26" s="3">
        <f ca="1">_xlfn.XLOOKUP(View[[#This Row],[ID]],Opportunities[ID],Opportunities[NextMilestoneDate])-TODAY()</f>
        <v>16</v>
      </c>
      <c r="S26" s="34" t="str">
        <f>IF(calendarType="FQ","FY"&amp;RIGHT(TEXT(IF(MONTH(View[[#This Row],[Close]])&gt;MONTH(fqStart),YEAR(View[[#This Row],[Close]])+1,IF(MONTH(View[[#This Row],[Close]])&lt;MONTH(fqStart),YEAR(View[[#This Row],[Close]]),IF(DAY(View[[#This Row],[Close]])&gt;=DAY(fqStart),YEAR(View[[#This Row],[Close]])+1,YEAR(View[[#This Row],[Close]])))),"0"),2)&amp;"-Q"&amp;ROUNDUP((MONTH(View[[#This Row],[Close]])-MONTH(fqStart)+IF(DAY(View[[#This Row],[Close]])&lt;DAY(fqStart),0,1)+IF(MONTH(View[[#This Row],[Close]])&lt;MONTH(fqStart),12,0))/3,0),_xlfn.XLOOKUP(View[[#This Row],[ID]],Opportunities[ID],Opportunities[CQ]))</f>
        <v>FY27-Q2</v>
      </c>
      <c r="T26" s="1">
        <f>_xlfn.XLOOKUP(View[[#This Row],[ID]],Opportunities[ID],Opportunities[Weighted])/1000</f>
        <v>485.37200000000001</v>
      </c>
      <c r="U26" s="4">
        <f>_xlfn.XLOOKUP(View[[#This Row],[ID]],Opportunities[ID],Opportunities[Amount])/1000</f>
        <v>1213.43</v>
      </c>
      <c r="V26" t="b">
        <f>View[[#This Row],[Win Probability]]="High"</f>
        <v>0</v>
      </c>
      <c r="W26">
        <f>SUBTOTAL(103, View[[#This Row],[Status]])</f>
        <v>1</v>
      </c>
    </row>
    <row r="27" spans="8:23" x14ac:dyDescent="0.25">
      <c r="H27" s="51" t="str">
        <f>_xlfn.XLOOKUP(View[[#This Row],[ID]],Opportunities[ID],Opportunities[Status])</f>
        <v>At Risk</v>
      </c>
      <c r="I27" s="33" t="str">
        <f>HYPERLINK(siteUrl&amp;"Lists/"&amp;oppList&amp;"/DispForm.aspx?ID="&amp;View[[#This Row],[ID]],_xlfn.XLOOKUP(View[[#This Row],[ID]],Opportunities[ID],Opportunities[OpportunityName]))</f>
        <v>Customer Portal Development</v>
      </c>
      <c r="J27" s="45" t="str">
        <f>HYPERLINK(_xlfn.XLOOKUP(View[[#This Row],[ID]],Opportunities[ID],Opportunities[CustomerRecordURL]),_xlfn.XLOOKUP(View[[#This Row],[ID]],Opportunities[ID],Opportunities[Customer Name]))</f>
        <v>Publishing House</v>
      </c>
      <c r="K27" s="34" t="str">
        <f>_xlfn.XLOOKUP(View[[#This Row],[ID]],Opportunities[ID],Opportunities[DisplayStage])</f>
        <v>➀ - Lead Qualification</v>
      </c>
      <c r="L27" s="1">
        <f>IF(pipelineType="Unweighted",_xlfn.XLOOKUP(View[[#This Row],[ID]],Opportunities[ID],Opportunities[Amount])/1000,_xlfn.XLOOKUP(View[[#This Row],[ID]],Opportunities[ID],Opportunities[Weighted])/1000)</f>
        <v>1310.673</v>
      </c>
      <c r="M27" s="27" t="str">
        <f>_xlfn.XLOOKUP(View[[#This Row],[ID]],Opportunities[ID],Opportunities[WinProbDisplay])</f>
        <v>↙ Low</v>
      </c>
      <c r="N27" s="28">
        <f>View[[#This Row],[Estmated Revenue]]</f>
        <v>262.13459999999998</v>
      </c>
      <c r="O27" s="2">
        <f>_xlfn.XLOOKUP(View[[#This Row],[ID]],Opportunities[ID],Opportunities[Close])</f>
        <v>46139</v>
      </c>
      <c r="P27" s="24" t="str">
        <f>IF(_xlfn.XLOOKUP(View[[#This Row],[ID]],Opportunities[ID],Opportunities[Comment Log])=0,"",_xlfn.XLOOKUP(View[[#This Row],[ID]],Opportunities[ID],Opportunities[Comment Log]))</f>
        <v/>
      </c>
      <c r="Q27">
        <v>9</v>
      </c>
      <c r="R27" s="3">
        <f ca="1">_xlfn.XLOOKUP(View[[#This Row],[ID]],Opportunities[ID],Opportunities[NextMilestoneDate])-TODAY()</f>
        <v>50</v>
      </c>
      <c r="S27" s="34" t="str">
        <f>IF(calendarType="FQ","FY"&amp;RIGHT(TEXT(IF(MONTH(View[[#This Row],[Close]])&gt;MONTH(fqStart),YEAR(View[[#This Row],[Close]])+1,IF(MONTH(View[[#This Row],[Close]])&lt;MONTH(fqStart),YEAR(View[[#This Row],[Close]]),IF(DAY(View[[#This Row],[Close]])&gt;=DAY(fqStart),YEAR(View[[#This Row],[Close]])+1,YEAR(View[[#This Row],[Close]])))),"0"),2)&amp;"-Q"&amp;ROUNDUP((MONTH(View[[#This Row],[Close]])-MONTH(fqStart)+IF(DAY(View[[#This Row],[Close]])&lt;DAY(fqStart),0,1)+IF(MONTH(View[[#This Row],[Close]])&lt;MONTH(fqStart),12,0))/3,0),_xlfn.XLOOKUP(View[[#This Row],[ID]],Opportunities[ID],Opportunities[CQ]))</f>
        <v>FY26-Q4</v>
      </c>
      <c r="T27" s="1">
        <f>_xlfn.XLOOKUP(View[[#This Row],[ID]],Opportunities[ID],Opportunities[Weighted])/1000</f>
        <v>262.13459999999998</v>
      </c>
      <c r="U27" s="4">
        <f>_xlfn.XLOOKUP(View[[#This Row],[ID]],Opportunities[ID],Opportunities[Amount])/1000</f>
        <v>1310.673</v>
      </c>
      <c r="V27" t="b">
        <f>View[[#This Row],[Win Probability]]="High"</f>
        <v>0</v>
      </c>
      <c r="W27">
        <f>SUBTOTAL(103, View[[#This Row],[Status]])</f>
        <v>1</v>
      </c>
    </row>
    <row r="28" spans="8:23" x14ac:dyDescent="0.25">
      <c r="H28" s="51" t="str">
        <f>_xlfn.XLOOKUP(View[[#This Row],[ID]],Opportunities[ID],Opportunities[Status])</f>
        <v>Active</v>
      </c>
      <c r="I28" s="33" t="str">
        <f>HYPERLINK(siteUrl&amp;"Lists/"&amp;oppList&amp;"/DispForm.aspx?ID="&amp;View[[#This Row],[ID]],_xlfn.XLOOKUP(View[[#This Row],[ID]],Opportunities[ID],Opportunities[OpportunityName]))</f>
        <v>Compliance Management Tool</v>
      </c>
      <c r="J28" s="45" t="str">
        <f>HYPERLINK(_xlfn.XLOOKUP(View[[#This Row],[ID]],Opportunities[ID],Opportunities[CustomerRecordURL]),_xlfn.XLOOKUP(View[[#This Row],[ID]],Opportunities[ID],Opportunities[Customer Name]))</f>
        <v>Mining Operations</v>
      </c>
      <c r="K28" s="34" t="str">
        <f>_xlfn.XLOOKUP(View[[#This Row],[ID]],Opportunities[ID],Opportunities[DisplayStage])</f>
        <v>➁ - Nurturing</v>
      </c>
      <c r="L28" s="1">
        <f>IF(pipelineType="Unweighted",_xlfn.XLOOKUP(View[[#This Row],[ID]],Opportunities[ID],Opportunities[Amount])/1000,_xlfn.XLOOKUP(View[[#This Row],[ID]],Opportunities[ID],Opportunities[Weighted])/1000)</f>
        <v>994.88199999999995</v>
      </c>
      <c r="M28" s="27" t="str">
        <f>_xlfn.XLOOKUP(View[[#This Row],[ID]],Opportunities[ID],Opportunities[WinProbDisplay])</f>
        <v>↙ Low</v>
      </c>
      <c r="N28" s="28">
        <f>View[[#This Row],[Estmated Revenue]]</f>
        <v>198.97640000000001</v>
      </c>
      <c r="O28" s="2">
        <f>_xlfn.XLOOKUP(View[[#This Row],[ID]],Opportunities[ID],Opportunities[Close])</f>
        <v>46031</v>
      </c>
      <c r="P28" s="24" t="str">
        <f>IF(_xlfn.XLOOKUP(View[[#This Row],[ID]],Opportunities[ID],Opportunities[Comment Log])=0,"",_xlfn.XLOOKUP(View[[#This Row],[ID]],Opportunities[ID],Opportunities[Comment Log]))</f>
        <v/>
      </c>
      <c r="Q28">
        <v>24</v>
      </c>
      <c r="R28" s="3">
        <f ca="1">_xlfn.XLOOKUP(View[[#This Row],[ID]],Opportunities[ID],Opportunities[NextMilestoneDate])-TODAY()</f>
        <v>26</v>
      </c>
      <c r="S28" s="34" t="str">
        <f>IF(calendarType="FQ","FY"&amp;RIGHT(TEXT(IF(MONTH(View[[#This Row],[Close]])&gt;MONTH(fqStart),YEAR(View[[#This Row],[Close]])+1,IF(MONTH(View[[#This Row],[Close]])&lt;MONTH(fqStart),YEAR(View[[#This Row],[Close]]),IF(DAY(View[[#This Row],[Close]])&gt;=DAY(fqStart),YEAR(View[[#This Row],[Close]])+1,YEAR(View[[#This Row],[Close]])))),"0"),2)&amp;"-Q"&amp;ROUNDUP((MONTH(View[[#This Row],[Close]])-MONTH(fqStart)+IF(DAY(View[[#This Row],[Close]])&lt;DAY(fqStart),0,1)+IF(MONTH(View[[#This Row],[Close]])&lt;MONTH(fqStart),12,0))/3,0),_xlfn.XLOOKUP(View[[#This Row],[ID]],Opportunities[ID],Opportunities[CQ]))</f>
        <v>FY26-Q3</v>
      </c>
      <c r="T28" s="1">
        <f>_xlfn.XLOOKUP(View[[#This Row],[ID]],Opportunities[ID],Opportunities[Weighted])/1000</f>
        <v>198.97640000000001</v>
      </c>
      <c r="U28" s="4">
        <f>_xlfn.XLOOKUP(View[[#This Row],[ID]],Opportunities[ID],Opportunities[Amount])/1000</f>
        <v>994.88199999999995</v>
      </c>
      <c r="V28" t="b">
        <f>View[[#This Row],[Win Probability]]="High"</f>
        <v>0</v>
      </c>
      <c r="W28">
        <f>SUBTOTAL(103, View[[#This Row],[Status]])</f>
        <v>1</v>
      </c>
    </row>
    <row r="29" spans="8:23" x14ac:dyDescent="0.25">
      <c r="H29" s="51" t="str">
        <f>_xlfn.XLOOKUP(View[[#This Row],[ID]],Opportunities[ID],Opportunities[Status])</f>
        <v>Active</v>
      </c>
      <c r="I29" s="33" t="str">
        <f>HYPERLINK(siteUrl&amp;"Lists/"&amp;oppList&amp;"/DispForm.aspx?ID="&amp;View[[#This Row],[ID]],_xlfn.XLOOKUP(View[[#This Row],[ID]],Opportunities[ID],Opportunities[OpportunityName]))</f>
        <v>Digital Transformation Project</v>
      </c>
      <c r="J29" s="45" t="str">
        <f>HYPERLINK(_xlfn.XLOOKUP(View[[#This Row],[ID]],Opportunities[ID],Opportunities[CustomerRecordURL]),_xlfn.XLOOKUP(View[[#This Row],[ID]],Opportunities[ID],Opportunities[Customer Name]))</f>
        <v>Professional Services Group</v>
      </c>
      <c r="K29" s="34" t="str">
        <f>_xlfn.XLOOKUP(View[[#This Row],[ID]],Opportunities[ID],Opportunities[DisplayStage])</f>
        <v>➄ - Project Execution</v>
      </c>
      <c r="L29" s="1">
        <f>IF(pipelineType="Unweighted",_xlfn.XLOOKUP(View[[#This Row],[ID]],Opportunities[ID],Opportunities[Amount])/1000,_xlfn.XLOOKUP(View[[#This Row],[ID]],Opportunities[ID],Opportunities[Weighted])/1000)</f>
        <v>826.10500000000002</v>
      </c>
      <c r="M29" s="27" t="str">
        <f>_xlfn.XLOOKUP(View[[#This Row],[ID]],Opportunities[ID],Opportunities[WinProbDisplay])</f>
        <v>← Medium</v>
      </c>
      <c r="N29" s="28">
        <f>View[[#This Row],[Estmated Revenue]]</f>
        <v>330.44200000000001</v>
      </c>
      <c r="O29" s="2">
        <f>_xlfn.XLOOKUP(View[[#This Row],[ID]],Opportunities[ID],Opportunities[Close])</f>
        <v>46140</v>
      </c>
      <c r="P29" s="24" t="str">
        <f>IF(_xlfn.XLOOKUP(View[[#This Row],[ID]],Opportunities[ID],Opportunities[Comment Log])=0,"",_xlfn.XLOOKUP(View[[#This Row],[ID]],Opportunities[ID],Opportunities[Comment Log]))</f>
        <v/>
      </c>
      <c r="Q29">
        <v>6</v>
      </c>
      <c r="R29" s="3">
        <f ca="1">_xlfn.XLOOKUP(View[[#This Row],[ID]],Opportunities[ID],Opportunities[NextMilestoneDate])-TODAY()</f>
        <v>17</v>
      </c>
      <c r="S29" s="34" t="str">
        <f>IF(calendarType="FQ","FY"&amp;RIGHT(TEXT(IF(MONTH(View[[#This Row],[Close]])&gt;MONTH(fqStart),YEAR(View[[#This Row],[Close]])+1,IF(MONTH(View[[#This Row],[Close]])&lt;MONTH(fqStart),YEAR(View[[#This Row],[Close]]),IF(DAY(View[[#This Row],[Close]])&gt;=DAY(fqStart),YEAR(View[[#This Row],[Close]])+1,YEAR(View[[#This Row],[Close]])))),"0"),2)&amp;"-Q"&amp;ROUNDUP((MONTH(View[[#This Row],[Close]])-MONTH(fqStart)+IF(DAY(View[[#This Row],[Close]])&lt;DAY(fqStart),0,1)+IF(MONTH(View[[#This Row],[Close]])&lt;MONTH(fqStart),12,0))/3,0),_xlfn.XLOOKUP(View[[#This Row],[ID]],Opportunities[ID],Opportunities[CQ]))</f>
        <v>FY26-Q4</v>
      </c>
      <c r="T29" s="1">
        <f>_xlfn.XLOOKUP(View[[#This Row],[ID]],Opportunities[ID],Opportunities[Weighted])/1000</f>
        <v>330.44200000000001</v>
      </c>
      <c r="U29" s="4">
        <f>_xlfn.XLOOKUP(View[[#This Row],[ID]],Opportunities[ID],Opportunities[Amount])/1000</f>
        <v>826.10500000000002</v>
      </c>
      <c r="V29" t="b">
        <f>View[[#This Row],[Win Probability]]="High"</f>
        <v>0</v>
      </c>
      <c r="W29">
        <f>SUBTOTAL(103, View[[#This Row],[Status]])</f>
        <v>1</v>
      </c>
    </row>
    <row r="30" spans="8:23" x14ac:dyDescent="0.25">
      <c r="H30" s="51" t="str">
        <f>_xlfn.XLOOKUP(View[[#This Row],[ID]],Opportunities[ID],Opportunities[Status])</f>
        <v>At Risk</v>
      </c>
      <c r="I30" s="33" t="str">
        <f>HYPERLINK(siteUrl&amp;"Lists/"&amp;oppList&amp;"/DispForm.aspx?ID="&amp;View[[#This Row],[ID]],_xlfn.XLOOKUP(View[[#This Row],[ID]],Opportunities[ID],Opportunities[OpportunityName]))</f>
        <v>Data Center Consolidation</v>
      </c>
      <c r="J30" s="45" t="str">
        <f>HYPERLINK(_xlfn.XLOOKUP(View[[#This Row],[ID]],Opportunities[ID],Opportunities[CustomerRecordURL]),_xlfn.XLOOKUP(View[[#This Row],[ID]],Opportunities[ID],Opportunities[Customer Name]))</f>
        <v>Tech Solutions Inc</v>
      </c>
      <c r="K30" s="34" t="str">
        <f>_xlfn.XLOOKUP(View[[#This Row],[ID]],Opportunities[ID],Opportunities[DisplayStage])</f>
        <v>➃ - Negotiation</v>
      </c>
      <c r="L30" s="1">
        <f>IF(pipelineType="Unweighted",_xlfn.XLOOKUP(View[[#This Row],[ID]],Opportunities[ID],Opportunities[Amount])/1000,_xlfn.XLOOKUP(View[[#This Row],[ID]],Opportunities[ID],Opportunities[Weighted])/1000)</f>
        <v>2017.08</v>
      </c>
      <c r="M30" s="27" t="str">
        <f>_xlfn.XLOOKUP(View[[#This Row],[ID]],Opportunities[ID],Opportunities[WinProbDisplay])</f>
        <v>↖ High</v>
      </c>
      <c r="N30" s="28">
        <f>View[[#This Row],[Estmated Revenue]]</f>
        <v>1815.3720000000001</v>
      </c>
      <c r="O30" s="2">
        <f>_xlfn.XLOOKUP(View[[#This Row],[ID]],Opportunities[ID],Opportunities[Close])</f>
        <v>46318</v>
      </c>
      <c r="P30" s="24" t="str">
        <f>IF(_xlfn.XLOOKUP(View[[#This Row],[ID]],Opportunities[ID],Opportunities[Comment Log])=0,"",_xlfn.XLOOKUP(View[[#This Row],[ID]],Opportunities[ID],Opportunities[Comment Log]))</f>
        <v/>
      </c>
      <c r="Q30">
        <v>11</v>
      </c>
      <c r="R30" s="3">
        <f ca="1">_xlfn.XLOOKUP(View[[#This Row],[ID]],Opportunities[ID],Opportunities[NextMilestoneDate])-TODAY()</f>
        <v>42</v>
      </c>
      <c r="S30" s="34" t="str">
        <f>IF(calendarType="FQ","FY"&amp;RIGHT(TEXT(IF(MONTH(View[[#This Row],[Close]])&gt;MONTH(fqStart),YEAR(View[[#This Row],[Close]])+1,IF(MONTH(View[[#This Row],[Close]])&lt;MONTH(fqStart),YEAR(View[[#This Row],[Close]]),IF(DAY(View[[#This Row],[Close]])&gt;=DAY(fqStart),YEAR(View[[#This Row],[Close]])+1,YEAR(View[[#This Row],[Close]])))),"0"),2)&amp;"-Q"&amp;ROUNDUP((MONTH(View[[#This Row],[Close]])-MONTH(fqStart)+IF(DAY(View[[#This Row],[Close]])&lt;DAY(fqStart),0,1)+IF(MONTH(View[[#This Row],[Close]])&lt;MONTH(fqStart),12,0))/3,0),_xlfn.XLOOKUP(View[[#This Row],[ID]],Opportunities[ID],Opportunities[CQ]))</f>
        <v>FY27-Q2</v>
      </c>
      <c r="T30" s="1">
        <f>_xlfn.XLOOKUP(View[[#This Row],[ID]],Opportunities[ID],Opportunities[Weighted])/1000</f>
        <v>1815.3720000000001</v>
      </c>
      <c r="U30" s="4">
        <f>_xlfn.XLOOKUP(View[[#This Row],[ID]],Opportunities[ID],Opportunities[Amount])/1000</f>
        <v>2017.08</v>
      </c>
      <c r="V30" t="b">
        <f>View[[#This Row],[Win Probability]]="High"</f>
        <v>0</v>
      </c>
      <c r="W30">
        <f>SUBTOTAL(103, View[[#This Row],[Status]])</f>
        <v>1</v>
      </c>
    </row>
    <row r="31" spans="8:23" x14ac:dyDescent="0.25">
      <c r="H31" s="51" t="str">
        <f>_xlfn.XLOOKUP(View[[#This Row],[ID]],Opportunities[ID],Opportunities[Status])</f>
        <v>At Risk</v>
      </c>
      <c r="I31" s="33" t="str">
        <f>HYPERLINK(siteUrl&amp;"Lists/"&amp;oppList&amp;"/DispForm.aspx?ID="&amp;View[[#This Row],[ID]],_xlfn.XLOOKUP(View[[#This Row],[ID]],Opportunities[ID],Opportunities[OpportunityName]))</f>
        <v>Fleet Management System</v>
      </c>
      <c r="J31" s="45" t="str">
        <f>HYPERLINK(_xlfn.XLOOKUP(View[[#This Row],[ID]],Opportunities[ID],Opportunities[CustomerRecordURL]),_xlfn.XLOOKUP(View[[#This Row],[ID]],Opportunities[ID],Opportunities[Customer Name]))</f>
        <v>Pharmaceutical Research</v>
      </c>
      <c r="K31" s="34" t="str">
        <f>_xlfn.XLOOKUP(View[[#This Row],[ID]],Opportunities[ID],Opportunities[DisplayStage])</f>
        <v>➃ - Negotiation</v>
      </c>
      <c r="L31" s="1">
        <f>IF(pipelineType="Unweighted",_xlfn.XLOOKUP(View[[#This Row],[ID]],Opportunities[ID],Opportunities[Amount])/1000,_xlfn.XLOOKUP(View[[#This Row],[ID]],Opportunities[ID],Opportunities[Weighted])/1000)</f>
        <v>768.86500000000001</v>
      </c>
      <c r="M31" s="27" t="str">
        <f>_xlfn.XLOOKUP(View[[#This Row],[ID]],Opportunities[ID],Opportunities[WinProbDisplay])</f>
        <v>↙ Low</v>
      </c>
      <c r="N31" s="28">
        <f>View[[#This Row],[Estmated Revenue]]</f>
        <v>153.773</v>
      </c>
      <c r="O31" s="2">
        <f>_xlfn.XLOOKUP(View[[#This Row],[ID]],Opportunities[ID],Opportunities[Close])</f>
        <v>46099</v>
      </c>
      <c r="P31" s="24" t="str">
        <f>IF(_xlfn.XLOOKUP(View[[#This Row],[ID]],Opportunities[ID],Opportunities[Comment Log])=0,"",_xlfn.XLOOKUP(View[[#This Row],[ID]],Opportunities[ID],Opportunities[Comment Log]))</f>
        <v/>
      </c>
      <c r="Q31">
        <v>31</v>
      </c>
      <c r="R31" s="3">
        <f ca="1">_xlfn.XLOOKUP(View[[#This Row],[ID]],Opportunities[ID],Opportunities[NextMilestoneDate])-TODAY()</f>
        <v>42</v>
      </c>
      <c r="S31" s="34" t="str">
        <f>IF(calendarType="FQ","FY"&amp;RIGHT(TEXT(IF(MONTH(View[[#This Row],[Close]])&gt;MONTH(fqStart),YEAR(View[[#This Row],[Close]])+1,IF(MONTH(View[[#This Row],[Close]])&lt;MONTH(fqStart),YEAR(View[[#This Row],[Close]]),IF(DAY(View[[#This Row],[Close]])&gt;=DAY(fqStart),YEAR(View[[#This Row],[Close]])+1,YEAR(View[[#This Row],[Close]])))),"0"),2)&amp;"-Q"&amp;ROUNDUP((MONTH(View[[#This Row],[Close]])-MONTH(fqStart)+IF(DAY(View[[#This Row],[Close]])&lt;DAY(fqStart),0,1)+IF(MONTH(View[[#This Row],[Close]])&lt;MONTH(fqStart),12,0))/3,0),_xlfn.XLOOKUP(View[[#This Row],[ID]],Opportunities[ID],Opportunities[CQ]))</f>
        <v>FY26-Q3</v>
      </c>
      <c r="T31" s="1">
        <f>_xlfn.XLOOKUP(View[[#This Row],[ID]],Opportunities[ID],Opportunities[Weighted])/1000</f>
        <v>153.773</v>
      </c>
      <c r="U31" s="4">
        <f>_xlfn.XLOOKUP(View[[#This Row],[ID]],Opportunities[ID],Opportunities[Amount])/1000</f>
        <v>768.86500000000001</v>
      </c>
      <c r="V31" t="b">
        <f>View[[#This Row],[Win Probability]]="High"</f>
        <v>0</v>
      </c>
      <c r="W31">
        <f>SUBTOTAL(103, View[[#This Row],[Status]])</f>
        <v>1</v>
      </c>
    </row>
    <row r="32" spans="8:23" x14ac:dyDescent="0.25">
      <c r="H32" s="51" t="str">
        <f>_xlfn.XLOOKUP(View[[#This Row],[ID]],Opportunities[ID],Opportunities[Status])</f>
        <v>Active</v>
      </c>
      <c r="I32" s="33" t="str">
        <f>HYPERLINK(siteUrl&amp;"Lists/"&amp;oppList&amp;"/DispForm.aspx?ID="&amp;View[[#This Row],[ID]],_xlfn.XLOOKUP(View[[#This Row],[ID]],Opportunities[ID],Opportunities[OpportunityName]))</f>
        <v>Security Assessment &amp; Audit</v>
      </c>
      <c r="J32" s="45" t="str">
        <f>HYPERLINK(_xlfn.XLOOKUP(View[[#This Row],[ID]],Opportunities[ID],Opportunities[CustomerRecordURL]),_xlfn.XLOOKUP(View[[#This Row],[ID]],Opportunities[ID],Opportunities[Customer Name]))</f>
        <v>Real Estate Ventures</v>
      </c>
      <c r="K32" s="34" t="str">
        <f>_xlfn.XLOOKUP(View[[#This Row],[ID]],Opportunities[ID],Opportunities[DisplayStage])</f>
        <v>➁ - Nurturing</v>
      </c>
      <c r="L32" s="1">
        <f>IF(pipelineType="Unweighted",_xlfn.XLOOKUP(View[[#This Row],[ID]],Opportunities[ID],Opportunities[Amount])/1000,_xlfn.XLOOKUP(View[[#This Row],[ID]],Opportunities[ID],Opportunities[Weighted])/1000)</f>
        <v>1153.7249999999999</v>
      </c>
      <c r="M32" s="27" t="str">
        <f>_xlfn.XLOOKUP(View[[#This Row],[ID]],Opportunities[ID],Opportunities[WinProbDisplay])</f>
        <v>← Medium</v>
      </c>
      <c r="N32" s="28">
        <f>View[[#This Row],[Estmated Revenue]]</f>
        <v>461.49</v>
      </c>
      <c r="O32" s="2">
        <f>_xlfn.XLOOKUP(View[[#This Row],[ID]],Opportunities[ID],Opportunities[Close])</f>
        <v>45918</v>
      </c>
      <c r="P32" s="24" t="str">
        <f>IF(_xlfn.XLOOKUP(View[[#This Row],[ID]],Opportunities[ID],Opportunities[Comment Log])=0,"",_xlfn.XLOOKUP(View[[#This Row],[ID]],Opportunities[ID],Opportunities[Comment Log]))</f>
        <v/>
      </c>
      <c r="Q32">
        <v>3</v>
      </c>
      <c r="R32" s="3">
        <f ca="1">_xlfn.XLOOKUP(View[[#This Row],[ID]],Opportunities[ID],Opportunities[NextMilestoneDate])-TODAY()</f>
        <v>44</v>
      </c>
      <c r="S32" s="34" t="str">
        <f>IF(calendarType="FQ","FY"&amp;RIGHT(TEXT(IF(MONTH(View[[#This Row],[Close]])&gt;MONTH(fqStart),YEAR(View[[#This Row],[Close]])+1,IF(MONTH(View[[#This Row],[Close]])&lt;MONTH(fqStart),YEAR(View[[#This Row],[Close]]),IF(DAY(View[[#This Row],[Close]])&gt;=DAY(fqStart),YEAR(View[[#This Row],[Close]])+1,YEAR(View[[#This Row],[Close]])))),"0"),2)&amp;"-Q"&amp;ROUNDUP((MONTH(View[[#This Row],[Close]])-MONTH(fqStart)+IF(DAY(View[[#This Row],[Close]])&lt;DAY(fqStart),0,1)+IF(MONTH(View[[#This Row],[Close]])&lt;MONTH(fqStart),12,0))/3,0),_xlfn.XLOOKUP(View[[#This Row],[ID]],Opportunities[ID],Opportunities[CQ]))</f>
        <v>FY26-Q1</v>
      </c>
      <c r="T32" s="1">
        <f>_xlfn.XLOOKUP(View[[#This Row],[ID]],Opportunities[ID],Opportunities[Weighted])/1000</f>
        <v>461.49</v>
      </c>
      <c r="U32" s="4">
        <f>_xlfn.XLOOKUP(View[[#This Row],[ID]],Opportunities[ID],Opportunities[Amount])/1000</f>
        <v>1153.7249999999999</v>
      </c>
      <c r="V32" t="b">
        <f>View[[#This Row],[Win Probability]]="High"</f>
        <v>0</v>
      </c>
      <c r="W32">
        <f>SUBTOTAL(103, View[[#This Row],[Status]])</f>
        <v>1</v>
      </c>
    </row>
    <row r="33" spans="8:23" x14ac:dyDescent="0.25">
      <c r="H33" s="51" t="str">
        <f>_xlfn.XLOOKUP(View[[#This Row],[ID]],Opportunities[ID],Opportunities[Status])</f>
        <v>Active</v>
      </c>
      <c r="I33" s="33" t="str">
        <f>HYPERLINK(siteUrl&amp;"Lists/"&amp;oppList&amp;"/DispForm.aspx?ID="&amp;View[[#This Row],[ID]],_xlfn.XLOOKUP(View[[#This Row],[ID]],Opportunities[ID],Opportunities[OpportunityName]))</f>
        <v>Inventory Management Solution</v>
      </c>
      <c r="J33" s="45" t="str">
        <f>HYPERLINK(_xlfn.XLOOKUP(View[[#This Row],[ID]],Opportunities[ID],Opportunities[CustomerRecordURL]),_xlfn.XLOOKUP(View[[#This Row],[ID]],Opportunities[ID],Opportunities[Customer Name]))</f>
        <v>Transport Logistics</v>
      </c>
      <c r="K33" s="34" t="str">
        <f>_xlfn.XLOOKUP(View[[#This Row],[ID]],Opportunities[ID],Opportunities[DisplayStage])</f>
        <v>➂ - Proposal</v>
      </c>
      <c r="L33" s="1">
        <f>IF(pipelineType="Unweighted",_xlfn.XLOOKUP(View[[#This Row],[ID]],Opportunities[ID],Opportunities[Amount])/1000,_xlfn.XLOOKUP(View[[#This Row],[ID]],Opportunities[ID],Opportunities[Weighted])/1000)</f>
        <v>1524.787</v>
      </c>
      <c r="M33" s="27" t="str">
        <f>_xlfn.XLOOKUP(View[[#This Row],[ID]],Opportunities[ID],Opportunities[WinProbDisplay])</f>
        <v>↖ High</v>
      </c>
      <c r="N33" s="28">
        <f>View[[#This Row],[Estmated Revenue]]</f>
        <v>1372.3083000000001</v>
      </c>
      <c r="O33" s="2">
        <f>_xlfn.XLOOKUP(View[[#This Row],[ID]],Opportunities[ID],Opportunities[Close])</f>
        <v>46167</v>
      </c>
      <c r="P33" s="24" t="str">
        <f>IF(_xlfn.XLOOKUP(View[[#This Row],[ID]],Opportunities[ID],Opportunities[Comment Log])=0,"",_xlfn.XLOOKUP(View[[#This Row],[ID]],Opportunities[ID],Opportunities[Comment Log]))</f>
        <v/>
      </c>
      <c r="Q33">
        <v>22</v>
      </c>
      <c r="R33" s="3">
        <f ca="1">_xlfn.XLOOKUP(View[[#This Row],[ID]],Opportunities[ID],Opportunities[NextMilestoneDate])-TODAY()</f>
        <v>47</v>
      </c>
      <c r="S33" s="34" t="str">
        <f>IF(calendarType="FQ","FY"&amp;RIGHT(TEXT(IF(MONTH(View[[#This Row],[Close]])&gt;MONTH(fqStart),YEAR(View[[#This Row],[Close]])+1,IF(MONTH(View[[#This Row],[Close]])&lt;MONTH(fqStart),YEAR(View[[#This Row],[Close]]),IF(DAY(View[[#This Row],[Close]])&gt;=DAY(fqStart),YEAR(View[[#This Row],[Close]])+1,YEAR(View[[#This Row],[Close]])))),"0"),2)&amp;"-Q"&amp;ROUNDUP((MONTH(View[[#This Row],[Close]])-MONTH(fqStart)+IF(DAY(View[[#This Row],[Close]])&lt;DAY(fqStart),0,1)+IF(MONTH(View[[#This Row],[Close]])&lt;MONTH(fqStart),12,0))/3,0),_xlfn.XLOOKUP(View[[#This Row],[ID]],Opportunities[ID],Opportunities[CQ]))</f>
        <v>FY26-Q4</v>
      </c>
      <c r="T33" s="1">
        <f>_xlfn.XLOOKUP(View[[#This Row],[ID]],Opportunities[ID],Opportunities[Weighted])/1000</f>
        <v>1372.3083000000001</v>
      </c>
      <c r="U33" s="4">
        <f>_xlfn.XLOOKUP(View[[#This Row],[ID]],Opportunities[ID],Opportunities[Amount])/1000</f>
        <v>1524.787</v>
      </c>
      <c r="V33" t="b">
        <f>View[[#This Row],[Win Probability]]="High"</f>
        <v>0</v>
      </c>
      <c r="W33">
        <f>SUBTOTAL(103, View[[#This Row],[Status]])</f>
        <v>1</v>
      </c>
    </row>
    <row r="34" spans="8:23" x14ac:dyDescent="0.25">
      <c r="H34" s="51" t="str">
        <f>_xlfn.XLOOKUP(View[[#This Row],[ID]],Opportunities[ID],Opportunities[Status])</f>
        <v>Active</v>
      </c>
      <c r="I34" s="33" t="str">
        <f>HYPERLINK(siteUrl&amp;"Lists/"&amp;oppList&amp;"/DispForm.aspx?ID="&amp;View[[#This Row],[ID]],_xlfn.XLOOKUP(View[[#This Row],[ID]],Opportunities[ID],Opportunities[OpportunityName]))</f>
        <v>Network Infrastructure Upgrade</v>
      </c>
      <c r="J34" s="45" t="str">
        <f>HYPERLINK(_xlfn.XLOOKUP(View[[#This Row],[ID]],Opportunities[ID],Opportunities[CustomerRecordURL]),_xlfn.XLOOKUP(View[[#This Row],[ID]],Opportunities[ID],Opportunities[Customer Name]))</f>
        <v>Media Communications</v>
      </c>
      <c r="K34" s="34" t="str">
        <f>_xlfn.XLOOKUP(View[[#This Row],[ID]],Opportunities[ID],Opportunities[DisplayStage])</f>
        <v>➄ - Project Execution</v>
      </c>
      <c r="L34" s="1">
        <f>IF(pipelineType="Unweighted",_xlfn.XLOOKUP(View[[#This Row],[ID]],Opportunities[ID],Opportunities[Amount])/1000,_xlfn.XLOOKUP(View[[#This Row],[ID]],Opportunities[ID],Opportunities[Weighted])/1000)</f>
        <v>1002.514</v>
      </c>
      <c r="M34" s="27" t="str">
        <f>_xlfn.XLOOKUP(View[[#This Row],[ID]],Opportunities[ID],Opportunities[WinProbDisplay])</f>
        <v>← Medium</v>
      </c>
      <c r="N34" s="28">
        <f>View[[#This Row],[Estmated Revenue]]</f>
        <v>401.00560000000002</v>
      </c>
      <c r="O34" s="2">
        <f>_xlfn.XLOOKUP(View[[#This Row],[ID]],Opportunities[ID],Opportunities[Close])</f>
        <v>46330</v>
      </c>
      <c r="P34" s="24" t="str">
        <f>IF(_xlfn.XLOOKUP(View[[#This Row],[ID]],Opportunities[ID],Opportunities[Comment Log])=0,"",_xlfn.XLOOKUP(View[[#This Row],[ID]],Opportunities[ID],Opportunities[Comment Log]))</f>
        <v/>
      </c>
      <c r="Q34">
        <v>7</v>
      </c>
      <c r="R34" s="3">
        <f ca="1">_xlfn.XLOOKUP(View[[#This Row],[ID]],Opportunities[ID],Opportunities[NextMilestoneDate])-TODAY()</f>
        <v>7</v>
      </c>
      <c r="S34" s="34" t="str">
        <f>IF(calendarType="FQ","FY"&amp;RIGHT(TEXT(IF(MONTH(View[[#This Row],[Close]])&gt;MONTH(fqStart),YEAR(View[[#This Row],[Close]])+1,IF(MONTH(View[[#This Row],[Close]])&lt;MONTH(fqStart),YEAR(View[[#This Row],[Close]]),IF(DAY(View[[#This Row],[Close]])&gt;=DAY(fqStart),YEAR(View[[#This Row],[Close]])+1,YEAR(View[[#This Row],[Close]])))),"0"),2)&amp;"-Q"&amp;ROUNDUP((MONTH(View[[#This Row],[Close]])-MONTH(fqStart)+IF(DAY(View[[#This Row],[Close]])&lt;DAY(fqStart),0,1)+IF(MONTH(View[[#This Row],[Close]])&lt;MONTH(fqStart),12,0))/3,0),_xlfn.XLOOKUP(View[[#This Row],[ID]],Opportunities[ID],Opportunities[CQ]))</f>
        <v>FY27-Q2</v>
      </c>
      <c r="T34" s="1">
        <f>_xlfn.XLOOKUP(View[[#This Row],[ID]],Opportunities[ID],Opportunities[Weighted])/1000</f>
        <v>401.00560000000002</v>
      </c>
      <c r="U34" s="4">
        <f>_xlfn.XLOOKUP(View[[#This Row],[ID]],Opportunities[ID],Opportunities[Amount])/1000</f>
        <v>1002.514</v>
      </c>
      <c r="V34" t="b">
        <f>View[[#This Row],[Win Probability]]="High"</f>
        <v>0</v>
      </c>
      <c r="W34">
        <f>SUBTOTAL(103, View[[#This Row],[Status]])</f>
        <v>1</v>
      </c>
    </row>
    <row r="35" spans="8:23" x14ac:dyDescent="0.25">
      <c r="H35" s="51" t="str">
        <f>_xlfn.XLOOKUP(View[[#This Row],[ID]],Opportunities[ID],Opportunities[Status])</f>
        <v>Active</v>
      </c>
      <c r="I35" s="33" t="str">
        <f>HYPERLINK(siteUrl&amp;"Lists/"&amp;oppList&amp;"/DispForm.aspx?ID="&amp;View[[#This Row],[ID]],_xlfn.XLOOKUP(View[[#This Row],[ID]],Opportunities[ID],Opportunities[OpportunityName]))</f>
        <v>Point of Sale System</v>
      </c>
      <c r="J35" s="45" t="str">
        <f>HYPERLINK(_xlfn.XLOOKUP(View[[#This Row],[ID]],Opportunities[ID],Opportunities[CustomerRecordURL]),_xlfn.XLOOKUP(View[[#This Row],[ID]],Opportunities[ID],Opportunities[Customer Name]))</f>
        <v>Transport Logistics</v>
      </c>
      <c r="K35" s="34" t="str">
        <f>_xlfn.XLOOKUP(View[[#This Row],[ID]],Opportunities[ID],Opportunities[DisplayStage])</f>
        <v>➃ - Negotiation</v>
      </c>
      <c r="L35" s="1">
        <f>IF(pipelineType="Unweighted",_xlfn.XLOOKUP(View[[#This Row],[ID]],Opportunities[ID],Opportunities[Amount])/1000,_xlfn.XLOOKUP(View[[#This Row],[ID]],Opportunities[ID],Opportunities[Weighted])/1000)</f>
        <v>1136.222</v>
      </c>
      <c r="M35" s="27" t="str">
        <f>_xlfn.XLOOKUP(View[[#This Row],[ID]],Opportunities[ID],Opportunities[WinProbDisplay])</f>
        <v>↙ Low</v>
      </c>
      <c r="N35" s="28">
        <f>View[[#This Row],[Estmated Revenue]]</f>
        <v>227.24440000000001</v>
      </c>
      <c r="O35" s="2">
        <f>_xlfn.XLOOKUP(View[[#This Row],[ID]],Opportunities[ID],Opportunities[Close])</f>
        <v>45909</v>
      </c>
      <c r="P35" s="24" t="str">
        <f>IF(_xlfn.XLOOKUP(View[[#This Row],[ID]],Opportunities[ID],Opportunities[Comment Log])=0,"",_xlfn.XLOOKUP(View[[#This Row],[ID]],Opportunities[ID],Opportunities[Comment Log]))</f>
        <v/>
      </c>
      <c r="Q35">
        <v>23</v>
      </c>
      <c r="R35" s="3">
        <f ca="1">_xlfn.XLOOKUP(View[[#This Row],[ID]],Opportunities[ID],Opportunities[NextMilestoneDate])-TODAY()</f>
        <v>42</v>
      </c>
      <c r="S35" s="34" t="str">
        <f>IF(calendarType="FQ","FY"&amp;RIGHT(TEXT(IF(MONTH(View[[#This Row],[Close]])&gt;MONTH(fqStart),YEAR(View[[#This Row],[Close]])+1,IF(MONTH(View[[#This Row],[Close]])&lt;MONTH(fqStart),YEAR(View[[#This Row],[Close]]),IF(DAY(View[[#This Row],[Close]])&gt;=DAY(fqStart),YEAR(View[[#This Row],[Close]])+1,YEAR(View[[#This Row],[Close]])))),"0"),2)&amp;"-Q"&amp;ROUNDUP((MONTH(View[[#This Row],[Close]])-MONTH(fqStart)+IF(DAY(View[[#This Row],[Close]])&lt;DAY(fqStart),0,1)+IF(MONTH(View[[#This Row],[Close]])&lt;MONTH(fqStart),12,0))/3,0),_xlfn.XLOOKUP(View[[#This Row],[ID]],Opportunities[ID],Opportunities[CQ]))</f>
        <v>FY26-Q1</v>
      </c>
      <c r="T35" s="1">
        <f>_xlfn.XLOOKUP(View[[#This Row],[ID]],Opportunities[ID],Opportunities[Weighted])/1000</f>
        <v>227.24440000000001</v>
      </c>
      <c r="U35" s="4">
        <f>_xlfn.XLOOKUP(View[[#This Row],[ID]],Opportunities[ID],Opportunities[Amount])/1000</f>
        <v>1136.222</v>
      </c>
      <c r="V35" t="b">
        <f>View[[#This Row],[Win Probability]]="High"</f>
        <v>0</v>
      </c>
      <c r="W35">
        <f>SUBTOTAL(103, View[[#This Row],[Status]])</f>
        <v>1</v>
      </c>
    </row>
    <row r="36" spans="8:23" x14ac:dyDescent="0.25">
      <c r="H36" s="51" t="str">
        <f>_xlfn.XLOOKUP(View[[#This Row],[ID]],Opportunities[ID],Opportunities[Status])</f>
        <v>Active</v>
      </c>
      <c r="I36" s="33" t="str">
        <f>HYPERLINK(siteUrl&amp;"Lists/"&amp;oppList&amp;"/DispForm.aspx?ID="&amp;View[[#This Row],[ID]],_xlfn.XLOOKUP(View[[#This Row],[ID]],Opportunities[ID],Opportunities[OpportunityName]))</f>
        <v>Integration Services Project</v>
      </c>
      <c r="J36" s="45" t="str">
        <f>HYPERLINK(_xlfn.XLOOKUP(View[[#This Row],[ID]],Opportunities[ID],Opportunities[CustomerRecordURL]),_xlfn.XLOOKUP(View[[#This Row],[ID]],Opportunities[ID],Opportunities[Customer Name]))</f>
        <v>ACME Corporation</v>
      </c>
      <c r="K36" s="34" t="str">
        <f>_xlfn.XLOOKUP(View[[#This Row],[ID]],Opportunities[ID],Opportunities[DisplayStage])</f>
        <v>➄ - Project Execution</v>
      </c>
      <c r="L36" s="1">
        <f>IF(pipelineType="Unweighted",_xlfn.XLOOKUP(View[[#This Row],[ID]],Opportunities[ID],Opportunities[Amount])/1000,_xlfn.XLOOKUP(View[[#This Row],[ID]],Opportunities[ID],Opportunities[Weighted])/1000)</f>
        <v>1199.2270000000001</v>
      </c>
      <c r="M36" s="27" t="str">
        <f>_xlfn.XLOOKUP(View[[#This Row],[ID]],Opportunities[ID],Opportunities[WinProbDisplay])</f>
        <v>← Medium</v>
      </c>
      <c r="N36" s="28">
        <f>View[[#This Row],[Estmated Revenue]]</f>
        <v>479.69080000000002</v>
      </c>
      <c r="O36" s="2">
        <f>_xlfn.XLOOKUP(View[[#This Row],[ID]],Opportunities[ID],Opportunities[Close])</f>
        <v>46367</v>
      </c>
      <c r="P36" s="24" t="str">
        <f>IF(_xlfn.XLOOKUP(View[[#This Row],[ID]],Opportunities[ID],Opportunities[Comment Log])=0,"",_xlfn.XLOOKUP(View[[#This Row],[ID]],Opportunities[ID],Opportunities[Comment Log]))</f>
        <v/>
      </c>
      <c r="Q36">
        <v>36</v>
      </c>
      <c r="R36" s="3">
        <f ca="1">_xlfn.XLOOKUP(View[[#This Row],[ID]],Opportunities[ID],Opportunities[NextMilestoneDate])-TODAY()</f>
        <v>48</v>
      </c>
      <c r="S36" s="34" t="str">
        <f>IF(calendarType="FQ","FY"&amp;RIGHT(TEXT(IF(MONTH(View[[#This Row],[Close]])&gt;MONTH(fqStart),YEAR(View[[#This Row],[Close]])+1,IF(MONTH(View[[#This Row],[Close]])&lt;MONTH(fqStart),YEAR(View[[#This Row],[Close]]),IF(DAY(View[[#This Row],[Close]])&gt;=DAY(fqStart),YEAR(View[[#This Row],[Close]])+1,YEAR(View[[#This Row],[Close]])))),"0"),2)&amp;"-Q"&amp;ROUNDUP((MONTH(View[[#This Row],[Close]])-MONTH(fqStart)+IF(DAY(View[[#This Row],[Close]])&lt;DAY(fqStart),0,1)+IF(MONTH(View[[#This Row],[Close]])&lt;MONTH(fqStart),12,0))/3,0),_xlfn.XLOOKUP(View[[#This Row],[ID]],Opportunities[ID],Opportunities[CQ]))</f>
        <v>FY27-Q2</v>
      </c>
      <c r="T36" s="1">
        <f>_xlfn.XLOOKUP(View[[#This Row],[ID]],Opportunities[ID],Opportunities[Weighted])/1000</f>
        <v>479.69080000000002</v>
      </c>
      <c r="U36" s="4">
        <f>_xlfn.XLOOKUP(View[[#This Row],[ID]],Opportunities[ID],Opportunities[Amount])/1000</f>
        <v>1199.2270000000001</v>
      </c>
      <c r="V36" t="b">
        <f>View[[#This Row],[Win Probability]]="High"</f>
        <v>0</v>
      </c>
      <c r="W36">
        <f>SUBTOTAL(103, View[[#This Row],[Status]])</f>
        <v>1</v>
      </c>
    </row>
    <row r="37" spans="8:23" x14ac:dyDescent="0.25">
      <c r="H37" s="51" t="str">
        <f>_xlfn.XLOOKUP(View[[#This Row],[ID]],Opportunities[ID],Opportunities[Status])</f>
        <v>At Risk</v>
      </c>
      <c r="I37" s="33" t="str">
        <f>HYPERLINK(siteUrl&amp;"Lists/"&amp;oppList&amp;"/DispForm.aspx?ID="&amp;View[[#This Row],[ID]],_xlfn.XLOOKUP(View[[#This Row],[ID]],Opportunities[ID],Opportunities[OpportunityName]))</f>
        <v>Quality Management System</v>
      </c>
      <c r="J37" s="45" t="str">
        <f>HYPERLINK(_xlfn.XLOOKUP(View[[#This Row],[ID]],Opportunities[ID],Opportunities[CustomerRecordURL]),_xlfn.XLOOKUP(View[[#This Row],[ID]],Opportunities[ID],Opportunities[Customer Name]))</f>
        <v>Environmental Services</v>
      </c>
      <c r="K37" s="34" t="str">
        <f>_xlfn.XLOOKUP(View[[#This Row],[ID]],Opportunities[ID],Opportunities[DisplayStage])</f>
        <v>➂ - Proposal</v>
      </c>
      <c r="L37" s="1">
        <f>IF(pipelineType="Unweighted",_xlfn.XLOOKUP(View[[#This Row],[ID]],Opportunities[ID],Opportunities[Amount])/1000,_xlfn.XLOOKUP(View[[#This Row],[ID]],Opportunities[ID],Opportunities[Weighted])/1000)</f>
        <v>945.28399999999999</v>
      </c>
      <c r="M37" s="27" t="str">
        <f>_xlfn.XLOOKUP(View[[#This Row],[ID]],Opportunities[ID],Opportunities[WinProbDisplay])</f>
        <v>← Medium</v>
      </c>
      <c r="N37" s="28">
        <f>View[[#This Row],[Estmated Revenue]]</f>
        <v>378.11360000000002</v>
      </c>
      <c r="O37" s="2">
        <f>_xlfn.XLOOKUP(View[[#This Row],[ID]],Opportunities[ID],Opportunities[Close])</f>
        <v>46059</v>
      </c>
      <c r="P37" s="24" t="str">
        <f>IF(_xlfn.XLOOKUP(View[[#This Row],[ID]],Opportunities[ID],Opportunities[Comment Log])=0,"",_xlfn.XLOOKUP(View[[#This Row],[ID]],Opportunities[ID],Opportunities[Comment Log]))</f>
        <v/>
      </c>
      <c r="Q37">
        <v>16</v>
      </c>
      <c r="R37" s="3">
        <f ca="1">_xlfn.XLOOKUP(View[[#This Row],[ID]],Opportunities[ID],Opportunities[NextMilestoneDate])-TODAY()</f>
        <v>52</v>
      </c>
      <c r="S37" s="34" t="str">
        <f>IF(calendarType="FQ","FY"&amp;RIGHT(TEXT(IF(MONTH(View[[#This Row],[Close]])&gt;MONTH(fqStart),YEAR(View[[#This Row],[Close]])+1,IF(MONTH(View[[#This Row],[Close]])&lt;MONTH(fqStart),YEAR(View[[#This Row],[Close]]),IF(DAY(View[[#This Row],[Close]])&gt;=DAY(fqStart),YEAR(View[[#This Row],[Close]])+1,YEAR(View[[#This Row],[Close]])))),"0"),2)&amp;"-Q"&amp;ROUNDUP((MONTH(View[[#This Row],[Close]])-MONTH(fqStart)+IF(DAY(View[[#This Row],[Close]])&lt;DAY(fqStart),0,1)+IF(MONTH(View[[#This Row],[Close]])&lt;MONTH(fqStart),12,0))/3,0),_xlfn.XLOOKUP(View[[#This Row],[ID]],Opportunities[ID],Opportunities[CQ]))</f>
        <v>FY26-Q3</v>
      </c>
      <c r="T37" s="1">
        <f>_xlfn.XLOOKUP(View[[#This Row],[ID]],Opportunities[ID],Opportunities[Weighted])/1000</f>
        <v>378.11360000000002</v>
      </c>
      <c r="U37" s="4">
        <f>_xlfn.XLOOKUP(View[[#This Row],[ID]],Opportunities[ID],Opportunities[Amount])/1000</f>
        <v>945.28399999999999</v>
      </c>
      <c r="V37" t="b">
        <f>View[[#This Row],[Win Probability]]="High"</f>
        <v>0</v>
      </c>
      <c r="W37">
        <f>SUBTOTAL(103, View[[#This Row],[Status]])</f>
        <v>1</v>
      </c>
    </row>
    <row r="38" spans="8:23" x14ac:dyDescent="0.25">
      <c r="H38" s="51" t="str">
        <f>_xlfn.XLOOKUP(View[[#This Row],[ID]],Opportunities[ID],Opportunities[Status])</f>
        <v>Active</v>
      </c>
      <c r="I38" s="33" t="str">
        <f>HYPERLINK(siteUrl&amp;"Lists/"&amp;oppList&amp;"/DispForm.aspx?ID="&amp;View[[#This Row],[ID]],_xlfn.XLOOKUP(View[[#This Row],[ID]],Opportunities[ID],Opportunities[OpportunityName]))</f>
        <v>Document Management System</v>
      </c>
      <c r="J38" s="45" t="str">
        <f>HYPERLINK(_xlfn.XLOOKUP(View[[#This Row],[ID]],Opportunities[ID],Opportunities[CustomerRecordURL]),_xlfn.XLOOKUP(View[[#This Row],[ID]],Opportunities[ID],Opportunities[Customer Name]))</f>
        <v>Global Industries</v>
      </c>
      <c r="K38" s="34" t="str">
        <f>_xlfn.XLOOKUP(View[[#This Row],[ID]],Opportunities[ID],Opportunities[DisplayStage])</f>
        <v>➀ - Lead Qualification</v>
      </c>
      <c r="L38" s="1">
        <f>IF(pipelineType="Unweighted",_xlfn.XLOOKUP(View[[#This Row],[ID]],Opportunities[ID],Opportunities[Amount])/1000,_xlfn.XLOOKUP(View[[#This Row],[ID]],Opportunities[ID],Opportunities[Weighted])/1000)</f>
        <v>1061.325</v>
      </c>
      <c r="M38" s="27" t="str">
        <f>_xlfn.XLOOKUP(View[[#This Row],[ID]],Opportunities[ID],Opportunities[WinProbDisplay])</f>
        <v>← Medium</v>
      </c>
      <c r="N38" s="28">
        <f>View[[#This Row],[Estmated Revenue]]</f>
        <v>424.53</v>
      </c>
      <c r="O38" s="2">
        <f>_xlfn.XLOOKUP(View[[#This Row],[ID]],Opportunities[ID],Opportunities[Close])</f>
        <v>46204</v>
      </c>
      <c r="P38" s="24" t="str">
        <f>IF(_xlfn.XLOOKUP(View[[#This Row],[ID]],Opportunities[ID],Opportunities[Comment Log])=0,"",_xlfn.XLOOKUP(View[[#This Row],[ID]],Opportunities[ID],Opportunities[Comment Log]))</f>
        <v/>
      </c>
      <c r="Q38">
        <v>14</v>
      </c>
      <c r="R38" s="3">
        <f ca="1">_xlfn.XLOOKUP(View[[#This Row],[ID]],Opportunities[ID],Opportunities[NextMilestoneDate])-TODAY()</f>
        <v>11</v>
      </c>
      <c r="S38" s="34" t="str">
        <f>IF(calendarType="FQ","FY"&amp;RIGHT(TEXT(IF(MONTH(View[[#This Row],[Close]])&gt;MONTH(fqStart),YEAR(View[[#This Row],[Close]])+1,IF(MONTH(View[[#This Row],[Close]])&lt;MONTH(fqStart),YEAR(View[[#This Row],[Close]]),IF(DAY(View[[#This Row],[Close]])&gt;=DAY(fqStart),YEAR(View[[#This Row],[Close]])+1,YEAR(View[[#This Row],[Close]])))),"0"),2)&amp;"-Q"&amp;ROUNDUP((MONTH(View[[#This Row],[Close]])-MONTH(fqStart)+IF(DAY(View[[#This Row],[Close]])&lt;DAY(fqStart),0,1)+IF(MONTH(View[[#This Row],[Close]])&lt;MONTH(fqStart),12,0))/3,0),_xlfn.XLOOKUP(View[[#This Row],[ID]],Opportunities[ID],Opportunities[CQ]))</f>
        <v>FY27-Q1</v>
      </c>
      <c r="T38" s="1">
        <f>_xlfn.XLOOKUP(View[[#This Row],[ID]],Opportunities[ID],Opportunities[Weighted])/1000</f>
        <v>424.53</v>
      </c>
      <c r="U38" s="4">
        <f>_xlfn.XLOOKUP(View[[#This Row],[ID]],Opportunities[ID],Opportunities[Amount])/1000</f>
        <v>1061.325</v>
      </c>
      <c r="V38" t="b">
        <f>View[[#This Row],[Win Probability]]="High"</f>
        <v>0</v>
      </c>
      <c r="W38">
        <f>SUBTOTAL(103, View[[#This Row],[Status]])</f>
        <v>1</v>
      </c>
    </row>
    <row r="39" spans="8:23" x14ac:dyDescent="0.25">
      <c r="H39" s="51" t="str">
        <f>_xlfn.XLOOKUP(View[[#This Row],[ID]],Opportunities[ID],Opportunities[Status])</f>
        <v>Active</v>
      </c>
      <c r="I39" s="33" t="str">
        <f>HYPERLINK(siteUrl&amp;"Lists/"&amp;oppList&amp;"/DispForm.aspx?ID="&amp;View[[#This Row],[ID]],_xlfn.XLOOKUP(View[[#This Row],[ID]],Opportunities[ID],Opportunities[OpportunityName]))</f>
        <v>Database Migration Project</v>
      </c>
      <c r="J39" s="45" t="str">
        <f>HYPERLINK(_xlfn.XLOOKUP(View[[#This Row],[ID]],Opportunities[ID],Opportunities[CustomerRecordURL]),_xlfn.XLOOKUP(View[[#This Row],[ID]],Opportunities[ID],Opportunities[Customer Name]))</f>
        <v>Automotive Parts Plus</v>
      </c>
      <c r="K39" s="34" t="str">
        <f>_xlfn.XLOOKUP(View[[#This Row],[ID]],Opportunities[ID],Opportunities[DisplayStage])</f>
        <v>➅ - Closeout</v>
      </c>
      <c r="L39" s="1">
        <f>IF(pipelineType="Unweighted",_xlfn.XLOOKUP(View[[#This Row],[ID]],Opportunities[ID],Opportunities[Amount])/1000,_xlfn.XLOOKUP(View[[#This Row],[ID]],Opportunities[ID],Opportunities[Weighted])/1000)</f>
        <v>1236.123</v>
      </c>
      <c r="M39" s="27" t="str">
        <f>_xlfn.XLOOKUP(View[[#This Row],[ID]],Opportunities[ID],Opportunities[WinProbDisplay])</f>
        <v>← Medium</v>
      </c>
      <c r="N39" s="28">
        <f>View[[#This Row],[Estmated Revenue]]</f>
        <v>494.44920000000002</v>
      </c>
      <c r="O39" s="2">
        <f>_xlfn.XLOOKUP(View[[#This Row],[ID]],Opportunities[ID],Opportunities[Close])</f>
        <v>45943</v>
      </c>
      <c r="P39" s="24" t="str">
        <f>IF(_xlfn.XLOOKUP(View[[#This Row],[ID]],Opportunities[ID],Opportunities[Comment Log])=0,"",_xlfn.XLOOKUP(View[[#This Row],[ID]],Opportunities[ID],Opportunities[Comment Log]))</f>
        <v/>
      </c>
      <c r="Q39">
        <v>37</v>
      </c>
      <c r="R39" s="3">
        <f ca="1">_xlfn.XLOOKUP(View[[#This Row],[ID]],Opportunities[ID],Opportunities[NextMilestoneDate])-TODAY()</f>
        <v>10</v>
      </c>
      <c r="S39" s="34" t="str">
        <f>IF(calendarType="FQ","FY"&amp;RIGHT(TEXT(IF(MONTH(View[[#This Row],[Close]])&gt;MONTH(fqStart),YEAR(View[[#This Row],[Close]])+1,IF(MONTH(View[[#This Row],[Close]])&lt;MONTH(fqStart),YEAR(View[[#This Row],[Close]]),IF(DAY(View[[#This Row],[Close]])&gt;=DAY(fqStart),YEAR(View[[#This Row],[Close]])+1,YEAR(View[[#This Row],[Close]])))),"0"),2)&amp;"-Q"&amp;ROUNDUP((MONTH(View[[#This Row],[Close]])-MONTH(fqStart)+IF(DAY(View[[#This Row],[Close]])&lt;DAY(fqStart),0,1)+IF(MONTH(View[[#This Row],[Close]])&lt;MONTH(fqStart),12,0))/3,0),_xlfn.XLOOKUP(View[[#This Row],[ID]],Opportunities[ID],Opportunities[CQ]))</f>
        <v>FY26-Q2</v>
      </c>
      <c r="T39" s="1">
        <f>_xlfn.XLOOKUP(View[[#This Row],[ID]],Opportunities[ID],Opportunities[Weighted])/1000</f>
        <v>494.44920000000002</v>
      </c>
      <c r="U39" s="4">
        <f>_xlfn.XLOOKUP(View[[#This Row],[ID]],Opportunities[ID],Opportunities[Amount])/1000</f>
        <v>1236.123</v>
      </c>
      <c r="V39" t="b">
        <f>View[[#This Row],[Win Probability]]="High"</f>
        <v>0</v>
      </c>
      <c r="W39">
        <f>SUBTOTAL(103, View[[#This Row],[Status]])</f>
        <v>1</v>
      </c>
    </row>
    <row r="40" spans="8:23" x14ac:dyDescent="0.25">
      <c r="H40" s="51" t="str">
        <f>_xlfn.XLOOKUP(View[[#This Row],[ID]],Opportunities[ID],Opportunities[Status])</f>
        <v>Active</v>
      </c>
      <c r="I40" s="33" t="str">
        <f>HYPERLINK(siteUrl&amp;"Lists/"&amp;oppList&amp;"/DispForm.aspx?ID="&amp;View[[#This Row],[ID]],_xlfn.XLOOKUP(View[[#This Row],[ID]],Opportunities[ID],Opportunities[OpportunityName]))</f>
        <v>ERP Implementation Project</v>
      </c>
      <c r="J40" s="45" t="str">
        <f>HYPERLINK(_xlfn.XLOOKUP(View[[#This Row],[ID]],Opportunities[ID],Opportunities[CustomerRecordURL]),_xlfn.XLOOKUP(View[[#This Row],[ID]],Opportunities[ID],Opportunities[Customer Name]))</f>
        <v>Agricultural Systems</v>
      </c>
      <c r="K40" s="34" t="str">
        <f>_xlfn.XLOOKUP(View[[#This Row],[ID]],Opportunities[ID],Opportunities[DisplayStage])</f>
        <v>➀ - Lead Qualification</v>
      </c>
      <c r="L40" s="1">
        <f>IF(pipelineType="Unweighted",_xlfn.XLOOKUP(View[[#This Row],[ID]],Opportunities[ID],Opportunities[Amount])/1000,_xlfn.XLOOKUP(View[[#This Row],[ID]],Opportunities[ID],Opportunities[Weighted])/1000)</f>
        <v>1488.0429999999999</v>
      </c>
      <c r="M40" s="27" t="str">
        <f>_xlfn.XLOOKUP(View[[#This Row],[ID]],Opportunities[ID],Opportunities[WinProbDisplay])</f>
        <v>↙ Low</v>
      </c>
      <c r="N40" s="28">
        <f>View[[#This Row],[Estmated Revenue]]</f>
        <v>297.60860000000002</v>
      </c>
      <c r="O40" s="2">
        <f>_xlfn.XLOOKUP(View[[#This Row],[ID]],Opportunities[ID],Opportunities[Close])</f>
        <v>46157</v>
      </c>
      <c r="P40" s="24" t="str">
        <f>IF(_xlfn.XLOOKUP(View[[#This Row],[ID]],Opportunities[ID],Opportunities[Comment Log])=0,"",_xlfn.XLOOKUP(View[[#This Row],[ID]],Opportunities[ID],Opportunities[Comment Log]))</f>
        <v/>
      </c>
      <c r="Q40">
        <v>1</v>
      </c>
      <c r="R40" s="3">
        <f ca="1">_xlfn.XLOOKUP(View[[#This Row],[ID]],Opportunities[ID],Opportunities[NextMilestoneDate])-TODAY()</f>
        <v>17</v>
      </c>
      <c r="S40" s="34" t="str">
        <f>IF(calendarType="FQ","FY"&amp;RIGHT(TEXT(IF(MONTH(View[[#This Row],[Close]])&gt;MONTH(fqStart),YEAR(View[[#This Row],[Close]])+1,IF(MONTH(View[[#This Row],[Close]])&lt;MONTH(fqStart),YEAR(View[[#This Row],[Close]]),IF(DAY(View[[#This Row],[Close]])&gt;=DAY(fqStart),YEAR(View[[#This Row],[Close]])+1,YEAR(View[[#This Row],[Close]])))),"0"),2)&amp;"-Q"&amp;ROUNDUP((MONTH(View[[#This Row],[Close]])-MONTH(fqStart)+IF(DAY(View[[#This Row],[Close]])&lt;DAY(fqStart),0,1)+IF(MONTH(View[[#This Row],[Close]])&lt;MONTH(fqStart),12,0))/3,0),_xlfn.XLOOKUP(View[[#This Row],[ID]],Opportunities[ID],Opportunities[CQ]))</f>
        <v>FY26-Q4</v>
      </c>
      <c r="T40" s="1">
        <f>_xlfn.XLOOKUP(View[[#This Row],[ID]],Opportunities[ID],Opportunities[Weighted])/1000</f>
        <v>297.60860000000002</v>
      </c>
      <c r="U40" s="4">
        <f>_xlfn.XLOOKUP(View[[#This Row],[ID]],Opportunities[ID],Opportunities[Amount])/1000</f>
        <v>1488.0429999999999</v>
      </c>
      <c r="V40" t="b">
        <f>View[[#This Row],[Win Probability]]="High"</f>
        <v>0</v>
      </c>
      <c r="W40">
        <f>SUBTOTAL(103, View[[#This Row],[Status]])</f>
        <v>1</v>
      </c>
    </row>
    <row r="41" spans="8:23" x14ac:dyDescent="0.25">
      <c r="H41" s="51" t="str">
        <f>_xlfn.XLOOKUP(View[[#This Row],[ID]],Opportunities[ID],Opportunities[Status])</f>
        <v>Active</v>
      </c>
      <c r="I41" s="33" t="str">
        <f>HYPERLINK(siteUrl&amp;"Lists/"&amp;oppList&amp;"/DispForm.aspx?ID="&amp;View[[#This Row],[ID]],_xlfn.XLOOKUP(View[[#This Row],[ID]],Opportunities[ID],Opportunities[OpportunityName]))</f>
        <v>Video Conferencing Solution</v>
      </c>
      <c r="J41" s="45" t="str">
        <f>HYPERLINK(_xlfn.XLOOKUP(View[[#This Row],[ID]],Opportunities[ID],Opportunities[CustomerRecordURL]),_xlfn.XLOOKUP(View[[#This Row],[ID]],Opportunities[ID],Opportunities[Customer Name]))</f>
        <v>ACME Corporation</v>
      </c>
      <c r="K41" s="34" t="str">
        <f>_xlfn.XLOOKUP(View[[#This Row],[ID]],Opportunities[ID],Opportunities[DisplayStage])</f>
        <v>➀ - Lead Qualification</v>
      </c>
      <c r="L41" s="1">
        <f>IF(pipelineType="Unweighted",_xlfn.XLOOKUP(View[[#This Row],[ID]],Opportunities[ID],Opportunities[Amount])/1000,_xlfn.XLOOKUP(View[[#This Row],[ID]],Opportunities[ID],Opportunities[Weighted])/1000)</f>
        <v>816.45399999999995</v>
      </c>
      <c r="M41" s="27" t="str">
        <f>_xlfn.XLOOKUP(View[[#This Row],[ID]],Opportunities[ID],Opportunities[WinProbDisplay])</f>
        <v>← Medium</v>
      </c>
      <c r="N41" s="28">
        <f>View[[#This Row],[Estmated Revenue]]</f>
        <v>326.58160000000004</v>
      </c>
      <c r="O41" s="2">
        <f>_xlfn.XLOOKUP(View[[#This Row],[ID]],Opportunities[ID],Opportunities[Close])</f>
        <v>45895</v>
      </c>
      <c r="P41" s="24" t="str">
        <f>IF(_xlfn.XLOOKUP(View[[#This Row],[ID]],Opportunities[ID],Opportunities[Comment Log])=0,"",_xlfn.XLOOKUP(View[[#This Row],[ID]],Opportunities[ID],Opportunities[Comment Log]))</f>
        <v/>
      </c>
      <c r="Q41">
        <v>26</v>
      </c>
      <c r="R41" s="3">
        <f ca="1">_xlfn.XLOOKUP(View[[#This Row],[ID]],Opportunities[ID],Opportunities[NextMilestoneDate])-TODAY()</f>
        <v>52</v>
      </c>
      <c r="S41" s="34" t="str">
        <f>IF(calendarType="FQ","FY"&amp;RIGHT(TEXT(IF(MONTH(View[[#This Row],[Close]])&gt;MONTH(fqStart),YEAR(View[[#This Row],[Close]])+1,IF(MONTH(View[[#This Row],[Close]])&lt;MONTH(fqStart),YEAR(View[[#This Row],[Close]]),IF(DAY(View[[#This Row],[Close]])&gt;=DAY(fqStart),YEAR(View[[#This Row],[Close]])+1,YEAR(View[[#This Row],[Close]])))),"0"),2)&amp;"-Q"&amp;ROUNDUP((MONTH(View[[#This Row],[Close]])-MONTH(fqStart)+IF(DAY(View[[#This Row],[Close]])&lt;DAY(fqStart),0,1)+IF(MONTH(View[[#This Row],[Close]])&lt;MONTH(fqStart),12,0))/3,0),_xlfn.XLOOKUP(View[[#This Row],[ID]],Opportunities[ID],Opportunities[CQ]))</f>
        <v>FY26-Q1</v>
      </c>
      <c r="T41" s="1">
        <f>_xlfn.XLOOKUP(View[[#This Row],[ID]],Opportunities[ID],Opportunities[Weighted])/1000</f>
        <v>326.58160000000004</v>
      </c>
      <c r="U41" s="4">
        <f>_xlfn.XLOOKUP(View[[#This Row],[ID]],Opportunities[ID],Opportunities[Amount])/1000</f>
        <v>816.45399999999995</v>
      </c>
      <c r="V41" t="b">
        <f>View[[#This Row],[Win Probability]]="High"</f>
        <v>0</v>
      </c>
      <c r="W41">
        <f>SUBTOTAL(103, View[[#This Row],[Status]])</f>
        <v>1</v>
      </c>
    </row>
    <row r="42" spans="8:23" x14ac:dyDescent="0.25">
      <c r="H42" s="51" t="str">
        <f>_xlfn.XLOOKUP(View[[#This Row],[ID]],Opportunities[ID],Opportunities[Status])</f>
        <v>Active</v>
      </c>
      <c r="I42" s="33" t="str">
        <f>HYPERLINK(siteUrl&amp;"Lists/"&amp;oppList&amp;"/DispForm.aspx?ID="&amp;View[[#This Row],[ID]],_xlfn.XLOOKUP(View[[#This Row],[ID]],Opportunities[ID],Opportunities[OpportunityName]))</f>
        <v>Financial Planning Software</v>
      </c>
      <c r="J42" s="45" t="str">
        <f>HYPERLINK(_xlfn.XLOOKUP(View[[#This Row],[ID]],Opportunities[ID],Opportunities[CustomerRecordURL]),_xlfn.XLOOKUP(View[[#This Row],[ID]],Opportunities[ID],Opportunities[Customer Name]))</f>
        <v>Construction Dynamics</v>
      </c>
      <c r="K42" s="34" t="str">
        <f>_xlfn.XLOOKUP(View[[#This Row],[ID]],Opportunities[ID],Opportunities[DisplayStage])</f>
        <v>➀ - Lead Qualification</v>
      </c>
      <c r="L42" s="1">
        <f>IF(pipelineType="Unweighted",_xlfn.XLOOKUP(View[[#This Row],[ID]],Opportunities[ID],Opportunities[Amount])/1000,_xlfn.XLOOKUP(View[[#This Row],[ID]],Opportunities[ID],Opportunities[Weighted])/1000)</f>
        <v>2218.1280000000002</v>
      </c>
      <c r="M42" s="27" t="str">
        <f>_xlfn.XLOOKUP(View[[#This Row],[ID]],Opportunities[ID],Opportunities[WinProbDisplay])</f>
        <v>← Medium</v>
      </c>
      <c r="N42" s="28">
        <f>View[[#This Row],[Estmated Revenue]]</f>
        <v>887.25120000000004</v>
      </c>
      <c r="O42" s="2">
        <f>_xlfn.XLOOKUP(View[[#This Row],[ID]],Opportunities[ID],Opportunities[Close])</f>
        <v>46153</v>
      </c>
      <c r="P42" s="24" t="str">
        <f>IF(_xlfn.XLOOKUP(View[[#This Row],[ID]],Opportunities[ID],Opportunities[Comment Log])=0,"",_xlfn.XLOOKUP(View[[#This Row],[ID]],Opportunities[ID],Opportunities[Comment Log]))</f>
        <v/>
      </c>
      <c r="Q42">
        <v>18</v>
      </c>
      <c r="R42" s="3">
        <f ca="1">_xlfn.XLOOKUP(View[[#This Row],[ID]],Opportunities[ID],Opportunities[NextMilestoneDate])-TODAY()</f>
        <v>45</v>
      </c>
      <c r="S42" s="34" t="str">
        <f>IF(calendarType="FQ","FY"&amp;RIGHT(TEXT(IF(MONTH(View[[#This Row],[Close]])&gt;MONTH(fqStart),YEAR(View[[#This Row],[Close]])+1,IF(MONTH(View[[#This Row],[Close]])&lt;MONTH(fqStart),YEAR(View[[#This Row],[Close]]),IF(DAY(View[[#This Row],[Close]])&gt;=DAY(fqStart),YEAR(View[[#This Row],[Close]])+1,YEAR(View[[#This Row],[Close]])))),"0"),2)&amp;"-Q"&amp;ROUNDUP((MONTH(View[[#This Row],[Close]])-MONTH(fqStart)+IF(DAY(View[[#This Row],[Close]])&lt;DAY(fqStart),0,1)+IF(MONTH(View[[#This Row],[Close]])&lt;MONTH(fqStart),12,0))/3,0),_xlfn.XLOOKUP(View[[#This Row],[ID]],Opportunities[ID],Opportunities[CQ]))</f>
        <v>FY26-Q4</v>
      </c>
      <c r="T42" s="1">
        <f>_xlfn.XLOOKUP(View[[#This Row],[ID]],Opportunities[ID],Opportunities[Weighted])/1000</f>
        <v>887.25120000000004</v>
      </c>
      <c r="U42" s="4">
        <f>_xlfn.XLOOKUP(View[[#This Row],[ID]],Opportunities[ID],Opportunities[Amount])/1000</f>
        <v>2218.1280000000002</v>
      </c>
      <c r="V42" t="b">
        <f>View[[#This Row],[Win Probability]]="High"</f>
        <v>0</v>
      </c>
      <c r="W42">
        <f>SUBTOTAL(103, View[[#This Row],[Status]])</f>
        <v>1</v>
      </c>
    </row>
    <row r="43" spans="8:23" x14ac:dyDescent="0.25">
      <c r="H43" s="51" t="str">
        <f>_xlfn.XLOOKUP(View[[#This Row],[ID]],Opportunities[ID],Opportunities[Status])</f>
        <v>Active</v>
      </c>
      <c r="I43" s="33" t="str">
        <f>HYPERLINK(siteUrl&amp;"Lists/"&amp;oppList&amp;"/DispForm.aspx?ID="&amp;View[[#This Row],[ID]],_xlfn.XLOOKUP(View[[#This Row],[ID]],Opportunities[ID],Opportunities[OpportunityName]))</f>
        <v>Cybersecurity Enhancement</v>
      </c>
      <c r="J43" s="45" t="str">
        <f>HYPERLINK(_xlfn.XLOOKUP(View[[#This Row],[ID]],Opportunities[ID],Opportunities[CustomerRecordURL]),_xlfn.XLOOKUP(View[[#This Row],[ID]],Opportunities[ID],Opportunities[Customer Name]))</f>
        <v>Insurance Specialists</v>
      </c>
      <c r="K43" s="34" t="str">
        <f>_xlfn.XLOOKUP(View[[#This Row],[ID]],Opportunities[ID],Opportunities[DisplayStage])</f>
        <v>➄ - Project Execution</v>
      </c>
      <c r="L43" s="1">
        <f>IF(pipelineType="Unweighted",_xlfn.XLOOKUP(View[[#This Row],[ID]],Opportunities[ID],Opportunities[Amount])/1000,_xlfn.XLOOKUP(View[[#This Row],[ID]],Opportunities[ID],Opportunities[Weighted])/1000)</f>
        <v>1087.125</v>
      </c>
      <c r="M43" s="27" t="str">
        <f>_xlfn.XLOOKUP(View[[#This Row],[ID]],Opportunities[ID],Opportunities[WinProbDisplay])</f>
        <v>← Medium</v>
      </c>
      <c r="N43" s="28">
        <f>View[[#This Row],[Estmated Revenue]]</f>
        <v>434.85</v>
      </c>
      <c r="O43" s="2">
        <f>_xlfn.XLOOKUP(View[[#This Row],[ID]],Opportunities[ID],Opportunities[Close])</f>
        <v>46226</v>
      </c>
      <c r="P43" s="24" t="str">
        <f>IF(_xlfn.XLOOKUP(View[[#This Row],[ID]],Opportunities[ID],Opportunities[Comment Log])=0,"",_xlfn.XLOOKUP(View[[#This Row],[ID]],Opportunities[ID],Opportunities[Comment Log]))</f>
        <v/>
      </c>
      <c r="Q43">
        <v>12</v>
      </c>
      <c r="R43" s="3">
        <f ca="1">_xlfn.XLOOKUP(View[[#This Row],[ID]],Opportunities[ID],Opportunities[NextMilestoneDate])-TODAY()</f>
        <v>29</v>
      </c>
      <c r="S43" s="34" t="str">
        <f>IF(calendarType="FQ","FY"&amp;RIGHT(TEXT(IF(MONTH(View[[#This Row],[Close]])&gt;MONTH(fqStart),YEAR(View[[#This Row],[Close]])+1,IF(MONTH(View[[#This Row],[Close]])&lt;MONTH(fqStart),YEAR(View[[#This Row],[Close]]),IF(DAY(View[[#This Row],[Close]])&gt;=DAY(fqStart),YEAR(View[[#This Row],[Close]])+1,YEAR(View[[#This Row],[Close]])))),"0"),2)&amp;"-Q"&amp;ROUNDUP((MONTH(View[[#This Row],[Close]])-MONTH(fqStart)+IF(DAY(View[[#This Row],[Close]])&lt;DAY(fqStart),0,1)+IF(MONTH(View[[#This Row],[Close]])&lt;MONTH(fqStart),12,0))/3,0),_xlfn.XLOOKUP(View[[#This Row],[ID]],Opportunities[ID],Opportunities[CQ]))</f>
        <v>FY27-Q1</v>
      </c>
      <c r="T43" s="1">
        <f>_xlfn.XLOOKUP(View[[#This Row],[ID]],Opportunities[ID],Opportunities[Weighted])/1000</f>
        <v>434.85</v>
      </c>
      <c r="U43" s="4">
        <f>_xlfn.XLOOKUP(View[[#This Row],[ID]],Opportunities[ID],Opportunities[Amount])/1000</f>
        <v>1087.125</v>
      </c>
      <c r="V43" t="b">
        <f>View[[#This Row],[Win Probability]]="High"</f>
        <v>0</v>
      </c>
      <c r="W43">
        <f>SUBTOTAL(103, View[[#This Row],[Status]])</f>
        <v>1</v>
      </c>
    </row>
    <row r="44" spans="8:23" x14ac:dyDescent="0.25">
      <c r="H44" s="51" t="str">
        <f>_xlfn.XLOOKUP(View[[#This Row],[ID]],Opportunities[ID],Opportunities[Status])</f>
        <v>Active</v>
      </c>
      <c r="I44" s="33" t="str">
        <f>HYPERLINK(siteUrl&amp;"Lists/"&amp;oppList&amp;"/DispForm.aspx?ID="&amp;View[[#This Row],[ID]],_xlfn.XLOOKUP(View[[#This Row],[ID]],Opportunities[ID],Opportunities[OpportunityName]))</f>
        <v>Training &amp; Development Program</v>
      </c>
      <c r="J44" s="45" t="str">
        <f>HYPERLINK(_xlfn.XLOOKUP(View[[#This Row],[ID]],Opportunities[ID],Opportunities[CustomerRecordURL]),_xlfn.XLOOKUP(View[[#This Row],[ID]],Opportunities[ID],Opportunities[Customer Name]))</f>
        <v>Security Solutions</v>
      </c>
      <c r="K44" s="34" t="str">
        <f>_xlfn.XLOOKUP(View[[#This Row],[ID]],Opportunities[ID],Opportunities[DisplayStage])</f>
        <v>➄ - Project Execution</v>
      </c>
      <c r="L44" s="1">
        <f>IF(pipelineType="Unweighted",_xlfn.XLOOKUP(View[[#This Row],[ID]],Opportunities[ID],Opportunities[Amount])/1000,_xlfn.XLOOKUP(View[[#This Row],[ID]],Opportunities[ID],Opportunities[Weighted])/1000)</f>
        <v>1525.787</v>
      </c>
      <c r="M44" s="27" t="str">
        <f>_xlfn.XLOOKUP(View[[#This Row],[ID]],Opportunities[ID],Opportunities[WinProbDisplay])</f>
        <v>↖ High</v>
      </c>
      <c r="N44" s="28">
        <f>View[[#This Row],[Estmated Revenue]]</f>
        <v>1373.2083</v>
      </c>
      <c r="O44" s="2">
        <f>_xlfn.XLOOKUP(View[[#This Row],[ID]],Opportunities[ID],Opportunities[Close])</f>
        <v>46377</v>
      </c>
      <c r="P44" s="24" t="str">
        <f>IF(_xlfn.XLOOKUP(View[[#This Row],[ID]],Opportunities[ID],Opportunities[Comment Log])=0,"",_xlfn.XLOOKUP(View[[#This Row],[ID]],Opportunities[ID],Opportunities[Comment Log]))</f>
        <v/>
      </c>
      <c r="Q44">
        <v>15</v>
      </c>
      <c r="R44" s="3">
        <f ca="1">_xlfn.XLOOKUP(View[[#This Row],[ID]],Opportunities[ID],Opportunities[NextMilestoneDate])-TODAY()</f>
        <v>32</v>
      </c>
      <c r="S44" s="34" t="str">
        <f>IF(calendarType="FQ","FY"&amp;RIGHT(TEXT(IF(MONTH(View[[#This Row],[Close]])&gt;MONTH(fqStart),YEAR(View[[#This Row],[Close]])+1,IF(MONTH(View[[#This Row],[Close]])&lt;MONTH(fqStart),YEAR(View[[#This Row],[Close]]),IF(DAY(View[[#This Row],[Close]])&gt;=DAY(fqStart),YEAR(View[[#This Row],[Close]])+1,YEAR(View[[#This Row],[Close]])))),"0"),2)&amp;"-Q"&amp;ROUNDUP((MONTH(View[[#This Row],[Close]])-MONTH(fqStart)+IF(DAY(View[[#This Row],[Close]])&lt;DAY(fqStart),0,1)+IF(MONTH(View[[#This Row],[Close]])&lt;MONTH(fqStart),12,0))/3,0),_xlfn.XLOOKUP(View[[#This Row],[ID]],Opportunities[ID],Opportunities[CQ]))</f>
        <v>FY27-Q2</v>
      </c>
      <c r="T44" s="1">
        <f>_xlfn.XLOOKUP(View[[#This Row],[ID]],Opportunities[ID],Opportunities[Weighted])/1000</f>
        <v>1373.2083</v>
      </c>
      <c r="U44" s="4">
        <f>_xlfn.XLOOKUP(View[[#This Row],[ID]],Opportunities[ID],Opportunities[Amount])/1000</f>
        <v>1525.787</v>
      </c>
      <c r="V44" t="b">
        <f>View[[#This Row],[Win Probability]]="High"</f>
        <v>0</v>
      </c>
      <c r="W44">
        <f>SUBTOTAL(103, View[[#This Row],[Status]])</f>
        <v>1</v>
      </c>
    </row>
    <row r="45" spans="8:23" x14ac:dyDescent="0.25">
      <c r="H45" s="51" t="str">
        <f>_xlfn.XLOOKUP(View[[#This Row],[ID]],Opportunities[ID],Opportunities[Status])</f>
        <v>Active</v>
      </c>
      <c r="I45" s="33" t="str">
        <f>HYPERLINK(siteUrl&amp;"Lists/"&amp;oppList&amp;"/DispForm.aspx?ID="&amp;View[[#This Row],[ID]],_xlfn.XLOOKUP(View[[#This Row],[ID]],Opportunities[ID],Opportunities[OpportunityName]))</f>
        <v>Healthcare Data Analytics Platform</v>
      </c>
      <c r="J45" s="45" t="str">
        <f>HYPERLINK(_xlfn.XLOOKUP(View[[#This Row],[ID]],Opportunities[ID],Opportunities[CustomerRecordURL]),_xlfn.XLOOKUP(View[[#This Row],[ID]],Opportunities[ID],Opportunities[Customer Name]))</f>
        <v>Food Service Partners</v>
      </c>
      <c r="K45" s="34" t="str">
        <f>_xlfn.XLOOKUP(View[[#This Row],[ID]],Opportunities[ID],Opportunities[DisplayStage])</f>
        <v>➂ - Proposal</v>
      </c>
      <c r="L45" s="1">
        <f>IF(pipelineType="Unweighted",_xlfn.XLOOKUP(View[[#This Row],[ID]],Opportunities[ID],Opportunities[Amount])/1000,_xlfn.XLOOKUP(View[[#This Row],[ID]],Opportunities[ID],Opportunities[Weighted])/1000)</f>
        <v>1248.5219999999999</v>
      </c>
      <c r="M45" s="27" t="str">
        <f>_xlfn.XLOOKUP(View[[#This Row],[ID]],Opportunities[ID],Opportunities[WinProbDisplay])</f>
        <v>← Medium</v>
      </c>
      <c r="N45" s="28">
        <f>View[[#This Row],[Estmated Revenue]]</f>
        <v>499.40880000000004</v>
      </c>
      <c r="O45" s="2">
        <f>_xlfn.XLOOKUP(View[[#This Row],[ID]],Opportunities[ID],Opportunities[Close])</f>
        <v>46352</v>
      </c>
      <c r="P45" s="24" t="str">
        <f>IF(_xlfn.XLOOKUP(View[[#This Row],[ID]],Opportunities[ID],Opportunities[Comment Log])=0,"",_xlfn.XLOOKUP(View[[#This Row],[ID]],Opportunities[ID],Opportunities[Comment Log]))</f>
        <v/>
      </c>
      <c r="Q45">
        <v>5</v>
      </c>
      <c r="R45" s="3">
        <f ca="1">_xlfn.XLOOKUP(View[[#This Row],[ID]],Opportunities[ID],Opportunities[NextMilestoneDate])-TODAY()</f>
        <v>14</v>
      </c>
      <c r="S45" s="34" t="str">
        <f>IF(calendarType="FQ","FY"&amp;RIGHT(TEXT(IF(MONTH(View[[#This Row],[Close]])&gt;MONTH(fqStart),YEAR(View[[#This Row],[Close]])+1,IF(MONTH(View[[#This Row],[Close]])&lt;MONTH(fqStart),YEAR(View[[#This Row],[Close]]),IF(DAY(View[[#This Row],[Close]])&gt;=DAY(fqStart),YEAR(View[[#This Row],[Close]])+1,YEAR(View[[#This Row],[Close]])))),"0"),2)&amp;"-Q"&amp;ROUNDUP((MONTH(View[[#This Row],[Close]])-MONTH(fqStart)+IF(DAY(View[[#This Row],[Close]])&lt;DAY(fqStart),0,1)+IF(MONTH(View[[#This Row],[Close]])&lt;MONTH(fqStart),12,0))/3,0),_xlfn.XLOOKUP(View[[#This Row],[ID]],Opportunities[ID],Opportunities[CQ]))</f>
        <v>FY27-Q2</v>
      </c>
      <c r="T45" s="1">
        <f>_xlfn.XLOOKUP(View[[#This Row],[ID]],Opportunities[ID],Opportunities[Weighted])/1000</f>
        <v>499.40880000000004</v>
      </c>
      <c r="U45" s="4">
        <f>_xlfn.XLOOKUP(View[[#This Row],[ID]],Opportunities[ID],Opportunities[Amount])/1000</f>
        <v>1248.5219999999999</v>
      </c>
      <c r="V45" t="b">
        <f>View[[#This Row],[Win Probability]]="High"</f>
        <v>0</v>
      </c>
      <c r="W45">
        <f>SUBTOTAL(103, View[[#This Row],[Status]])</f>
        <v>1</v>
      </c>
    </row>
    <row r="46" spans="8:23" x14ac:dyDescent="0.25">
      <c r="H46" s="51" t="str">
        <f>_xlfn.XLOOKUP(View[[#This Row],[ID]],Opportunities[ID],Opportunities[Status])</f>
        <v>Active</v>
      </c>
      <c r="I46" s="33" t="str">
        <f>HYPERLINK(siteUrl&amp;"Lists/"&amp;oppList&amp;"/DispForm.aspx?ID="&amp;View[[#This Row],[ID]],_xlfn.XLOOKUP(View[[#This Row],[ID]],Opportunities[ID],Opportunities[OpportunityName]))</f>
        <v>Backup &amp; Recovery System</v>
      </c>
      <c r="J46" s="45" t="str">
        <f>HYPERLINK(_xlfn.XLOOKUP(View[[#This Row],[ID]],Opportunities[ID],Opportunities[CustomerRecordURL]),_xlfn.XLOOKUP(View[[#This Row],[ID]],Opportunities[ID],Opportunities[Customer Name]))</f>
        <v>Global Industries</v>
      </c>
      <c r="K46" s="34" t="str">
        <f>_xlfn.XLOOKUP(View[[#This Row],[ID]],Opportunities[ID],Opportunities[DisplayStage])</f>
        <v>➀ - Lead Qualification</v>
      </c>
      <c r="L46" s="1">
        <f>IF(pipelineType="Unweighted",_xlfn.XLOOKUP(View[[#This Row],[ID]],Opportunities[ID],Opportunities[Amount])/1000,_xlfn.XLOOKUP(View[[#This Row],[ID]],Opportunities[ID],Opportunities[Weighted])/1000)</f>
        <v>1666.3440000000001</v>
      </c>
      <c r="M46" s="27" t="str">
        <f>_xlfn.XLOOKUP(View[[#This Row],[ID]],Opportunities[ID],Opportunities[WinProbDisplay])</f>
        <v>← Medium</v>
      </c>
      <c r="N46" s="28">
        <f>View[[#This Row],[Estmated Revenue]]</f>
        <v>666.53760000000011</v>
      </c>
      <c r="O46" s="2">
        <f>_xlfn.XLOOKUP(View[[#This Row],[ID]],Opportunities[ID],Opportunities[Close])</f>
        <v>46185</v>
      </c>
      <c r="P46" s="24" t="str">
        <f>IF(_xlfn.XLOOKUP(View[[#This Row],[ID]],Opportunities[ID],Opportunities[Comment Log])=0,"",_xlfn.XLOOKUP(View[[#This Row],[ID]],Opportunities[ID],Opportunities[Comment Log]))</f>
        <v/>
      </c>
      <c r="Q46">
        <v>27</v>
      </c>
      <c r="R46" s="3">
        <f ca="1">_xlfn.XLOOKUP(View[[#This Row],[ID]],Opportunities[ID],Opportunities[NextMilestoneDate])-TODAY()</f>
        <v>23</v>
      </c>
      <c r="S46" s="34" t="str">
        <f>IF(calendarType="FQ","FY"&amp;RIGHT(TEXT(IF(MONTH(View[[#This Row],[Close]])&gt;MONTH(fqStart),YEAR(View[[#This Row],[Close]])+1,IF(MONTH(View[[#This Row],[Close]])&lt;MONTH(fqStart),YEAR(View[[#This Row],[Close]]),IF(DAY(View[[#This Row],[Close]])&gt;=DAY(fqStart),YEAR(View[[#This Row],[Close]])+1,YEAR(View[[#This Row],[Close]])))),"0"),2)&amp;"-Q"&amp;ROUNDUP((MONTH(View[[#This Row],[Close]])-MONTH(fqStart)+IF(DAY(View[[#This Row],[Close]])&lt;DAY(fqStart),0,1)+IF(MONTH(View[[#This Row],[Close]])&lt;MONTH(fqStart),12,0))/3,0),_xlfn.XLOOKUP(View[[#This Row],[ID]],Opportunities[ID],Opportunities[CQ]))</f>
        <v>FY26-Q4</v>
      </c>
      <c r="T46" s="1">
        <f>_xlfn.XLOOKUP(View[[#This Row],[ID]],Opportunities[ID],Opportunities[Weighted])/1000</f>
        <v>666.53760000000011</v>
      </c>
      <c r="U46" s="4">
        <f>_xlfn.XLOOKUP(View[[#This Row],[ID]],Opportunities[ID],Opportunities[Amount])/1000</f>
        <v>1666.3440000000001</v>
      </c>
      <c r="V46" t="b">
        <f>View[[#This Row],[Win Probability]]="High"</f>
        <v>0</v>
      </c>
      <c r="W46">
        <f>SUBTOTAL(103, View[[#This Row],[Status]])</f>
        <v>1</v>
      </c>
    </row>
    <row r="47" spans="8:23" x14ac:dyDescent="0.25">
      <c r="H47" s="51" t="str">
        <f>_xlfn.XLOOKUP(View[[#This Row],[ID]],Opportunities[ID],Opportunities[Status])</f>
        <v>Active</v>
      </c>
      <c r="I47" s="33" t="str">
        <f>HYPERLINK(siteUrl&amp;"Lists/"&amp;oppList&amp;"/DispForm.aspx?ID="&amp;View[[#This Row],[ID]],_xlfn.XLOOKUP(View[[#This Row],[ID]],Opportunities[ID],Opportunities[OpportunityName]))</f>
        <v>API Development Project</v>
      </c>
      <c r="J47" s="45" t="str">
        <f>HYPERLINK(_xlfn.XLOOKUP(View[[#This Row],[ID]],Opportunities[ID],Opportunities[CustomerRecordURL]),_xlfn.XLOOKUP(View[[#This Row],[ID]],Opportunities[ID],Opportunities[Customer Name]))</f>
        <v>Tech Solutions Inc</v>
      </c>
      <c r="K47" s="34" t="str">
        <f>_xlfn.XLOOKUP(View[[#This Row],[ID]],Opportunities[ID],Opportunities[DisplayStage])</f>
        <v>➄ - Project Execution</v>
      </c>
      <c r="L47" s="1">
        <f>IF(pipelineType="Unweighted",_xlfn.XLOOKUP(View[[#This Row],[ID]],Opportunities[ID],Opportunities[Amount])/1000,_xlfn.XLOOKUP(View[[#This Row],[ID]],Opportunities[ID],Opportunities[Weighted])/1000)</f>
        <v>2176.6320000000001</v>
      </c>
      <c r="M47" s="27" t="str">
        <f>_xlfn.XLOOKUP(View[[#This Row],[ID]],Opportunities[ID],Opportunities[WinProbDisplay])</f>
        <v>← Medium</v>
      </c>
      <c r="N47" s="28">
        <f>View[[#This Row],[Estmated Revenue]]</f>
        <v>870.65280000000007</v>
      </c>
      <c r="O47" s="2">
        <f>_xlfn.XLOOKUP(View[[#This Row],[ID]],Opportunities[ID],Opportunities[Close])</f>
        <v>46253</v>
      </c>
      <c r="P47" s="24" t="str">
        <f>IF(_xlfn.XLOOKUP(View[[#This Row],[ID]],Opportunities[ID],Opportunities[Comment Log])=0,"",_xlfn.XLOOKUP(View[[#This Row],[ID]],Opportunities[ID],Opportunities[Comment Log]))</f>
        <v/>
      </c>
      <c r="Q47">
        <v>39</v>
      </c>
      <c r="R47" s="3">
        <f ca="1">_xlfn.XLOOKUP(View[[#This Row],[ID]],Opportunities[ID],Opportunities[NextMilestoneDate])-TODAY()</f>
        <v>27</v>
      </c>
      <c r="S47" s="34" t="str">
        <f>IF(calendarType="FQ","FY"&amp;RIGHT(TEXT(IF(MONTH(View[[#This Row],[Close]])&gt;MONTH(fqStart),YEAR(View[[#This Row],[Close]])+1,IF(MONTH(View[[#This Row],[Close]])&lt;MONTH(fqStart),YEAR(View[[#This Row],[Close]]),IF(DAY(View[[#This Row],[Close]])&gt;=DAY(fqStart),YEAR(View[[#This Row],[Close]])+1,YEAR(View[[#This Row],[Close]])))),"0"),2)&amp;"-Q"&amp;ROUNDUP((MONTH(View[[#This Row],[Close]])-MONTH(fqStart)+IF(DAY(View[[#This Row],[Close]])&lt;DAY(fqStart),0,1)+IF(MONTH(View[[#This Row],[Close]])&lt;MONTH(fqStart),12,0))/3,0),_xlfn.XLOOKUP(View[[#This Row],[ID]],Opportunities[ID],Opportunities[CQ]))</f>
        <v>FY27-Q1</v>
      </c>
      <c r="T47" s="1">
        <f>_xlfn.XLOOKUP(View[[#This Row],[ID]],Opportunities[ID],Opportunities[Weighted])/1000</f>
        <v>870.65280000000007</v>
      </c>
      <c r="U47" s="4">
        <f>_xlfn.XLOOKUP(View[[#This Row],[ID]],Opportunities[ID],Opportunities[Amount])/1000</f>
        <v>2176.6320000000001</v>
      </c>
      <c r="V47" t="b">
        <f>View[[#This Row],[Win Probability]]="High"</f>
        <v>0</v>
      </c>
      <c r="W47">
        <f>SUBTOTAL(103, View[[#This Row],[Status]])</f>
        <v>1</v>
      </c>
    </row>
  </sheetData>
  <phoneticPr fontId="4" type="noConversion"/>
  <conditionalFormatting sqref="H8:H47">
    <cfRule type="expression" dxfId="16" priority="1">
      <formula>H8="At Risk"</formula>
    </cfRule>
    <cfRule type="expression" dxfId="15" priority="2">
      <formula>H8="Critical"</formula>
    </cfRule>
    <cfRule type="expression" dxfId="14" priority="3">
      <formula>H8="Active"</formula>
    </cfRule>
    <cfRule type="expression" dxfId="13" priority="4">
      <formula>H8="⚠"</formula>
    </cfRule>
    <cfRule type="expression" dxfId="12" priority="5">
      <formula>H8="⮾"</formula>
    </cfRule>
    <cfRule type="expression" dxfId="11" priority="6">
      <formula>H8="✓"</formula>
    </cfRule>
  </conditionalFormatting>
  <conditionalFormatting sqref="H9:I47 I8">
    <cfRule type="expression" dxfId="10" priority="29">
      <formula>H8="⚠"</formula>
    </cfRule>
  </conditionalFormatting>
  <conditionalFormatting sqref="I8 H9:I47">
    <cfRule type="expression" dxfId="9" priority="30">
      <formula>H8="⮾"</formula>
    </cfRule>
    <cfRule type="expression" dxfId="8" priority="31">
      <formula>H8="✓"</formula>
    </cfRule>
  </conditionalFormatting>
  <conditionalFormatting sqref="J8">
    <cfRule type="iconSet" priority="7">
      <iconSet iconSet="4Rating">
        <cfvo type="percent" val="0"/>
        <cfvo type="percent" val="25"/>
        <cfvo type="percent" val="50"/>
        <cfvo type="percent" val="75"/>
      </iconSet>
    </cfRule>
  </conditionalFormatting>
  <conditionalFormatting sqref="K8:K47">
    <cfRule type="expression" dxfId="7" priority="16">
      <formula>K8="3 - Proposal"</formula>
    </cfRule>
    <cfRule type="expression" dxfId="6" priority="17">
      <formula>K8="4 - Negotiation"</formula>
    </cfRule>
    <cfRule type="expression" dxfId="5" priority="18">
      <formula>K8="5 - Project Execution"</formula>
    </cfRule>
    <cfRule type="expression" dxfId="4" priority="19">
      <formula>K8="6 - Closeout"</formula>
    </cfRule>
    <cfRule type="expression" dxfId="3" priority="20">
      <formula>K8="1 - Lead Qualification"</formula>
    </cfRule>
    <cfRule type="expression" dxfId="2" priority="21">
      <formula>K8="2 - Nurturing"</formula>
    </cfRule>
  </conditionalFormatting>
  <conditionalFormatting sqref="M8:M47">
    <cfRule type="iconSet" priority="925">
      <iconSet iconSet="4Rating">
        <cfvo type="percent" val="0"/>
        <cfvo type="percent" val="25"/>
        <cfvo type="percent" val="50"/>
        <cfvo type="percent" val="75"/>
      </iconSet>
    </cfRule>
  </conditionalFormatting>
  <conditionalFormatting sqref="R8:R47">
    <cfRule type="colorScale" priority="927">
      <colorScale>
        <cfvo type="min"/>
        <cfvo type="max"/>
        <color rgb="FF63BE7B"/>
        <color rgb="FFFCFCFF"/>
      </colorScale>
    </cfRule>
  </conditionalFormatting>
  <conditionalFormatting sqref="T8:T47">
    <cfRule type="dataBar" priority="929">
      <dataBar>
        <cfvo type="min"/>
        <cfvo type="max"/>
        <color rgb="FF638EC6"/>
      </dataBar>
      <extLst>
        <ext xmlns:x14="http://schemas.microsoft.com/office/spreadsheetml/2009/9/main" uri="{B025F937-C7B1-47D3-B67F-A62EFF666E3E}">
          <x14:id>{F92FD29D-C88D-410A-ACA9-27F3C313DEBC}</x14:id>
        </ext>
      </extLst>
    </cfRule>
  </conditionalFormatting>
  <conditionalFormatting sqref="U8">
    <cfRule type="dataBar" priority="14">
      <dataBar>
        <cfvo type="min"/>
        <cfvo type="max"/>
        <color rgb="FF638EC6"/>
      </dataBar>
      <extLst>
        <ext xmlns:x14="http://schemas.microsoft.com/office/spreadsheetml/2009/9/main" uri="{B025F937-C7B1-47D3-B67F-A62EFF666E3E}">
          <x14:id>{2422D1C5-79B1-490D-9A73-8B6B0ECAC5E0}</x14:id>
        </ext>
      </extLst>
    </cfRule>
  </conditionalFormatting>
  <conditionalFormatting sqref="U8:U47">
    <cfRule type="dataBar" priority="931">
      <dataBar>
        <cfvo type="min"/>
        <cfvo type="max"/>
        <color rgb="FF638EC6"/>
      </dataBar>
      <extLst>
        <ext xmlns:x14="http://schemas.microsoft.com/office/spreadsheetml/2009/9/main" uri="{B025F937-C7B1-47D3-B67F-A62EFF666E3E}">
          <x14:id>{6F3859E8-06BC-4889-A7F8-351765CFA609}</x14:id>
        </ext>
      </extLst>
    </cfRule>
  </conditionalFormatting>
  <dataValidations disablePrompts="1" count="2">
    <dataValidation type="list" allowBlank="1" showInputMessage="1" showErrorMessage="1" sqref="F2" xr:uid="{0FFE2634-DCDA-4577-9878-5674941738A4}">
      <formula1>"FQ,CQ"</formula1>
    </dataValidation>
    <dataValidation type="list" allowBlank="1" showInputMessage="1" showErrorMessage="1" sqref="F3" xr:uid="{C0AF4A22-B492-4108-8DF4-750B60E03FFE}">
      <formula1>"Unweighted,Weighted"</formula1>
    </dataValidation>
  </dataValidations>
  <pageMargins left="0.7" right="0.7" top="0.75" bottom="0.75" header="0.3" footer="0.3"/>
  <pageSetup orientation="portrait" r:id="rId1"/>
  <drawing r:id="rId2"/>
  <legacyDrawing r:id="rId3"/>
  <tableParts count="1">
    <tablePart r:id="rId4"/>
  </tableParts>
  <extLst>
    <ext xmlns:x14="http://schemas.microsoft.com/office/spreadsheetml/2009/9/main" uri="{78C0D931-6437-407d-A8EE-F0AAD7539E65}">
      <x14:conditionalFormattings>
        <x14:conditionalFormatting xmlns:xm="http://schemas.microsoft.com/office/excel/2006/main">
          <x14:cfRule type="dataBar" id="{F92FD29D-C88D-410A-ACA9-27F3C313DEBC}">
            <x14:dataBar minLength="0" maxLength="100" border="1" negativeBarBorderColorSameAsPositive="0">
              <x14:cfvo type="autoMin"/>
              <x14:cfvo type="autoMax"/>
              <x14:borderColor rgb="FF638EC6"/>
              <x14:negativeFillColor rgb="FFFF0000"/>
              <x14:negativeBorderColor rgb="FFFF0000"/>
              <x14:axisColor rgb="FF000000"/>
            </x14:dataBar>
          </x14:cfRule>
          <xm:sqref>T8:T47</xm:sqref>
        </x14:conditionalFormatting>
        <x14:conditionalFormatting xmlns:xm="http://schemas.microsoft.com/office/excel/2006/main">
          <x14:cfRule type="dataBar" id="{2422D1C5-79B1-490D-9A73-8B6B0ECAC5E0}">
            <x14:dataBar minLength="0" maxLength="100" border="1" negativeBarBorderColorSameAsPositive="0">
              <x14:cfvo type="autoMin"/>
              <x14:cfvo type="autoMax"/>
              <x14:borderColor rgb="FF638EC6"/>
              <x14:negativeFillColor rgb="FFFF0000"/>
              <x14:negativeBorderColor rgb="FFFF0000"/>
              <x14:axisColor rgb="FF000000"/>
            </x14:dataBar>
          </x14:cfRule>
          <xm:sqref>U8</xm:sqref>
        </x14:conditionalFormatting>
        <x14:conditionalFormatting xmlns:xm="http://schemas.microsoft.com/office/excel/2006/main">
          <x14:cfRule type="dataBar" id="{6F3859E8-06BC-4889-A7F8-351765CFA609}">
            <x14:dataBar minLength="0" maxLength="100" border="1" negativeBarBorderColorSameAsPositive="0">
              <x14:cfvo type="autoMin"/>
              <x14:cfvo type="autoMax"/>
              <x14:borderColor rgb="FF638EC6"/>
              <x14:negativeFillColor rgb="FFFF0000"/>
              <x14:negativeBorderColor rgb="FFFF0000"/>
              <x14:axisColor rgb="FF000000"/>
            </x14:dataBar>
          </x14:cfRule>
          <xm:sqref>U8:U47</xm:sqref>
        </x14:conditionalFormatting>
      </x14:conditionalFormattings>
    </ext>
    <ext xmlns:x15="http://schemas.microsoft.com/office/spreadsheetml/2010/11/main" uri="{3A4CF648-6AED-40f4-86FF-DC5316D8AED3}">
      <x14:slicerList xmlns:x14="http://schemas.microsoft.com/office/spreadsheetml/2009/9/main">
        <x14:slicer r:id="rId5"/>
      </x14:slicerList>
    </ext>
  </extLs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631547-CB8E-4A4B-8DDA-B7FAB5180488}">
  <sheetPr>
    <tabColor rgb="FF660000"/>
  </sheetPr>
  <dimension ref="A1"/>
  <sheetViews>
    <sheetView workbookViewId="0"/>
  </sheetViews>
  <sheetFormatPr defaultRowHeight="15" x14ac:dyDescent="0.25"/>
  <sheetData/>
  <pageMargins left="0.7" right="0.7" top="0.75" bottom="0.75" header="0.3" footer="0.3"/>
  <drawing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1A1A09-BCE8-4185-AF5C-DF0883F95538}">
  <sheetPr>
    <tabColor rgb="FF660000"/>
  </sheetPr>
  <dimension ref="A1:J76"/>
  <sheetViews>
    <sheetView workbookViewId="0"/>
  </sheetViews>
  <sheetFormatPr defaultRowHeight="15" x14ac:dyDescent="0.25"/>
  <cols>
    <col min="1" max="1" width="5" bestFit="1" customWidth="1"/>
    <col min="2" max="2" width="19.140625" bestFit="1" customWidth="1"/>
    <col min="3" max="3" width="19.28515625" bestFit="1" customWidth="1"/>
    <col min="4" max="4" width="15" bestFit="1" customWidth="1"/>
    <col min="5" max="5" width="15.7109375" bestFit="1" customWidth="1"/>
    <col min="6" max="6" width="43.85546875" bestFit="1" customWidth="1"/>
    <col min="7" max="7" width="14.7109375" bestFit="1" customWidth="1"/>
    <col min="8" max="8" width="26.140625" bestFit="1" customWidth="1"/>
    <col min="9" max="10" width="14.5703125" bestFit="1" customWidth="1"/>
  </cols>
  <sheetData>
    <row r="1" spans="1:10" x14ac:dyDescent="0.25">
      <c r="A1" t="s">
        <v>0</v>
      </c>
      <c r="B1" t="s">
        <v>450</v>
      </c>
      <c r="C1" t="s">
        <v>451</v>
      </c>
      <c r="D1" t="s">
        <v>452</v>
      </c>
      <c r="E1" t="s">
        <v>453</v>
      </c>
      <c r="F1" t="s">
        <v>454</v>
      </c>
      <c r="G1" t="s">
        <v>455</v>
      </c>
      <c r="H1" t="s">
        <v>85</v>
      </c>
      <c r="I1" t="s">
        <v>2</v>
      </c>
      <c r="J1" t="s">
        <v>1</v>
      </c>
    </row>
    <row r="2" spans="1:10" x14ac:dyDescent="0.25">
      <c r="A2">
        <v>1</v>
      </c>
      <c r="B2" t="s">
        <v>456</v>
      </c>
      <c r="C2" t="s">
        <v>457</v>
      </c>
      <c r="D2" t="s">
        <v>458</v>
      </c>
      <c r="E2" t="s">
        <v>459</v>
      </c>
      <c r="F2" t="s">
        <v>460</v>
      </c>
      <c r="G2">
        <v>1</v>
      </c>
      <c r="H2" t="s">
        <v>106</v>
      </c>
      <c r="I2" s="50">
        <v>45881.657743055555</v>
      </c>
      <c r="J2" s="50">
        <v>45881.657743055555</v>
      </c>
    </row>
    <row r="3" spans="1:10" x14ac:dyDescent="0.25">
      <c r="A3">
        <v>2</v>
      </c>
      <c r="B3" t="s">
        <v>461</v>
      </c>
      <c r="C3" t="s">
        <v>462</v>
      </c>
      <c r="D3" t="s">
        <v>463</v>
      </c>
      <c r="E3" t="s">
        <v>464</v>
      </c>
      <c r="F3" t="s">
        <v>465</v>
      </c>
      <c r="G3">
        <v>1</v>
      </c>
      <c r="H3" t="s">
        <v>106</v>
      </c>
      <c r="I3" s="50">
        <v>45881.657766203702</v>
      </c>
      <c r="J3" s="50">
        <v>45881.657766203702</v>
      </c>
    </row>
    <row r="4" spans="1:10" x14ac:dyDescent="0.25">
      <c r="A4">
        <v>3</v>
      </c>
      <c r="B4" t="s">
        <v>466</v>
      </c>
      <c r="C4" t="s">
        <v>467</v>
      </c>
      <c r="D4" t="s">
        <v>468</v>
      </c>
      <c r="E4" t="s">
        <v>469</v>
      </c>
      <c r="F4" t="s">
        <v>470</v>
      </c>
      <c r="G4">
        <v>1</v>
      </c>
      <c r="H4" t="s">
        <v>106</v>
      </c>
      <c r="I4" s="50">
        <v>45881.657789351855</v>
      </c>
      <c r="J4" s="50">
        <v>45881.657789351855</v>
      </c>
    </row>
    <row r="5" spans="1:10" x14ac:dyDescent="0.25">
      <c r="A5">
        <v>4</v>
      </c>
      <c r="B5" t="s">
        <v>471</v>
      </c>
      <c r="C5" t="s">
        <v>472</v>
      </c>
      <c r="D5" t="s">
        <v>473</v>
      </c>
      <c r="E5" t="s">
        <v>474</v>
      </c>
      <c r="F5" t="s">
        <v>475</v>
      </c>
      <c r="G5">
        <v>2</v>
      </c>
      <c r="H5" t="s">
        <v>88</v>
      </c>
      <c r="I5" s="50">
        <v>45881.657812500001</v>
      </c>
      <c r="J5" s="50">
        <v>45881.657812500001</v>
      </c>
    </row>
    <row r="6" spans="1:10" x14ac:dyDescent="0.25">
      <c r="A6">
        <v>5</v>
      </c>
      <c r="B6" t="s">
        <v>476</v>
      </c>
      <c r="C6" t="s">
        <v>277</v>
      </c>
      <c r="D6" t="s">
        <v>477</v>
      </c>
      <c r="E6" t="s">
        <v>478</v>
      </c>
      <c r="F6" t="s">
        <v>479</v>
      </c>
      <c r="G6">
        <v>2</v>
      </c>
      <c r="H6" t="s">
        <v>88</v>
      </c>
      <c r="I6" s="50">
        <v>45881.657824074071</v>
      </c>
      <c r="J6" s="50">
        <v>45881.657824074071</v>
      </c>
    </row>
    <row r="7" spans="1:10" x14ac:dyDescent="0.25">
      <c r="A7">
        <v>6</v>
      </c>
      <c r="B7" t="s">
        <v>480</v>
      </c>
      <c r="C7" t="s">
        <v>123</v>
      </c>
      <c r="D7" t="s">
        <v>481</v>
      </c>
      <c r="E7" t="s">
        <v>482</v>
      </c>
      <c r="F7" t="s">
        <v>483</v>
      </c>
      <c r="G7">
        <v>3</v>
      </c>
      <c r="H7" t="s">
        <v>119</v>
      </c>
      <c r="I7" s="50">
        <v>45881.657847222225</v>
      </c>
      <c r="J7" s="50">
        <v>45881.657847222225</v>
      </c>
    </row>
    <row r="8" spans="1:10" x14ac:dyDescent="0.25">
      <c r="A8">
        <v>7</v>
      </c>
      <c r="B8" t="s">
        <v>484</v>
      </c>
      <c r="C8" t="s">
        <v>226</v>
      </c>
      <c r="D8" t="s">
        <v>485</v>
      </c>
      <c r="E8" t="s">
        <v>486</v>
      </c>
      <c r="F8" t="s">
        <v>487</v>
      </c>
      <c r="G8">
        <v>3</v>
      </c>
      <c r="H8" t="s">
        <v>119</v>
      </c>
      <c r="I8" s="50">
        <v>45881.657870370371</v>
      </c>
      <c r="J8" s="50">
        <v>45881.657870370371</v>
      </c>
    </row>
    <row r="9" spans="1:10" x14ac:dyDescent="0.25">
      <c r="A9">
        <v>8</v>
      </c>
      <c r="B9" t="s">
        <v>488</v>
      </c>
      <c r="C9" t="s">
        <v>489</v>
      </c>
      <c r="D9" t="s">
        <v>490</v>
      </c>
      <c r="E9" t="s">
        <v>491</v>
      </c>
      <c r="F9" t="s">
        <v>492</v>
      </c>
      <c r="G9">
        <v>3</v>
      </c>
      <c r="H9" t="s">
        <v>119</v>
      </c>
      <c r="I9" s="50">
        <v>45881.657893518517</v>
      </c>
      <c r="J9" s="50">
        <v>45881.657893518517</v>
      </c>
    </row>
    <row r="10" spans="1:10" x14ac:dyDescent="0.25">
      <c r="A10">
        <v>9</v>
      </c>
      <c r="B10" t="s">
        <v>493</v>
      </c>
      <c r="C10" t="s">
        <v>494</v>
      </c>
      <c r="D10" t="s">
        <v>495</v>
      </c>
      <c r="E10" t="s">
        <v>496</v>
      </c>
      <c r="F10" t="s">
        <v>497</v>
      </c>
      <c r="G10">
        <v>4</v>
      </c>
      <c r="H10" t="s">
        <v>126</v>
      </c>
      <c r="I10" s="50">
        <v>45881.657916666663</v>
      </c>
      <c r="J10" s="50">
        <v>45881.657916666663</v>
      </c>
    </row>
    <row r="11" spans="1:10" x14ac:dyDescent="0.25">
      <c r="A11">
        <v>10</v>
      </c>
      <c r="B11" t="s">
        <v>498</v>
      </c>
      <c r="C11" t="s">
        <v>499</v>
      </c>
      <c r="D11" t="s">
        <v>500</v>
      </c>
      <c r="E11" t="s">
        <v>501</v>
      </c>
      <c r="F11" t="s">
        <v>502</v>
      </c>
      <c r="G11">
        <v>4</v>
      </c>
      <c r="H11" t="s">
        <v>126</v>
      </c>
      <c r="I11" s="50">
        <v>45881.65792824074</v>
      </c>
      <c r="J11" s="50">
        <v>45881.65792824074</v>
      </c>
    </row>
    <row r="12" spans="1:10" x14ac:dyDescent="0.25">
      <c r="A12">
        <v>11</v>
      </c>
      <c r="B12" t="s">
        <v>503</v>
      </c>
      <c r="C12" t="s">
        <v>133</v>
      </c>
      <c r="D12" t="s">
        <v>504</v>
      </c>
      <c r="E12" t="s">
        <v>505</v>
      </c>
      <c r="F12" t="s">
        <v>506</v>
      </c>
      <c r="G12">
        <v>5</v>
      </c>
      <c r="H12" t="s">
        <v>134</v>
      </c>
      <c r="I12" s="50">
        <v>45881.657951388886</v>
      </c>
      <c r="J12" s="50">
        <v>45881.657951388886</v>
      </c>
    </row>
    <row r="13" spans="1:10" x14ac:dyDescent="0.25">
      <c r="A13">
        <v>12</v>
      </c>
      <c r="B13" t="s">
        <v>507</v>
      </c>
      <c r="C13" t="s">
        <v>118</v>
      </c>
      <c r="D13" t="s">
        <v>508</v>
      </c>
      <c r="E13" t="s">
        <v>509</v>
      </c>
      <c r="F13" t="s">
        <v>510</v>
      </c>
      <c r="G13">
        <v>5</v>
      </c>
      <c r="H13" t="s">
        <v>134</v>
      </c>
      <c r="I13" s="50">
        <v>45881.657986111109</v>
      </c>
      <c r="J13" s="50">
        <v>45881.657986111109</v>
      </c>
    </row>
    <row r="14" spans="1:10" x14ac:dyDescent="0.25">
      <c r="A14">
        <v>13</v>
      </c>
      <c r="B14" t="s">
        <v>511</v>
      </c>
      <c r="C14" t="s">
        <v>462</v>
      </c>
      <c r="D14" t="s">
        <v>512</v>
      </c>
      <c r="E14" t="s">
        <v>513</v>
      </c>
      <c r="F14" t="s">
        <v>514</v>
      </c>
      <c r="G14">
        <v>6</v>
      </c>
      <c r="H14" t="s">
        <v>274</v>
      </c>
      <c r="I14" s="50">
        <v>45881.657997685186</v>
      </c>
      <c r="J14" s="50">
        <v>45881.657997685186</v>
      </c>
    </row>
    <row r="15" spans="1:10" x14ac:dyDescent="0.25">
      <c r="A15">
        <v>14</v>
      </c>
      <c r="B15" t="s">
        <v>515</v>
      </c>
      <c r="C15" t="s">
        <v>457</v>
      </c>
      <c r="D15" t="s">
        <v>516</v>
      </c>
      <c r="E15" t="s">
        <v>517</v>
      </c>
      <c r="F15" t="s">
        <v>518</v>
      </c>
      <c r="G15">
        <v>6</v>
      </c>
      <c r="H15" t="s">
        <v>274</v>
      </c>
      <c r="I15" s="50">
        <v>45881.658020833333</v>
      </c>
      <c r="J15" s="50">
        <v>45881.658020833333</v>
      </c>
    </row>
    <row r="16" spans="1:10" x14ac:dyDescent="0.25">
      <c r="A16">
        <v>15</v>
      </c>
      <c r="B16" t="s">
        <v>519</v>
      </c>
      <c r="C16" t="s">
        <v>520</v>
      </c>
      <c r="D16" t="s">
        <v>521</v>
      </c>
      <c r="E16" t="s">
        <v>522</v>
      </c>
      <c r="F16" t="s">
        <v>523</v>
      </c>
      <c r="G16">
        <v>7</v>
      </c>
      <c r="H16" t="s">
        <v>281</v>
      </c>
      <c r="I16" s="50">
        <v>45881.658043981479</v>
      </c>
      <c r="J16" s="50">
        <v>45881.658043981479</v>
      </c>
    </row>
    <row r="17" spans="1:10" x14ac:dyDescent="0.25">
      <c r="A17">
        <v>16</v>
      </c>
      <c r="B17" t="s">
        <v>524</v>
      </c>
      <c r="C17" t="s">
        <v>494</v>
      </c>
      <c r="D17" t="s">
        <v>525</v>
      </c>
      <c r="E17" t="s">
        <v>526</v>
      </c>
      <c r="F17" t="s">
        <v>527</v>
      </c>
      <c r="G17">
        <v>7</v>
      </c>
      <c r="H17" t="s">
        <v>281</v>
      </c>
      <c r="I17" s="50">
        <v>45881.658067129632</v>
      </c>
      <c r="J17" s="50">
        <v>45881.658067129632</v>
      </c>
    </row>
    <row r="18" spans="1:10" x14ac:dyDescent="0.25">
      <c r="A18">
        <v>17</v>
      </c>
      <c r="B18" t="s">
        <v>528</v>
      </c>
      <c r="C18" t="s">
        <v>118</v>
      </c>
      <c r="D18" t="s">
        <v>529</v>
      </c>
      <c r="E18" t="s">
        <v>530</v>
      </c>
      <c r="F18" t="s">
        <v>531</v>
      </c>
      <c r="G18">
        <v>7</v>
      </c>
      <c r="H18" t="s">
        <v>281</v>
      </c>
      <c r="I18" s="50">
        <v>45881.658078703702</v>
      </c>
      <c r="J18" s="50">
        <v>45881.658078703702</v>
      </c>
    </row>
    <row r="19" spans="1:10" x14ac:dyDescent="0.25">
      <c r="A19">
        <v>18</v>
      </c>
      <c r="B19" t="s">
        <v>532</v>
      </c>
      <c r="C19" t="s">
        <v>499</v>
      </c>
      <c r="D19" t="s">
        <v>533</v>
      </c>
      <c r="E19" t="s">
        <v>534</v>
      </c>
      <c r="F19" t="s">
        <v>535</v>
      </c>
      <c r="G19">
        <v>8</v>
      </c>
      <c r="H19" t="s">
        <v>288</v>
      </c>
      <c r="I19" s="50">
        <v>45881.658101851855</v>
      </c>
      <c r="J19" s="50">
        <v>45881.658101851855</v>
      </c>
    </row>
    <row r="20" spans="1:10" x14ac:dyDescent="0.25">
      <c r="A20">
        <v>19</v>
      </c>
      <c r="B20" t="s">
        <v>536</v>
      </c>
      <c r="C20" t="s">
        <v>537</v>
      </c>
      <c r="D20" t="s">
        <v>538</v>
      </c>
      <c r="E20" t="s">
        <v>539</v>
      </c>
      <c r="F20" t="s">
        <v>540</v>
      </c>
      <c r="G20">
        <v>8</v>
      </c>
      <c r="H20" t="s">
        <v>288</v>
      </c>
      <c r="I20" s="50">
        <v>45881.658148148148</v>
      </c>
      <c r="J20" s="50">
        <v>45881.658148148148</v>
      </c>
    </row>
    <row r="21" spans="1:10" x14ac:dyDescent="0.25">
      <c r="A21">
        <v>20</v>
      </c>
      <c r="B21" t="s">
        <v>541</v>
      </c>
      <c r="C21" t="s">
        <v>116</v>
      </c>
      <c r="D21" t="s">
        <v>542</v>
      </c>
      <c r="E21" t="s">
        <v>543</v>
      </c>
      <c r="F21" t="s">
        <v>544</v>
      </c>
      <c r="G21">
        <v>8</v>
      </c>
      <c r="H21" t="s">
        <v>288</v>
      </c>
      <c r="I21" s="50">
        <v>45881.658171296294</v>
      </c>
      <c r="J21" s="50">
        <v>45881.658171296294</v>
      </c>
    </row>
    <row r="22" spans="1:10" x14ac:dyDescent="0.25">
      <c r="A22">
        <v>21</v>
      </c>
      <c r="B22" t="s">
        <v>545</v>
      </c>
      <c r="C22" t="s">
        <v>123</v>
      </c>
      <c r="D22" t="s">
        <v>546</v>
      </c>
      <c r="E22" t="s">
        <v>547</v>
      </c>
      <c r="F22" t="s">
        <v>548</v>
      </c>
      <c r="G22">
        <v>9</v>
      </c>
      <c r="H22" t="s">
        <v>294</v>
      </c>
      <c r="I22" s="50">
        <v>45881.658182870371</v>
      </c>
      <c r="J22" s="50">
        <v>45881.658182870371</v>
      </c>
    </row>
    <row r="23" spans="1:10" x14ac:dyDescent="0.25">
      <c r="A23">
        <v>22</v>
      </c>
      <c r="B23" t="s">
        <v>549</v>
      </c>
      <c r="C23" t="s">
        <v>271</v>
      </c>
      <c r="D23" t="s">
        <v>550</v>
      </c>
      <c r="E23" t="s">
        <v>551</v>
      </c>
      <c r="F23" t="s">
        <v>552</v>
      </c>
      <c r="G23">
        <v>9</v>
      </c>
      <c r="H23" t="s">
        <v>294</v>
      </c>
      <c r="I23" s="50">
        <v>45881.658206018517</v>
      </c>
      <c r="J23" s="50">
        <v>45881.658206018517</v>
      </c>
    </row>
    <row r="24" spans="1:10" x14ac:dyDescent="0.25">
      <c r="A24">
        <v>23</v>
      </c>
      <c r="B24" t="s">
        <v>553</v>
      </c>
      <c r="C24" t="s">
        <v>554</v>
      </c>
      <c r="D24" t="s">
        <v>555</v>
      </c>
      <c r="E24" t="s">
        <v>556</v>
      </c>
      <c r="F24" t="s">
        <v>557</v>
      </c>
      <c r="G24">
        <v>9</v>
      </c>
      <c r="H24" t="s">
        <v>294</v>
      </c>
      <c r="I24" s="50">
        <v>45881.658229166664</v>
      </c>
      <c r="J24" s="50">
        <v>45881.658229166664</v>
      </c>
    </row>
    <row r="25" spans="1:10" x14ac:dyDescent="0.25">
      <c r="A25">
        <v>24</v>
      </c>
      <c r="B25" t="s">
        <v>558</v>
      </c>
      <c r="C25" t="s">
        <v>554</v>
      </c>
      <c r="D25" t="s">
        <v>559</v>
      </c>
      <c r="E25" t="s">
        <v>560</v>
      </c>
      <c r="F25" t="s">
        <v>561</v>
      </c>
      <c r="G25">
        <v>10</v>
      </c>
      <c r="H25" t="s">
        <v>302</v>
      </c>
      <c r="I25" s="50">
        <v>45881.658252314817</v>
      </c>
      <c r="J25" s="50">
        <v>45881.658252314817</v>
      </c>
    </row>
    <row r="26" spans="1:10" x14ac:dyDescent="0.25">
      <c r="A26">
        <v>25</v>
      </c>
      <c r="B26" t="s">
        <v>562</v>
      </c>
      <c r="C26" t="s">
        <v>563</v>
      </c>
      <c r="D26" t="s">
        <v>564</v>
      </c>
      <c r="E26" t="s">
        <v>565</v>
      </c>
      <c r="F26" t="s">
        <v>566</v>
      </c>
      <c r="G26">
        <v>10</v>
      </c>
      <c r="H26" t="s">
        <v>302</v>
      </c>
      <c r="I26" s="50">
        <v>45881.658275462964</v>
      </c>
      <c r="J26" s="50">
        <v>45881.658275462964</v>
      </c>
    </row>
    <row r="27" spans="1:10" x14ac:dyDescent="0.25">
      <c r="A27">
        <v>26</v>
      </c>
      <c r="B27" t="s">
        <v>567</v>
      </c>
      <c r="C27" t="s">
        <v>467</v>
      </c>
      <c r="D27" t="s">
        <v>568</v>
      </c>
      <c r="E27" t="s">
        <v>569</v>
      </c>
      <c r="F27" t="s">
        <v>570</v>
      </c>
      <c r="G27">
        <v>11</v>
      </c>
      <c r="H27" t="s">
        <v>310</v>
      </c>
      <c r="I27" s="50">
        <v>45881.65829861111</v>
      </c>
      <c r="J27" s="50">
        <v>45881.65829861111</v>
      </c>
    </row>
    <row r="28" spans="1:10" x14ac:dyDescent="0.25">
      <c r="A28">
        <v>27</v>
      </c>
      <c r="B28" t="s">
        <v>571</v>
      </c>
      <c r="C28" t="s">
        <v>116</v>
      </c>
      <c r="D28" t="s">
        <v>572</v>
      </c>
      <c r="E28" t="s">
        <v>573</v>
      </c>
      <c r="F28" t="s">
        <v>574</v>
      </c>
      <c r="G28">
        <v>11</v>
      </c>
      <c r="H28" t="s">
        <v>310</v>
      </c>
      <c r="I28" s="50">
        <v>45881.658310185187</v>
      </c>
      <c r="J28" s="50">
        <v>45881.658310185187</v>
      </c>
    </row>
    <row r="29" spans="1:10" x14ac:dyDescent="0.25">
      <c r="A29">
        <v>28</v>
      </c>
      <c r="B29" t="s">
        <v>575</v>
      </c>
      <c r="C29" t="s">
        <v>563</v>
      </c>
      <c r="D29" t="s">
        <v>576</v>
      </c>
      <c r="E29" t="s">
        <v>577</v>
      </c>
      <c r="F29" t="s">
        <v>578</v>
      </c>
      <c r="G29">
        <v>11</v>
      </c>
      <c r="H29" t="s">
        <v>310</v>
      </c>
      <c r="I29" s="50">
        <v>45881.658333333333</v>
      </c>
      <c r="J29" s="50">
        <v>45881.658333333333</v>
      </c>
    </row>
    <row r="30" spans="1:10" x14ac:dyDescent="0.25">
      <c r="A30">
        <v>29</v>
      </c>
      <c r="B30" t="s">
        <v>579</v>
      </c>
      <c r="C30" t="s">
        <v>123</v>
      </c>
      <c r="D30" t="s">
        <v>580</v>
      </c>
      <c r="E30" t="s">
        <v>581</v>
      </c>
      <c r="F30" t="s">
        <v>582</v>
      </c>
      <c r="G30">
        <v>12</v>
      </c>
      <c r="H30" t="s">
        <v>317</v>
      </c>
      <c r="I30" s="50">
        <v>45881.658356481479</v>
      </c>
      <c r="J30" s="50">
        <v>45881.658356481479</v>
      </c>
    </row>
    <row r="31" spans="1:10" x14ac:dyDescent="0.25">
      <c r="A31">
        <v>30</v>
      </c>
      <c r="B31" t="s">
        <v>583</v>
      </c>
      <c r="C31" t="s">
        <v>125</v>
      </c>
      <c r="D31" t="s">
        <v>584</v>
      </c>
      <c r="E31" t="s">
        <v>585</v>
      </c>
      <c r="F31" t="s">
        <v>586</v>
      </c>
      <c r="G31">
        <v>12</v>
      </c>
      <c r="H31" t="s">
        <v>317</v>
      </c>
      <c r="I31" s="50">
        <v>45881.658379629633</v>
      </c>
      <c r="J31" s="50">
        <v>45881.658379629633</v>
      </c>
    </row>
    <row r="32" spans="1:10" x14ac:dyDescent="0.25">
      <c r="A32">
        <v>31</v>
      </c>
      <c r="B32" t="s">
        <v>587</v>
      </c>
      <c r="C32" t="s">
        <v>499</v>
      </c>
      <c r="D32" t="s">
        <v>588</v>
      </c>
      <c r="E32" t="s">
        <v>589</v>
      </c>
      <c r="F32" t="s">
        <v>590</v>
      </c>
      <c r="G32">
        <v>13</v>
      </c>
      <c r="H32" t="s">
        <v>324</v>
      </c>
      <c r="I32" s="50">
        <v>45881.658402777779</v>
      </c>
      <c r="J32" s="50">
        <v>45881.658402777779</v>
      </c>
    </row>
    <row r="33" spans="1:10" x14ac:dyDescent="0.25">
      <c r="A33">
        <v>32</v>
      </c>
      <c r="B33" t="s">
        <v>591</v>
      </c>
      <c r="C33" t="s">
        <v>592</v>
      </c>
      <c r="D33" t="s">
        <v>593</v>
      </c>
      <c r="E33" t="s">
        <v>594</v>
      </c>
      <c r="F33" t="s">
        <v>595</v>
      </c>
      <c r="G33">
        <v>13</v>
      </c>
      <c r="H33" t="s">
        <v>324</v>
      </c>
      <c r="I33" s="50">
        <v>45881.658425925925</v>
      </c>
      <c r="J33" s="50">
        <v>45881.658425925925</v>
      </c>
    </row>
    <row r="34" spans="1:10" x14ac:dyDescent="0.25">
      <c r="A34">
        <v>33</v>
      </c>
      <c r="B34" t="s">
        <v>596</v>
      </c>
      <c r="C34" t="s">
        <v>467</v>
      </c>
      <c r="D34" t="s">
        <v>597</v>
      </c>
      <c r="E34" t="s">
        <v>598</v>
      </c>
      <c r="F34" t="s">
        <v>599</v>
      </c>
      <c r="G34">
        <v>13</v>
      </c>
      <c r="H34" t="s">
        <v>324</v>
      </c>
      <c r="I34" s="50">
        <v>45881.658449074072</v>
      </c>
      <c r="J34" s="50">
        <v>45881.658449074072</v>
      </c>
    </row>
    <row r="35" spans="1:10" x14ac:dyDescent="0.25">
      <c r="A35">
        <v>34</v>
      </c>
      <c r="B35" t="s">
        <v>600</v>
      </c>
      <c r="C35" t="s">
        <v>601</v>
      </c>
      <c r="D35" t="s">
        <v>602</v>
      </c>
      <c r="E35" t="s">
        <v>603</v>
      </c>
      <c r="F35" t="s">
        <v>604</v>
      </c>
      <c r="G35">
        <v>14</v>
      </c>
      <c r="H35" t="s">
        <v>331</v>
      </c>
      <c r="I35" s="50">
        <v>45881.658460648148</v>
      </c>
      <c r="J35" s="50">
        <v>45881.658460648148</v>
      </c>
    </row>
    <row r="36" spans="1:10" x14ac:dyDescent="0.25">
      <c r="A36">
        <v>35</v>
      </c>
      <c r="B36" t="s">
        <v>605</v>
      </c>
      <c r="C36" t="s">
        <v>457</v>
      </c>
      <c r="D36" t="s">
        <v>606</v>
      </c>
      <c r="E36" t="s">
        <v>607</v>
      </c>
      <c r="F36" t="s">
        <v>608</v>
      </c>
      <c r="G36">
        <v>14</v>
      </c>
      <c r="H36" t="s">
        <v>331</v>
      </c>
      <c r="I36" s="50">
        <v>45881.658483796295</v>
      </c>
      <c r="J36" s="50">
        <v>45881.658483796295</v>
      </c>
    </row>
    <row r="37" spans="1:10" x14ac:dyDescent="0.25">
      <c r="A37">
        <v>36</v>
      </c>
      <c r="B37" t="s">
        <v>368</v>
      </c>
      <c r="C37" t="s">
        <v>520</v>
      </c>
      <c r="D37" t="s">
        <v>609</v>
      </c>
      <c r="E37" t="s">
        <v>610</v>
      </c>
      <c r="F37" t="s">
        <v>611</v>
      </c>
      <c r="G37">
        <v>15</v>
      </c>
      <c r="H37" t="s">
        <v>338</v>
      </c>
      <c r="I37" s="50">
        <v>45881.658506944441</v>
      </c>
      <c r="J37" s="50">
        <v>45881.658506944441</v>
      </c>
    </row>
    <row r="38" spans="1:10" x14ac:dyDescent="0.25">
      <c r="A38">
        <v>37</v>
      </c>
      <c r="B38" t="s">
        <v>545</v>
      </c>
      <c r="C38" t="s">
        <v>467</v>
      </c>
      <c r="D38" t="s">
        <v>612</v>
      </c>
      <c r="E38" t="s">
        <v>613</v>
      </c>
      <c r="F38" t="s">
        <v>614</v>
      </c>
      <c r="G38">
        <v>15</v>
      </c>
      <c r="H38" t="s">
        <v>338</v>
      </c>
      <c r="I38" s="50">
        <v>45881.658530092594</v>
      </c>
      <c r="J38" s="50">
        <v>45881.658530092594</v>
      </c>
    </row>
    <row r="39" spans="1:10" x14ac:dyDescent="0.25">
      <c r="A39">
        <v>38</v>
      </c>
      <c r="B39" t="s">
        <v>615</v>
      </c>
      <c r="C39" t="s">
        <v>138</v>
      </c>
      <c r="D39" t="s">
        <v>616</v>
      </c>
      <c r="E39" t="s">
        <v>617</v>
      </c>
      <c r="F39" t="s">
        <v>618</v>
      </c>
      <c r="G39">
        <v>15</v>
      </c>
      <c r="H39" t="s">
        <v>338</v>
      </c>
      <c r="I39" s="50">
        <v>45881.658541666664</v>
      </c>
      <c r="J39" s="50">
        <v>45881.658541666664</v>
      </c>
    </row>
    <row r="40" spans="1:10" x14ac:dyDescent="0.25">
      <c r="A40">
        <v>39</v>
      </c>
      <c r="B40" t="s">
        <v>619</v>
      </c>
      <c r="C40" t="s">
        <v>457</v>
      </c>
      <c r="D40" t="s">
        <v>620</v>
      </c>
      <c r="E40" t="s">
        <v>621</v>
      </c>
      <c r="F40" t="s">
        <v>622</v>
      </c>
      <c r="G40">
        <v>16</v>
      </c>
      <c r="H40" t="s">
        <v>346</v>
      </c>
      <c r="I40" s="50">
        <v>45881.658564814818</v>
      </c>
      <c r="J40" s="50">
        <v>45881.658564814818</v>
      </c>
    </row>
    <row r="41" spans="1:10" x14ac:dyDescent="0.25">
      <c r="A41">
        <v>40</v>
      </c>
      <c r="B41" t="s">
        <v>623</v>
      </c>
      <c r="C41" t="s">
        <v>537</v>
      </c>
      <c r="D41" t="s">
        <v>624</v>
      </c>
      <c r="E41" t="s">
        <v>625</v>
      </c>
      <c r="F41" t="s">
        <v>626</v>
      </c>
      <c r="G41">
        <v>16</v>
      </c>
      <c r="H41" t="s">
        <v>346</v>
      </c>
      <c r="I41" s="50">
        <v>45881.658587962964</v>
      </c>
      <c r="J41" s="50">
        <v>45881.658587962964</v>
      </c>
    </row>
    <row r="42" spans="1:10" x14ac:dyDescent="0.25">
      <c r="A42">
        <v>41</v>
      </c>
      <c r="B42" t="s">
        <v>591</v>
      </c>
      <c r="C42" t="s">
        <v>125</v>
      </c>
      <c r="D42" t="s">
        <v>627</v>
      </c>
      <c r="E42" t="s">
        <v>628</v>
      </c>
      <c r="F42" t="s">
        <v>629</v>
      </c>
      <c r="G42">
        <v>16</v>
      </c>
      <c r="H42" t="s">
        <v>346</v>
      </c>
      <c r="I42" s="50">
        <v>45881.65861111111</v>
      </c>
      <c r="J42" s="50">
        <v>45881.65861111111</v>
      </c>
    </row>
    <row r="43" spans="1:10" x14ac:dyDescent="0.25">
      <c r="A43">
        <v>42</v>
      </c>
      <c r="B43" t="s">
        <v>630</v>
      </c>
      <c r="C43" t="s">
        <v>457</v>
      </c>
      <c r="D43" t="s">
        <v>631</v>
      </c>
      <c r="E43" t="s">
        <v>632</v>
      </c>
      <c r="F43" t="s">
        <v>633</v>
      </c>
      <c r="G43">
        <v>17</v>
      </c>
      <c r="H43" t="s">
        <v>354</v>
      </c>
      <c r="I43" s="50">
        <v>45881.658634259256</v>
      </c>
      <c r="J43" s="50">
        <v>45881.658634259256</v>
      </c>
    </row>
    <row r="44" spans="1:10" x14ac:dyDescent="0.25">
      <c r="A44">
        <v>43</v>
      </c>
      <c r="B44" t="s">
        <v>634</v>
      </c>
      <c r="C44" t="s">
        <v>116</v>
      </c>
      <c r="D44" t="s">
        <v>635</v>
      </c>
      <c r="E44" t="s">
        <v>636</v>
      </c>
      <c r="F44" t="s">
        <v>637</v>
      </c>
      <c r="G44">
        <v>17</v>
      </c>
      <c r="H44" t="s">
        <v>354</v>
      </c>
      <c r="I44" s="50">
        <v>45881.65865740741</v>
      </c>
      <c r="J44" s="50">
        <v>45881.65865740741</v>
      </c>
    </row>
    <row r="45" spans="1:10" x14ac:dyDescent="0.25">
      <c r="A45">
        <v>44</v>
      </c>
      <c r="B45" t="s">
        <v>638</v>
      </c>
      <c r="C45" t="s">
        <v>639</v>
      </c>
      <c r="D45" t="s">
        <v>640</v>
      </c>
      <c r="E45" t="s">
        <v>641</v>
      </c>
      <c r="F45" t="s">
        <v>642</v>
      </c>
      <c r="G45">
        <v>17</v>
      </c>
      <c r="H45" t="s">
        <v>354</v>
      </c>
      <c r="I45" s="50">
        <v>45881.658680555556</v>
      </c>
      <c r="J45" s="50">
        <v>45881.658680555556</v>
      </c>
    </row>
    <row r="46" spans="1:10" x14ac:dyDescent="0.25">
      <c r="A46">
        <v>45</v>
      </c>
      <c r="B46" t="s">
        <v>643</v>
      </c>
      <c r="C46" t="s">
        <v>118</v>
      </c>
      <c r="D46" t="s">
        <v>644</v>
      </c>
      <c r="E46" t="s">
        <v>645</v>
      </c>
      <c r="F46" t="s">
        <v>646</v>
      </c>
      <c r="G46">
        <v>18</v>
      </c>
      <c r="H46" t="s">
        <v>362</v>
      </c>
      <c r="I46" s="50">
        <v>45881.658692129633</v>
      </c>
      <c r="J46" s="50">
        <v>45881.658692129633</v>
      </c>
    </row>
    <row r="47" spans="1:10" x14ac:dyDescent="0.25">
      <c r="A47">
        <v>46</v>
      </c>
      <c r="B47" t="s">
        <v>647</v>
      </c>
      <c r="C47" t="s">
        <v>554</v>
      </c>
      <c r="D47" t="s">
        <v>648</v>
      </c>
      <c r="E47" t="s">
        <v>649</v>
      </c>
      <c r="F47" t="s">
        <v>650</v>
      </c>
      <c r="G47">
        <v>18</v>
      </c>
      <c r="H47" t="s">
        <v>362</v>
      </c>
      <c r="I47" s="50">
        <v>45881.658715277779</v>
      </c>
      <c r="J47" s="50">
        <v>45881.658715277779</v>
      </c>
    </row>
    <row r="48" spans="1:10" x14ac:dyDescent="0.25">
      <c r="A48">
        <v>47</v>
      </c>
      <c r="B48" t="s">
        <v>651</v>
      </c>
      <c r="C48" t="s">
        <v>639</v>
      </c>
      <c r="D48" t="s">
        <v>652</v>
      </c>
      <c r="E48" t="s">
        <v>653</v>
      </c>
      <c r="F48" t="s">
        <v>654</v>
      </c>
      <c r="G48">
        <v>18</v>
      </c>
      <c r="H48" t="s">
        <v>362</v>
      </c>
      <c r="I48" s="50">
        <v>45881.658738425926</v>
      </c>
      <c r="J48" s="50">
        <v>45881.658738425926</v>
      </c>
    </row>
    <row r="49" spans="1:10" x14ac:dyDescent="0.25">
      <c r="A49">
        <v>48</v>
      </c>
      <c r="B49" t="s">
        <v>655</v>
      </c>
      <c r="C49" t="s">
        <v>114</v>
      </c>
      <c r="D49" t="s">
        <v>656</v>
      </c>
      <c r="E49" t="s">
        <v>657</v>
      </c>
      <c r="F49" t="s">
        <v>658</v>
      </c>
      <c r="G49">
        <v>19</v>
      </c>
      <c r="H49" t="s">
        <v>370</v>
      </c>
      <c r="I49" s="50">
        <v>45881.658761574072</v>
      </c>
      <c r="J49" s="50">
        <v>45881.658761574072</v>
      </c>
    </row>
    <row r="50" spans="1:10" x14ac:dyDescent="0.25">
      <c r="A50">
        <v>49</v>
      </c>
      <c r="B50" t="s">
        <v>659</v>
      </c>
      <c r="C50" t="s">
        <v>114</v>
      </c>
      <c r="D50" t="s">
        <v>660</v>
      </c>
      <c r="E50" t="s">
        <v>661</v>
      </c>
      <c r="F50" t="s">
        <v>662</v>
      </c>
      <c r="G50">
        <v>19</v>
      </c>
      <c r="H50" t="s">
        <v>370</v>
      </c>
      <c r="I50" s="50">
        <v>45881.658784722225</v>
      </c>
      <c r="J50" s="50">
        <v>45881.658784722225</v>
      </c>
    </row>
    <row r="51" spans="1:10" x14ac:dyDescent="0.25">
      <c r="A51">
        <v>50</v>
      </c>
      <c r="B51" t="s">
        <v>663</v>
      </c>
      <c r="C51" t="s">
        <v>494</v>
      </c>
      <c r="D51" t="s">
        <v>664</v>
      </c>
      <c r="E51" t="s">
        <v>665</v>
      </c>
      <c r="F51" t="s">
        <v>666</v>
      </c>
      <c r="G51">
        <v>19</v>
      </c>
      <c r="H51" t="s">
        <v>370</v>
      </c>
      <c r="I51" s="50">
        <v>45881.658796296295</v>
      </c>
      <c r="J51" s="50">
        <v>45881.658796296295</v>
      </c>
    </row>
    <row r="52" spans="1:10" x14ac:dyDescent="0.25">
      <c r="A52">
        <v>51</v>
      </c>
      <c r="B52" t="s">
        <v>667</v>
      </c>
      <c r="C52" t="s">
        <v>668</v>
      </c>
      <c r="D52" t="s">
        <v>669</v>
      </c>
      <c r="E52" t="s">
        <v>670</v>
      </c>
      <c r="F52" t="s">
        <v>671</v>
      </c>
      <c r="G52">
        <v>20</v>
      </c>
      <c r="H52" t="s">
        <v>189</v>
      </c>
      <c r="I52" s="50">
        <v>45881.658819444441</v>
      </c>
      <c r="J52" s="50">
        <v>45881.658819444441</v>
      </c>
    </row>
    <row r="53" spans="1:10" x14ac:dyDescent="0.25">
      <c r="A53">
        <v>52</v>
      </c>
      <c r="B53" t="s">
        <v>672</v>
      </c>
      <c r="C53" t="s">
        <v>138</v>
      </c>
      <c r="D53" t="s">
        <v>673</v>
      </c>
      <c r="E53" t="s">
        <v>674</v>
      </c>
      <c r="F53" t="s">
        <v>675</v>
      </c>
      <c r="G53">
        <v>20</v>
      </c>
      <c r="H53" t="s">
        <v>189</v>
      </c>
      <c r="I53" s="50">
        <v>45881.658842592595</v>
      </c>
      <c r="J53" s="50">
        <v>45881.658842592595</v>
      </c>
    </row>
    <row r="54" spans="1:10" x14ac:dyDescent="0.25">
      <c r="A54">
        <v>53</v>
      </c>
      <c r="B54" t="s">
        <v>676</v>
      </c>
      <c r="C54" t="s">
        <v>138</v>
      </c>
      <c r="D54" t="s">
        <v>677</v>
      </c>
      <c r="E54" t="s">
        <v>678</v>
      </c>
      <c r="F54" t="s">
        <v>679</v>
      </c>
      <c r="G54">
        <v>20</v>
      </c>
      <c r="H54" t="s">
        <v>189</v>
      </c>
      <c r="I54" s="50">
        <v>45881.658865740741</v>
      </c>
      <c r="J54" s="50">
        <v>45881.658865740741</v>
      </c>
    </row>
    <row r="55" spans="1:10" x14ac:dyDescent="0.25">
      <c r="A55">
        <v>54</v>
      </c>
      <c r="B55" t="s">
        <v>680</v>
      </c>
      <c r="C55" t="s">
        <v>125</v>
      </c>
      <c r="D55" t="s">
        <v>681</v>
      </c>
      <c r="E55" t="s">
        <v>682</v>
      </c>
      <c r="F55" t="s">
        <v>683</v>
      </c>
      <c r="G55">
        <v>21</v>
      </c>
      <c r="H55" t="s">
        <v>197</v>
      </c>
      <c r="I55" s="50">
        <v>45881.658888888887</v>
      </c>
      <c r="J55" s="50">
        <v>45881.658888888887</v>
      </c>
    </row>
    <row r="56" spans="1:10" x14ac:dyDescent="0.25">
      <c r="A56">
        <v>55</v>
      </c>
      <c r="B56" t="s">
        <v>684</v>
      </c>
      <c r="C56" t="s">
        <v>271</v>
      </c>
      <c r="D56" t="s">
        <v>685</v>
      </c>
      <c r="E56" t="s">
        <v>686</v>
      </c>
      <c r="F56" t="s">
        <v>687</v>
      </c>
      <c r="G56">
        <v>21</v>
      </c>
      <c r="H56" t="s">
        <v>197</v>
      </c>
      <c r="I56" s="50">
        <v>45881.658900462964</v>
      </c>
      <c r="J56" s="50">
        <v>45881.658900462964</v>
      </c>
    </row>
    <row r="57" spans="1:10" x14ac:dyDescent="0.25">
      <c r="A57">
        <v>56</v>
      </c>
      <c r="B57" t="s">
        <v>688</v>
      </c>
      <c r="C57" t="s">
        <v>226</v>
      </c>
      <c r="D57" t="s">
        <v>689</v>
      </c>
      <c r="E57" t="s">
        <v>690</v>
      </c>
      <c r="F57" t="s">
        <v>691</v>
      </c>
      <c r="G57">
        <v>22</v>
      </c>
      <c r="H57" t="s">
        <v>205</v>
      </c>
      <c r="I57" s="50">
        <v>45881.65892361111</v>
      </c>
      <c r="J57" s="50">
        <v>45881.65892361111</v>
      </c>
    </row>
    <row r="58" spans="1:10" x14ac:dyDescent="0.25">
      <c r="A58">
        <v>57</v>
      </c>
      <c r="B58" t="s">
        <v>692</v>
      </c>
      <c r="C58" t="s">
        <v>693</v>
      </c>
      <c r="D58" t="s">
        <v>694</v>
      </c>
      <c r="E58" t="s">
        <v>695</v>
      </c>
      <c r="F58" t="s">
        <v>696</v>
      </c>
      <c r="G58">
        <v>22</v>
      </c>
      <c r="H58" t="s">
        <v>205</v>
      </c>
      <c r="I58" s="50">
        <v>45881.658946759257</v>
      </c>
      <c r="J58" s="50">
        <v>45881.658946759257</v>
      </c>
    </row>
    <row r="59" spans="1:10" x14ac:dyDescent="0.25">
      <c r="A59">
        <v>58</v>
      </c>
      <c r="B59" t="s">
        <v>697</v>
      </c>
      <c r="C59" t="s">
        <v>118</v>
      </c>
      <c r="D59" t="s">
        <v>698</v>
      </c>
      <c r="E59" t="s">
        <v>699</v>
      </c>
      <c r="F59" t="s">
        <v>700</v>
      </c>
      <c r="G59">
        <v>23</v>
      </c>
      <c r="H59" t="s">
        <v>213</v>
      </c>
      <c r="I59" s="50">
        <v>45881.658958333333</v>
      </c>
      <c r="J59" s="50">
        <v>45881.658958333333</v>
      </c>
    </row>
    <row r="60" spans="1:10" x14ac:dyDescent="0.25">
      <c r="A60">
        <v>59</v>
      </c>
      <c r="B60" t="s">
        <v>701</v>
      </c>
      <c r="C60" t="s">
        <v>114</v>
      </c>
      <c r="D60" t="s">
        <v>702</v>
      </c>
      <c r="E60" t="s">
        <v>703</v>
      </c>
      <c r="F60" t="s">
        <v>704</v>
      </c>
      <c r="G60">
        <v>23</v>
      </c>
      <c r="H60" t="s">
        <v>213</v>
      </c>
      <c r="I60" s="50">
        <v>45881.65898148148</v>
      </c>
      <c r="J60" s="50">
        <v>45881.65898148148</v>
      </c>
    </row>
    <row r="61" spans="1:10" x14ac:dyDescent="0.25">
      <c r="A61">
        <v>60</v>
      </c>
      <c r="B61" t="s">
        <v>705</v>
      </c>
      <c r="C61" t="s">
        <v>9</v>
      </c>
      <c r="D61" t="s">
        <v>706</v>
      </c>
      <c r="E61" t="s">
        <v>707</v>
      </c>
      <c r="F61" t="s">
        <v>708</v>
      </c>
      <c r="G61">
        <v>24</v>
      </c>
      <c r="H61" t="s">
        <v>221</v>
      </c>
      <c r="I61" s="50">
        <v>45881.659004629626</v>
      </c>
      <c r="J61" s="50">
        <v>45881.659004629626</v>
      </c>
    </row>
    <row r="62" spans="1:10" x14ac:dyDescent="0.25">
      <c r="A62">
        <v>61</v>
      </c>
      <c r="B62" t="s">
        <v>709</v>
      </c>
      <c r="C62" t="s">
        <v>133</v>
      </c>
      <c r="D62" t="s">
        <v>710</v>
      </c>
      <c r="E62" t="s">
        <v>711</v>
      </c>
      <c r="F62" t="s">
        <v>712</v>
      </c>
      <c r="G62">
        <v>24</v>
      </c>
      <c r="H62" t="s">
        <v>221</v>
      </c>
      <c r="I62" s="50">
        <v>45881.65902777778</v>
      </c>
      <c r="J62" s="50">
        <v>45881.65902777778</v>
      </c>
    </row>
    <row r="63" spans="1:10" x14ac:dyDescent="0.25">
      <c r="A63">
        <v>62</v>
      </c>
      <c r="B63" t="s">
        <v>713</v>
      </c>
      <c r="C63" t="s">
        <v>271</v>
      </c>
      <c r="D63" t="s">
        <v>714</v>
      </c>
      <c r="E63" t="s">
        <v>715</v>
      </c>
      <c r="F63" t="s">
        <v>716</v>
      </c>
      <c r="G63">
        <v>25</v>
      </c>
      <c r="H63" t="s">
        <v>229</v>
      </c>
      <c r="I63" s="50">
        <v>45881.659050925926</v>
      </c>
      <c r="J63" s="50">
        <v>45881.659050925926</v>
      </c>
    </row>
    <row r="64" spans="1:10" x14ac:dyDescent="0.25">
      <c r="A64">
        <v>63</v>
      </c>
      <c r="B64" t="s">
        <v>717</v>
      </c>
      <c r="C64" t="s">
        <v>123</v>
      </c>
      <c r="D64" t="s">
        <v>718</v>
      </c>
      <c r="E64" t="s">
        <v>719</v>
      </c>
      <c r="F64" t="s">
        <v>720</v>
      </c>
      <c r="G64">
        <v>25</v>
      </c>
      <c r="H64" t="s">
        <v>229</v>
      </c>
      <c r="I64" s="50">
        <v>45881.659062500003</v>
      </c>
      <c r="J64" s="50">
        <v>45881.659062500003</v>
      </c>
    </row>
    <row r="65" spans="1:10" x14ac:dyDescent="0.25">
      <c r="A65">
        <v>64</v>
      </c>
      <c r="B65" t="s">
        <v>721</v>
      </c>
      <c r="C65" t="s">
        <v>601</v>
      </c>
      <c r="D65" t="s">
        <v>722</v>
      </c>
      <c r="E65" t="s">
        <v>723</v>
      </c>
      <c r="F65" t="s">
        <v>724</v>
      </c>
      <c r="G65">
        <v>25</v>
      </c>
      <c r="H65" t="s">
        <v>229</v>
      </c>
      <c r="I65" s="50">
        <v>45881.659085648149</v>
      </c>
      <c r="J65" s="50">
        <v>45881.659085648149</v>
      </c>
    </row>
    <row r="66" spans="1:10" x14ac:dyDescent="0.25">
      <c r="A66">
        <v>65</v>
      </c>
      <c r="B66" t="s">
        <v>725</v>
      </c>
      <c r="C66" t="s">
        <v>693</v>
      </c>
      <c r="D66" t="s">
        <v>726</v>
      </c>
      <c r="E66" t="s">
        <v>727</v>
      </c>
      <c r="F66" t="s">
        <v>728</v>
      </c>
      <c r="G66">
        <v>26</v>
      </c>
      <c r="H66" t="s">
        <v>236</v>
      </c>
      <c r="I66" s="50">
        <v>45881.659108796295</v>
      </c>
      <c r="J66" s="50">
        <v>45881.659108796295</v>
      </c>
    </row>
    <row r="67" spans="1:10" x14ac:dyDescent="0.25">
      <c r="A67">
        <v>66</v>
      </c>
      <c r="B67" t="s">
        <v>729</v>
      </c>
      <c r="C67" t="s">
        <v>563</v>
      </c>
      <c r="D67" t="s">
        <v>730</v>
      </c>
      <c r="E67" t="s">
        <v>731</v>
      </c>
      <c r="F67" t="s">
        <v>732</v>
      </c>
      <c r="G67">
        <v>26</v>
      </c>
      <c r="H67" t="s">
        <v>236</v>
      </c>
      <c r="I67" s="50">
        <v>45881.659131944441</v>
      </c>
      <c r="J67" s="50">
        <v>45881.659131944441</v>
      </c>
    </row>
    <row r="68" spans="1:10" x14ac:dyDescent="0.25">
      <c r="A68">
        <v>67</v>
      </c>
      <c r="B68" t="s">
        <v>733</v>
      </c>
      <c r="C68" t="s">
        <v>271</v>
      </c>
      <c r="D68" t="s">
        <v>734</v>
      </c>
      <c r="E68" t="s">
        <v>735</v>
      </c>
      <c r="F68" t="s">
        <v>736</v>
      </c>
      <c r="G68">
        <v>27</v>
      </c>
      <c r="H68" t="s">
        <v>243</v>
      </c>
      <c r="I68" s="50">
        <v>45881.659155092595</v>
      </c>
      <c r="J68" s="50">
        <v>45881.659155092595</v>
      </c>
    </row>
    <row r="69" spans="1:10" x14ac:dyDescent="0.25">
      <c r="A69">
        <v>68</v>
      </c>
      <c r="B69" t="s">
        <v>737</v>
      </c>
      <c r="C69" t="s">
        <v>537</v>
      </c>
      <c r="D69" t="s">
        <v>738</v>
      </c>
      <c r="E69" t="s">
        <v>739</v>
      </c>
      <c r="F69" t="s">
        <v>740</v>
      </c>
      <c r="G69">
        <v>27</v>
      </c>
      <c r="H69" t="s">
        <v>243</v>
      </c>
      <c r="I69" s="50">
        <v>45881.659178240741</v>
      </c>
      <c r="J69" s="50">
        <v>45881.659178240741</v>
      </c>
    </row>
    <row r="70" spans="1:10" x14ac:dyDescent="0.25">
      <c r="A70">
        <v>69</v>
      </c>
      <c r="B70" t="s">
        <v>741</v>
      </c>
      <c r="C70" t="s">
        <v>499</v>
      </c>
      <c r="D70" t="s">
        <v>742</v>
      </c>
      <c r="E70" t="s">
        <v>743</v>
      </c>
      <c r="F70" t="s">
        <v>744</v>
      </c>
      <c r="G70">
        <v>28</v>
      </c>
      <c r="H70" t="s">
        <v>251</v>
      </c>
      <c r="I70" s="50">
        <v>45881.659189814818</v>
      </c>
      <c r="J70" s="50">
        <v>45881.659189814818</v>
      </c>
    </row>
    <row r="71" spans="1:10" x14ac:dyDescent="0.25">
      <c r="A71">
        <v>70</v>
      </c>
      <c r="B71" t="s">
        <v>745</v>
      </c>
      <c r="C71" t="s">
        <v>746</v>
      </c>
      <c r="D71" t="s">
        <v>747</v>
      </c>
      <c r="E71" t="s">
        <v>748</v>
      </c>
      <c r="F71" t="s">
        <v>749</v>
      </c>
      <c r="G71">
        <v>28</v>
      </c>
      <c r="H71" t="s">
        <v>251</v>
      </c>
      <c r="I71" s="50">
        <v>45881.659212962964</v>
      </c>
      <c r="J71" s="50">
        <v>45881.659212962964</v>
      </c>
    </row>
    <row r="72" spans="1:10" x14ac:dyDescent="0.25">
      <c r="A72">
        <v>71</v>
      </c>
      <c r="B72" t="s">
        <v>750</v>
      </c>
      <c r="C72" t="s">
        <v>746</v>
      </c>
      <c r="D72" t="s">
        <v>751</v>
      </c>
      <c r="E72" t="s">
        <v>752</v>
      </c>
      <c r="F72" t="s">
        <v>753</v>
      </c>
      <c r="G72">
        <v>29</v>
      </c>
      <c r="H72" t="s">
        <v>259</v>
      </c>
      <c r="I72" s="50">
        <v>45881.659236111111</v>
      </c>
      <c r="J72" s="50">
        <v>45881.659236111111</v>
      </c>
    </row>
    <row r="73" spans="1:10" x14ac:dyDescent="0.25">
      <c r="A73">
        <v>72</v>
      </c>
      <c r="B73" t="s">
        <v>754</v>
      </c>
      <c r="C73" t="s">
        <v>668</v>
      </c>
      <c r="D73" t="s">
        <v>755</v>
      </c>
      <c r="E73" t="s">
        <v>756</v>
      </c>
      <c r="F73" t="s">
        <v>757</v>
      </c>
      <c r="G73">
        <v>29</v>
      </c>
      <c r="H73" t="s">
        <v>259</v>
      </c>
      <c r="I73" s="50">
        <v>45881.659259259257</v>
      </c>
      <c r="J73" s="50">
        <v>45881.659259259257</v>
      </c>
    </row>
    <row r="74" spans="1:10" x14ac:dyDescent="0.25">
      <c r="A74">
        <v>73</v>
      </c>
      <c r="B74" t="s">
        <v>758</v>
      </c>
      <c r="C74" t="s">
        <v>639</v>
      </c>
      <c r="D74" t="s">
        <v>759</v>
      </c>
      <c r="E74" t="s">
        <v>760</v>
      </c>
      <c r="F74" t="s">
        <v>761</v>
      </c>
      <c r="G74">
        <v>30</v>
      </c>
      <c r="H74" t="s">
        <v>266</v>
      </c>
      <c r="I74" s="50">
        <v>45881.659282407411</v>
      </c>
      <c r="J74" s="50">
        <v>45881.659282407411</v>
      </c>
    </row>
    <row r="75" spans="1:10" x14ac:dyDescent="0.25">
      <c r="A75">
        <v>74</v>
      </c>
      <c r="B75" t="s">
        <v>762</v>
      </c>
      <c r="C75" t="s">
        <v>601</v>
      </c>
      <c r="D75" t="s">
        <v>763</v>
      </c>
      <c r="E75" t="s">
        <v>764</v>
      </c>
      <c r="F75" t="s">
        <v>765</v>
      </c>
      <c r="G75">
        <v>30</v>
      </c>
      <c r="H75" t="s">
        <v>266</v>
      </c>
      <c r="I75" s="50">
        <v>45881.659305555557</v>
      </c>
      <c r="J75" s="50">
        <v>45881.659305555557</v>
      </c>
    </row>
    <row r="76" spans="1:10" x14ac:dyDescent="0.25">
      <c r="A76">
        <v>75</v>
      </c>
      <c r="B76" t="s">
        <v>766</v>
      </c>
      <c r="C76" t="s">
        <v>537</v>
      </c>
      <c r="D76" t="s">
        <v>767</v>
      </c>
      <c r="E76" t="s">
        <v>768</v>
      </c>
      <c r="F76" t="s">
        <v>769</v>
      </c>
      <c r="G76">
        <v>30</v>
      </c>
      <c r="H76" t="s">
        <v>266</v>
      </c>
      <c r="I76" s="50">
        <v>45881.659328703703</v>
      </c>
      <c r="J76" s="50">
        <v>45881.659328703703</v>
      </c>
    </row>
  </sheetData>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607B90-E8CD-462F-8774-5D971542E7E8}">
  <sheetPr>
    <tabColor rgb="FF660000"/>
  </sheetPr>
  <dimension ref="A1:I101"/>
  <sheetViews>
    <sheetView workbookViewId="0"/>
  </sheetViews>
  <sheetFormatPr defaultRowHeight="15" x14ac:dyDescent="0.25"/>
  <cols>
    <col min="1" max="1" width="5" bestFit="1" customWidth="1"/>
    <col min="2" max="2" width="26.5703125" bestFit="1" customWidth="1"/>
    <col min="3" max="3" width="24.42578125" bestFit="1" customWidth="1"/>
    <col min="4" max="4" width="17.140625" bestFit="1" customWidth="1"/>
    <col min="5" max="5" width="18.5703125" bestFit="1" customWidth="1"/>
    <col min="6" max="6" width="16.7109375" bestFit="1" customWidth="1"/>
    <col min="7" max="7" width="32.28515625" bestFit="1" customWidth="1"/>
    <col min="8" max="9" width="14.5703125" bestFit="1" customWidth="1"/>
  </cols>
  <sheetData>
    <row r="1" spans="1:9" x14ac:dyDescent="0.25">
      <c r="A1" t="s">
        <v>0</v>
      </c>
      <c r="B1" t="s">
        <v>411</v>
      </c>
      <c r="C1" t="s">
        <v>412</v>
      </c>
      <c r="D1" t="s">
        <v>413</v>
      </c>
      <c r="E1" t="s">
        <v>414</v>
      </c>
      <c r="F1" t="s">
        <v>415</v>
      </c>
      <c r="G1" t="s">
        <v>416</v>
      </c>
      <c r="H1" t="s">
        <v>2</v>
      </c>
      <c r="I1" t="s">
        <v>1</v>
      </c>
    </row>
    <row r="2" spans="1:9" x14ac:dyDescent="0.25">
      <c r="A2">
        <v>1</v>
      </c>
      <c r="B2" t="s">
        <v>417</v>
      </c>
      <c r="C2" t="s">
        <v>418</v>
      </c>
      <c r="D2" s="50">
        <v>46157.659375000003</v>
      </c>
      <c r="E2" t="s">
        <v>419</v>
      </c>
      <c r="F2">
        <v>1</v>
      </c>
      <c r="G2" t="s">
        <v>91</v>
      </c>
      <c r="H2" s="50">
        <v>45881.660324074073</v>
      </c>
      <c r="I2" s="50">
        <v>45881.660324074073</v>
      </c>
    </row>
    <row r="3" spans="1:9" x14ac:dyDescent="0.25">
      <c r="A3">
        <v>2</v>
      </c>
      <c r="B3" t="s">
        <v>420</v>
      </c>
      <c r="C3" t="s">
        <v>98</v>
      </c>
      <c r="D3" s="50">
        <v>46150.659375000003</v>
      </c>
      <c r="E3" t="s">
        <v>421</v>
      </c>
      <c r="F3">
        <v>1</v>
      </c>
      <c r="G3" t="s">
        <v>91</v>
      </c>
      <c r="H3" s="50">
        <v>45881.66034722222</v>
      </c>
      <c r="I3" s="50">
        <v>45881.66034722222</v>
      </c>
    </row>
    <row r="4" spans="1:9" x14ac:dyDescent="0.25">
      <c r="A4">
        <v>3</v>
      </c>
      <c r="B4" t="s">
        <v>422</v>
      </c>
      <c r="C4" t="s">
        <v>166</v>
      </c>
      <c r="D4" s="50">
        <v>46143.659375000003</v>
      </c>
      <c r="E4" t="s">
        <v>423</v>
      </c>
      <c r="F4">
        <v>1</v>
      </c>
      <c r="G4" t="s">
        <v>91</v>
      </c>
      <c r="H4" s="50">
        <v>45881.660370370373</v>
      </c>
      <c r="I4" s="50">
        <v>45881.660370370373</v>
      </c>
    </row>
    <row r="5" spans="1:9" x14ac:dyDescent="0.25">
      <c r="A5">
        <v>4</v>
      </c>
      <c r="B5" t="s">
        <v>424</v>
      </c>
      <c r="C5" t="s">
        <v>101</v>
      </c>
      <c r="D5" s="50">
        <v>46136.659375000003</v>
      </c>
      <c r="E5" t="s">
        <v>423</v>
      </c>
      <c r="F5">
        <v>1</v>
      </c>
      <c r="G5" t="s">
        <v>91</v>
      </c>
      <c r="H5" s="50">
        <v>45881.660393518519</v>
      </c>
      <c r="I5" s="50">
        <v>45881.660393518519</v>
      </c>
    </row>
    <row r="6" spans="1:9" x14ac:dyDescent="0.25">
      <c r="A6">
        <v>5</v>
      </c>
      <c r="B6" t="s">
        <v>425</v>
      </c>
      <c r="C6" t="s">
        <v>157</v>
      </c>
      <c r="D6" s="50">
        <v>45975.659398148149</v>
      </c>
      <c r="E6" t="s">
        <v>421</v>
      </c>
      <c r="F6">
        <v>2</v>
      </c>
      <c r="G6" t="s">
        <v>94</v>
      </c>
      <c r="H6" s="50">
        <v>45881.660416666666</v>
      </c>
      <c r="I6" s="50">
        <v>45881.660416666666</v>
      </c>
    </row>
    <row r="7" spans="1:9" x14ac:dyDescent="0.25">
      <c r="A7">
        <v>6</v>
      </c>
      <c r="B7" t="s">
        <v>426</v>
      </c>
      <c r="C7" t="s">
        <v>145</v>
      </c>
      <c r="D7" s="50">
        <v>45965.659398148149</v>
      </c>
      <c r="E7" t="s">
        <v>421</v>
      </c>
      <c r="F7">
        <v>2</v>
      </c>
      <c r="G7" t="s">
        <v>94</v>
      </c>
      <c r="H7" s="50">
        <v>45881.660439814812</v>
      </c>
      <c r="I7" s="50">
        <v>45881.660439814812</v>
      </c>
    </row>
    <row r="8" spans="1:9" x14ac:dyDescent="0.25">
      <c r="A8">
        <v>7</v>
      </c>
      <c r="B8" t="s">
        <v>427</v>
      </c>
      <c r="C8" t="s">
        <v>273</v>
      </c>
      <c r="D8" s="50">
        <v>45955.701064814813</v>
      </c>
      <c r="E8" t="s">
        <v>423</v>
      </c>
      <c r="F8">
        <v>2</v>
      </c>
      <c r="G8" t="s">
        <v>94</v>
      </c>
      <c r="H8" s="50">
        <v>45881.660462962966</v>
      </c>
      <c r="I8" s="50">
        <v>45881.660462962966</v>
      </c>
    </row>
    <row r="9" spans="1:9" x14ac:dyDescent="0.25">
      <c r="A9">
        <v>8</v>
      </c>
      <c r="B9" t="s">
        <v>428</v>
      </c>
      <c r="C9" t="s">
        <v>429</v>
      </c>
      <c r="D9" s="50">
        <v>45945.701064814813</v>
      </c>
      <c r="E9" t="s">
        <v>423</v>
      </c>
      <c r="F9">
        <v>2</v>
      </c>
      <c r="G9" t="s">
        <v>94</v>
      </c>
      <c r="H9" s="50">
        <v>45881.660486111112</v>
      </c>
      <c r="I9" s="50">
        <v>45881.660486111112</v>
      </c>
    </row>
    <row r="10" spans="1:9" x14ac:dyDescent="0.25">
      <c r="A10">
        <v>9</v>
      </c>
      <c r="B10" t="s">
        <v>430</v>
      </c>
      <c r="C10" t="s">
        <v>98</v>
      </c>
      <c r="D10" s="50">
        <v>45935.701064814813</v>
      </c>
      <c r="E10" t="s">
        <v>423</v>
      </c>
      <c r="F10">
        <v>2</v>
      </c>
      <c r="G10" t="s">
        <v>94</v>
      </c>
      <c r="H10" s="50">
        <v>45881.660509259258</v>
      </c>
      <c r="I10" s="50">
        <v>45881.660509259258</v>
      </c>
    </row>
    <row r="11" spans="1:9" x14ac:dyDescent="0.25">
      <c r="A11">
        <v>10</v>
      </c>
      <c r="B11" t="s">
        <v>425</v>
      </c>
      <c r="C11" t="s">
        <v>98</v>
      </c>
      <c r="D11" s="50">
        <v>45918.659421296295</v>
      </c>
      <c r="E11" t="s">
        <v>421</v>
      </c>
      <c r="F11">
        <v>3</v>
      </c>
      <c r="G11" t="s">
        <v>97</v>
      </c>
      <c r="H11" s="50">
        <v>45881.660532407404</v>
      </c>
      <c r="I11" s="50">
        <v>45881.660532407404</v>
      </c>
    </row>
    <row r="12" spans="1:9" x14ac:dyDescent="0.25">
      <c r="A12">
        <v>11</v>
      </c>
      <c r="B12" t="s">
        <v>426</v>
      </c>
      <c r="C12" t="s">
        <v>150</v>
      </c>
      <c r="D12" s="50">
        <v>45908.659421296295</v>
      </c>
      <c r="E12" t="s">
        <v>421</v>
      </c>
      <c r="F12">
        <v>3</v>
      </c>
      <c r="G12" t="s">
        <v>97</v>
      </c>
      <c r="H12" s="50">
        <v>45881.660555555558</v>
      </c>
      <c r="I12" s="50">
        <v>45881.660555555558</v>
      </c>
    </row>
    <row r="13" spans="1:9" x14ac:dyDescent="0.25">
      <c r="A13">
        <v>12</v>
      </c>
      <c r="B13" t="s">
        <v>427</v>
      </c>
      <c r="C13" t="s">
        <v>98</v>
      </c>
      <c r="D13" s="50">
        <v>45898.659421296295</v>
      </c>
      <c r="E13" t="s">
        <v>423</v>
      </c>
      <c r="F13">
        <v>3</v>
      </c>
      <c r="G13" t="s">
        <v>97</v>
      </c>
      <c r="H13" s="50">
        <v>45881.660578703704</v>
      </c>
      <c r="I13" s="50">
        <v>45881.660578703704</v>
      </c>
    </row>
    <row r="14" spans="1:9" x14ac:dyDescent="0.25">
      <c r="A14">
        <v>13</v>
      </c>
      <c r="B14" t="s">
        <v>428</v>
      </c>
      <c r="C14" t="s">
        <v>92</v>
      </c>
      <c r="D14" s="50">
        <v>45888.659421296295</v>
      </c>
      <c r="E14" t="s">
        <v>423</v>
      </c>
      <c r="F14">
        <v>3</v>
      </c>
      <c r="G14" t="s">
        <v>97</v>
      </c>
      <c r="H14" s="50">
        <v>45881.660601851851</v>
      </c>
      <c r="I14" s="50">
        <v>45881.660601851851</v>
      </c>
    </row>
    <row r="15" spans="1:9" x14ac:dyDescent="0.25">
      <c r="A15">
        <v>14</v>
      </c>
      <c r="B15" t="s">
        <v>430</v>
      </c>
      <c r="C15" t="s">
        <v>431</v>
      </c>
      <c r="D15" s="50">
        <v>45903.660590277781</v>
      </c>
      <c r="E15" t="s">
        <v>423</v>
      </c>
      <c r="F15">
        <v>3</v>
      </c>
      <c r="G15" t="s">
        <v>97</v>
      </c>
      <c r="H15" s="50">
        <v>45881.660624999997</v>
      </c>
      <c r="I15" s="50">
        <v>45881.660624999997</v>
      </c>
    </row>
    <row r="16" spans="1:9" x14ac:dyDescent="0.25">
      <c r="A16">
        <v>15</v>
      </c>
      <c r="B16" t="s">
        <v>432</v>
      </c>
      <c r="C16" t="s">
        <v>393</v>
      </c>
      <c r="D16" s="50">
        <v>46009.659432870372</v>
      </c>
      <c r="E16" t="s">
        <v>419</v>
      </c>
      <c r="F16">
        <v>4</v>
      </c>
      <c r="G16" t="s">
        <v>100</v>
      </c>
      <c r="H16" s="50">
        <v>45881.66064814815</v>
      </c>
      <c r="I16" s="50">
        <v>45881.66064814815</v>
      </c>
    </row>
    <row r="17" spans="1:9" x14ac:dyDescent="0.25">
      <c r="A17">
        <v>16</v>
      </c>
      <c r="B17" t="s">
        <v>433</v>
      </c>
      <c r="C17" t="s">
        <v>92</v>
      </c>
      <c r="D17" s="50">
        <v>46002.659432870372</v>
      </c>
      <c r="E17" t="s">
        <v>421</v>
      </c>
      <c r="F17">
        <v>4</v>
      </c>
      <c r="G17" t="s">
        <v>100</v>
      </c>
      <c r="H17" s="50">
        <v>45881.660671296297</v>
      </c>
      <c r="I17" s="50">
        <v>45881.660671296297</v>
      </c>
    </row>
    <row r="18" spans="1:9" x14ac:dyDescent="0.25">
      <c r="A18">
        <v>17</v>
      </c>
      <c r="B18" t="s">
        <v>434</v>
      </c>
      <c r="C18" t="s">
        <v>101</v>
      </c>
      <c r="D18" s="50">
        <v>45995.659432870372</v>
      </c>
      <c r="E18" t="s">
        <v>423</v>
      </c>
      <c r="F18">
        <v>4</v>
      </c>
      <c r="G18" t="s">
        <v>100</v>
      </c>
      <c r="H18" s="50">
        <v>45881.660694444443</v>
      </c>
      <c r="I18" s="50">
        <v>45881.660694444443</v>
      </c>
    </row>
    <row r="19" spans="1:9" x14ac:dyDescent="0.25">
      <c r="A19">
        <v>18</v>
      </c>
      <c r="B19" t="s">
        <v>435</v>
      </c>
      <c r="C19" t="s">
        <v>273</v>
      </c>
      <c r="D19" s="50">
        <v>45979.659432870372</v>
      </c>
      <c r="E19" t="s">
        <v>423</v>
      </c>
      <c r="F19">
        <v>4</v>
      </c>
      <c r="G19" t="s">
        <v>100</v>
      </c>
      <c r="H19" s="50">
        <v>45881.660717592589</v>
      </c>
      <c r="I19" s="50">
        <v>45881.660717592589</v>
      </c>
    </row>
    <row r="20" spans="1:9" x14ac:dyDescent="0.25">
      <c r="A20">
        <v>19</v>
      </c>
      <c r="B20" t="s">
        <v>436</v>
      </c>
      <c r="C20" t="s">
        <v>437</v>
      </c>
      <c r="D20" s="50">
        <v>46352.659467592595</v>
      </c>
      <c r="E20" t="s">
        <v>419</v>
      </c>
      <c r="F20">
        <v>5</v>
      </c>
      <c r="G20" t="s">
        <v>103</v>
      </c>
      <c r="H20" s="50">
        <v>45881.660729166666</v>
      </c>
      <c r="I20" s="50">
        <v>45881.660729166666</v>
      </c>
    </row>
    <row r="21" spans="1:9" x14ac:dyDescent="0.25">
      <c r="A21">
        <v>20</v>
      </c>
      <c r="B21" t="s">
        <v>438</v>
      </c>
      <c r="C21" t="s">
        <v>95</v>
      </c>
      <c r="D21" s="50">
        <v>46345.659467592595</v>
      </c>
      <c r="E21" t="s">
        <v>421</v>
      </c>
      <c r="F21">
        <v>5</v>
      </c>
      <c r="G21" t="s">
        <v>103</v>
      </c>
      <c r="H21" s="50">
        <v>45881.660752314812</v>
      </c>
      <c r="I21" s="50">
        <v>45881.660752314812</v>
      </c>
    </row>
    <row r="22" spans="1:9" x14ac:dyDescent="0.25">
      <c r="A22">
        <v>21</v>
      </c>
      <c r="B22" t="s">
        <v>439</v>
      </c>
      <c r="C22" t="s">
        <v>431</v>
      </c>
      <c r="D22" s="50">
        <v>46338.659467592595</v>
      </c>
      <c r="E22" t="s">
        <v>421</v>
      </c>
      <c r="F22">
        <v>5</v>
      </c>
      <c r="G22" t="s">
        <v>103</v>
      </c>
      <c r="H22" s="50">
        <v>45881.660775462966</v>
      </c>
      <c r="I22" s="50">
        <v>45881.660775462966</v>
      </c>
    </row>
    <row r="23" spans="1:9" x14ac:dyDescent="0.25">
      <c r="A23">
        <v>22</v>
      </c>
      <c r="B23" t="s">
        <v>440</v>
      </c>
      <c r="C23" t="s">
        <v>418</v>
      </c>
      <c r="D23" s="50">
        <v>46331.659467592595</v>
      </c>
      <c r="E23" t="s">
        <v>423</v>
      </c>
      <c r="F23">
        <v>5</v>
      </c>
      <c r="G23" t="s">
        <v>103</v>
      </c>
      <c r="H23" s="50">
        <v>45881.660798611112</v>
      </c>
      <c r="I23" s="50">
        <v>45881.660798611112</v>
      </c>
    </row>
    <row r="24" spans="1:9" x14ac:dyDescent="0.25">
      <c r="A24">
        <v>23</v>
      </c>
      <c r="B24" t="s">
        <v>146</v>
      </c>
      <c r="C24" t="s">
        <v>429</v>
      </c>
      <c r="D24" s="50">
        <v>46324.70113425926</v>
      </c>
      <c r="E24" t="s">
        <v>423</v>
      </c>
      <c r="F24">
        <v>5</v>
      </c>
      <c r="G24" t="s">
        <v>103</v>
      </c>
      <c r="H24" s="50">
        <v>45881.660821759258</v>
      </c>
      <c r="I24" s="50">
        <v>45881.660821759258</v>
      </c>
    </row>
    <row r="25" spans="1:9" x14ac:dyDescent="0.25">
      <c r="A25">
        <v>24</v>
      </c>
      <c r="B25" t="s">
        <v>441</v>
      </c>
      <c r="C25" t="s">
        <v>92</v>
      </c>
      <c r="D25" s="50">
        <v>46140.659490740742</v>
      </c>
      <c r="E25" t="s">
        <v>419</v>
      </c>
      <c r="F25">
        <v>6</v>
      </c>
      <c r="G25" t="s">
        <v>147</v>
      </c>
      <c r="H25" s="50">
        <v>45881.660844907405</v>
      </c>
      <c r="I25" s="50">
        <v>45881.660844907405</v>
      </c>
    </row>
    <row r="26" spans="1:9" x14ac:dyDescent="0.25">
      <c r="A26">
        <v>25</v>
      </c>
      <c r="B26" t="s">
        <v>442</v>
      </c>
      <c r="C26" t="s">
        <v>98</v>
      </c>
      <c r="D26" s="50">
        <v>46110.659490740742</v>
      </c>
      <c r="E26" t="s">
        <v>421</v>
      </c>
      <c r="F26">
        <v>6</v>
      </c>
      <c r="G26" t="s">
        <v>147</v>
      </c>
      <c r="H26" s="50">
        <v>45881.660879629628</v>
      </c>
      <c r="I26" s="50">
        <v>45881.660879629628</v>
      </c>
    </row>
    <row r="27" spans="1:9" x14ac:dyDescent="0.25">
      <c r="A27">
        <v>26</v>
      </c>
      <c r="B27" t="s">
        <v>443</v>
      </c>
      <c r="C27" t="s">
        <v>95</v>
      </c>
      <c r="D27" s="50">
        <v>46080.617824074077</v>
      </c>
      <c r="E27" t="s">
        <v>423</v>
      </c>
      <c r="F27">
        <v>6</v>
      </c>
      <c r="G27" t="s">
        <v>147</v>
      </c>
      <c r="H27" s="50">
        <v>45881.660902777781</v>
      </c>
      <c r="I27" s="50">
        <v>45881.660902777781</v>
      </c>
    </row>
    <row r="28" spans="1:9" x14ac:dyDescent="0.25">
      <c r="A28">
        <v>27</v>
      </c>
      <c r="B28" t="s">
        <v>444</v>
      </c>
      <c r="C28" t="s">
        <v>157</v>
      </c>
      <c r="D28" s="50">
        <v>46050.617824074077</v>
      </c>
      <c r="E28" t="s">
        <v>423</v>
      </c>
      <c r="F28">
        <v>6</v>
      </c>
      <c r="G28" t="s">
        <v>147</v>
      </c>
      <c r="H28" s="50">
        <v>45881.660925925928</v>
      </c>
      <c r="I28" s="50">
        <v>45881.660925925928</v>
      </c>
    </row>
    <row r="29" spans="1:9" x14ac:dyDescent="0.25">
      <c r="A29">
        <v>28</v>
      </c>
      <c r="B29" t="s">
        <v>445</v>
      </c>
      <c r="C29" t="s">
        <v>157</v>
      </c>
      <c r="D29" s="50">
        <v>46040.617824074077</v>
      </c>
      <c r="E29" t="s">
        <v>423</v>
      </c>
      <c r="F29">
        <v>6</v>
      </c>
      <c r="G29" t="s">
        <v>147</v>
      </c>
      <c r="H29" s="50">
        <v>45881.660949074074</v>
      </c>
      <c r="I29" s="50">
        <v>45881.660949074074</v>
      </c>
    </row>
    <row r="30" spans="1:9" x14ac:dyDescent="0.25">
      <c r="A30">
        <v>29</v>
      </c>
      <c r="B30" t="s">
        <v>441</v>
      </c>
      <c r="C30" t="s">
        <v>429</v>
      </c>
      <c r="D30" s="50">
        <v>46330.659513888888</v>
      </c>
      <c r="E30" t="s">
        <v>419</v>
      </c>
      <c r="F30">
        <v>7</v>
      </c>
      <c r="G30" t="s">
        <v>149</v>
      </c>
      <c r="H30" s="50">
        <v>45881.660960648151</v>
      </c>
      <c r="I30" s="50">
        <v>45881.660960648151</v>
      </c>
    </row>
    <row r="31" spans="1:9" x14ac:dyDescent="0.25">
      <c r="A31">
        <v>30</v>
      </c>
      <c r="B31" t="s">
        <v>442</v>
      </c>
      <c r="C31" t="s">
        <v>98</v>
      </c>
      <c r="D31" s="50">
        <v>46300.701180555552</v>
      </c>
      <c r="E31" t="s">
        <v>421</v>
      </c>
      <c r="F31">
        <v>7</v>
      </c>
      <c r="G31" t="s">
        <v>149</v>
      </c>
      <c r="H31" s="50">
        <v>45881.660983796297</v>
      </c>
      <c r="I31" s="50">
        <v>45881.660983796297</v>
      </c>
    </row>
    <row r="32" spans="1:9" x14ac:dyDescent="0.25">
      <c r="A32">
        <v>31</v>
      </c>
      <c r="B32" t="s">
        <v>443</v>
      </c>
      <c r="C32" t="s">
        <v>92</v>
      </c>
      <c r="D32" s="50">
        <v>46270.701180555552</v>
      </c>
      <c r="E32" t="s">
        <v>423</v>
      </c>
      <c r="F32">
        <v>7</v>
      </c>
      <c r="G32" t="s">
        <v>149</v>
      </c>
      <c r="H32" s="50">
        <v>45881.661006944443</v>
      </c>
      <c r="I32" s="50">
        <v>45881.661006944443</v>
      </c>
    </row>
    <row r="33" spans="1:9" x14ac:dyDescent="0.25">
      <c r="A33">
        <v>32</v>
      </c>
      <c r="B33" t="s">
        <v>444</v>
      </c>
      <c r="C33" t="s">
        <v>101</v>
      </c>
      <c r="D33" s="50">
        <v>46240.701180555552</v>
      </c>
      <c r="E33" t="s">
        <v>423</v>
      </c>
      <c r="F33">
        <v>7</v>
      </c>
      <c r="G33" t="s">
        <v>149</v>
      </c>
      <c r="H33" s="50">
        <v>45881.661030092589</v>
      </c>
      <c r="I33" s="50">
        <v>45881.661030092589</v>
      </c>
    </row>
    <row r="34" spans="1:9" x14ac:dyDescent="0.25">
      <c r="A34">
        <v>33</v>
      </c>
      <c r="B34" t="s">
        <v>445</v>
      </c>
      <c r="C34" t="s">
        <v>157</v>
      </c>
      <c r="D34" s="50">
        <v>46230.701180555552</v>
      </c>
      <c r="E34" t="s">
        <v>423</v>
      </c>
      <c r="F34">
        <v>7</v>
      </c>
      <c r="G34" t="s">
        <v>149</v>
      </c>
      <c r="H34" s="50">
        <v>45881.661053240743</v>
      </c>
      <c r="I34" s="50">
        <v>45881.661053240743</v>
      </c>
    </row>
    <row r="35" spans="1:9" x14ac:dyDescent="0.25">
      <c r="A35">
        <v>34</v>
      </c>
      <c r="B35" t="s">
        <v>432</v>
      </c>
      <c r="C35" t="s">
        <v>98</v>
      </c>
      <c r="D35" s="50">
        <v>45937.659537037034</v>
      </c>
      <c r="E35" t="s">
        <v>419</v>
      </c>
      <c r="F35">
        <v>8</v>
      </c>
      <c r="G35" t="s">
        <v>152</v>
      </c>
      <c r="H35" s="50">
        <v>45881.661076388889</v>
      </c>
      <c r="I35" s="50">
        <v>45881.661076388889</v>
      </c>
    </row>
    <row r="36" spans="1:9" x14ac:dyDescent="0.25">
      <c r="A36">
        <v>35</v>
      </c>
      <c r="B36" t="s">
        <v>433</v>
      </c>
      <c r="C36" t="s">
        <v>166</v>
      </c>
      <c r="D36" s="50">
        <v>45930.659537037034</v>
      </c>
      <c r="E36" t="s">
        <v>421</v>
      </c>
      <c r="F36">
        <v>8</v>
      </c>
      <c r="G36" t="s">
        <v>152</v>
      </c>
      <c r="H36" s="50">
        <v>45881.661111111112</v>
      </c>
      <c r="I36" s="50">
        <v>45881.661111111112</v>
      </c>
    </row>
    <row r="37" spans="1:9" x14ac:dyDescent="0.25">
      <c r="A37">
        <v>36</v>
      </c>
      <c r="B37" t="s">
        <v>434</v>
      </c>
      <c r="C37" t="s">
        <v>437</v>
      </c>
      <c r="D37" s="50">
        <v>45923.659537037034</v>
      </c>
      <c r="E37" t="s">
        <v>423</v>
      </c>
      <c r="F37">
        <v>8</v>
      </c>
      <c r="G37" t="s">
        <v>152</v>
      </c>
      <c r="H37" s="50">
        <v>45881.661134259259</v>
      </c>
      <c r="I37" s="50">
        <v>45881.661134259259</v>
      </c>
    </row>
    <row r="38" spans="1:9" x14ac:dyDescent="0.25">
      <c r="A38">
        <v>37</v>
      </c>
      <c r="B38" t="s">
        <v>435</v>
      </c>
      <c r="C38" t="s">
        <v>418</v>
      </c>
      <c r="D38" s="50">
        <v>45907.659537037034</v>
      </c>
      <c r="E38" t="s">
        <v>423</v>
      </c>
      <c r="F38">
        <v>8</v>
      </c>
      <c r="G38" t="s">
        <v>152</v>
      </c>
      <c r="H38" s="50">
        <v>45881.661157407405</v>
      </c>
      <c r="I38" s="50">
        <v>45881.661157407405</v>
      </c>
    </row>
    <row r="39" spans="1:9" x14ac:dyDescent="0.25">
      <c r="A39">
        <v>38</v>
      </c>
      <c r="B39" t="s">
        <v>417</v>
      </c>
      <c r="C39" t="s">
        <v>95</v>
      </c>
      <c r="D39" s="50">
        <v>46139.659560185188</v>
      </c>
      <c r="E39" t="s">
        <v>419</v>
      </c>
      <c r="F39">
        <v>9</v>
      </c>
      <c r="G39" t="s">
        <v>154</v>
      </c>
      <c r="H39" s="50">
        <v>45881.661180555559</v>
      </c>
      <c r="I39" s="50">
        <v>45881.661180555559</v>
      </c>
    </row>
    <row r="40" spans="1:9" x14ac:dyDescent="0.25">
      <c r="A40">
        <v>39</v>
      </c>
      <c r="B40" t="s">
        <v>420</v>
      </c>
      <c r="C40" t="s">
        <v>437</v>
      </c>
      <c r="D40" s="50">
        <v>46132.659560185188</v>
      </c>
      <c r="E40" t="s">
        <v>421</v>
      </c>
      <c r="F40">
        <v>9</v>
      </c>
      <c r="G40" t="s">
        <v>154</v>
      </c>
      <c r="H40" s="50">
        <v>45881.661203703705</v>
      </c>
      <c r="I40" s="50">
        <v>45881.661203703705</v>
      </c>
    </row>
    <row r="41" spans="1:9" x14ac:dyDescent="0.25">
      <c r="A41">
        <v>40</v>
      </c>
      <c r="B41" t="s">
        <v>422</v>
      </c>
      <c r="C41" t="s">
        <v>166</v>
      </c>
      <c r="D41" s="50">
        <v>46125.659560185188</v>
      </c>
      <c r="E41" t="s">
        <v>423</v>
      </c>
      <c r="F41">
        <v>9</v>
      </c>
      <c r="G41" t="s">
        <v>154</v>
      </c>
      <c r="H41" s="50">
        <v>45881.661226851851</v>
      </c>
      <c r="I41" s="50">
        <v>45881.661226851851</v>
      </c>
    </row>
    <row r="42" spans="1:9" x14ac:dyDescent="0.25">
      <c r="A42">
        <v>41</v>
      </c>
      <c r="B42" t="s">
        <v>424</v>
      </c>
      <c r="C42" t="s">
        <v>393</v>
      </c>
      <c r="D42" s="50">
        <v>46118.659560185188</v>
      </c>
      <c r="E42" t="s">
        <v>423</v>
      </c>
      <c r="F42">
        <v>9</v>
      </c>
      <c r="G42" t="s">
        <v>154</v>
      </c>
      <c r="H42" s="50">
        <v>45881.661238425928</v>
      </c>
      <c r="I42" s="50">
        <v>45881.661238425928</v>
      </c>
    </row>
    <row r="43" spans="1:9" x14ac:dyDescent="0.25">
      <c r="A43">
        <v>42</v>
      </c>
      <c r="B43" t="s">
        <v>446</v>
      </c>
      <c r="C43" t="s">
        <v>104</v>
      </c>
      <c r="D43" s="50">
        <v>46063.659571759257</v>
      </c>
      <c r="E43" t="s">
        <v>421</v>
      </c>
      <c r="F43">
        <v>10</v>
      </c>
      <c r="G43" t="s">
        <v>155</v>
      </c>
      <c r="H43" s="50">
        <v>45881.661261574074</v>
      </c>
      <c r="I43" s="50">
        <v>45881.661261574074</v>
      </c>
    </row>
    <row r="44" spans="1:9" x14ac:dyDescent="0.25">
      <c r="A44">
        <v>43</v>
      </c>
      <c r="B44" t="s">
        <v>447</v>
      </c>
      <c r="C44" t="s">
        <v>273</v>
      </c>
      <c r="D44" s="50">
        <v>46056.659571759257</v>
      </c>
      <c r="E44" t="s">
        <v>421</v>
      </c>
      <c r="F44">
        <v>10</v>
      </c>
      <c r="G44" t="s">
        <v>155</v>
      </c>
      <c r="H44" s="50">
        <v>45881.66128472222</v>
      </c>
      <c r="I44" s="50">
        <v>45881.66128472222</v>
      </c>
    </row>
    <row r="45" spans="1:9" x14ac:dyDescent="0.25">
      <c r="A45">
        <v>44</v>
      </c>
      <c r="B45" t="s">
        <v>448</v>
      </c>
      <c r="C45" t="s">
        <v>150</v>
      </c>
      <c r="D45" s="50">
        <v>46049.659571759257</v>
      </c>
      <c r="E45" t="s">
        <v>423</v>
      </c>
      <c r="F45">
        <v>10</v>
      </c>
      <c r="G45" t="s">
        <v>155</v>
      </c>
      <c r="H45" s="50">
        <v>45881.661307870374</v>
      </c>
      <c r="I45" s="50">
        <v>45881.661307870374</v>
      </c>
    </row>
    <row r="46" spans="1:9" x14ac:dyDescent="0.25">
      <c r="A46">
        <v>45</v>
      </c>
      <c r="B46" t="s">
        <v>449</v>
      </c>
      <c r="C46" t="s">
        <v>95</v>
      </c>
      <c r="D46" s="50">
        <v>46042.659571759257</v>
      </c>
      <c r="E46" t="s">
        <v>423</v>
      </c>
      <c r="F46">
        <v>10</v>
      </c>
      <c r="G46" t="s">
        <v>155</v>
      </c>
      <c r="H46" s="50">
        <v>45881.66133101852</v>
      </c>
      <c r="I46" s="50">
        <v>45881.66133101852</v>
      </c>
    </row>
    <row r="47" spans="1:9" x14ac:dyDescent="0.25">
      <c r="A47">
        <v>46</v>
      </c>
      <c r="B47" t="s">
        <v>446</v>
      </c>
      <c r="C47" t="s">
        <v>95</v>
      </c>
      <c r="D47" s="50">
        <v>46318.659594907411</v>
      </c>
      <c r="E47" t="s">
        <v>421</v>
      </c>
      <c r="F47">
        <v>11</v>
      </c>
      <c r="G47" t="s">
        <v>156</v>
      </c>
      <c r="H47" s="50">
        <v>45881.661354166667</v>
      </c>
      <c r="I47" s="50">
        <v>45881.661354166667</v>
      </c>
    </row>
    <row r="48" spans="1:9" x14ac:dyDescent="0.25">
      <c r="A48">
        <v>47</v>
      </c>
      <c r="B48" t="s">
        <v>447</v>
      </c>
      <c r="C48" t="s">
        <v>95</v>
      </c>
      <c r="D48" s="50">
        <v>46311.659594907411</v>
      </c>
      <c r="E48" t="s">
        <v>421</v>
      </c>
      <c r="F48">
        <v>11</v>
      </c>
      <c r="G48" t="s">
        <v>156</v>
      </c>
      <c r="H48" s="50">
        <v>45881.661365740743</v>
      </c>
      <c r="I48" s="50">
        <v>45881.661365740743</v>
      </c>
    </row>
    <row r="49" spans="1:9" x14ac:dyDescent="0.25">
      <c r="A49">
        <v>48</v>
      </c>
      <c r="B49" t="s">
        <v>448</v>
      </c>
      <c r="C49" t="s">
        <v>393</v>
      </c>
      <c r="D49" s="50">
        <v>46304.659594907411</v>
      </c>
      <c r="E49" t="s">
        <v>423</v>
      </c>
      <c r="F49">
        <v>11</v>
      </c>
      <c r="G49" t="s">
        <v>156</v>
      </c>
      <c r="H49" s="50">
        <v>45881.66138888889</v>
      </c>
      <c r="I49" s="50">
        <v>45881.66138888889</v>
      </c>
    </row>
    <row r="50" spans="1:9" x14ac:dyDescent="0.25">
      <c r="A50">
        <v>49</v>
      </c>
      <c r="B50" t="s">
        <v>449</v>
      </c>
      <c r="C50" t="s">
        <v>437</v>
      </c>
      <c r="D50" s="50">
        <v>46297.659594907411</v>
      </c>
      <c r="E50" t="s">
        <v>423</v>
      </c>
      <c r="F50">
        <v>11</v>
      </c>
      <c r="G50" t="s">
        <v>156</v>
      </c>
      <c r="H50" s="50">
        <v>45881.661412037036</v>
      </c>
      <c r="I50" s="50">
        <v>45881.661412037036</v>
      </c>
    </row>
    <row r="51" spans="1:9" x14ac:dyDescent="0.25">
      <c r="A51">
        <v>50</v>
      </c>
      <c r="B51" t="s">
        <v>441</v>
      </c>
      <c r="C51" t="s">
        <v>150</v>
      </c>
      <c r="D51" s="50">
        <v>46226.659618055557</v>
      </c>
      <c r="E51" t="s">
        <v>419</v>
      </c>
      <c r="F51">
        <v>12</v>
      </c>
      <c r="G51" t="s">
        <v>158</v>
      </c>
      <c r="H51" s="50">
        <v>45881.661435185182</v>
      </c>
      <c r="I51" s="50">
        <v>45881.661435185182</v>
      </c>
    </row>
    <row r="52" spans="1:9" x14ac:dyDescent="0.25">
      <c r="A52">
        <v>51</v>
      </c>
      <c r="B52" t="s">
        <v>442</v>
      </c>
      <c r="C52" t="s">
        <v>104</v>
      </c>
      <c r="D52" s="50">
        <v>46196.659618055557</v>
      </c>
      <c r="E52" t="s">
        <v>421</v>
      </c>
      <c r="F52">
        <v>12</v>
      </c>
      <c r="G52" t="s">
        <v>158</v>
      </c>
      <c r="H52" s="50">
        <v>45881.661446759259</v>
      </c>
      <c r="I52" s="50">
        <v>45881.661446759259</v>
      </c>
    </row>
    <row r="53" spans="1:9" x14ac:dyDescent="0.25">
      <c r="A53">
        <v>52</v>
      </c>
      <c r="B53" t="s">
        <v>443</v>
      </c>
      <c r="C53" t="s">
        <v>273</v>
      </c>
      <c r="D53" s="50">
        <v>46166.659618055557</v>
      </c>
      <c r="E53" t="s">
        <v>423</v>
      </c>
      <c r="F53">
        <v>12</v>
      </c>
      <c r="G53" t="s">
        <v>158</v>
      </c>
      <c r="H53" s="50">
        <v>45881.661469907405</v>
      </c>
      <c r="I53" s="50">
        <v>45881.661469907405</v>
      </c>
    </row>
    <row r="54" spans="1:9" x14ac:dyDescent="0.25">
      <c r="A54">
        <v>53</v>
      </c>
      <c r="B54" t="s">
        <v>444</v>
      </c>
      <c r="C54" t="s">
        <v>431</v>
      </c>
      <c r="D54" s="50">
        <v>46136.659618055557</v>
      </c>
      <c r="E54" t="s">
        <v>423</v>
      </c>
      <c r="F54">
        <v>12</v>
      </c>
      <c r="G54" t="s">
        <v>158</v>
      </c>
      <c r="H54" s="50">
        <v>45881.661493055559</v>
      </c>
      <c r="I54" s="50">
        <v>45881.661493055559</v>
      </c>
    </row>
    <row r="55" spans="1:9" x14ac:dyDescent="0.25">
      <c r="A55">
        <v>54</v>
      </c>
      <c r="B55" t="s">
        <v>445</v>
      </c>
      <c r="C55" t="s">
        <v>418</v>
      </c>
      <c r="D55" s="50">
        <v>46126.659618055557</v>
      </c>
      <c r="E55" t="s">
        <v>423</v>
      </c>
      <c r="F55">
        <v>12</v>
      </c>
      <c r="G55" t="s">
        <v>158</v>
      </c>
      <c r="H55" s="50">
        <v>45881.661516203705</v>
      </c>
      <c r="I55" s="50">
        <v>45881.661516203705</v>
      </c>
    </row>
    <row r="56" spans="1:9" x14ac:dyDescent="0.25">
      <c r="A56">
        <v>55</v>
      </c>
      <c r="B56" t="s">
        <v>446</v>
      </c>
      <c r="C56" t="s">
        <v>101</v>
      </c>
      <c r="D56" s="50">
        <v>46246.659641203703</v>
      </c>
      <c r="E56" t="s">
        <v>421</v>
      </c>
      <c r="F56">
        <v>13</v>
      </c>
      <c r="G56" t="s">
        <v>160</v>
      </c>
      <c r="H56" s="50">
        <v>45881.661539351851</v>
      </c>
      <c r="I56" s="50">
        <v>45881.661539351851</v>
      </c>
    </row>
    <row r="57" spans="1:9" x14ac:dyDescent="0.25">
      <c r="A57">
        <v>56</v>
      </c>
      <c r="B57" t="s">
        <v>447</v>
      </c>
      <c r="C57" t="s">
        <v>92</v>
      </c>
      <c r="D57" s="50">
        <v>46239.659641203703</v>
      </c>
      <c r="E57" t="s">
        <v>421</v>
      </c>
      <c r="F57">
        <v>13</v>
      </c>
      <c r="G57" t="s">
        <v>160</v>
      </c>
      <c r="H57" s="50">
        <v>45881.661562499998</v>
      </c>
      <c r="I57" s="50">
        <v>45881.661562499998</v>
      </c>
    </row>
    <row r="58" spans="1:9" x14ac:dyDescent="0.25">
      <c r="A58">
        <v>57</v>
      </c>
      <c r="B58" t="s">
        <v>448</v>
      </c>
      <c r="C58" t="s">
        <v>166</v>
      </c>
      <c r="D58" s="50">
        <v>46232.659641203703</v>
      </c>
      <c r="E58" t="s">
        <v>423</v>
      </c>
      <c r="F58">
        <v>13</v>
      </c>
      <c r="G58" t="s">
        <v>160</v>
      </c>
      <c r="H58" s="50">
        <v>45881.661585648151</v>
      </c>
      <c r="I58" s="50">
        <v>45881.661585648151</v>
      </c>
    </row>
    <row r="59" spans="1:9" x14ac:dyDescent="0.25">
      <c r="A59">
        <v>58</v>
      </c>
      <c r="B59" t="s">
        <v>449</v>
      </c>
      <c r="C59" t="s">
        <v>104</v>
      </c>
      <c r="D59" s="50">
        <v>46225.659641203703</v>
      </c>
      <c r="E59" t="s">
        <v>423</v>
      </c>
      <c r="F59">
        <v>13</v>
      </c>
      <c r="G59" t="s">
        <v>160</v>
      </c>
      <c r="H59" s="50">
        <v>45881.661597222221</v>
      </c>
      <c r="I59" s="50">
        <v>45881.661597222221</v>
      </c>
    </row>
    <row r="60" spans="1:9" x14ac:dyDescent="0.25">
      <c r="A60">
        <v>59</v>
      </c>
      <c r="B60" t="s">
        <v>417</v>
      </c>
      <c r="C60" t="s">
        <v>145</v>
      </c>
      <c r="D60" s="50">
        <v>46204.65966435185</v>
      </c>
      <c r="E60" t="s">
        <v>419</v>
      </c>
      <c r="F60">
        <v>14</v>
      </c>
      <c r="G60" t="s">
        <v>161</v>
      </c>
      <c r="H60" s="50">
        <v>45881.661620370367</v>
      </c>
      <c r="I60" s="50">
        <v>45881.661620370367</v>
      </c>
    </row>
    <row r="61" spans="1:9" x14ac:dyDescent="0.25">
      <c r="A61">
        <v>60</v>
      </c>
      <c r="B61" t="s">
        <v>420</v>
      </c>
      <c r="C61" t="s">
        <v>157</v>
      </c>
      <c r="D61" s="50">
        <v>46197.65966435185</v>
      </c>
      <c r="E61" t="s">
        <v>421</v>
      </c>
      <c r="F61">
        <v>14</v>
      </c>
      <c r="G61" t="s">
        <v>161</v>
      </c>
      <c r="H61" s="50">
        <v>45881.661643518521</v>
      </c>
      <c r="I61" s="50">
        <v>45881.661643518521</v>
      </c>
    </row>
    <row r="62" spans="1:9" x14ac:dyDescent="0.25">
      <c r="A62">
        <v>61</v>
      </c>
      <c r="B62" t="s">
        <v>422</v>
      </c>
      <c r="C62" t="s">
        <v>418</v>
      </c>
      <c r="D62" s="50">
        <v>46190.65966435185</v>
      </c>
      <c r="E62" t="s">
        <v>423</v>
      </c>
      <c r="F62">
        <v>14</v>
      </c>
      <c r="G62" t="s">
        <v>161</v>
      </c>
      <c r="H62" s="50">
        <v>45881.661666666667</v>
      </c>
      <c r="I62" s="50">
        <v>45881.661666666667</v>
      </c>
    </row>
    <row r="63" spans="1:9" x14ac:dyDescent="0.25">
      <c r="A63">
        <v>62</v>
      </c>
      <c r="B63" t="s">
        <v>424</v>
      </c>
      <c r="C63" t="s">
        <v>95</v>
      </c>
      <c r="D63" s="50">
        <v>46183.65966435185</v>
      </c>
      <c r="E63" t="s">
        <v>423</v>
      </c>
      <c r="F63">
        <v>14</v>
      </c>
      <c r="G63" t="s">
        <v>161</v>
      </c>
      <c r="H63" s="50">
        <v>45881.661678240744</v>
      </c>
      <c r="I63" s="50">
        <v>45881.661678240744</v>
      </c>
    </row>
    <row r="64" spans="1:9" x14ac:dyDescent="0.25">
      <c r="A64">
        <v>63</v>
      </c>
      <c r="B64" t="s">
        <v>441</v>
      </c>
      <c r="C64" t="s">
        <v>92</v>
      </c>
      <c r="D64" s="50">
        <v>46377.659687500003</v>
      </c>
      <c r="E64" t="s">
        <v>419</v>
      </c>
      <c r="F64">
        <v>15</v>
      </c>
      <c r="G64" t="s">
        <v>162</v>
      </c>
      <c r="H64" s="50">
        <v>45881.66170138889</v>
      </c>
      <c r="I64" s="50">
        <v>45881.66170138889</v>
      </c>
    </row>
    <row r="65" spans="1:9" x14ac:dyDescent="0.25">
      <c r="A65">
        <v>64</v>
      </c>
      <c r="B65" t="s">
        <v>442</v>
      </c>
      <c r="C65" t="s">
        <v>95</v>
      </c>
      <c r="D65" s="50">
        <v>46347.659687500003</v>
      </c>
      <c r="E65" t="s">
        <v>421</v>
      </c>
      <c r="F65">
        <v>15</v>
      </c>
      <c r="G65" t="s">
        <v>162</v>
      </c>
      <c r="H65" s="50">
        <v>45881.661724537036</v>
      </c>
      <c r="I65" s="50">
        <v>45881.661724537036</v>
      </c>
    </row>
    <row r="66" spans="1:9" x14ac:dyDescent="0.25">
      <c r="A66">
        <v>65</v>
      </c>
      <c r="B66" t="s">
        <v>443</v>
      </c>
      <c r="C66" t="s">
        <v>92</v>
      </c>
      <c r="D66" s="50">
        <v>46317.701354166667</v>
      </c>
      <c r="E66" t="s">
        <v>423</v>
      </c>
      <c r="F66">
        <v>15</v>
      </c>
      <c r="G66" t="s">
        <v>162</v>
      </c>
      <c r="H66" s="50">
        <v>45881.661747685182</v>
      </c>
      <c r="I66" s="50">
        <v>45881.661747685182</v>
      </c>
    </row>
    <row r="67" spans="1:9" x14ac:dyDescent="0.25">
      <c r="A67">
        <v>66</v>
      </c>
      <c r="B67" t="s">
        <v>444</v>
      </c>
      <c r="C67" t="s">
        <v>437</v>
      </c>
      <c r="D67" s="50">
        <v>46287.701354166667</v>
      </c>
      <c r="E67" t="s">
        <v>423</v>
      </c>
      <c r="F67">
        <v>15</v>
      </c>
      <c r="G67" t="s">
        <v>162</v>
      </c>
      <c r="H67" s="50">
        <v>45881.661770833336</v>
      </c>
      <c r="I67" s="50">
        <v>45881.661770833336</v>
      </c>
    </row>
    <row r="68" spans="1:9" x14ac:dyDescent="0.25">
      <c r="A68">
        <v>67</v>
      </c>
      <c r="B68" t="s">
        <v>445</v>
      </c>
      <c r="C68" t="s">
        <v>95</v>
      </c>
      <c r="D68" s="50">
        <v>46277.701354166667</v>
      </c>
      <c r="E68" t="s">
        <v>423</v>
      </c>
      <c r="F68">
        <v>15</v>
      </c>
      <c r="G68" t="s">
        <v>162</v>
      </c>
      <c r="H68" s="50">
        <v>45881.661782407406</v>
      </c>
      <c r="I68" s="50">
        <v>45881.661782407406</v>
      </c>
    </row>
    <row r="69" spans="1:9" x14ac:dyDescent="0.25">
      <c r="A69">
        <v>68</v>
      </c>
      <c r="B69" t="s">
        <v>436</v>
      </c>
      <c r="C69" t="s">
        <v>98</v>
      </c>
      <c r="D69" s="50">
        <v>46059.659710648149</v>
      </c>
      <c r="E69" t="s">
        <v>419</v>
      </c>
      <c r="F69">
        <v>16</v>
      </c>
      <c r="G69" t="s">
        <v>163</v>
      </c>
      <c r="H69" s="50">
        <v>45881.661817129629</v>
      </c>
      <c r="I69" s="50">
        <v>45881.661817129629</v>
      </c>
    </row>
    <row r="70" spans="1:9" x14ac:dyDescent="0.25">
      <c r="A70">
        <v>69</v>
      </c>
      <c r="B70" t="s">
        <v>438</v>
      </c>
      <c r="C70" t="s">
        <v>166</v>
      </c>
      <c r="D70" s="50">
        <v>46052.659710648149</v>
      </c>
      <c r="E70" t="s">
        <v>421</v>
      </c>
      <c r="F70">
        <v>16</v>
      </c>
      <c r="G70" t="s">
        <v>163</v>
      </c>
      <c r="H70" s="50">
        <v>45881.661828703705</v>
      </c>
      <c r="I70" s="50">
        <v>45881.661828703705</v>
      </c>
    </row>
    <row r="71" spans="1:9" x14ac:dyDescent="0.25">
      <c r="A71">
        <v>70</v>
      </c>
      <c r="B71" t="s">
        <v>439</v>
      </c>
      <c r="C71" t="s">
        <v>429</v>
      </c>
      <c r="D71" s="50">
        <v>46045.659710648149</v>
      </c>
      <c r="E71" t="s">
        <v>421</v>
      </c>
      <c r="F71">
        <v>16</v>
      </c>
      <c r="G71" t="s">
        <v>163</v>
      </c>
      <c r="H71" s="50">
        <v>45881.661851851852</v>
      </c>
      <c r="I71" s="50">
        <v>45881.661851851852</v>
      </c>
    </row>
    <row r="72" spans="1:9" x14ac:dyDescent="0.25">
      <c r="A72">
        <v>71</v>
      </c>
      <c r="B72" t="s">
        <v>440</v>
      </c>
      <c r="C72" t="s">
        <v>418</v>
      </c>
      <c r="D72" s="50">
        <v>46038.659710648149</v>
      </c>
      <c r="E72" t="s">
        <v>423</v>
      </c>
      <c r="F72">
        <v>16</v>
      </c>
      <c r="G72" t="s">
        <v>163</v>
      </c>
      <c r="H72" s="50">
        <v>45881.661874999998</v>
      </c>
      <c r="I72" s="50">
        <v>45881.661874999998</v>
      </c>
    </row>
    <row r="73" spans="1:9" x14ac:dyDescent="0.25">
      <c r="A73">
        <v>72</v>
      </c>
      <c r="B73" t="s">
        <v>146</v>
      </c>
      <c r="C73" t="s">
        <v>393</v>
      </c>
      <c r="D73" s="50">
        <v>46031.659710648149</v>
      </c>
      <c r="E73" t="s">
        <v>423</v>
      </c>
      <c r="F73">
        <v>16</v>
      </c>
      <c r="G73" t="s">
        <v>163</v>
      </c>
      <c r="H73" s="50">
        <v>45881.661898148152</v>
      </c>
      <c r="I73" s="50">
        <v>45881.661898148152</v>
      </c>
    </row>
    <row r="74" spans="1:9" x14ac:dyDescent="0.25">
      <c r="A74">
        <v>73</v>
      </c>
      <c r="B74" t="s">
        <v>446</v>
      </c>
      <c r="C74" t="s">
        <v>437</v>
      </c>
      <c r="D74" s="50">
        <v>46287.659733796296</v>
      </c>
      <c r="E74" t="s">
        <v>421</v>
      </c>
      <c r="F74">
        <v>17</v>
      </c>
      <c r="G74" t="s">
        <v>164</v>
      </c>
      <c r="H74" s="50">
        <v>45881.661909722221</v>
      </c>
      <c r="I74" s="50">
        <v>45881.661909722221</v>
      </c>
    </row>
    <row r="75" spans="1:9" x14ac:dyDescent="0.25">
      <c r="A75">
        <v>74</v>
      </c>
      <c r="B75" t="s">
        <v>447</v>
      </c>
      <c r="C75" t="s">
        <v>101</v>
      </c>
      <c r="D75" s="50">
        <v>46280.659733796296</v>
      </c>
      <c r="E75" t="s">
        <v>421</v>
      </c>
      <c r="F75">
        <v>17</v>
      </c>
      <c r="G75" t="s">
        <v>164</v>
      </c>
      <c r="H75" s="50">
        <v>45881.661932870367</v>
      </c>
      <c r="I75" s="50">
        <v>45881.661932870367</v>
      </c>
    </row>
    <row r="76" spans="1:9" x14ac:dyDescent="0.25">
      <c r="A76">
        <v>75</v>
      </c>
      <c r="B76" t="s">
        <v>448</v>
      </c>
      <c r="C76" t="s">
        <v>150</v>
      </c>
      <c r="D76" s="50">
        <v>46273.659733796296</v>
      </c>
      <c r="E76" t="s">
        <v>423</v>
      </c>
      <c r="F76">
        <v>17</v>
      </c>
      <c r="G76" t="s">
        <v>164</v>
      </c>
      <c r="H76" s="50">
        <v>45881.661956018521</v>
      </c>
      <c r="I76" s="50">
        <v>45881.661956018521</v>
      </c>
    </row>
    <row r="77" spans="1:9" x14ac:dyDescent="0.25">
      <c r="A77">
        <v>76</v>
      </c>
      <c r="B77" t="s">
        <v>449</v>
      </c>
      <c r="C77" t="s">
        <v>95</v>
      </c>
      <c r="D77" s="50">
        <v>46266.659733796296</v>
      </c>
      <c r="E77" t="s">
        <v>423</v>
      </c>
      <c r="F77">
        <v>17</v>
      </c>
      <c r="G77" t="s">
        <v>164</v>
      </c>
      <c r="H77" s="50">
        <v>45881.661979166667</v>
      </c>
      <c r="I77" s="50">
        <v>45881.661979166667</v>
      </c>
    </row>
    <row r="78" spans="1:9" x14ac:dyDescent="0.25">
      <c r="A78">
        <v>77</v>
      </c>
      <c r="B78" t="s">
        <v>417</v>
      </c>
      <c r="C78" t="s">
        <v>393</v>
      </c>
      <c r="D78" s="50">
        <v>46153.659756944442</v>
      </c>
      <c r="E78" t="s">
        <v>419</v>
      </c>
      <c r="F78">
        <v>18</v>
      </c>
      <c r="G78" t="s">
        <v>165</v>
      </c>
      <c r="H78" s="50">
        <v>45881.662002314813</v>
      </c>
      <c r="I78" s="50">
        <v>45881.662002314813</v>
      </c>
    </row>
    <row r="79" spans="1:9" x14ac:dyDescent="0.25">
      <c r="A79">
        <v>78</v>
      </c>
      <c r="B79" t="s">
        <v>420</v>
      </c>
      <c r="C79" t="s">
        <v>437</v>
      </c>
      <c r="D79" s="50">
        <v>46146.659756944442</v>
      </c>
      <c r="E79" t="s">
        <v>421</v>
      </c>
      <c r="F79">
        <v>18</v>
      </c>
      <c r="G79" t="s">
        <v>165</v>
      </c>
      <c r="H79" s="50">
        <v>45881.66202546296</v>
      </c>
      <c r="I79" s="50">
        <v>45881.66202546296</v>
      </c>
    </row>
    <row r="80" spans="1:9" x14ac:dyDescent="0.25">
      <c r="A80">
        <v>79</v>
      </c>
      <c r="B80" t="s">
        <v>422</v>
      </c>
      <c r="C80" t="s">
        <v>150</v>
      </c>
      <c r="D80" s="50">
        <v>46139.659756944442</v>
      </c>
      <c r="E80" t="s">
        <v>423</v>
      </c>
      <c r="F80">
        <v>18</v>
      </c>
      <c r="G80" t="s">
        <v>165</v>
      </c>
      <c r="H80" s="50">
        <v>45881.662048611113</v>
      </c>
      <c r="I80" s="50">
        <v>45881.662048611113</v>
      </c>
    </row>
    <row r="81" spans="1:9" x14ac:dyDescent="0.25">
      <c r="A81">
        <v>80</v>
      </c>
      <c r="B81" t="s">
        <v>424</v>
      </c>
      <c r="C81" t="s">
        <v>150</v>
      </c>
      <c r="D81" s="50">
        <v>46132.659756944442</v>
      </c>
      <c r="E81" t="s">
        <v>423</v>
      </c>
      <c r="F81">
        <v>18</v>
      </c>
      <c r="G81" t="s">
        <v>165</v>
      </c>
      <c r="H81" s="50">
        <v>45881.66207175926</v>
      </c>
      <c r="I81" s="50">
        <v>45881.66207175926</v>
      </c>
    </row>
    <row r="82" spans="1:9" x14ac:dyDescent="0.25">
      <c r="A82">
        <v>81</v>
      </c>
      <c r="B82" t="s">
        <v>446</v>
      </c>
      <c r="C82" t="s">
        <v>92</v>
      </c>
      <c r="D82" s="50">
        <v>45943.659768518519</v>
      </c>
      <c r="E82" t="s">
        <v>421</v>
      </c>
      <c r="F82">
        <v>19</v>
      </c>
      <c r="G82" t="s">
        <v>167</v>
      </c>
      <c r="H82" s="50">
        <v>45881.662094907406</v>
      </c>
      <c r="I82" s="50">
        <v>45881.662094907406</v>
      </c>
    </row>
    <row r="83" spans="1:9" x14ac:dyDescent="0.25">
      <c r="A83">
        <v>82</v>
      </c>
      <c r="B83" t="s">
        <v>447</v>
      </c>
      <c r="C83" t="s">
        <v>101</v>
      </c>
      <c r="D83" s="50">
        <v>45936.659768518519</v>
      </c>
      <c r="E83" t="s">
        <v>421</v>
      </c>
      <c r="F83">
        <v>19</v>
      </c>
      <c r="G83" t="s">
        <v>167</v>
      </c>
      <c r="H83" s="50">
        <v>45881.662118055552</v>
      </c>
      <c r="I83" s="50">
        <v>45881.662118055552</v>
      </c>
    </row>
    <row r="84" spans="1:9" x14ac:dyDescent="0.25">
      <c r="A84">
        <v>83</v>
      </c>
      <c r="B84" t="s">
        <v>448</v>
      </c>
      <c r="C84" t="s">
        <v>418</v>
      </c>
      <c r="D84" s="50">
        <v>45929.659768518519</v>
      </c>
      <c r="E84" t="s">
        <v>423</v>
      </c>
      <c r="F84">
        <v>19</v>
      </c>
      <c r="G84" t="s">
        <v>167</v>
      </c>
      <c r="H84" s="50">
        <v>45881.662129629629</v>
      </c>
      <c r="I84" s="50">
        <v>45881.662129629629</v>
      </c>
    </row>
    <row r="85" spans="1:9" x14ac:dyDescent="0.25">
      <c r="A85">
        <v>84</v>
      </c>
      <c r="B85" t="s">
        <v>449</v>
      </c>
      <c r="C85" t="s">
        <v>431</v>
      </c>
      <c r="D85" s="50">
        <v>45922.659768518519</v>
      </c>
      <c r="E85" t="s">
        <v>423</v>
      </c>
      <c r="F85">
        <v>19</v>
      </c>
      <c r="G85" t="s">
        <v>167</v>
      </c>
      <c r="H85" s="50">
        <v>45881.662152777775</v>
      </c>
      <c r="I85" s="50">
        <v>45881.662152777775</v>
      </c>
    </row>
    <row r="86" spans="1:9" x14ac:dyDescent="0.25">
      <c r="A86">
        <v>85</v>
      </c>
      <c r="B86" t="s">
        <v>436</v>
      </c>
      <c r="C86" t="s">
        <v>418</v>
      </c>
      <c r="D86" s="50">
        <v>46016.659791666665</v>
      </c>
      <c r="E86" t="s">
        <v>419</v>
      </c>
      <c r="F86">
        <v>20</v>
      </c>
      <c r="G86" t="s">
        <v>168</v>
      </c>
      <c r="H86" s="50">
        <v>45881.662175925929</v>
      </c>
      <c r="I86" s="50">
        <v>45881.662175925929</v>
      </c>
    </row>
    <row r="87" spans="1:9" x14ac:dyDescent="0.25">
      <c r="A87">
        <v>86</v>
      </c>
      <c r="B87" t="s">
        <v>438</v>
      </c>
      <c r="C87" t="s">
        <v>98</v>
      </c>
      <c r="D87" s="50">
        <v>46009.659791666665</v>
      </c>
      <c r="E87" t="s">
        <v>421</v>
      </c>
      <c r="F87">
        <v>20</v>
      </c>
      <c r="G87" t="s">
        <v>168</v>
      </c>
      <c r="H87" s="50">
        <v>45881.662199074075</v>
      </c>
      <c r="I87" s="50">
        <v>45881.662199074075</v>
      </c>
    </row>
    <row r="88" spans="1:9" x14ac:dyDescent="0.25">
      <c r="A88">
        <v>87</v>
      </c>
      <c r="B88" t="s">
        <v>439</v>
      </c>
      <c r="C88" t="s">
        <v>431</v>
      </c>
      <c r="D88" s="50">
        <v>46002.659791666665</v>
      </c>
      <c r="E88" t="s">
        <v>421</v>
      </c>
      <c r="F88">
        <v>20</v>
      </c>
      <c r="G88" t="s">
        <v>168</v>
      </c>
      <c r="H88" s="50">
        <v>45881.662222222221</v>
      </c>
      <c r="I88" s="50">
        <v>45881.662222222221</v>
      </c>
    </row>
    <row r="89" spans="1:9" x14ac:dyDescent="0.25">
      <c r="A89">
        <v>88</v>
      </c>
      <c r="B89" t="s">
        <v>440</v>
      </c>
      <c r="C89" t="s">
        <v>104</v>
      </c>
      <c r="D89" s="50">
        <v>45995.659791666665</v>
      </c>
      <c r="E89" t="s">
        <v>423</v>
      </c>
      <c r="F89">
        <v>20</v>
      </c>
      <c r="G89" t="s">
        <v>168</v>
      </c>
      <c r="H89" s="50">
        <v>45881.662245370368</v>
      </c>
      <c r="I89" s="50">
        <v>45881.662245370368</v>
      </c>
    </row>
    <row r="90" spans="1:9" x14ac:dyDescent="0.25">
      <c r="A90">
        <v>89</v>
      </c>
      <c r="B90" t="s">
        <v>146</v>
      </c>
      <c r="C90" t="s">
        <v>95</v>
      </c>
      <c r="D90" s="50">
        <v>45988.659791666665</v>
      </c>
      <c r="E90" t="s">
        <v>423</v>
      </c>
      <c r="F90">
        <v>20</v>
      </c>
      <c r="G90" t="s">
        <v>168</v>
      </c>
      <c r="H90" s="50">
        <v>45881.662256944444</v>
      </c>
      <c r="I90" s="50">
        <v>45881.662256944444</v>
      </c>
    </row>
    <row r="91" spans="1:9" x14ac:dyDescent="0.25">
      <c r="A91">
        <v>90</v>
      </c>
      <c r="B91" t="s">
        <v>432</v>
      </c>
      <c r="C91" t="s">
        <v>95</v>
      </c>
      <c r="D91" s="50">
        <v>46013.659826388888</v>
      </c>
      <c r="E91" t="s">
        <v>419</v>
      </c>
      <c r="F91">
        <v>21</v>
      </c>
      <c r="G91" t="s">
        <v>169</v>
      </c>
      <c r="H91" s="50">
        <v>45881.662280092591</v>
      </c>
      <c r="I91" s="50">
        <v>45881.662280092591</v>
      </c>
    </row>
    <row r="92" spans="1:9" x14ac:dyDescent="0.25">
      <c r="A92">
        <v>91</v>
      </c>
      <c r="B92" t="s">
        <v>433</v>
      </c>
      <c r="C92" t="s">
        <v>95</v>
      </c>
      <c r="D92" s="50">
        <v>46006.659826388888</v>
      </c>
      <c r="E92" t="s">
        <v>421</v>
      </c>
      <c r="F92">
        <v>21</v>
      </c>
      <c r="G92" t="s">
        <v>169</v>
      </c>
      <c r="H92" s="50">
        <v>45881.662303240744</v>
      </c>
      <c r="I92" s="50">
        <v>45881.662303240744</v>
      </c>
    </row>
    <row r="93" spans="1:9" x14ac:dyDescent="0.25">
      <c r="A93">
        <v>92</v>
      </c>
      <c r="B93" t="s">
        <v>434</v>
      </c>
      <c r="C93" t="s">
        <v>101</v>
      </c>
      <c r="D93" s="50">
        <v>45999.659826388888</v>
      </c>
      <c r="E93" t="s">
        <v>423</v>
      </c>
      <c r="F93">
        <v>21</v>
      </c>
      <c r="G93" t="s">
        <v>169</v>
      </c>
      <c r="H93" s="50">
        <v>45881.662326388891</v>
      </c>
      <c r="I93" s="50">
        <v>45881.662326388891</v>
      </c>
    </row>
    <row r="94" spans="1:9" x14ac:dyDescent="0.25">
      <c r="A94">
        <v>93</v>
      </c>
      <c r="B94" t="s">
        <v>435</v>
      </c>
      <c r="C94" t="s">
        <v>393</v>
      </c>
      <c r="D94" s="50">
        <v>45983.659826388888</v>
      </c>
      <c r="E94" t="s">
        <v>423</v>
      </c>
      <c r="F94">
        <v>21</v>
      </c>
      <c r="G94" t="s">
        <v>169</v>
      </c>
      <c r="H94" s="50">
        <v>45881.66233796296</v>
      </c>
      <c r="I94" s="50">
        <v>45881.66233796296</v>
      </c>
    </row>
    <row r="95" spans="1:9" x14ac:dyDescent="0.25">
      <c r="A95">
        <v>94</v>
      </c>
      <c r="B95" t="s">
        <v>436</v>
      </c>
      <c r="C95" t="s">
        <v>431</v>
      </c>
      <c r="D95" s="50">
        <v>46167.659849537034</v>
      </c>
      <c r="E95" t="s">
        <v>419</v>
      </c>
      <c r="F95">
        <v>22</v>
      </c>
      <c r="G95" t="s">
        <v>170</v>
      </c>
      <c r="H95" s="50">
        <v>45881.662361111114</v>
      </c>
      <c r="I95" s="50">
        <v>45881.662361111114</v>
      </c>
    </row>
    <row r="96" spans="1:9" x14ac:dyDescent="0.25">
      <c r="A96">
        <v>95</v>
      </c>
      <c r="B96" t="s">
        <v>438</v>
      </c>
      <c r="C96" t="s">
        <v>157</v>
      </c>
      <c r="D96" s="50">
        <v>46160.659849537034</v>
      </c>
      <c r="E96" t="s">
        <v>421</v>
      </c>
      <c r="F96">
        <v>22</v>
      </c>
      <c r="G96" t="s">
        <v>170</v>
      </c>
      <c r="H96" s="50">
        <v>45881.66238425926</v>
      </c>
      <c r="I96" s="50">
        <v>45881.66238425926</v>
      </c>
    </row>
    <row r="97" spans="1:9" x14ac:dyDescent="0.25">
      <c r="A97">
        <v>96</v>
      </c>
      <c r="B97" t="s">
        <v>439</v>
      </c>
      <c r="C97" t="s">
        <v>104</v>
      </c>
      <c r="D97" s="50">
        <v>46153.659849537034</v>
      </c>
      <c r="E97" t="s">
        <v>421</v>
      </c>
      <c r="F97">
        <v>22</v>
      </c>
      <c r="G97" t="s">
        <v>170</v>
      </c>
      <c r="H97" s="50">
        <v>45881.662407407406</v>
      </c>
      <c r="I97" s="50">
        <v>45881.662407407406</v>
      </c>
    </row>
    <row r="98" spans="1:9" x14ac:dyDescent="0.25">
      <c r="A98">
        <v>97</v>
      </c>
      <c r="B98" t="s">
        <v>440</v>
      </c>
      <c r="C98" t="s">
        <v>104</v>
      </c>
      <c r="D98" s="50">
        <v>46146.659849537034</v>
      </c>
      <c r="E98" t="s">
        <v>423</v>
      </c>
      <c r="F98">
        <v>22</v>
      </c>
      <c r="G98" t="s">
        <v>170</v>
      </c>
      <c r="H98" s="50">
        <v>45881.662418981483</v>
      </c>
      <c r="I98" s="50">
        <v>45881.662418981483</v>
      </c>
    </row>
    <row r="99" spans="1:9" x14ac:dyDescent="0.25">
      <c r="A99">
        <v>98</v>
      </c>
      <c r="B99" t="s">
        <v>146</v>
      </c>
      <c r="C99" t="s">
        <v>104</v>
      </c>
      <c r="D99" s="50">
        <v>46139.659849537034</v>
      </c>
      <c r="E99" t="s">
        <v>423</v>
      </c>
      <c r="F99">
        <v>22</v>
      </c>
      <c r="G99" t="s">
        <v>170</v>
      </c>
      <c r="H99" s="50">
        <v>45881.662442129629</v>
      </c>
      <c r="I99" s="50">
        <v>45881.662442129629</v>
      </c>
    </row>
    <row r="100" spans="1:9" x14ac:dyDescent="0.25">
      <c r="A100">
        <v>99</v>
      </c>
      <c r="B100" t="s">
        <v>446</v>
      </c>
      <c r="C100" t="s">
        <v>145</v>
      </c>
      <c r="D100" s="50">
        <v>45909.659861111111</v>
      </c>
      <c r="E100" t="s">
        <v>421</v>
      </c>
      <c r="F100">
        <v>23</v>
      </c>
      <c r="G100" t="s">
        <v>171</v>
      </c>
      <c r="H100" s="50">
        <v>45881.662465277775</v>
      </c>
      <c r="I100" s="50">
        <v>45881.662465277775</v>
      </c>
    </row>
    <row r="101" spans="1:9" x14ac:dyDescent="0.25">
      <c r="A101">
        <v>100</v>
      </c>
      <c r="B101" t="s">
        <v>447</v>
      </c>
      <c r="C101" t="s">
        <v>418</v>
      </c>
      <c r="D101" s="50">
        <v>45902.659861111111</v>
      </c>
      <c r="E101" t="s">
        <v>421</v>
      </c>
      <c r="F101">
        <v>23</v>
      </c>
      <c r="G101" t="s">
        <v>171</v>
      </c>
      <c r="H101" s="50">
        <v>45881.662488425929</v>
      </c>
      <c r="I101" s="50">
        <v>45881.662488425929</v>
      </c>
    </row>
  </sheetData>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C5E433-4B91-46FC-AF56-7BE6A677C774}">
  <sheetPr>
    <tabColor rgb="FF660000"/>
  </sheetPr>
  <dimension ref="A1:P18"/>
  <sheetViews>
    <sheetView showGridLines="0" workbookViewId="0">
      <selection activeCell="D24" sqref="D24"/>
    </sheetView>
  </sheetViews>
  <sheetFormatPr defaultRowHeight="15" x14ac:dyDescent="0.25"/>
  <cols>
    <col min="1" max="1" width="26" customWidth="1"/>
    <col min="2" max="2" width="8.28515625" bestFit="1" customWidth="1"/>
    <col min="3" max="3" width="17.42578125" bestFit="1" customWidth="1"/>
    <col min="4" max="4" width="20" bestFit="1" customWidth="1"/>
    <col min="5" max="5" width="29.7109375" customWidth="1"/>
    <col min="6" max="6" width="5.85546875" bestFit="1" customWidth="1"/>
    <col min="7" max="7" width="25.5703125" bestFit="1" customWidth="1"/>
    <col min="8" max="8" width="146.5703125" bestFit="1" customWidth="1"/>
    <col min="10" max="10" width="17.42578125" bestFit="1" customWidth="1"/>
    <col min="11" max="11" width="8.28515625" bestFit="1" customWidth="1"/>
    <col min="12" max="12" width="20" bestFit="1" customWidth="1"/>
    <col min="13" max="13" width="19.42578125" bestFit="1" customWidth="1"/>
    <col min="14" max="14" width="20" bestFit="1" customWidth="1"/>
    <col min="15" max="15" width="15.5703125" customWidth="1"/>
  </cols>
  <sheetData>
    <row r="1" spans="1:16" x14ac:dyDescent="0.25">
      <c r="A1" s="42" t="s">
        <v>394</v>
      </c>
      <c r="C1" s="19" t="s">
        <v>47</v>
      </c>
      <c r="D1" s="29">
        <v>45839</v>
      </c>
      <c r="G1" s="47" t="s">
        <v>397</v>
      </c>
      <c r="H1" s="42" t="s">
        <v>395</v>
      </c>
    </row>
    <row r="2" spans="1:16" x14ac:dyDescent="0.25">
      <c r="A2" s="46" t="str">
        <f>HYPERLINK("https://github.com/pgaljan/funneler/blob/main/docs/manual-deploy.md","Citizen Developer Guide")</f>
        <v>Citizen Developer Guide</v>
      </c>
      <c r="G2" s="48" t="s">
        <v>407</v>
      </c>
      <c r="H2" s="44" t="s">
        <v>392</v>
      </c>
    </row>
    <row r="3" spans="1:16" x14ac:dyDescent="0.25">
      <c r="A3" s="46" t="str">
        <f>HYPERLINK("https://github.com/pgaljan/funneler/blob/main/docs/auto-deploy.md","Operator Guide")</f>
        <v>Operator Guide</v>
      </c>
      <c r="C3" s="12" t="s">
        <v>79</v>
      </c>
      <c r="D3" s="12" t="s">
        <v>87</v>
      </c>
      <c r="G3" s="48" t="s">
        <v>398</v>
      </c>
      <c r="H3" s="43" t="str" cm="1">
        <f t="array" ref="H3">"./Deploy-Lists.ps1"&amp; psAftermetter</f>
        <v>./Deploy-Lists.ps1 -SiteUrl "https://cleansheet5.sharepoint.com/sites/SalesFunnel/" -ListPrefix "auto12" -ClientId "4f2cadf3-cdfe-4c73-819d-6e8141ad5b51"</v>
      </c>
    </row>
    <row r="4" spans="1:16" x14ac:dyDescent="0.25">
      <c r="A4" s="46" t="str">
        <f>HYPERLINK("https://github.com/pgaljan/funneler/blob/main/docs/security.md","Security &amp; Governance")</f>
        <v>Security &amp; Governance</v>
      </c>
      <c r="C4" s="31" t="s">
        <v>84</v>
      </c>
      <c r="D4" s="35">
        <v>0.2</v>
      </c>
      <c r="H4" s="43" t="str" cm="1">
        <f t="array" ref="H4">"./Set-Required-Fields.ps1" &amp;psAftermetter</f>
        <v>./Set-Required-Fields.ps1 -SiteUrl "https://cleansheet5.sharepoint.com/sites/SalesFunnel/" -ListPrefix "auto12" -ClientId "4f2cadf3-cdfe-4c73-819d-6e8141ad5b51"</v>
      </c>
    </row>
    <row r="5" spans="1:16" x14ac:dyDescent="0.25">
      <c r="A5" s="46" t="str">
        <f>HYPERLINK("https://github.com/pgaljan/funneler/blob/main/docs/code-guide.md","Code Guide")</f>
        <v>Code Guide</v>
      </c>
      <c r="C5" s="31" t="s">
        <v>82</v>
      </c>
      <c r="D5" s="35">
        <v>0.4</v>
      </c>
      <c r="H5" s="43" t="str" cm="1">
        <f t="array" ref="H5">"./Add-Comment-Log.ps1"&amp;psAftermetter</f>
        <v>./Add-Comment-Log.ps1 -SiteUrl "https://cleansheet5.sharepoint.com/sites/SalesFunnel/" -ListPrefix "auto12" -ClientId "4f2cadf3-cdfe-4c73-819d-6e8141ad5b51"</v>
      </c>
    </row>
    <row r="6" spans="1:16" x14ac:dyDescent="0.25">
      <c r="A6" s="46" t="str">
        <f>HYPERLINK("https://github.com/pgaljan/funneler/blob/main/docs/form-body-json.md","Form Body JSON")</f>
        <v>Form Body JSON</v>
      </c>
      <c r="C6" s="31" t="s">
        <v>83</v>
      </c>
      <c r="D6" s="35">
        <v>0.9</v>
      </c>
      <c r="H6" s="43" t="str" cm="1">
        <f t="array" ref="H6">"./Populate-Sample-Data.ps1"&amp;psAftermetter</f>
        <v>./Populate-Sample-Data.ps1 -SiteUrl "https://cleansheet5.sharepoint.com/sites/SalesFunnel/" -ListPrefix "auto12" -ClientId "4f2cadf3-cdfe-4c73-819d-6e8141ad5b51"</v>
      </c>
    </row>
    <row r="7" spans="1:16" x14ac:dyDescent="0.25">
      <c r="A7" s="34"/>
      <c r="H7" s="42" t="s">
        <v>396</v>
      </c>
    </row>
    <row r="8" spans="1:16" x14ac:dyDescent="0.25">
      <c r="A8" s="34"/>
      <c r="H8" s="43" t="str" cm="1">
        <f t="array" ref="H8">"./Audit-List-Security.ps1"&amp;psAftermetter</f>
        <v>./Audit-List-Security.ps1 -SiteUrl "https://cleansheet5.sharepoint.com/sites/SalesFunnel/" -ListPrefix "auto12" -ClientId "4f2cadf3-cdfe-4c73-819d-6e8141ad5b51"</v>
      </c>
    </row>
    <row r="9" spans="1:16" x14ac:dyDescent="0.25">
      <c r="H9" s="43" t="str" cm="1">
        <f t="array" ref="H9">"./Delete-Lists.ps1"&amp;psAftermetter</f>
        <v>./Delete-Lists.ps1 -SiteUrl "https://cleansheet5.sharepoint.com/sites/SalesFunnel/" -ListPrefix "auto12" -ClientId "4f2cadf3-cdfe-4c73-819d-6e8141ad5b51"</v>
      </c>
    </row>
    <row r="10" spans="1:16" x14ac:dyDescent="0.25">
      <c r="C10" s="53" t="s">
        <v>49</v>
      </c>
      <c r="D10" s="54" t="s">
        <v>50</v>
      </c>
      <c r="E10" s="52"/>
    </row>
    <row r="11" spans="1:16" x14ac:dyDescent="0.25">
      <c r="C11" s="53" t="s">
        <v>143</v>
      </c>
      <c r="D11" s="55" t="s">
        <v>410</v>
      </c>
      <c r="E11" s="52"/>
    </row>
    <row r="12" spans="1:16" x14ac:dyDescent="0.25">
      <c r="B12" s="32" t="str">
        <f>HYPERLINK(siteUrl&amp;"/Lists/"&amp;custList,"Test")</f>
        <v>Test</v>
      </c>
      <c r="C12" s="53" t="s">
        <v>144</v>
      </c>
      <c r="D12" s="56" t="str">
        <f>listPrefix &amp; custListAppend</f>
        <v>auto12Customers</v>
      </c>
      <c r="E12" s="52"/>
      <c r="M12" s="12" t="s">
        <v>33</v>
      </c>
      <c r="N12" s="12" t="s">
        <v>400</v>
      </c>
      <c r="O12" s="12" t="s">
        <v>86</v>
      </c>
      <c r="P12" s="12" t="s">
        <v>377</v>
      </c>
    </row>
    <row r="13" spans="1:16" ht="20.25" x14ac:dyDescent="0.3">
      <c r="B13" s="32" t="str">
        <f>HYPERLINK(siteUrl&amp;"/Lists/"&amp;oppList,"Test")</f>
        <v>Test</v>
      </c>
      <c r="C13" s="53" t="s">
        <v>48</v>
      </c>
      <c r="D13" s="56" t="str">
        <f>listPrefix &amp; oppListAppend</f>
        <v>auto12Opportunities</v>
      </c>
      <c r="E13" s="52"/>
      <c r="M13" s="30">
        <v>1</v>
      </c>
      <c r="N13" s="49" t="s">
        <v>401</v>
      </c>
      <c r="O13" s="30" t="s">
        <v>20</v>
      </c>
      <c r="P13" s="30" t="str">
        <f>stage[[#This Row],[Symbol]]&amp;" - "&amp;stage[[#This Row],[Stage Name]]</f>
        <v>➀ - Lead Qualification</v>
      </c>
    </row>
    <row r="14" spans="1:16" ht="20.25" x14ac:dyDescent="0.3">
      <c r="B14" s="32" t="str">
        <f>HYPERLINK(siteUrl&amp;"/Lists/"&amp;contactList,"Test")</f>
        <v>Test</v>
      </c>
      <c r="C14" s="53" t="s">
        <v>408</v>
      </c>
      <c r="D14" s="56" t="str">
        <f>listPrefix &amp; contactListAppend</f>
        <v>auto12Contacts</v>
      </c>
      <c r="E14" s="52"/>
      <c r="M14" s="30">
        <v>2</v>
      </c>
      <c r="N14" s="49" t="s">
        <v>402</v>
      </c>
      <c r="O14" s="30" t="s">
        <v>23</v>
      </c>
      <c r="P14" s="30" t="str">
        <f>stage[[#This Row],[Symbol]]&amp;" - "&amp;stage[[#This Row],[Stage Name]]</f>
        <v>➁ - Nurturing</v>
      </c>
    </row>
    <row r="15" spans="1:16" ht="20.25" x14ac:dyDescent="0.3">
      <c r="B15" s="32" t="str">
        <f>HYPERLINK(siteUrl&amp;"/Lists/"&amp;milestoneList,"Test")</f>
        <v>Test</v>
      </c>
      <c r="C15" s="53" t="s">
        <v>409</v>
      </c>
      <c r="D15" s="56" t="str">
        <f>listPrefix &amp; milestoneListAppend</f>
        <v>auto12Milestones</v>
      </c>
      <c r="E15" s="52"/>
      <c r="M15" s="30">
        <v>3</v>
      </c>
      <c r="N15" s="49" t="s">
        <v>403</v>
      </c>
      <c r="O15" s="30" t="s">
        <v>22</v>
      </c>
      <c r="P15" s="30" t="str">
        <f>stage[[#This Row],[Symbol]]&amp;" - "&amp;stage[[#This Row],[Stage Name]]</f>
        <v>➂ - Proposal</v>
      </c>
    </row>
    <row r="16" spans="1:16" ht="20.25" x14ac:dyDescent="0.3">
      <c r="C16" s="53" t="s">
        <v>390</v>
      </c>
      <c r="D16" s="55" t="s">
        <v>391</v>
      </c>
      <c r="E16" s="52"/>
      <c r="M16" s="30">
        <v>4</v>
      </c>
      <c r="N16" s="49" t="s">
        <v>404</v>
      </c>
      <c r="O16" s="30" t="s">
        <v>18</v>
      </c>
      <c r="P16" s="30" t="str">
        <f>stage[[#This Row],[Symbol]]&amp;" - "&amp;stage[[#This Row],[Stage Name]]</f>
        <v>➃ - Negotiation</v>
      </c>
    </row>
    <row r="17" spans="13:16" ht="20.25" x14ac:dyDescent="0.3">
      <c r="M17" s="30">
        <v>5</v>
      </c>
      <c r="N17" s="49" t="s">
        <v>405</v>
      </c>
      <c r="O17" s="30" t="s">
        <v>21</v>
      </c>
      <c r="P17" s="30" t="str">
        <f>stage[[#This Row],[Symbol]]&amp;" - "&amp;stage[[#This Row],[Stage Name]]</f>
        <v>➄ - Project Execution</v>
      </c>
    </row>
    <row r="18" spans="13:16" ht="20.25" x14ac:dyDescent="0.3">
      <c r="M18" s="30">
        <v>6</v>
      </c>
      <c r="N18" s="49" t="s">
        <v>406</v>
      </c>
      <c r="O18" s="30" t="s">
        <v>24</v>
      </c>
      <c r="P18" s="30" t="str">
        <f>stage[[#This Row],[Symbol]]&amp;" - "&amp;stage[[#This Row],[Stage Name]]</f>
        <v>➅ - Closeout</v>
      </c>
    </row>
  </sheetData>
  <hyperlinks>
    <hyperlink ref="D10" r:id="rId1" xr:uid="{5E8860C9-D945-4D2C-8E62-DBDFC7016757}"/>
  </hyperlinks>
  <pageMargins left="0.7" right="0.7" top="0.75" bottom="0.75" header="0.3" footer="0.3"/>
  <pageSetup orientation="portrait" r:id="rId2"/>
  <tableParts count="2">
    <tablePart r:id="rId3"/>
    <tablePart r:id="rId4"/>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E9E114-0536-43AF-BC58-FF19F3A7EFAB}">
  <dimension ref="A1:O870"/>
  <sheetViews>
    <sheetView workbookViewId="0">
      <selection activeCell="J1" sqref="J1"/>
    </sheetView>
  </sheetViews>
  <sheetFormatPr defaultRowHeight="15" x14ac:dyDescent="0.25"/>
  <cols>
    <col min="1" max="1" width="5.28515625" bestFit="1" customWidth="1"/>
    <col min="2" max="2" width="14" bestFit="1" customWidth="1"/>
    <col min="3" max="3" width="26" bestFit="1" customWidth="1"/>
    <col min="4" max="4" width="14.7109375" bestFit="1" customWidth="1"/>
    <col min="5" max="5" width="11.85546875" bestFit="1" customWidth="1"/>
    <col min="6" max="6" width="21.42578125" bestFit="1" customWidth="1"/>
  </cols>
  <sheetData>
    <row r="1" spans="1:15" x14ac:dyDescent="0.25">
      <c r="A1" t="s">
        <v>384</v>
      </c>
      <c r="B1" t="s">
        <v>385</v>
      </c>
      <c r="C1" t="s">
        <v>800</v>
      </c>
      <c r="D1" t="s">
        <v>801</v>
      </c>
      <c r="E1" t="s">
        <v>802</v>
      </c>
      <c r="F1" t="s">
        <v>809</v>
      </c>
      <c r="G1" t="s">
        <v>31</v>
      </c>
      <c r="H1" t="s">
        <v>32</v>
      </c>
      <c r="J1" t="str" cm="1">
        <f t="array" ref="J1:O870">_xlfn.LET(
    _xlpm.source_data, recurrence[],
    _xlpm.ids, INDEX(_xlpm.source_data,,1),
    _xlpm.customer_ids, INDEX(_xlpm.source_data,,2),
    _xlpm.models, INDEX(_xlpm.source_data,,3),
    _xlpm.recurrences, INDEX(_xlpm.source_data,,4),
    _xlpm.start_dates, INDEX(_xlpm.source_data,,5),
    _xlpm.amounts, INDEX(_xlpm.source_data,,6),
    _xlpm.fq_values, INDEX(_xlpm.source_data,,7),
    _xlpm.cq_values, INDEX(_xlpm.source_data,,8),
    _xlpm.expanded_data, _xlfn.REDUCE(
        {"ID","CustomerID","Date","Amount","FQ","CQ"},
        _xlfn.SEQUENCE(ROWS(_xlpm.source_data)),
        _xlfn.LAMBDA(_xlpm.acc,_xlpm.i,
            _xlfn.LET(
                _xlpm.current_id, INDEX(_xlpm.ids, _xlpm.i),
                _xlpm.current_customer_id, INDEX(_xlpm.customer_ids, _xlpm.i),
                _xlpm.current_model, INDEX(_xlpm.models, _xlpm.i),
                _xlpm.current_recur, MAX(1, INDEX(_xlpm.recurrences, _xlpm.i)),
                _xlpm.current_start, INDEX(_xlpm.start_dates, _xlpm.i),
                _xlpm.current_amount, INDEX(_xlpm.amounts, _xlpm.i),
                _xlpm.current_fq, INDEX(_xlpm.fq_values, _xlpm.i),
                _xlpm.current_cq, INDEX(_xlpm.cq_values, _xlpm.i),
                _xlpm.interval_days, _xlfn.SWITCH(_xlpm.current_model,
                    "Monthly", 30,
                    "Quarterly", 91,
                    "Semi-Annually", 182,
                    "Annually", 365,
                    "Usage-based", 30,
                    "One-time", 0,
                    0
                ),
                _xlpm.dates_for_id, IF(_xlpm.current_model="One-time",
                    _xlfn.SEQUENCE(_xlpm.current_recur, 1, _xlpm.current_start, 0),
                    _xlpm.current_start + (_xlfn.SEQUENCE(_xlpm.current_recur) - 1) * _xlpm.interval_days
                ),
                _xlpm.ids_for_entry, _xlfn.SEQUENCE(_xlpm.current_recur, 1, _xlpm.current_id, 0),
                _xlpm.customer_ids_for_entry, IF(_xlfn.SEQUENCE(_xlpm.current_recur), _xlpm.current_customer_id),
                _xlpm.amounts_for_entry, _xlfn.SEQUENCE(_xlpm.current_recur, 1, _xlpm.current_amount, 0),
                _xlpm.fq_for_entry, IF(_xlfn.SEQUENCE(_xlpm.current_recur), _xlpm.current_fq),
                _xlpm.cq_for_entry, IF(_xlfn.SEQUENCE(_xlpm.current_recur), _xlpm.current_cq),
                _xlpm.current_block, _xlfn.HSTACK(
                    _xlpm.ids_for_entry,
                    _xlpm.customer_ids_for_entry,
                    _xlpm.dates_for_id,
                    _xlpm.amounts_for_entry,
                    _xlpm.fq_for_entry,
                    _xlpm.cq_for_entry
                ),
                _xlfn.VSTACK(_xlpm.acc, _xlpm.current_block)
            )
        )
    ),
    _xlpm.expanded_data
)</f>
        <v>ID</v>
      </c>
      <c r="K1" t="str">
        <v>CustomerID</v>
      </c>
      <c r="L1" t="str">
        <v>Date</v>
      </c>
      <c r="M1" t="str">
        <v>Amount</v>
      </c>
      <c r="N1" t="str">
        <v>FQ</v>
      </c>
      <c r="O1" t="str">
        <v>CQ</v>
      </c>
    </row>
    <row r="2" spans="1:15" x14ac:dyDescent="0.25">
      <c r="A2">
        <v>1</v>
      </c>
      <c r="B2">
        <v>18</v>
      </c>
      <c r="C2" s="57" t="s">
        <v>803</v>
      </c>
      <c r="D2">
        <v>49</v>
      </c>
      <c r="E2" s="36">
        <v>46190</v>
      </c>
      <c r="F2">
        <v>30368.224489795917</v>
      </c>
      <c r="G2" t="str">
        <f>" FY"&amp;RIGHT(IF(MONTH(recurrence[[#This Row],[StartDate]])&gt;=7,YEAR(recurrence[[#This Row],[StartDate]])+1,YEAR(recurrence[[#This Row],[StartDate]])),2)&amp;"-Q"&amp;IF(MONTH(recurrence[[#This Row],[StartDate]])&gt;=7,CEILING((MONTH(recurrence[[#This Row],[StartDate]])-6)/3,1),CEILING((MONTH(recurrence[[#This Row],[StartDate]])+6)/3,1))</f>
        <v xml:space="preserve"> FY26-Q4</v>
      </c>
      <c r="H2" t="str">
        <f>"CY"&amp;RIGHT(YEAR(recurrence[[#This Row],[StartDate]]),2)&amp;"-Q"&amp;ROUNDUP(MONTH(recurrence[[#This Row],[StartDate]])/3, 0)</f>
        <v>CY26-Q2</v>
      </c>
      <c r="J2">
        <v>1</v>
      </c>
      <c r="K2">
        <v>18</v>
      </c>
      <c r="L2">
        <v>46190</v>
      </c>
      <c r="M2">
        <v>30368.224489795917</v>
      </c>
      <c r="N2" t="str">
        <v xml:space="preserve"> FY26-Q4</v>
      </c>
      <c r="O2" t="str">
        <v>CY26-Q2</v>
      </c>
    </row>
    <row r="3" spans="1:15" x14ac:dyDescent="0.25">
      <c r="A3">
        <v>2</v>
      </c>
      <c r="B3">
        <v>10</v>
      </c>
      <c r="C3" s="57" t="s">
        <v>804</v>
      </c>
      <c r="D3">
        <v>35</v>
      </c>
      <c r="E3" s="36">
        <v>46008</v>
      </c>
      <c r="F3">
        <v>50912.514285714286</v>
      </c>
      <c r="G3" t="str">
        <f>" FY"&amp;RIGHT(IF(MONTH(recurrence[[#This Row],[StartDate]])&gt;=7,YEAR(recurrence[[#This Row],[StartDate]])+1,YEAR(recurrence[[#This Row],[StartDate]])),2)&amp;"-Q"&amp;IF(MONTH(recurrence[[#This Row],[StartDate]])&gt;=7,CEILING((MONTH(recurrence[[#This Row],[StartDate]])-6)/3,1),CEILING((MONTH(recurrence[[#This Row],[StartDate]])+6)/3,1))</f>
        <v xml:space="preserve"> FY26-Q2</v>
      </c>
      <c r="H3" t="str">
        <f>"CY"&amp;RIGHT(YEAR(recurrence[[#This Row],[StartDate]]),2)&amp;"-Q"&amp;ROUNDUP(MONTH(recurrence[[#This Row],[StartDate]])/3, 0)</f>
        <v>CY25-Q4</v>
      </c>
      <c r="J3">
        <v>1</v>
      </c>
      <c r="K3">
        <v>18</v>
      </c>
      <c r="L3">
        <v>46555</v>
      </c>
      <c r="M3">
        <v>30368.224489795917</v>
      </c>
      <c r="N3" t="str">
        <v xml:space="preserve"> FY26-Q4</v>
      </c>
      <c r="O3" t="str">
        <v>CY26-Q2</v>
      </c>
    </row>
    <row r="4" spans="1:15" x14ac:dyDescent="0.25">
      <c r="A4">
        <v>4</v>
      </c>
      <c r="B4">
        <v>12</v>
      </c>
      <c r="C4" s="57" t="s">
        <v>803</v>
      </c>
      <c r="D4">
        <v>32</v>
      </c>
      <c r="E4" s="36">
        <v>46096</v>
      </c>
      <c r="F4">
        <v>23274.96875</v>
      </c>
      <c r="G4" t="str">
        <f>" FY"&amp;RIGHT(IF(MONTH(recurrence[[#This Row],[StartDate]])&gt;=7,YEAR(recurrence[[#This Row],[StartDate]])+1,YEAR(recurrence[[#This Row],[StartDate]])),2)&amp;"-Q"&amp;IF(MONTH(recurrence[[#This Row],[StartDate]])&gt;=7,CEILING((MONTH(recurrence[[#This Row],[StartDate]])-6)/3,1),CEILING((MONTH(recurrence[[#This Row],[StartDate]])+6)/3,1))</f>
        <v xml:space="preserve"> FY26-Q3</v>
      </c>
      <c r="H4" t="str">
        <f>"CY"&amp;RIGHT(YEAR(recurrence[[#This Row],[StartDate]]),2)&amp;"-Q"&amp;ROUNDUP(MONTH(recurrence[[#This Row],[StartDate]])/3, 0)</f>
        <v>CY26-Q1</v>
      </c>
      <c r="J4">
        <v>1</v>
      </c>
      <c r="K4">
        <v>18</v>
      </c>
      <c r="L4">
        <v>46920</v>
      </c>
      <c r="M4">
        <v>30368.224489795917</v>
      </c>
      <c r="N4" t="str">
        <v xml:space="preserve"> FY26-Q4</v>
      </c>
      <c r="O4" t="str">
        <v>CY26-Q2</v>
      </c>
    </row>
    <row r="5" spans="1:15" x14ac:dyDescent="0.25">
      <c r="A5">
        <v>5</v>
      </c>
      <c r="B5">
        <v>12</v>
      </c>
      <c r="C5" s="57" t="s">
        <v>806</v>
      </c>
      <c r="D5">
        <v>20</v>
      </c>
      <c r="E5" s="36">
        <v>46441</v>
      </c>
      <c r="F5">
        <v>62426.1</v>
      </c>
      <c r="G5" t="str">
        <f>" FY"&amp;RIGHT(IF(MONTH(recurrence[[#This Row],[StartDate]])&gt;=7,YEAR(recurrence[[#This Row],[StartDate]])+1,YEAR(recurrence[[#This Row],[StartDate]])),2)&amp;"-Q"&amp;IF(MONTH(recurrence[[#This Row],[StartDate]])&gt;=7,CEILING((MONTH(recurrence[[#This Row],[StartDate]])-6)/3,1),CEILING((MONTH(recurrence[[#This Row],[StartDate]])+6)/3,1))</f>
        <v xml:space="preserve"> FY27-Q3</v>
      </c>
      <c r="H5" t="str">
        <f>"CY"&amp;RIGHT(YEAR(recurrence[[#This Row],[StartDate]]),2)&amp;"-Q"&amp;ROUNDUP(MONTH(recurrence[[#This Row],[StartDate]])/3, 0)</f>
        <v>CY27-Q1</v>
      </c>
      <c r="J5">
        <v>1</v>
      </c>
      <c r="K5">
        <v>18</v>
      </c>
      <c r="L5">
        <v>47285</v>
      </c>
      <c r="M5">
        <v>30368.224489795917</v>
      </c>
      <c r="N5" t="str">
        <v xml:space="preserve"> FY26-Q4</v>
      </c>
      <c r="O5" t="str">
        <v>CY26-Q2</v>
      </c>
    </row>
    <row r="6" spans="1:15" x14ac:dyDescent="0.25">
      <c r="A6">
        <v>6</v>
      </c>
      <c r="B6">
        <v>13</v>
      </c>
      <c r="C6" s="57" t="s">
        <v>806</v>
      </c>
      <c r="D6">
        <v>14</v>
      </c>
      <c r="E6" s="36">
        <v>46199</v>
      </c>
      <c r="F6">
        <v>59007.5</v>
      </c>
      <c r="G6" t="str">
        <f>" FY"&amp;RIGHT(IF(MONTH(recurrence[[#This Row],[StartDate]])&gt;=7,YEAR(recurrence[[#This Row],[StartDate]])+1,YEAR(recurrence[[#This Row],[StartDate]])),2)&amp;"-Q"&amp;IF(MONTH(recurrence[[#This Row],[StartDate]])&gt;=7,CEILING((MONTH(recurrence[[#This Row],[StartDate]])-6)/3,1),CEILING((MONTH(recurrence[[#This Row],[StartDate]])+6)/3,1))</f>
        <v xml:space="preserve"> FY26-Q4</v>
      </c>
      <c r="H6" t="str">
        <f>"CY"&amp;RIGHT(YEAR(recurrence[[#This Row],[StartDate]]),2)&amp;"-Q"&amp;ROUNDUP(MONTH(recurrence[[#This Row],[StartDate]])/3, 0)</f>
        <v>CY26-Q2</v>
      </c>
      <c r="J6">
        <v>1</v>
      </c>
      <c r="K6">
        <v>18</v>
      </c>
      <c r="L6">
        <v>47650</v>
      </c>
      <c r="M6">
        <v>30368.224489795917</v>
      </c>
      <c r="N6" t="str">
        <v xml:space="preserve"> FY26-Q4</v>
      </c>
      <c r="O6" t="str">
        <v>CY26-Q2</v>
      </c>
    </row>
    <row r="7" spans="1:15" x14ac:dyDescent="0.25">
      <c r="A7">
        <v>7</v>
      </c>
      <c r="B7">
        <v>14</v>
      </c>
      <c r="C7" s="57" t="s">
        <v>807</v>
      </c>
      <c r="D7">
        <v>22</v>
      </c>
      <c r="E7" s="36">
        <v>46413</v>
      </c>
      <c r="F7">
        <v>45568.818181818184</v>
      </c>
      <c r="G7" t="str">
        <f>" FY"&amp;RIGHT(IF(MONTH(recurrence[[#This Row],[StartDate]])&gt;=7,YEAR(recurrence[[#This Row],[StartDate]])+1,YEAR(recurrence[[#This Row],[StartDate]])),2)&amp;"-Q"&amp;IF(MONTH(recurrence[[#This Row],[StartDate]])&gt;=7,CEILING((MONTH(recurrence[[#This Row],[StartDate]])-6)/3,1),CEILING((MONTH(recurrence[[#This Row],[StartDate]])+6)/3,1))</f>
        <v xml:space="preserve"> FY27-Q3</v>
      </c>
      <c r="H7" t="str">
        <f>"CY"&amp;RIGHT(YEAR(recurrence[[#This Row],[StartDate]]),2)&amp;"-Q"&amp;ROUNDUP(MONTH(recurrence[[#This Row],[StartDate]])/3, 0)</f>
        <v>CY27-Q1</v>
      </c>
      <c r="J7">
        <v>1</v>
      </c>
      <c r="K7">
        <v>18</v>
      </c>
      <c r="L7">
        <v>48015</v>
      </c>
      <c r="M7">
        <v>30368.224489795917</v>
      </c>
      <c r="N7" t="str">
        <v xml:space="preserve"> FY26-Q4</v>
      </c>
      <c r="O7" t="str">
        <v>CY26-Q2</v>
      </c>
    </row>
    <row r="8" spans="1:15" x14ac:dyDescent="0.25">
      <c r="A8">
        <v>8</v>
      </c>
      <c r="B8">
        <v>13</v>
      </c>
      <c r="C8" s="57" t="s">
        <v>806</v>
      </c>
      <c r="D8">
        <v>15</v>
      </c>
      <c r="E8" s="36">
        <v>46027</v>
      </c>
      <c r="F8">
        <v>66906.8</v>
      </c>
      <c r="G8" t="str">
        <f>" FY"&amp;RIGHT(IF(MONTH(recurrence[[#This Row],[StartDate]])&gt;=7,YEAR(recurrence[[#This Row],[StartDate]])+1,YEAR(recurrence[[#This Row],[StartDate]])),2)&amp;"-Q"&amp;IF(MONTH(recurrence[[#This Row],[StartDate]])&gt;=7,CEILING((MONTH(recurrence[[#This Row],[StartDate]])-6)/3,1),CEILING((MONTH(recurrence[[#This Row],[StartDate]])+6)/3,1))</f>
        <v xml:space="preserve"> FY26-Q3</v>
      </c>
      <c r="H8" t="str">
        <f>"CY"&amp;RIGHT(YEAR(recurrence[[#This Row],[StartDate]]),2)&amp;"-Q"&amp;ROUNDUP(MONTH(recurrence[[#This Row],[StartDate]])/3, 0)</f>
        <v>CY26-Q1</v>
      </c>
      <c r="J8">
        <v>1</v>
      </c>
      <c r="K8">
        <v>18</v>
      </c>
      <c r="L8">
        <v>48380</v>
      </c>
      <c r="M8">
        <v>30368.224489795917</v>
      </c>
      <c r="N8" t="str">
        <v xml:space="preserve"> FY26-Q4</v>
      </c>
      <c r="O8" t="str">
        <v>CY26-Q2</v>
      </c>
    </row>
    <row r="9" spans="1:15" x14ac:dyDescent="0.25">
      <c r="A9">
        <v>9</v>
      </c>
      <c r="B9">
        <v>26</v>
      </c>
      <c r="C9" s="57" t="s">
        <v>803</v>
      </c>
      <c r="D9">
        <v>25</v>
      </c>
      <c r="E9" s="36">
        <v>46222</v>
      </c>
      <c r="F9">
        <v>52426.92</v>
      </c>
      <c r="G9" t="str">
        <f>" FY"&amp;RIGHT(IF(MONTH(recurrence[[#This Row],[StartDate]])&gt;=7,YEAR(recurrence[[#This Row],[StartDate]])+1,YEAR(recurrence[[#This Row],[StartDate]])),2)&amp;"-Q"&amp;IF(MONTH(recurrence[[#This Row],[StartDate]])&gt;=7,CEILING((MONTH(recurrence[[#This Row],[StartDate]])-6)/3,1),CEILING((MONTH(recurrence[[#This Row],[StartDate]])+6)/3,1))</f>
        <v xml:space="preserve"> FY27-Q1</v>
      </c>
      <c r="H9" t="str">
        <f>"CY"&amp;RIGHT(YEAR(recurrence[[#This Row],[StartDate]]),2)&amp;"-Q"&amp;ROUNDUP(MONTH(recurrence[[#This Row],[StartDate]])/3, 0)</f>
        <v>CY26-Q3</v>
      </c>
      <c r="J9">
        <v>1</v>
      </c>
      <c r="K9">
        <v>18</v>
      </c>
      <c r="L9">
        <v>48745</v>
      </c>
      <c r="M9">
        <v>30368.224489795917</v>
      </c>
      <c r="N9" t="str">
        <v xml:space="preserve"> FY26-Q4</v>
      </c>
      <c r="O9" t="str">
        <v>CY26-Q2</v>
      </c>
    </row>
    <row r="10" spans="1:15" x14ac:dyDescent="0.25">
      <c r="A10">
        <v>11</v>
      </c>
      <c r="B10">
        <v>3</v>
      </c>
      <c r="C10" s="57" t="s">
        <v>807</v>
      </c>
      <c r="D10">
        <v>56</v>
      </c>
      <c r="E10" s="36">
        <v>46400</v>
      </c>
      <c r="F10">
        <v>36019.285714285717</v>
      </c>
      <c r="G10" t="str">
        <f>" FY"&amp;RIGHT(IF(MONTH(recurrence[[#This Row],[StartDate]])&gt;=7,YEAR(recurrence[[#This Row],[StartDate]])+1,YEAR(recurrence[[#This Row],[StartDate]])),2)&amp;"-Q"&amp;IF(MONTH(recurrence[[#This Row],[StartDate]])&gt;=7,CEILING((MONTH(recurrence[[#This Row],[StartDate]])-6)/3,1),CEILING((MONTH(recurrence[[#This Row],[StartDate]])+6)/3,1))</f>
        <v xml:space="preserve"> FY27-Q3</v>
      </c>
      <c r="H10" t="str">
        <f>"CY"&amp;RIGHT(YEAR(recurrence[[#This Row],[StartDate]]),2)&amp;"-Q"&amp;ROUNDUP(MONTH(recurrence[[#This Row],[StartDate]])/3, 0)</f>
        <v>CY27-Q1</v>
      </c>
      <c r="J10">
        <v>1</v>
      </c>
      <c r="K10">
        <v>18</v>
      </c>
      <c r="L10">
        <v>49110</v>
      </c>
      <c r="M10">
        <v>30368.224489795917</v>
      </c>
      <c r="N10" t="str">
        <v xml:space="preserve"> FY26-Q4</v>
      </c>
      <c r="O10" t="str">
        <v>CY26-Q2</v>
      </c>
    </row>
    <row r="11" spans="1:15" x14ac:dyDescent="0.25">
      <c r="A11">
        <v>12</v>
      </c>
      <c r="B11">
        <v>17</v>
      </c>
      <c r="C11" s="57" t="s">
        <v>803</v>
      </c>
      <c r="D11">
        <v>13</v>
      </c>
      <c r="E11" s="36">
        <v>46313</v>
      </c>
      <c r="F11">
        <v>83625</v>
      </c>
      <c r="G11" t="str">
        <f>" FY"&amp;RIGHT(IF(MONTH(recurrence[[#This Row],[StartDate]])&gt;=7,YEAR(recurrence[[#This Row],[StartDate]])+1,YEAR(recurrence[[#This Row],[StartDate]])),2)&amp;"-Q"&amp;IF(MONTH(recurrence[[#This Row],[StartDate]])&gt;=7,CEILING((MONTH(recurrence[[#This Row],[StartDate]])-6)/3,1),CEILING((MONTH(recurrence[[#This Row],[StartDate]])+6)/3,1))</f>
        <v xml:space="preserve"> FY27-Q2</v>
      </c>
      <c r="H11" t="str">
        <f>"CY"&amp;RIGHT(YEAR(recurrence[[#This Row],[StartDate]]),2)&amp;"-Q"&amp;ROUNDUP(MONTH(recurrence[[#This Row],[StartDate]])/3, 0)</f>
        <v>CY26-Q4</v>
      </c>
      <c r="J11">
        <v>1</v>
      </c>
      <c r="K11">
        <v>18</v>
      </c>
      <c r="L11">
        <v>49475</v>
      </c>
      <c r="M11">
        <v>30368.224489795917</v>
      </c>
      <c r="N11" t="str">
        <v xml:space="preserve"> FY26-Q4</v>
      </c>
      <c r="O11" t="str">
        <v>CY26-Q2</v>
      </c>
    </row>
    <row r="12" spans="1:15" x14ac:dyDescent="0.25">
      <c r="A12">
        <v>13</v>
      </c>
      <c r="B12">
        <v>2</v>
      </c>
      <c r="C12" s="57" t="s">
        <v>804</v>
      </c>
      <c r="D12">
        <v>36</v>
      </c>
      <c r="E12" s="36">
        <v>46317</v>
      </c>
      <c r="F12">
        <v>34351.027777777781</v>
      </c>
      <c r="G12" t="str">
        <f>" FY"&amp;RIGHT(IF(MONTH(recurrence[[#This Row],[StartDate]])&gt;=7,YEAR(recurrence[[#This Row],[StartDate]])+1,YEAR(recurrence[[#This Row],[StartDate]])),2)&amp;"-Q"&amp;IF(MONTH(recurrence[[#This Row],[StartDate]])&gt;=7,CEILING((MONTH(recurrence[[#This Row],[StartDate]])-6)/3,1),CEILING((MONTH(recurrence[[#This Row],[StartDate]])+6)/3,1))</f>
        <v xml:space="preserve"> FY27-Q2</v>
      </c>
      <c r="H12" t="str">
        <f>"CY"&amp;RIGHT(YEAR(recurrence[[#This Row],[StartDate]]),2)&amp;"-Q"&amp;ROUNDUP(MONTH(recurrence[[#This Row],[StartDate]])/3, 0)</f>
        <v>CY26-Q4</v>
      </c>
      <c r="J12">
        <v>1</v>
      </c>
      <c r="K12">
        <v>18</v>
      </c>
      <c r="L12">
        <v>49840</v>
      </c>
      <c r="M12">
        <v>30368.224489795917</v>
      </c>
      <c r="N12" t="str">
        <v xml:space="preserve"> FY26-Q4</v>
      </c>
      <c r="O12" t="str">
        <v>CY26-Q2</v>
      </c>
    </row>
    <row r="13" spans="1:15" x14ac:dyDescent="0.25">
      <c r="A13">
        <v>14</v>
      </c>
      <c r="B13">
        <v>2</v>
      </c>
      <c r="C13" s="57" t="s">
        <v>803</v>
      </c>
      <c r="D13">
        <v>11</v>
      </c>
      <c r="E13" s="36">
        <v>46235</v>
      </c>
      <c r="F13">
        <v>96484.090909090912</v>
      </c>
      <c r="G13" t="str">
        <f>" FY"&amp;RIGHT(IF(MONTH(recurrence[[#This Row],[StartDate]])&gt;=7,YEAR(recurrence[[#This Row],[StartDate]])+1,YEAR(recurrence[[#This Row],[StartDate]])),2)&amp;"-Q"&amp;IF(MONTH(recurrence[[#This Row],[StartDate]])&gt;=7,CEILING((MONTH(recurrence[[#This Row],[StartDate]])-6)/3,1),CEILING((MONTH(recurrence[[#This Row],[StartDate]])+6)/3,1))</f>
        <v xml:space="preserve"> FY27-Q1</v>
      </c>
      <c r="H13" t="str">
        <f>"CY"&amp;RIGHT(YEAR(recurrence[[#This Row],[StartDate]]),2)&amp;"-Q"&amp;ROUNDUP(MONTH(recurrence[[#This Row],[StartDate]])/3, 0)</f>
        <v>CY26-Q3</v>
      </c>
      <c r="J13">
        <v>1</v>
      </c>
      <c r="K13">
        <v>18</v>
      </c>
      <c r="L13">
        <v>50205</v>
      </c>
      <c r="M13">
        <v>30368.224489795917</v>
      </c>
      <c r="N13" t="str">
        <v xml:space="preserve"> FY26-Q4</v>
      </c>
      <c r="O13" t="str">
        <v>CY26-Q2</v>
      </c>
    </row>
    <row r="14" spans="1:15" x14ac:dyDescent="0.25">
      <c r="A14">
        <v>15</v>
      </c>
      <c r="B14">
        <v>24</v>
      </c>
      <c r="C14" s="57" t="s">
        <v>804</v>
      </c>
      <c r="D14">
        <v>53</v>
      </c>
      <c r="E14" s="36">
        <v>46394</v>
      </c>
      <c r="F14">
        <v>28788.433962264149</v>
      </c>
      <c r="G14" t="str">
        <f>" FY"&amp;RIGHT(IF(MONTH(recurrence[[#This Row],[StartDate]])&gt;=7,YEAR(recurrence[[#This Row],[StartDate]])+1,YEAR(recurrence[[#This Row],[StartDate]])),2)&amp;"-Q"&amp;IF(MONTH(recurrence[[#This Row],[StartDate]])&gt;=7,CEILING((MONTH(recurrence[[#This Row],[StartDate]])-6)/3,1),CEILING((MONTH(recurrence[[#This Row],[StartDate]])+6)/3,1))</f>
        <v xml:space="preserve"> FY27-Q3</v>
      </c>
      <c r="H14" t="str">
        <f>"CY"&amp;RIGHT(YEAR(recurrence[[#This Row],[StartDate]]),2)&amp;"-Q"&amp;ROUNDUP(MONTH(recurrence[[#This Row],[StartDate]])/3, 0)</f>
        <v>CY27-Q1</v>
      </c>
      <c r="J14">
        <v>1</v>
      </c>
      <c r="K14">
        <v>18</v>
      </c>
      <c r="L14">
        <v>50570</v>
      </c>
      <c r="M14">
        <v>30368.224489795917</v>
      </c>
      <c r="N14" t="str">
        <v xml:space="preserve"> FY26-Q4</v>
      </c>
      <c r="O14" t="str">
        <v>CY26-Q2</v>
      </c>
    </row>
    <row r="15" spans="1:15" x14ac:dyDescent="0.25">
      <c r="A15">
        <v>16</v>
      </c>
      <c r="B15">
        <v>22</v>
      </c>
      <c r="C15" s="57" t="s">
        <v>807</v>
      </c>
      <c r="D15">
        <v>32</v>
      </c>
      <c r="E15" s="36">
        <v>46123</v>
      </c>
      <c r="F15">
        <v>29540.125</v>
      </c>
      <c r="G15" t="str">
        <f>" FY"&amp;RIGHT(IF(MONTH(recurrence[[#This Row],[StartDate]])&gt;=7,YEAR(recurrence[[#This Row],[StartDate]])+1,YEAR(recurrence[[#This Row],[StartDate]])),2)&amp;"-Q"&amp;IF(MONTH(recurrence[[#This Row],[StartDate]])&gt;=7,CEILING((MONTH(recurrence[[#This Row],[StartDate]])-6)/3,1),CEILING((MONTH(recurrence[[#This Row],[StartDate]])+6)/3,1))</f>
        <v xml:space="preserve"> FY26-Q4</v>
      </c>
      <c r="H15" t="str">
        <f>"CY"&amp;RIGHT(YEAR(recurrence[[#This Row],[StartDate]]),2)&amp;"-Q"&amp;ROUNDUP(MONTH(recurrence[[#This Row],[StartDate]])/3, 0)</f>
        <v>CY26-Q2</v>
      </c>
      <c r="J15">
        <v>1</v>
      </c>
      <c r="K15">
        <v>18</v>
      </c>
      <c r="L15">
        <v>50935</v>
      </c>
      <c r="M15">
        <v>30368.224489795917</v>
      </c>
      <c r="N15" t="str">
        <v xml:space="preserve"> FY26-Q4</v>
      </c>
      <c r="O15" t="str">
        <v>CY26-Q2</v>
      </c>
    </row>
    <row r="16" spans="1:15" x14ac:dyDescent="0.25">
      <c r="A16">
        <v>18</v>
      </c>
      <c r="B16">
        <v>9</v>
      </c>
      <c r="C16" s="57" t="s">
        <v>806</v>
      </c>
      <c r="D16">
        <v>12</v>
      </c>
      <c r="E16" s="36">
        <v>46231</v>
      </c>
      <c r="F16">
        <v>184844</v>
      </c>
      <c r="G16" t="str">
        <f>" FY"&amp;RIGHT(IF(MONTH(recurrence[[#This Row],[StartDate]])&gt;=7,YEAR(recurrence[[#This Row],[StartDate]])+1,YEAR(recurrence[[#This Row],[StartDate]])),2)&amp;"-Q"&amp;IF(MONTH(recurrence[[#This Row],[StartDate]])&gt;=7,CEILING((MONTH(recurrence[[#This Row],[StartDate]])-6)/3,1),CEILING((MONTH(recurrence[[#This Row],[StartDate]])+6)/3,1))</f>
        <v xml:space="preserve"> FY27-Q1</v>
      </c>
      <c r="H16" t="str">
        <f>"CY"&amp;RIGHT(YEAR(recurrence[[#This Row],[StartDate]]),2)&amp;"-Q"&amp;ROUNDUP(MONTH(recurrence[[#This Row],[StartDate]])/3, 0)</f>
        <v>CY26-Q3</v>
      </c>
      <c r="J16">
        <v>1</v>
      </c>
      <c r="K16">
        <v>18</v>
      </c>
      <c r="L16">
        <v>51300</v>
      </c>
      <c r="M16">
        <v>30368.224489795917</v>
      </c>
      <c r="N16" t="str">
        <v xml:space="preserve"> FY26-Q4</v>
      </c>
      <c r="O16" t="str">
        <v>CY26-Q2</v>
      </c>
    </row>
    <row r="17" spans="1:15" x14ac:dyDescent="0.25">
      <c r="A17">
        <v>20</v>
      </c>
      <c r="B17">
        <v>28</v>
      </c>
      <c r="C17" s="57" t="s">
        <v>803</v>
      </c>
      <c r="D17">
        <v>5</v>
      </c>
      <c r="E17" s="36">
        <v>46106</v>
      </c>
      <c r="F17">
        <v>232285.2</v>
      </c>
      <c r="G17" t="str">
        <f>" FY"&amp;RIGHT(IF(MONTH(recurrence[[#This Row],[StartDate]])&gt;=7,YEAR(recurrence[[#This Row],[StartDate]])+1,YEAR(recurrence[[#This Row],[StartDate]])),2)&amp;"-Q"&amp;IF(MONTH(recurrence[[#This Row],[StartDate]])&gt;=7,CEILING((MONTH(recurrence[[#This Row],[StartDate]])-6)/3,1),CEILING((MONTH(recurrence[[#This Row],[StartDate]])+6)/3,1))</f>
        <v xml:space="preserve"> FY26-Q3</v>
      </c>
      <c r="H17" t="str">
        <f>"CY"&amp;RIGHT(YEAR(recurrence[[#This Row],[StartDate]]),2)&amp;"-Q"&amp;ROUNDUP(MONTH(recurrence[[#This Row],[StartDate]])/3, 0)</f>
        <v>CY26-Q1</v>
      </c>
      <c r="J17">
        <v>1</v>
      </c>
      <c r="K17">
        <v>18</v>
      </c>
      <c r="L17">
        <v>51665</v>
      </c>
      <c r="M17">
        <v>30368.224489795917</v>
      </c>
      <c r="N17" t="str">
        <v xml:space="preserve"> FY26-Q4</v>
      </c>
      <c r="O17" t="str">
        <v>CY26-Q2</v>
      </c>
    </row>
    <row r="18" spans="1:15" x14ac:dyDescent="0.25">
      <c r="A18">
        <v>21</v>
      </c>
      <c r="B18">
        <v>1</v>
      </c>
      <c r="C18" s="57" t="s">
        <v>806</v>
      </c>
      <c r="D18">
        <v>35</v>
      </c>
      <c r="E18" s="36">
        <v>46095</v>
      </c>
      <c r="F18">
        <v>28636.799999999999</v>
      </c>
      <c r="G18" t="str">
        <f>" FY"&amp;RIGHT(IF(MONTH(recurrence[[#This Row],[StartDate]])&gt;=7,YEAR(recurrence[[#This Row],[StartDate]])+1,YEAR(recurrence[[#This Row],[StartDate]])),2)&amp;"-Q"&amp;IF(MONTH(recurrence[[#This Row],[StartDate]])&gt;=7,CEILING((MONTH(recurrence[[#This Row],[StartDate]])-6)/3,1),CEILING((MONTH(recurrence[[#This Row],[StartDate]])+6)/3,1))</f>
        <v xml:space="preserve"> FY26-Q3</v>
      </c>
      <c r="H18" t="str">
        <f>"CY"&amp;RIGHT(YEAR(recurrence[[#This Row],[StartDate]]),2)&amp;"-Q"&amp;ROUNDUP(MONTH(recurrence[[#This Row],[StartDate]])/3, 0)</f>
        <v>CY26-Q1</v>
      </c>
      <c r="J18">
        <v>1</v>
      </c>
      <c r="K18">
        <v>18</v>
      </c>
      <c r="L18">
        <v>52030</v>
      </c>
      <c r="M18">
        <v>30368.224489795917</v>
      </c>
      <c r="N18" t="str">
        <v xml:space="preserve"> FY26-Q4</v>
      </c>
      <c r="O18" t="str">
        <v>CY26-Q2</v>
      </c>
    </row>
    <row r="19" spans="1:15" x14ac:dyDescent="0.25">
      <c r="A19">
        <v>22</v>
      </c>
      <c r="B19">
        <v>11</v>
      </c>
      <c r="C19" s="57" t="s">
        <v>804</v>
      </c>
      <c r="D19">
        <v>5</v>
      </c>
      <c r="E19" s="36">
        <v>46245</v>
      </c>
      <c r="F19">
        <v>304957.40000000002</v>
      </c>
      <c r="G19" t="str">
        <f>" FY"&amp;RIGHT(IF(MONTH(recurrence[[#This Row],[StartDate]])&gt;=7,YEAR(recurrence[[#This Row],[StartDate]])+1,YEAR(recurrence[[#This Row],[StartDate]])),2)&amp;"-Q"&amp;IF(MONTH(recurrence[[#This Row],[StartDate]])&gt;=7,CEILING((MONTH(recurrence[[#This Row],[StartDate]])-6)/3,1),CEILING((MONTH(recurrence[[#This Row],[StartDate]])+6)/3,1))</f>
        <v xml:space="preserve"> FY27-Q1</v>
      </c>
      <c r="H19" t="str">
        <f>"CY"&amp;RIGHT(YEAR(recurrence[[#This Row],[StartDate]]),2)&amp;"-Q"&amp;ROUNDUP(MONTH(recurrence[[#This Row],[StartDate]])/3, 0)</f>
        <v>CY26-Q3</v>
      </c>
      <c r="J19">
        <v>1</v>
      </c>
      <c r="K19">
        <v>18</v>
      </c>
      <c r="L19">
        <v>52395</v>
      </c>
      <c r="M19">
        <v>30368.224489795917</v>
      </c>
      <c r="N19" t="str">
        <v xml:space="preserve"> FY26-Q4</v>
      </c>
      <c r="O19" t="str">
        <v>CY26-Q2</v>
      </c>
    </row>
    <row r="20" spans="1:15" x14ac:dyDescent="0.25">
      <c r="A20">
        <v>23</v>
      </c>
      <c r="B20">
        <v>11</v>
      </c>
      <c r="C20" s="57" t="s">
        <v>806</v>
      </c>
      <c r="D20">
        <v>51</v>
      </c>
      <c r="E20" s="36">
        <v>45981</v>
      </c>
      <c r="F20">
        <v>22278.862745098038</v>
      </c>
      <c r="G20" t="str">
        <f>" FY"&amp;RIGHT(IF(MONTH(recurrence[[#This Row],[StartDate]])&gt;=7,YEAR(recurrence[[#This Row],[StartDate]])+1,YEAR(recurrence[[#This Row],[StartDate]])),2)&amp;"-Q"&amp;IF(MONTH(recurrence[[#This Row],[StartDate]])&gt;=7,CEILING((MONTH(recurrence[[#This Row],[StartDate]])-6)/3,1),CEILING((MONTH(recurrence[[#This Row],[StartDate]])+6)/3,1))</f>
        <v xml:space="preserve"> FY26-Q2</v>
      </c>
      <c r="H20" t="str">
        <f>"CY"&amp;RIGHT(YEAR(recurrence[[#This Row],[StartDate]]),2)&amp;"-Q"&amp;ROUNDUP(MONTH(recurrence[[#This Row],[StartDate]])/3, 0)</f>
        <v>CY25-Q4</v>
      </c>
      <c r="J20">
        <v>1</v>
      </c>
      <c r="K20">
        <v>18</v>
      </c>
      <c r="L20">
        <v>52760</v>
      </c>
      <c r="M20">
        <v>30368.224489795917</v>
      </c>
      <c r="N20" t="str">
        <v xml:space="preserve"> FY26-Q4</v>
      </c>
      <c r="O20" t="str">
        <v>CY26-Q2</v>
      </c>
    </row>
    <row r="21" spans="1:15" x14ac:dyDescent="0.25">
      <c r="A21">
        <v>24</v>
      </c>
      <c r="B21">
        <v>27</v>
      </c>
      <c r="C21" s="57" t="s">
        <v>803</v>
      </c>
      <c r="D21">
        <v>8</v>
      </c>
      <c r="E21" s="36">
        <v>46087</v>
      </c>
      <c r="F21">
        <v>124360.25</v>
      </c>
      <c r="G21" t="str">
        <f>" FY"&amp;RIGHT(IF(MONTH(recurrence[[#This Row],[StartDate]])&gt;=7,YEAR(recurrence[[#This Row],[StartDate]])+1,YEAR(recurrence[[#This Row],[StartDate]])),2)&amp;"-Q"&amp;IF(MONTH(recurrence[[#This Row],[StartDate]])&gt;=7,CEILING((MONTH(recurrence[[#This Row],[StartDate]])-6)/3,1),CEILING((MONTH(recurrence[[#This Row],[StartDate]])+6)/3,1))</f>
        <v xml:space="preserve"> FY26-Q3</v>
      </c>
      <c r="H21" t="str">
        <f>"CY"&amp;RIGHT(YEAR(recurrence[[#This Row],[StartDate]]),2)&amp;"-Q"&amp;ROUNDUP(MONTH(recurrence[[#This Row],[StartDate]])/3, 0)</f>
        <v>CY26-Q1</v>
      </c>
      <c r="J21">
        <v>1</v>
      </c>
      <c r="K21">
        <v>18</v>
      </c>
      <c r="L21">
        <v>53125</v>
      </c>
      <c r="M21">
        <v>30368.224489795917</v>
      </c>
      <c r="N21" t="str">
        <v xml:space="preserve"> FY26-Q4</v>
      </c>
      <c r="O21" t="str">
        <v>CY26-Q2</v>
      </c>
    </row>
    <row r="22" spans="1:15" x14ac:dyDescent="0.25">
      <c r="A22">
        <v>25</v>
      </c>
      <c r="B22">
        <v>14</v>
      </c>
      <c r="C22" s="57" t="s">
        <v>807</v>
      </c>
      <c r="D22">
        <v>11</v>
      </c>
      <c r="E22" s="36">
        <v>46427</v>
      </c>
      <c r="F22">
        <v>95662.545454545456</v>
      </c>
      <c r="G22" t="str">
        <f>" FY"&amp;RIGHT(IF(MONTH(recurrence[[#This Row],[StartDate]])&gt;=7,YEAR(recurrence[[#This Row],[StartDate]])+1,YEAR(recurrence[[#This Row],[StartDate]])),2)&amp;"-Q"&amp;IF(MONTH(recurrence[[#This Row],[StartDate]])&gt;=7,CEILING((MONTH(recurrence[[#This Row],[StartDate]])-6)/3,1),CEILING((MONTH(recurrence[[#This Row],[StartDate]])+6)/3,1))</f>
        <v xml:space="preserve"> FY27-Q3</v>
      </c>
      <c r="H22" t="str">
        <f>"CY"&amp;RIGHT(YEAR(recurrence[[#This Row],[StartDate]]),2)&amp;"-Q"&amp;ROUNDUP(MONTH(recurrence[[#This Row],[StartDate]])/3, 0)</f>
        <v>CY27-Q1</v>
      </c>
      <c r="J22">
        <v>1</v>
      </c>
      <c r="K22">
        <v>18</v>
      </c>
      <c r="L22">
        <v>53490</v>
      </c>
      <c r="M22">
        <v>30368.224489795917</v>
      </c>
      <c r="N22" t="str">
        <v xml:space="preserve"> FY26-Q4</v>
      </c>
      <c r="O22" t="str">
        <v>CY26-Q2</v>
      </c>
    </row>
    <row r="23" spans="1:15" x14ac:dyDescent="0.25">
      <c r="A23">
        <v>26</v>
      </c>
      <c r="B23">
        <v>1</v>
      </c>
      <c r="C23" s="57" t="s">
        <v>804</v>
      </c>
      <c r="D23">
        <v>2</v>
      </c>
      <c r="E23" s="36">
        <v>45933</v>
      </c>
      <c r="F23">
        <v>408227</v>
      </c>
      <c r="G23" t="str">
        <f>" FY"&amp;RIGHT(IF(MONTH(recurrence[[#This Row],[StartDate]])&gt;=7,YEAR(recurrence[[#This Row],[StartDate]])+1,YEAR(recurrence[[#This Row],[StartDate]])),2)&amp;"-Q"&amp;IF(MONTH(recurrence[[#This Row],[StartDate]])&gt;=7,CEILING((MONTH(recurrence[[#This Row],[StartDate]])-6)/3,1),CEILING((MONTH(recurrence[[#This Row],[StartDate]])+6)/3,1))</f>
        <v xml:space="preserve"> FY26-Q2</v>
      </c>
      <c r="H23" t="str">
        <f>"CY"&amp;RIGHT(YEAR(recurrence[[#This Row],[StartDate]]),2)&amp;"-Q"&amp;ROUNDUP(MONTH(recurrence[[#This Row],[StartDate]])/3, 0)</f>
        <v>CY25-Q4</v>
      </c>
      <c r="J23">
        <v>1</v>
      </c>
      <c r="K23">
        <v>18</v>
      </c>
      <c r="L23">
        <v>53855</v>
      </c>
      <c r="M23">
        <v>30368.224489795917</v>
      </c>
      <c r="N23" t="str">
        <v xml:space="preserve"> FY26-Q4</v>
      </c>
      <c r="O23" t="str">
        <v>CY26-Q2</v>
      </c>
    </row>
    <row r="24" spans="1:15" x14ac:dyDescent="0.25">
      <c r="A24">
        <v>27</v>
      </c>
      <c r="B24">
        <v>2</v>
      </c>
      <c r="C24" s="57" t="s">
        <v>807</v>
      </c>
      <c r="D24">
        <v>19</v>
      </c>
      <c r="E24" s="36">
        <v>46251</v>
      </c>
      <c r="F24">
        <v>87702.31578947368</v>
      </c>
      <c r="G24" t="str">
        <f>" FY"&amp;RIGHT(IF(MONTH(recurrence[[#This Row],[StartDate]])&gt;=7,YEAR(recurrence[[#This Row],[StartDate]])+1,YEAR(recurrence[[#This Row],[StartDate]])),2)&amp;"-Q"&amp;IF(MONTH(recurrence[[#This Row],[StartDate]])&gt;=7,CEILING((MONTH(recurrence[[#This Row],[StartDate]])-6)/3,1),CEILING((MONTH(recurrence[[#This Row],[StartDate]])+6)/3,1))</f>
        <v xml:space="preserve"> FY27-Q1</v>
      </c>
      <c r="H24" t="str">
        <f>"CY"&amp;RIGHT(YEAR(recurrence[[#This Row],[StartDate]]),2)&amp;"-Q"&amp;ROUNDUP(MONTH(recurrence[[#This Row],[StartDate]])/3, 0)</f>
        <v>CY26-Q3</v>
      </c>
      <c r="J24">
        <v>1</v>
      </c>
      <c r="K24">
        <v>18</v>
      </c>
      <c r="L24">
        <v>54220</v>
      </c>
      <c r="M24">
        <v>30368.224489795917</v>
      </c>
      <c r="N24" t="str">
        <v xml:space="preserve"> FY26-Q4</v>
      </c>
      <c r="O24" t="str">
        <v>CY26-Q2</v>
      </c>
    </row>
    <row r="25" spans="1:15" x14ac:dyDescent="0.25">
      <c r="A25">
        <v>28</v>
      </c>
      <c r="B25">
        <v>1</v>
      </c>
      <c r="C25" s="57" t="s">
        <v>807</v>
      </c>
      <c r="D25">
        <v>47</v>
      </c>
      <c r="E25" s="36">
        <v>46342</v>
      </c>
      <c r="F25">
        <v>25817.659574468085</v>
      </c>
      <c r="G25" t="str">
        <f>" FY"&amp;RIGHT(IF(MONTH(recurrence[[#This Row],[StartDate]])&gt;=7,YEAR(recurrence[[#This Row],[StartDate]])+1,YEAR(recurrence[[#This Row],[StartDate]])),2)&amp;"-Q"&amp;IF(MONTH(recurrence[[#This Row],[StartDate]])&gt;=7,CEILING((MONTH(recurrence[[#This Row],[StartDate]])-6)/3,1),CEILING((MONTH(recurrence[[#This Row],[StartDate]])+6)/3,1))</f>
        <v xml:space="preserve"> FY27-Q2</v>
      </c>
      <c r="H25" t="str">
        <f>"CY"&amp;RIGHT(YEAR(recurrence[[#This Row],[StartDate]]),2)&amp;"-Q"&amp;ROUNDUP(MONTH(recurrence[[#This Row],[StartDate]])/3, 0)</f>
        <v>CY26-Q4</v>
      </c>
      <c r="J25">
        <v>1</v>
      </c>
      <c r="K25">
        <v>18</v>
      </c>
      <c r="L25">
        <v>54585</v>
      </c>
      <c r="M25">
        <v>30368.224489795917</v>
      </c>
      <c r="N25" t="str">
        <v xml:space="preserve"> FY26-Q4</v>
      </c>
      <c r="O25" t="str">
        <v>CY26-Q2</v>
      </c>
    </row>
    <row r="26" spans="1:15" x14ac:dyDescent="0.25">
      <c r="A26">
        <v>29</v>
      </c>
      <c r="B26">
        <v>10</v>
      </c>
      <c r="C26" s="57" t="s">
        <v>806</v>
      </c>
      <c r="D26">
        <v>8</v>
      </c>
      <c r="E26" s="36">
        <v>46150</v>
      </c>
      <c r="F26">
        <v>225720.125</v>
      </c>
      <c r="G26" t="str">
        <f>" FY"&amp;RIGHT(IF(MONTH(recurrence[[#This Row],[StartDate]])&gt;=7,YEAR(recurrence[[#This Row],[StartDate]])+1,YEAR(recurrence[[#This Row],[StartDate]])),2)&amp;"-Q"&amp;IF(MONTH(recurrence[[#This Row],[StartDate]])&gt;=7,CEILING((MONTH(recurrence[[#This Row],[StartDate]])-6)/3,1),CEILING((MONTH(recurrence[[#This Row],[StartDate]])+6)/3,1))</f>
        <v xml:space="preserve"> FY26-Q4</v>
      </c>
      <c r="H26" t="str">
        <f>"CY"&amp;RIGHT(YEAR(recurrence[[#This Row],[StartDate]]),2)&amp;"-Q"&amp;ROUNDUP(MONTH(recurrence[[#This Row],[StartDate]])/3, 0)</f>
        <v>CY26-Q2</v>
      </c>
      <c r="J26">
        <v>1</v>
      </c>
      <c r="K26">
        <v>18</v>
      </c>
      <c r="L26">
        <v>54950</v>
      </c>
      <c r="M26">
        <v>30368.224489795917</v>
      </c>
      <c r="N26" t="str">
        <v xml:space="preserve"> FY26-Q4</v>
      </c>
      <c r="O26" t="str">
        <v>CY26-Q2</v>
      </c>
    </row>
    <row r="27" spans="1:15" x14ac:dyDescent="0.25">
      <c r="A27">
        <v>30</v>
      </c>
      <c r="B27">
        <v>1</v>
      </c>
      <c r="C27" s="57" t="s">
        <v>803</v>
      </c>
      <c r="D27">
        <v>50</v>
      </c>
      <c r="E27" s="36">
        <v>46316</v>
      </c>
      <c r="F27">
        <v>23443.279999999999</v>
      </c>
      <c r="G27" t="str">
        <f>" FY"&amp;RIGHT(IF(MONTH(recurrence[[#This Row],[StartDate]])&gt;=7,YEAR(recurrence[[#This Row],[StartDate]])+1,YEAR(recurrence[[#This Row],[StartDate]])),2)&amp;"-Q"&amp;IF(MONTH(recurrence[[#This Row],[StartDate]])&gt;=7,CEILING((MONTH(recurrence[[#This Row],[StartDate]])-6)/3,1),CEILING((MONTH(recurrence[[#This Row],[StartDate]])+6)/3,1))</f>
        <v xml:space="preserve"> FY27-Q2</v>
      </c>
      <c r="H27" t="str">
        <f>"CY"&amp;RIGHT(YEAR(recurrence[[#This Row],[StartDate]]),2)&amp;"-Q"&amp;ROUNDUP(MONTH(recurrence[[#This Row],[StartDate]])/3, 0)</f>
        <v>CY26-Q4</v>
      </c>
      <c r="J27">
        <v>1</v>
      </c>
      <c r="K27">
        <v>18</v>
      </c>
      <c r="L27">
        <v>55315</v>
      </c>
      <c r="M27">
        <v>30368.224489795917</v>
      </c>
      <c r="N27" t="str">
        <v xml:space="preserve"> FY26-Q4</v>
      </c>
      <c r="O27" t="str">
        <v>CY26-Q2</v>
      </c>
    </row>
    <row r="28" spans="1:15" x14ac:dyDescent="0.25">
      <c r="A28">
        <v>31</v>
      </c>
      <c r="B28">
        <v>15</v>
      </c>
      <c r="C28" s="57" t="s">
        <v>806</v>
      </c>
      <c r="D28">
        <v>4</v>
      </c>
      <c r="E28" s="36">
        <v>46164</v>
      </c>
      <c r="F28">
        <v>192216.25</v>
      </c>
      <c r="G28" t="str">
        <f>" FY"&amp;RIGHT(IF(MONTH(recurrence[[#This Row],[StartDate]])&gt;=7,YEAR(recurrence[[#This Row],[StartDate]])+1,YEAR(recurrence[[#This Row],[StartDate]])),2)&amp;"-Q"&amp;IF(MONTH(recurrence[[#This Row],[StartDate]])&gt;=7,CEILING((MONTH(recurrence[[#This Row],[StartDate]])-6)/3,1),CEILING((MONTH(recurrence[[#This Row],[StartDate]])+6)/3,1))</f>
        <v xml:space="preserve"> FY26-Q4</v>
      </c>
      <c r="H28" t="str">
        <f>"CY"&amp;RIGHT(YEAR(recurrence[[#This Row],[StartDate]]),2)&amp;"-Q"&amp;ROUNDUP(MONTH(recurrence[[#This Row],[StartDate]])/3, 0)</f>
        <v>CY26-Q2</v>
      </c>
      <c r="J28">
        <v>1</v>
      </c>
      <c r="K28">
        <v>18</v>
      </c>
      <c r="L28">
        <v>55680</v>
      </c>
      <c r="M28">
        <v>30368.224489795917</v>
      </c>
      <c r="N28" t="str">
        <v xml:space="preserve"> FY26-Q4</v>
      </c>
      <c r="O28" t="str">
        <v>CY26-Q2</v>
      </c>
    </row>
    <row r="29" spans="1:15" x14ac:dyDescent="0.25">
      <c r="A29">
        <v>32</v>
      </c>
      <c r="B29">
        <v>29</v>
      </c>
      <c r="C29" s="57" t="s">
        <v>803</v>
      </c>
      <c r="D29">
        <v>30</v>
      </c>
      <c r="E29" s="36">
        <v>45953</v>
      </c>
      <c r="F29">
        <v>23182.033333333333</v>
      </c>
      <c r="G29" t="str">
        <f>" FY"&amp;RIGHT(IF(MONTH(recurrence[[#This Row],[StartDate]])&gt;=7,YEAR(recurrence[[#This Row],[StartDate]])+1,YEAR(recurrence[[#This Row],[StartDate]])),2)&amp;"-Q"&amp;IF(MONTH(recurrence[[#This Row],[StartDate]])&gt;=7,CEILING((MONTH(recurrence[[#This Row],[StartDate]])-6)/3,1),CEILING((MONTH(recurrence[[#This Row],[StartDate]])+6)/3,1))</f>
        <v xml:space="preserve"> FY26-Q2</v>
      </c>
      <c r="H29" t="str">
        <f>"CY"&amp;RIGHT(YEAR(recurrence[[#This Row],[StartDate]]),2)&amp;"-Q"&amp;ROUNDUP(MONTH(recurrence[[#This Row],[StartDate]])/3, 0)</f>
        <v>CY25-Q4</v>
      </c>
      <c r="J29">
        <v>1</v>
      </c>
      <c r="K29">
        <v>18</v>
      </c>
      <c r="L29">
        <v>56045</v>
      </c>
      <c r="M29">
        <v>30368.224489795917</v>
      </c>
      <c r="N29" t="str">
        <v xml:space="preserve"> FY26-Q4</v>
      </c>
      <c r="O29" t="str">
        <v>CY26-Q2</v>
      </c>
    </row>
    <row r="30" spans="1:15" x14ac:dyDescent="0.25">
      <c r="A30">
        <v>33</v>
      </c>
      <c r="B30">
        <v>3</v>
      </c>
      <c r="C30" s="57" t="s">
        <v>803</v>
      </c>
      <c r="D30">
        <v>48</v>
      </c>
      <c r="E30" s="36">
        <v>46013</v>
      </c>
      <c r="F30">
        <v>40797.104166666664</v>
      </c>
      <c r="G30" t="str">
        <f>" FY"&amp;RIGHT(IF(MONTH(recurrence[[#This Row],[StartDate]])&gt;=7,YEAR(recurrence[[#This Row],[StartDate]])+1,YEAR(recurrence[[#This Row],[StartDate]])),2)&amp;"-Q"&amp;IF(MONTH(recurrence[[#This Row],[StartDate]])&gt;=7,CEILING((MONTH(recurrence[[#This Row],[StartDate]])-6)/3,1),CEILING((MONTH(recurrence[[#This Row],[StartDate]])+6)/3,1))</f>
        <v xml:space="preserve"> FY26-Q2</v>
      </c>
      <c r="H30" t="str">
        <f>"CY"&amp;RIGHT(YEAR(recurrence[[#This Row],[StartDate]]),2)&amp;"-Q"&amp;ROUNDUP(MONTH(recurrence[[#This Row],[StartDate]])/3, 0)</f>
        <v>CY25-Q4</v>
      </c>
      <c r="J30">
        <v>1</v>
      </c>
      <c r="K30">
        <v>18</v>
      </c>
      <c r="L30">
        <v>56410</v>
      </c>
      <c r="M30">
        <v>30368.224489795917</v>
      </c>
      <c r="N30" t="str">
        <v xml:space="preserve"> FY26-Q4</v>
      </c>
      <c r="O30" t="str">
        <v>CY26-Q2</v>
      </c>
    </row>
    <row r="31" spans="1:15" x14ac:dyDescent="0.25">
      <c r="A31">
        <v>36</v>
      </c>
      <c r="B31">
        <v>1</v>
      </c>
      <c r="C31" s="57" t="s">
        <v>804</v>
      </c>
      <c r="D31">
        <v>48</v>
      </c>
      <c r="E31" s="36">
        <v>46452</v>
      </c>
      <c r="F31">
        <v>24983.895833333332</v>
      </c>
      <c r="G31" t="str">
        <f>" FY"&amp;RIGHT(IF(MONTH(recurrence[[#This Row],[StartDate]])&gt;=7,YEAR(recurrence[[#This Row],[StartDate]])+1,YEAR(recurrence[[#This Row],[StartDate]])),2)&amp;"-Q"&amp;IF(MONTH(recurrence[[#This Row],[StartDate]])&gt;=7,CEILING((MONTH(recurrence[[#This Row],[StartDate]])-6)/3,1),CEILING((MONTH(recurrence[[#This Row],[StartDate]])+6)/3,1))</f>
        <v xml:space="preserve"> FY27-Q3</v>
      </c>
      <c r="H31" t="str">
        <f>"CY"&amp;RIGHT(YEAR(recurrence[[#This Row],[StartDate]]),2)&amp;"-Q"&amp;ROUNDUP(MONTH(recurrence[[#This Row],[StartDate]])/3, 0)</f>
        <v>CY27-Q1</v>
      </c>
      <c r="J31">
        <v>1</v>
      </c>
      <c r="K31">
        <v>18</v>
      </c>
      <c r="L31">
        <v>56775</v>
      </c>
      <c r="M31">
        <v>30368.224489795917</v>
      </c>
      <c r="N31" t="str">
        <v xml:space="preserve"> FY26-Q4</v>
      </c>
      <c r="O31" t="str">
        <v>CY26-Q2</v>
      </c>
    </row>
    <row r="32" spans="1:15" x14ac:dyDescent="0.25">
      <c r="A32">
        <v>37</v>
      </c>
      <c r="B32">
        <v>20</v>
      </c>
      <c r="C32" s="57" t="s">
        <v>806</v>
      </c>
      <c r="D32">
        <v>8</v>
      </c>
      <c r="E32" s="36">
        <v>45979</v>
      </c>
      <c r="F32">
        <v>154515.375</v>
      </c>
      <c r="G32" t="str">
        <f>" FY"&amp;RIGHT(IF(MONTH(recurrence[[#This Row],[StartDate]])&gt;=7,YEAR(recurrence[[#This Row],[StartDate]])+1,YEAR(recurrence[[#This Row],[StartDate]])),2)&amp;"-Q"&amp;IF(MONTH(recurrence[[#This Row],[StartDate]])&gt;=7,CEILING((MONTH(recurrence[[#This Row],[StartDate]])-6)/3,1),CEILING((MONTH(recurrence[[#This Row],[StartDate]])+6)/3,1))</f>
        <v xml:space="preserve"> FY26-Q2</v>
      </c>
      <c r="H32" t="str">
        <f>"CY"&amp;RIGHT(YEAR(recurrence[[#This Row],[StartDate]]),2)&amp;"-Q"&amp;ROUNDUP(MONTH(recurrence[[#This Row],[StartDate]])/3, 0)</f>
        <v>CY25-Q4</v>
      </c>
      <c r="J32">
        <v>1</v>
      </c>
      <c r="K32">
        <v>18</v>
      </c>
      <c r="L32">
        <v>57140</v>
      </c>
      <c r="M32">
        <v>30368.224489795917</v>
      </c>
      <c r="N32" t="str">
        <v xml:space="preserve"> FY26-Q4</v>
      </c>
      <c r="O32" t="str">
        <v>CY26-Q2</v>
      </c>
    </row>
    <row r="33" spans="1:15" x14ac:dyDescent="0.25">
      <c r="A33">
        <v>38</v>
      </c>
      <c r="B33">
        <v>21</v>
      </c>
      <c r="C33" s="57" t="s">
        <v>806</v>
      </c>
      <c r="D33">
        <v>5</v>
      </c>
      <c r="E33" s="36">
        <v>46386</v>
      </c>
      <c r="F33">
        <v>182961</v>
      </c>
      <c r="G33" t="str">
        <f>" FY"&amp;RIGHT(IF(MONTH(recurrence[[#This Row],[StartDate]])&gt;=7,YEAR(recurrence[[#This Row],[StartDate]])+1,YEAR(recurrence[[#This Row],[StartDate]])),2)&amp;"-Q"&amp;IF(MONTH(recurrence[[#This Row],[StartDate]])&gt;=7,CEILING((MONTH(recurrence[[#This Row],[StartDate]])-6)/3,1),CEILING((MONTH(recurrence[[#This Row],[StartDate]])+6)/3,1))</f>
        <v xml:space="preserve"> FY27-Q2</v>
      </c>
      <c r="H33" t="str">
        <f>"CY"&amp;RIGHT(YEAR(recurrence[[#This Row],[StartDate]]),2)&amp;"-Q"&amp;ROUNDUP(MONTH(recurrence[[#This Row],[StartDate]])/3, 0)</f>
        <v>CY26-Q4</v>
      </c>
      <c r="J33">
        <v>1</v>
      </c>
      <c r="K33">
        <v>18</v>
      </c>
      <c r="L33">
        <v>57505</v>
      </c>
      <c r="M33">
        <v>30368.224489795917</v>
      </c>
      <c r="N33" t="str">
        <v xml:space="preserve"> FY26-Q4</v>
      </c>
      <c r="O33" t="str">
        <v>CY26-Q2</v>
      </c>
    </row>
    <row r="34" spans="1:15" x14ac:dyDescent="0.25">
      <c r="A34">
        <v>39</v>
      </c>
      <c r="B34">
        <v>3</v>
      </c>
      <c r="C34" s="57" t="s">
        <v>804</v>
      </c>
      <c r="D34">
        <v>40</v>
      </c>
      <c r="E34" s="36">
        <v>46268</v>
      </c>
      <c r="F34">
        <v>54415.8</v>
      </c>
      <c r="G34" t="str">
        <f>" FY"&amp;RIGHT(IF(MONTH(recurrence[[#This Row],[StartDate]])&gt;=7,YEAR(recurrence[[#This Row],[StartDate]])+1,YEAR(recurrence[[#This Row],[StartDate]])),2)&amp;"-Q"&amp;IF(MONTH(recurrence[[#This Row],[StartDate]])&gt;=7,CEILING((MONTH(recurrence[[#This Row],[StartDate]])-6)/3,1),CEILING((MONTH(recurrence[[#This Row],[StartDate]])+6)/3,1))</f>
        <v xml:space="preserve"> FY27-Q1</v>
      </c>
      <c r="H34" t="str">
        <f>"CY"&amp;RIGHT(YEAR(recurrence[[#This Row],[StartDate]]),2)&amp;"-Q"&amp;ROUNDUP(MONTH(recurrence[[#This Row],[StartDate]])/3, 0)</f>
        <v>CY26-Q3</v>
      </c>
      <c r="J34">
        <v>1</v>
      </c>
      <c r="K34">
        <v>18</v>
      </c>
      <c r="L34">
        <v>57870</v>
      </c>
      <c r="M34">
        <v>30368.224489795917</v>
      </c>
      <c r="N34" t="str">
        <v xml:space="preserve"> FY26-Q4</v>
      </c>
      <c r="O34" t="str">
        <v>CY26-Q2</v>
      </c>
    </row>
    <row r="35" spans="1:15" x14ac:dyDescent="0.25">
      <c r="A35">
        <v>40</v>
      </c>
      <c r="B35">
        <v>15</v>
      </c>
      <c r="C35" s="57" t="s">
        <v>806</v>
      </c>
      <c r="D35">
        <v>20</v>
      </c>
      <c r="E35" s="36">
        <v>46406</v>
      </c>
      <c r="F35">
        <v>24096.3</v>
      </c>
      <c r="G35" t="str">
        <f>" FY"&amp;RIGHT(IF(MONTH(recurrence[[#This Row],[StartDate]])&gt;=7,YEAR(recurrence[[#This Row],[StartDate]])+1,YEAR(recurrence[[#This Row],[StartDate]])),2)&amp;"-Q"&amp;IF(MONTH(recurrence[[#This Row],[StartDate]])&gt;=7,CEILING((MONTH(recurrence[[#This Row],[StartDate]])-6)/3,1),CEILING((MONTH(recurrence[[#This Row],[StartDate]])+6)/3,1))</f>
        <v xml:space="preserve"> FY27-Q3</v>
      </c>
      <c r="H35" t="str">
        <f>"CY"&amp;RIGHT(YEAR(recurrence[[#This Row],[StartDate]]),2)&amp;"-Q"&amp;ROUNDUP(MONTH(recurrence[[#This Row],[StartDate]])/3, 0)</f>
        <v>CY27-Q1</v>
      </c>
      <c r="J35">
        <v>1</v>
      </c>
      <c r="K35">
        <v>18</v>
      </c>
      <c r="L35">
        <v>58235</v>
      </c>
      <c r="M35">
        <v>30368.224489795917</v>
      </c>
      <c r="N35" t="str">
        <v xml:space="preserve"> FY26-Q4</v>
      </c>
      <c r="O35" t="str">
        <v>CY26-Q2</v>
      </c>
    </row>
    <row r="36" spans="1:15" x14ac:dyDescent="0.25">
      <c r="J36">
        <v>1</v>
      </c>
      <c r="K36">
        <v>18</v>
      </c>
      <c r="L36">
        <v>58600</v>
      </c>
      <c r="M36">
        <v>30368.224489795917</v>
      </c>
      <c r="N36" t="str">
        <v xml:space="preserve"> FY26-Q4</v>
      </c>
      <c r="O36" t="str">
        <v>CY26-Q2</v>
      </c>
    </row>
    <row r="37" spans="1:15" x14ac:dyDescent="0.25">
      <c r="J37">
        <v>1</v>
      </c>
      <c r="K37">
        <v>18</v>
      </c>
      <c r="L37">
        <v>58965</v>
      </c>
      <c r="M37">
        <v>30368.224489795917</v>
      </c>
      <c r="N37" t="str">
        <v xml:space="preserve"> FY26-Q4</v>
      </c>
      <c r="O37" t="str">
        <v>CY26-Q2</v>
      </c>
    </row>
    <row r="38" spans="1:15" x14ac:dyDescent="0.25">
      <c r="J38">
        <v>1</v>
      </c>
      <c r="K38">
        <v>18</v>
      </c>
      <c r="L38">
        <v>59330</v>
      </c>
      <c r="M38">
        <v>30368.224489795917</v>
      </c>
      <c r="N38" t="str">
        <v xml:space="preserve"> FY26-Q4</v>
      </c>
      <c r="O38" t="str">
        <v>CY26-Q2</v>
      </c>
    </row>
    <row r="39" spans="1:15" x14ac:dyDescent="0.25">
      <c r="J39">
        <v>1</v>
      </c>
      <c r="K39">
        <v>18</v>
      </c>
      <c r="L39">
        <v>59695</v>
      </c>
      <c r="M39">
        <v>30368.224489795917</v>
      </c>
      <c r="N39" t="str">
        <v xml:space="preserve"> FY26-Q4</v>
      </c>
      <c r="O39" t="str">
        <v>CY26-Q2</v>
      </c>
    </row>
    <row r="40" spans="1:15" x14ac:dyDescent="0.25">
      <c r="J40">
        <v>1</v>
      </c>
      <c r="K40">
        <v>18</v>
      </c>
      <c r="L40">
        <v>60060</v>
      </c>
      <c r="M40">
        <v>30368.224489795917</v>
      </c>
      <c r="N40" t="str">
        <v xml:space="preserve"> FY26-Q4</v>
      </c>
      <c r="O40" t="str">
        <v>CY26-Q2</v>
      </c>
    </row>
    <row r="41" spans="1:15" x14ac:dyDescent="0.25">
      <c r="J41">
        <v>1</v>
      </c>
      <c r="K41">
        <v>18</v>
      </c>
      <c r="L41">
        <v>60425</v>
      </c>
      <c r="M41">
        <v>30368.224489795917</v>
      </c>
      <c r="N41" t="str">
        <v xml:space="preserve"> FY26-Q4</v>
      </c>
      <c r="O41" t="str">
        <v>CY26-Q2</v>
      </c>
    </row>
    <row r="42" spans="1:15" x14ac:dyDescent="0.25">
      <c r="J42">
        <v>1</v>
      </c>
      <c r="K42">
        <v>18</v>
      </c>
      <c r="L42">
        <v>60790</v>
      </c>
      <c r="M42">
        <v>30368.224489795917</v>
      </c>
      <c r="N42" t="str">
        <v xml:space="preserve"> FY26-Q4</v>
      </c>
      <c r="O42" t="str">
        <v>CY26-Q2</v>
      </c>
    </row>
    <row r="43" spans="1:15" x14ac:dyDescent="0.25">
      <c r="J43">
        <v>1</v>
      </c>
      <c r="K43">
        <v>18</v>
      </c>
      <c r="L43">
        <v>61155</v>
      </c>
      <c r="M43">
        <v>30368.224489795917</v>
      </c>
      <c r="N43" t="str">
        <v xml:space="preserve"> FY26-Q4</v>
      </c>
      <c r="O43" t="str">
        <v>CY26-Q2</v>
      </c>
    </row>
    <row r="44" spans="1:15" x14ac:dyDescent="0.25">
      <c r="J44">
        <v>1</v>
      </c>
      <c r="K44">
        <v>18</v>
      </c>
      <c r="L44">
        <v>61520</v>
      </c>
      <c r="M44">
        <v>30368.224489795917</v>
      </c>
      <c r="N44" t="str">
        <v xml:space="preserve"> FY26-Q4</v>
      </c>
      <c r="O44" t="str">
        <v>CY26-Q2</v>
      </c>
    </row>
    <row r="45" spans="1:15" x14ac:dyDescent="0.25">
      <c r="J45">
        <v>1</v>
      </c>
      <c r="K45">
        <v>18</v>
      </c>
      <c r="L45">
        <v>61885</v>
      </c>
      <c r="M45">
        <v>30368.224489795917</v>
      </c>
      <c r="N45" t="str">
        <v xml:space="preserve"> FY26-Q4</v>
      </c>
      <c r="O45" t="str">
        <v>CY26-Q2</v>
      </c>
    </row>
    <row r="46" spans="1:15" x14ac:dyDescent="0.25">
      <c r="J46">
        <v>1</v>
      </c>
      <c r="K46">
        <v>18</v>
      </c>
      <c r="L46">
        <v>62250</v>
      </c>
      <c r="M46">
        <v>30368.224489795917</v>
      </c>
      <c r="N46" t="str">
        <v xml:space="preserve"> FY26-Q4</v>
      </c>
      <c r="O46" t="str">
        <v>CY26-Q2</v>
      </c>
    </row>
    <row r="47" spans="1:15" x14ac:dyDescent="0.25">
      <c r="J47">
        <v>1</v>
      </c>
      <c r="K47">
        <v>18</v>
      </c>
      <c r="L47">
        <v>62615</v>
      </c>
      <c r="M47">
        <v>30368.224489795917</v>
      </c>
      <c r="N47" t="str">
        <v xml:space="preserve"> FY26-Q4</v>
      </c>
      <c r="O47" t="str">
        <v>CY26-Q2</v>
      </c>
    </row>
    <row r="48" spans="1:15" x14ac:dyDescent="0.25">
      <c r="J48">
        <v>1</v>
      </c>
      <c r="K48">
        <v>18</v>
      </c>
      <c r="L48">
        <v>62980</v>
      </c>
      <c r="M48">
        <v>30368.224489795917</v>
      </c>
      <c r="N48" t="str">
        <v xml:space="preserve"> FY26-Q4</v>
      </c>
      <c r="O48" t="str">
        <v>CY26-Q2</v>
      </c>
    </row>
    <row r="49" spans="10:15" x14ac:dyDescent="0.25">
      <c r="J49">
        <v>1</v>
      </c>
      <c r="K49">
        <v>18</v>
      </c>
      <c r="L49">
        <v>63345</v>
      </c>
      <c r="M49">
        <v>30368.224489795917</v>
      </c>
      <c r="N49" t="str">
        <v xml:space="preserve"> FY26-Q4</v>
      </c>
      <c r="O49" t="str">
        <v>CY26-Q2</v>
      </c>
    </row>
    <row r="50" spans="10:15" x14ac:dyDescent="0.25">
      <c r="J50">
        <v>1</v>
      </c>
      <c r="K50">
        <v>18</v>
      </c>
      <c r="L50">
        <v>63710</v>
      </c>
      <c r="M50">
        <v>30368.224489795917</v>
      </c>
      <c r="N50" t="str">
        <v xml:space="preserve"> FY26-Q4</v>
      </c>
      <c r="O50" t="str">
        <v>CY26-Q2</v>
      </c>
    </row>
    <row r="51" spans="10:15" x14ac:dyDescent="0.25">
      <c r="J51">
        <v>2</v>
      </c>
      <c r="K51">
        <v>10</v>
      </c>
      <c r="L51">
        <v>46008</v>
      </c>
      <c r="M51">
        <v>50912.514285714286</v>
      </c>
      <c r="N51" t="str">
        <v xml:space="preserve"> FY26-Q2</v>
      </c>
      <c r="O51" t="str">
        <v>CY25-Q4</v>
      </c>
    </row>
    <row r="52" spans="10:15" x14ac:dyDescent="0.25">
      <c r="J52">
        <v>2</v>
      </c>
      <c r="K52">
        <v>10</v>
      </c>
      <c r="L52">
        <v>46038</v>
      </c>
      <c r="M52">
        <v>50912.514285714286</v>
      </c>
      <c r="N52" t="str">
        <v xml:space="preserve"> FY26-Q2</v>
      </c>
      <c r="O52" t="str">
        <v>CY25-Q4</v>
      </c>
    </row>
    <row r="53" spans="10:15" x14ac:dyDescent="0.25">
      <c r="J53">
        <v>2</v>
      </c>
      <c r="K53">
        <v>10</v>
      </c>
      <c r="L53">
        <v>46068</v>
      </c>
      <c r="M53">
        <v>50912.514285714286</v>
      </c>
      <c r="N53" t="str">
        <v xml:space="preserve"> FY26-Q2</v>
      </c>
      <c r="O53" t="str">
        <v>CY25-Q4</v>
      </c>
    </row>
    <row r="54" spans="10:15" x14ac:dyDescent="0.25">
      <c r="J54">
        <v>2</v>
      </c>
      <c r="K54">
        <v>10</v>
      </c>
      <c r="L54">
        <v>46098</v>
      </c>
      <c r="M54">
        <v>50912.514285714286</v>
      </c>
      <c r="N54" t="str">
        <v xml:space="preserve"> FY26-Q2</v>
      </c>
      <c r="O54" t="str">
        <v>CY25-Q4</v>
      </c>
    </row>
    <row r="55" spans="10:15" x14ac:dyDescent="0.25">
      <c r="J55">
        <v>2</v>
      </c>
      <c r="K55">
        <v>10</v>
      </c>
      <c r="L55">
        <v>46128</v>
      </c>
      <c r="M55">
        <v>50912.514285714286</v>
      </c>
      <c r="N55" t="str">
        <v xml:space="preserve"> FY26-Q2</v>
      </c>
      <c r="O55" t="str">
        <v>CY25-Q4</v>
      </c>
    </row>
    <row r="56" spans="10:15" x14ac:dyDescent="0.25">
      <c r="J56">
        <v>2</v>
      </c>
      <c r="K56">
        <v>10</v>
      </c>
      <c r="L56">
        <v>46158</v>
      </c>
      <c r="M56">
        <v>50912.514285714286</v>
      </c>
      <c r="N56" t="str">
        <v xml:space="preserve"> FY26-Q2</v>
      </c>
      <c r="O56" t="str">
        <v>CY25-Q4</v>
      </c>
    </row>
    <row r="57" spans="10:15" x14ac:dyDescent="0.25">
      <c r="J57">
        <v>2</v>
      </c>
      <c r="K57">
        <v>10</v>
      </c>
      <c r="L57">
        <v>46188</v>
      </c>
      <c r="M57">
        <v>50912.514285714286</v>
      </c>
      <c r="N57" t="str">
        <v xml:space="preserve"> FY26-Q2</v>
      </c>
      <c r="O57" t="str">
        <v>CY25-Q4</v>
      </c>
    </row>
    <row r="58" spans="10:15" x14ac:dyDescent="0.25">
      <c r="J58">
        <v>2</v>
      </c>
      <c r="K58">
        <v>10</v>
      </c>
      <c r="L58">
        <v>46218</v>
      </c>
      <c r="M58">
        <v>50912.514285714286</v>
      </c>
      <c r="N58" t="str">
        <v xml:space="preserve"> FY26-Q2</v>
      </c>
      <c r="O58" t="str">
        <v>CY25-Q4</v>
      </c>
    </row>
    <row r="59" spans="10:15" x14ac:dyDescent="0.25">
      <c r="J59">
        <v>2</v>
      </c>
      <c r="K59">
        <v>10</v>
      </c>
      <c r="L59">
        <v>46248</v>
      </c>
      <c r="M59">
        <v>50912.514285714286</v>
      </c>
      <c r="N59" t="str">
        <v xml:space="preserve"> FY26-Q2</v>
      </c>
      <c r="O59" t="str">
        <v>CY25-Q4</v>
      </c>
    </row>
    <row r="60" spans="10:15" x14ac:dyDescent="0.25">
      <c r="J60">
        <v>2</v>
      </c>
      <c r="K60">
        <v>10</v>
      </c>
      <c r="L60">
        <v>46278</v>
      </c>
      <c r="M60">
        <v>50912.514285714286</v>
      </c>
      <c r="N60" t="str">
        <v xml:space="preserve"> FY26-Q2</v>
      </c>
      <c r="O60" t="str">
        <v>CY25-Q4</v>
      </c>
    </row>
    <row r="61" spans="10:15" x14ac:dyDescent="0.25">
      <c r="J61">
        <v>2</v>
      </c>
      <c r="K61">
        <v>10</v>
      </c>
      <c r="L61">
        <v>46308</v>
      </c>
      <c r="M61">
        <v>50912.514285714286</v>
      </c>
      <c r="N61" t="str">
        <v xml:space="preserve"> FY26-Q2</v>
      </c>
      <c r="O61" t="str">
        <v>CY25-Q4</v>
      </c>
    </row>
    <row r="62" spans="10:15" x14ac:dyDescent="0.25">
      <c r="J62">
        <v>2</v>
      </c>
      <c r="K62">
        <v>10</v>
      </c>
      <c r="L62">
        <v>46338</v>
      </c>
      <c r="M62">
        <v>50912.514285714286</v>
      </c>
      <c r="N62" t="str">
        <v xml:space="preserve"> FY26-Q2</v>
      </c>
      <c r="O62" t="str">
        <v>CY25-Q4</v>
      </c>
    </row>
    <row r="63" spans="10:15" x14ac:dyDescent="0.25">
      <c r="J63">
        <v>2</v>
      </c>
      <c r="K63">
        <v>10</v>
      </c>
      <c r="L63">
        <v>46368</v>
      </c>
      <c r="M63">
        <v>50912.514285714286</v>
      </c>
      <c r="N63" t="str">
        <v xml:space="preserve"> FY26-Q2</v>
      </c>
      <c r="O63" t="str">
        <v>CY25-Q4</v>
      </c>
    </row>
    <row r="64" spans="10:15" x14ac:dyDescent="0.25">
      <c r="J64">
        <v>2</v>
      </c>
      <c r="K64">
        <v>10</v>
      </c>
      <c r="L64">
        <v>46398</v>
      </c>
      <c r="M64">
        <v>50912.514285714286</v>
      </c>
      <c r="N64" t="str">
        <v xml:space="preserve"> FY26-Q2</v>
      </c>
      <c r="O64" t="str">
        <v>CY25-Q4</v>
      </c>
    </row>
    <row r="65" spans="10:15" x14ac:dyDescent="0.25">
      <c r="J65">
        <v>2</v>
      </c>
      <c r="K65">
        <v>10</v>
      </c>
      <c r="L65">
        <v>46428</v>
      </c>
      <c r="M65">
        <v>50912.514285714286</v>
      </c>
      <c r="N65" t="str">
        <v xml:space="preserve"> FY26-Q2</v>
      </c>
      <c r="O65" t="str">
        <v>CY25-Q4</v>
      </c>
    </row>
    <row r="66" spans="10:15" x14ac:dyDescent="0.25">
      <c r="J66">
        <v>2</v>
      </c>
      <c r="K66">
        <v>10</v>
      </c>
      <c r="L66">
        <v>46458</v>
      </c>
      <c r="M66">
        <v>50912.514285714286</v>
      </c>
      <c r="N66" t="str">
        <v xml:space="preserve"> FY26-Q2</v>
      </c>
      <c r="O66" t="str">
        <v>CY25-Q4</v>
      </c>
    </row>
    <row r="67" spans="10:15" x14ac:dyDescent="0.25">
      <c r="J67">
        <v>2</v>
      </c>
      <c r="K67">
        <v>10</v>
      </c>
      <c r="L67">
        <v>46488</v>
      </c>
      <c r="M67">
        <v>50912.514285714286</v>
      </c>
      <c r="N67" t="str">
        <v xml:space="preserve"> FY26-Q2</v>
      </c>
      <c r="O67" t="str">
        <v>CY25-Q4</v>
      </c>
    </row>
    <row r="68" spans="10:15" x14ac:dyDescent="0.25">
      <c r="J68">
        <v>2</v>
      </c>
      <c r="K68">
        <v>10</v>
      </c>
      <c r="L68">
        <v>46518</v>
      </c>
      <c r="M68">
        <v>50912.514285714286</v>
      </c>
      <c r="N68" t="str">
        <v xml:space="preserve"> FY26-Q2</v>
      </c>
      <c r="O68" t="str">
        <v>CY25-Q4</v>
      </c>
    </row>
    <row r="69" spans="10:15" x14ac:dyDescent="0.25">
      <c r="J69">
        <v>2</v>
      </c>
      <c r="K69">
        <v>10</v>
      </c>
      <c r="L69">
        <v>46548</v>
      </c>
      <c r="M69">
        <v>50912.514285714286</v>
      </c>
      <c r="N69" t="str">
        <v xml:space="preserve"> FY26-Q2</v>
      </c>
      <c r="O69" t="str">
        <v>CY25-Q4</v>
      </c>
    </row>
    <row r="70" spans="10:15" x14ac:dyDescent="0.25">
      <c r="J70">
        <v>2</v>
      </c>
      <c r="K70">
        <v>10</v>
      </c>
      <c r="L70">
        <v>46578</v>
      </c>
      <c r="M70">
        <v>50912.514285714286</v>
      </c>
      <c r="N70" t="str">
        <v xml:space="preserve"> FY26-Q2</v>
      </c>
      <c r="O70" t="str">
        <v>CY25-Q4</v>
      </c>
    </row>
    <row r="71" spans="10:15" x14ac:dyDescent="0.25">
      <c r="J71">
        <v>2</v>
      </c>
      <c r="K71">
        <v>10</v>
      </c>
      <c r="L71">
        <v>46608</v>
      </c>
      <c r="M71">
        <v>50912.514285714286</v>
      </c>
      <c r="N71" t="str">
        <v xml:space="preserve"> FY26-Q2</v>
      </c>
      <c r="O71" t="str">
        <v>CY25-Q4</v>
      </c>
    </row>
    <row r="72" spans="10:15" x14ac:dyDescent="0.25">
      <c r="J72">
        <v>2</v>
      </c>
      <c r="K72">
        <v>10</v>
      </c>
      <c r="L72">
        <v>46638</v>
      </c>
      <c r="M72">
        <v>50912.514285714286</v>
      </c>
      <c r="N72" t="str">
        <v xml:space="preserve"> FY26-Q2</v>
      </c>
      <c r="O72" t="str">
        <v>CY25-Q4</v>
      </c>
    </row>
    <row r="73" spans="10:15" x14ac:dyDescent="0.25">
      <c r="J73">
        <v>2</v>
      </c>
      <c r="K73">
        <v>10</v>
      </c>
      <c r="L73">
        <v>46668</v>
      </c>
      <c r="M73">
        <v>50912.514285714286</v>
      </c>
      <c r="N73" t="str">
        <v xml:space="preserve"> FY26-Q2</v>
      </c>
      <c r="O73" t="str">
        <v>CY25-Q4</v>
      </c>
    </row>
    <row r="74" spans="10:15" x14ac:dyDescent="0.25">
      <c r="J74">
        <v>2</v>
      </c>
      <c r="K74">
        <v>10</v>
      </c>
      <c r="L74">
        <v>46698</v>
      </c>
      <c r="M74">
        <v>50912.514285714286</v>
      </c>
      <c r="N74" t="str">
        <v xml:space="preserve"> FY26-Q2</v>
      </c>
      <c r="O74" t="str">
        <v>CY25-Q4</v>
      </c>
    </row>
    <row r="75" spans="10:15" x14ac:dyDescent="0.25">
      <c r="J75">
        <v>2</v>
      </c>
      <c r="K75">
        <v>10</v>
      </c>
      <c r="L75">
        <v>46728</v>
      </c>
      <c r="M75">
        <v>50912.514285714286</v>
      </c>
      <c r="N75" t="str">
        <v xml:space="preserve"> FY26-Q2</v>
      </c>
      <c r="O75" t="str">
        <v>CY25-Q4</v>
      </c>
    </row>
    <row r="76" spans="10:15" x14ac:dyDescent="0.25">
      <c r="J76">
        <v>2</v>
      </c>
      <c r="K76">
        <v>10</v>
      </c>
      <c r="L76">
        <v>46758</v>
      </c>
      <c r="M76">
        <v>50912.514285714286</v>
      </c>
      <c r="N76" t="str">
        <v xml:space="preserve"> FY26-Q2</v>
      </c>
      <c r="O76" t="str">
        <v>CY25-Q4</v>
      </c>
    </row>
    <row r="77" spans="10:15" x14ac:dyDescent="0.25">
      <c r="J77">
        <v>2</v>
      </c>
      <c r="K77">
        <v>10</v>
      </c>
      <c r="L77">
        <v>46788</v>
      </c>
      <c r="M77">
        <v>50912.514285714286</v>
      </c>
      <c r="N77" t="str">
        <v xml:space="preserve"> FY26-Q2</v>
      </c>
      <c r="O77" t="str">
        <v>CY25-Q4</v>
      </c>
    </row>
    <row r="78" spans="10:15" x14ac:dyDescent="0.25">
      <c r="J78">
        <v>2</v>
      </c>
      <c r="K78">
        <v>10</v>
      </c>
      <c r="L78">
        <v>46818</v>
      </c>
      <c r="M78">
        <v>50912.514285714286</v>
      </c>
      <c r="N78" t="str">
        <v xml:space="preserve"> FY26-Q2</v>
      </c>
      <c r="O78" t="str">
        <v>CY25-Q4</v>
      </c>
    </row>
    <row r="79" spans="10:15" x14ac:dyDescent="0.25">
      <c r="J79">
        <v>2</v>
      </c>
      <c r="K79">
        <v>10</v>
      </c>
      <c r="L79">
        <v>46848</v>
      </c>
      <c r="M79">
        <v>50912.514285714286</v>
      </c>
      <c r="N79" t="str">
        <v xml:space="preserve"> FY26-Q2</v>
      </c>
      <c r="O79" t="str">
        <v>CY25-Q4</v>
      </c>
    </row>
    <row r="80" spans="10:15" x14ac:dyDescent="0.25">
      <c r="J80">
        <v>2</v>
      </c>
      <c r="K80">
        <v>10</v>
      </c>
      <c r="L80">
        <v>46878</v>
      </c>
      <c r="M80">
        <v>50912.514285714286</v>
      </c>
      <c r="N80" t="str">
        <v xml:space="preserve"> FY26-Q2</v>
      </c>
      <c r="O80" t="str">
        <v>CY25-Q4</v>
      </c>
    </row>
    <row r="81" spans="10:15" x14ac:dyDescent="0.25">
      <c r="J81">
        <v>2</v>
      </c>
      <c r="K81">
        <v>10</v>
      </c>
      <c r="L81">
        <v>46908</v>
      </c>
      <c r="M81">
        <v>50912.514285714286</v>
      </c>
      <c r="N81" t="str">
        <v xml:space="preserve"> FY26-Q2</v>
      </c>
      <c r="O81" t="str">
        <v>CY25-Q4</v>
      </c>
    </row>
    <row r="82" spans="10:15" x14ac:dyDescent="0.25">
      <c r="J82">
        <v>2</v>
      </c>
      <c r="K82">
        <v>10</v>
      </c>
      <c r="L82">
        <v>46938</v>
      </c>
      <c r="M82">
        <v>50912.514285714286</v>
      </c>
      <c r="N82" t="str">
        <v xml:space="preserve"> FY26-Q2</v>
      </c>
      <c r="O82" t="str">
        <v>CY25-Q4</v>
      </c>
    </row>
    <row r="83" spans="10:15" x14ac:dyDescent="0.25">
      <c r="J83">
        <v>2</v>
      </c>
      <c r="K83">
        <v>10</v>
      </c>
      <c r="L83">
        <v>46968</v>
      </c>
      <c r="M83">
        <v>50912.514285714286</v>
      </c>
      <c r="N83" t="str">
        <v xml:space="preserve"> FY26-Q2</v>
      </c>
      <c r="O83" t="str">
        <v>CY25-Q4</v>
      </c>
    </row>
    <row r="84" spans="10:15" x14ac:dyDescent="0.25">
      <c r="J84">
        <v>2</v>
      </c>
      <c r="K84">
        <v>10</v>
      </c>
      <c r="L84">
        <v>46998</v>
      </c>
      <c r="M84">
        <v>50912.514285714286</v>
      </c>
      <c r="N84" t="str">
        <v xml:space="preserve"> FY26-Q2</v>
      </c>
      <c r="O84" t="str">
        <v>CY25-Q4</v>
      </c>
    </row>
    <row r="85" spans="10:15" x14ac:dyDescent="0.25">
      <c r="J85">
        <v>2</v>
      </c>
      <c r="K85">
        <v>10</v>
      </c>
      <c r="L85">
        <v>47028</v>
      </c>
      <c r="M85">
        <v>50912.514285714286</v>
      </c>
      <c r="N85" t="str">
        <v xml:space="preserve"> FY26-Q2</v>
      </c>
      <c r="O85" t="str">
        <v>CY25-Q4</v>
      </c>
    </row>
    <row r="86" spans="10:15" x14ac:dyDescent="0.25">
      <c r="J86">
        <v>4</v>
      </c>
      <c r="K86">
        <v>12</v>
      </c>
      <c r="L86">
        <v>46096</v>
      </c>
      <c r="M86">
        <v>23274.96875</v>
      </c>
      <c r="N86" t="str">
        <v xml:space="preserve"> FY26-Q3</v>
      </c>
      <c r="O86" t="str">
        <v>CY26-Q1</v>
      </c>
    </row>
    <row r="87" spans="10:15" x14ac:dyDescent="0.25">
      <c r="J87">
        <v>4</v>
      </c>
      <c r="K87">
        <v>12</v>
      </c>
      <c r="L87">
        <v>46461</v>
      </c>
      <c r="M87">
        <v>23274.96875</v>
      </c>
      <c r="N87" t="str">
        <v xml:space="preserve"> FY26-Q3</v>
      </c>
      <c r="O87" t="str">
        <v>CY26-Q1</v>
      </c>
    </row>
    <row r="88" spans="10:15" x14ac:dyDescent="0.25">
      <c r="J88">
        <v>4</v>
      </c>
      <c r="K88">
        <v>12</v>
      </c>
      <c r="L88">
        <v>46826</v>
      </c>
      <c r="M88">
        <v>23274.96875</v>
      </c>
      <c r="N88" t="str">
        <v xml:space="preserve"> FY26-Q3</v>
      </c>
      <c r="O88" t="str">
        <v>CY26-Q1</v>
      </c>
    </row>
    <row r="89" spans="10:15" x14ac:dyDescent="0.25">
      <c r="J89">
        <v>4</v>
      </c>
      <c r="K89">
        <v>12</v>
      </c>
      <c r="L89">
        <v>47191</v>
      </c>
      <c r="M89">
        <v>23274.96875</v>
      </c>
      <c r="N89" t="str">
        <v xml:space="preserve"> FY26-Q3</v>
      </c>
      <c r="O89" t="str">
        <v>CY26-Q1</v>
      </c>
    </row>
    <row r="90" spans="10:15" x14ac:dyDescent="0.25">
      <c r="J90">
        <v>4</v>
      </c>
      <c r="K90">
        <v>12</v>
      </c>
      <c r="L90">
        <v>47556</v>
      </c>
      <c r="M90">
        <v>23274.96875</v>
      </c>
      <c r="N90" t="str">
        <v xml:space="preserve"> FY26-Q3</v>
      </c>
      <c r="O90" t="str">
        <v>CY26-Q1</v>
      </c>
    </row>
    <row r="91" spans="10:15" x14ac:dyDescent="0.25">
      <c r="J91">
        <v>4</v>
      </c>
      <c r="K91">
        <v>12</v>
      </c>
      <c r="L91">
        <v>47921</v>
      </c>
      <c r="M91">
        <v>23274.96875</v>
      </c>
      <c r="N91" t="str">
        <v xml:space="preserve"> FY26-Q3</v>
      </c>
      <c r="O91" t="str">
        <v>CY26-Q1</v>
      </c>
    </row>
    <row r="92" spans="10:15" x14ac:dyDescent="0.25">
      <c r="J92">
        <v>4</v>
      </c>
      <c r="K92">
        <v>12</v>
      </c>
      <c r="L92">
        <v>48286</v>
      </c>
      <c r="M92">
        <v>23274.96875</v>
      </c>
      <c r="N92" t="str">
        <v xml:space="preserve"> FY26-Q3</v>
      </c>
      <c r="O92" t="str">
        <v>CY26-Q1</v>
      </c>
    </row>
    <row r="93" spans="10:15" x14ac:dyDescent="0.25">
      <c r="J93">
        <v>4</v>
      </c>
      <c r="K93">
        <v>12</v>
      </c>
      <c r="L93">
        <v>48651</v>
      </c>
      <c r="M93">
        <v>23274.96875</v>
      </c>
      <c r="N93" t="str">
        <v xml:space="preserve"> FY26-Q3</v>
      </c>
      <c r="O93" t="str">
        <v>CY26-Q1</v>
      </c>
    </row>
    <row r="94" spans="10:15" x14ac:dyDescent="0.25">
      <c r="J94">
        <v>4</v>
      </c>
      <c r="K94">
        <v>12</v>
      </c>
      <c r="L94">
        <v>49016</v>
      </c>
      <c r="M94">
        <v>23274.96875</v>
      </c>
      <c r="N94" t="str">
        <v xml:space="preserve"> FY26-Q3</v>
      </c>
      <c r="O94" t="str">
        <v>CY26-Q1</v>
      </c>
    </row>
    <row r="95" spans="10:15" x14ac:dyDescent="0.25">
      <c r="J95">
        <v>4</v>
      </c>
      <c r="K95">
        <v>12</v>
      </c>
      <c r="L95">
        <v>49381</v>
      </c>
      <c r="M95">
        <v>23274.96875</v>
      </c>
      <c r="N95" t="str">
        <v xml:space="preserve"> FY26-Q3</v>
      </c>
      <c r="O95" t="str">
        <v>CY26-Q1</v>
      </c>
    </row>
    <row r="96" spans="10:15" x14ac:dyDescent="0.25">
      <c r="J96">
        <v>4</v>
      </c>
      <c r="K96">
        <v>12</v>
      </c>
      <c r="L96">
        <v>49746</v>
      </c>
      <c r="M96">
        <v>23274.96875</v>
      </c>
      <c r="N96" t="str">
        <v xml:space="preserve"> FY26-Q3</v>
      </c>
      <c r="O96" t="str">
        <v>CY26-Q1</v>
      </c>
    </row>
    <row r="97" spans="10:15" x14ac:dyDescent="0.25">
      <c r="J97">
        <v>4</v>
      </c>
      <c r="K97">
        <v>12</v>
      </c>
      <c r="L97">
        <v>50111</v>
      </c>
      <c r="M97">
        <v>23274.96875</v>
      </c>
      <c r="N97" t="str">
        <v xml:space="preserve"> FY26-Q3</v>
      </c>
      <c r="O97" t="str">
        <v>CY26-Q1</v>
      </c>
    </row>
    <row r="98" spans="10:15" x14ac:dyDescent="0.25">
      <c r="J98">
        <v>4</v>
      </c>
      <c r="K98">
        <v>12</v>
      </c>
      <c r="L98">
        <v>50476</v>
      </c>
      <c r="M98">
        <v>23274.96875</v>
      </c>
      <c r="N98" t="str">
        <v xml:space="preserve"> FY26-Q3</v>
      </c>
      <c r="O98" t="str">
        <v>CY26-Q1</v>
      </c>
    </row>
    <row r="99" spans="10:15" x14ac:dyDescent="0.25">
      <c r="J99">
        <v>4</v>
      </c>
      <c r="K99">
        <v>12</v>
      </c>
      <c r="L99">
        <v>50841</v>
      </c>
      <c r="M99">
        <v>23274.96875</v>
      </c>
      <c r="N99" t="str">
        <v xml:space="preserve"> FY26-Q3</v>
      </c>
      <c r="O99" t="str">
        <v>CY26-Q1</v>
      </c>
    </row>
    <row r="100" spans="10:15" x14ac:dyDescent="0.25">
      <c r="J100">
        <v>4</v>
      </c>
      <c r="K100">
        <v>12</v>
      </c>
      <c r="L100">
        <v>51206</v>
      </c>
      <c r="M100">
        <v>23274.96875</v>
      </c>
      <c r="N100" t="str">
        <v xml:space="preserve"> FY26-Q3</v>
      </c>
      <c r="O100" t="str">
        <v>CY26-Q1</v>
      </c>
    </row>
    <row r="101" spans="10:15" x14ac:dyDescent="0.25">
      <c r="J101">
        <v>4</v>
      </c>
      <c r="K101">
        <v>12</v>
      </c>
      <c r="L101">
        <v>51571</v>
      </c>
      <c r="M101">
        <v>23274.96875</v>
      </c>
      <c r="N101" t="str">
        <v xml:space="preserve"> FY26-Q3</v>
      </c>
      <c r="O101" t="str">
        <v>CY26-Q1</v>
      </c>
    </row>
    <row r="102" spans="10:15" x14ac:dyDescent="0.25">
      <c r="J102">
        <v>4</v>
      </c>
      <c r="K102">
        <v>12</v>
      </c>
      <c r="L102">
        <v>51936</v>
      </c>
      <c r="M102">
        <v>23274.96875</v>
      </c>
      <c r="N102" t="str">
        <v xml:space="preserve"> FY26-Q3</v>
      </c>
      <c r="O102" t="str">
        <v>CY26-Q1</v>
      </c>
    </row>
    <row r="103" spans="10:15" x14ac:dyDescent="0.25">
      <c r="J103">
        <v>4</v>
      </c>
      <c r="K103">
        <v>12</v>
      </c>
      <c r="L103">
        <v>52301</v>
      </c>
      <c r="M103">
        <v>23274.96875</v>
      </c>
      <c r="N103" t="str">
        <v xml:space="preserve"> FY26-Q3</v>
      </c>
      <c r="O103" t="str">
        <v>CY26-Q1</v>
      </c>
    </row>
    <row r="104" spans="10:15" x14ac:dyDescent="0.25">
      <c r="J104">
        <v>4</v>
      </c>
      <c r="K104">
        <v>12</v>
      </c>
      <c r="L104">
        <v>52666</v>
      </c>
      <c r="M104">
        <v>23274.96875</v>
      </c>
      <c r="N104" t="str">
        <v xml:space="preserve"> FY26-Q3</v>
      </c>
      <c r="O104" t="str">
        <v>CY26-Q1</v>
      </c>
    </row>
    <row r="105" spans="10:15" x14ac:dyDescent="0.25">
      <c r="J105">
        <v>4</v>
      </c>
      <c r="K105">
        <v>12</v>
      </c>
      <c r="L105">
        <v>53031</v>
      </c>
      <c r="M105">
        <v>23274.96875</v>
      </c>
      <c r="N105" t="str">
        <v xml:space="preserve"> FY26-Q3</v>
      </c>
      <c r="O105" t="str">
        <v>CY26-Q1</v>
      </c>
    </row>
    <row r="106" spans="10:15" x14ac:dyDescent="0.25">
      <c r="J106">
        <v>4</v>
      </c>
      <c r="K106">
        <v>12</v>
      </c>
      <c r="L106">
        <v>53396</v>
      </c>
      <c r="M106">
        <v>23274.96875</v>
      </c>
      <c r="N106" t="str">
        <v xml:space="preserve"> FY26-Q3</v>
      </c>
      <c r="O106" t="str">
        <v>CY26-Q1</v>
      </c>
    </row>
    <row r="107" spans="10:15" x14ac:dyDescent="0.25">
      <c r="J107">
        <v>4</v>
      </c>
      <c r="K107">
        <v>12</v>
      </c>
      <c r="L107">
        <v>53761</v>
      </c>
      <c r="M107">
        <v>23274.96875</v>
      </c>
      <c r="N107" t="str">
        <v xml:space="preserve"> FY26-Q3</v>
      </c>
      <c r="O107" t="str">
        <v>CY26-Q1</v>
      </c>
    </row>
    <row r="108" spans="10:15" x14ac:dyDescent="0.25">
      <c r="J108">
        <v>4</v>
      </c>
      <c r="K108">
        <v>12</v>
      </c>
      <c r="L108">
        <v>54126</v>
      </c>
      <c r="M108">
        <v>23274.96875</v>
      </c>
      <c r="N108" t="str">
        <v xml:space="preserve"> FY26-Q3</v>
      </c>
      <c r="O108" t="str">
        <v>CY26-Q1</v>
      </c>
    </row>
    <row r="109" spans="10:15" x14ac:dyDescent="0.25">
      <c r="J109">
        <v>4</v>
      </c>
      <c r="K109">
        <v>12</v>
      </c>
      <c r="L109">
        <v>54491</v>
      </c>
      <c r="M109">
        <v>23274.96875</v>
      </c>
      <c r="N109" t="str">
        <v xml:space="preserve"> FY26-Q3</v>
      </c>
      <c r="O109" t="str">
        <v>CY26-Q1</v>
      </c>
    </row>
    <row r="110" spans="10:15" x14ac:dyDescent="0.25">
      <c r="J110">
        <v>4</v>
      </c>
      <c r="K110">
        <v>12</v>
      </c>
      <c r="L110">
        <v>54856</v>
      </c>
      <c r="M110">
        <v>23274.96875</v>
      </c>
      <c r="N110" t="str">
        <v xml:space="preserve"> FY26-Q3</v>
      </c>
      <c r="O110" t="str">
        <v>CY26-Q1</v>
      </c>
    </row>
    <row r="111" spans="10:15" x14ac:dyDescent="0.25">
      <c r="J111">
        <v>4</v>
      </c>
      <c r="K111">
        <v>12</v>
      </c>
      <c r="L111">
        <v>55221</v>
      </c>
      <c r="M111">
        <v>23274.96875</v>
      </c>
      <c r="N111" t="str">
        <v xml:space="preserve"> FY26-Q3</v>
      </c>
      <c r="O111" t="str">
        <v>CY26-Q1</v>
      </c>
    </row>
    <row r="112" spans="10:15" x14ac:dyDescent="0.25">
      <c r="J112">
        <v>4</v>
      </c>
      <c r="K112">
        <v>12</v>
      </c>
      <c r="L112">
        <v>55586</v>
      </c>
      <c r="M112">
        <v>23274.96875</v>
      </c>
      <c r="N112" t="str">
        <v xml:space="preserve"> FY26-Q3</v>
      </c>
      <c r="O112" t="str">
        <v>CY26-Q1</v>
      </c>
    </row>
    <row r="113" spans="10:15" x14ac:dyDescent="0.25">
      <c r="J113">
        <v>4</v>
      </c>
      <c r="K113">
        <v>12</v>
      </c>
      <c r="L113">
        <v>55951</v>
      </c>
      <c r="M113">
        <v>23274.96875</v>
      </c>
      <c r="N113" t="str">
        <v xml:space="preserve"> FY26-Q3</v>
      </c>
      <c r="O113" t="str">
        <v>CY26-Q1</v>
      </c>
    </row>
    <row r="114" spans="10:15" x14ac:dyDescent="0.25">
      <c r="J114">
        <v>4</v>
      </c>
      <c r="K114">
        <v>12</v>
      </c>
      <c r="L114">
        <v>56316</v>
      </c>
      <c r="M114">
        <v>23274.96875</v>
      </c>
      <c r="N114" t="str">
        <v xml:space="preserve"> FY26-Q3</v>
      </c>
      <c r="O114" t="str">
        <v>CY26-Q1</v>
      </c>
    </row>
    <row r="115" spans="10:15" x14ac:dyDescent="0.25">
      <c r="J115">
        <v>4</v>
      </c>
      <c r="K115">
        <v>12</v>
      </c>
      <c r="L115">
        <v>56681</v>
      </c>
      <c r="M115">
        <v>23274.96875</v>
      </c>
      <c r="N115" t="str">
        <v xml:space="preserve"> FY26-Q3</v>
      </c>
      <c r="O115" t="str">
        <v>CY26-Q1</v>
      </c>
    </row>
    <row r="116" spans="10:15" x14ac:dyDescent="0.25">
      <c r="J116">
        <v>4</v>
      </c>
      <c r="K116">
        <v>12</v>
      </c>
      <c r="L116">
        <v>57046</v>
      </c>
      <c r="M116">
        <v>23274.96875</v>
      </c>
      <c r="N116" t="str">
        <v xml:space="preserve"> FY26-Q3</v>
      </c>
      <c r="O116" t="str">
        <v>CY26-Q1</v>
      </c>
    </row>
    <row r="117" spans="10:15" x14ac:dyDescent="0.25">
      <c r="J117">
        <v>4</v>
      </c>
      <c r="K117">
        <v>12</v>
      </c>
      <c r="L117">
        <v>57411</v>
      </c>
      <c r="M117">
        <v>23274.96875</v>
      </c>
      <c r="N117" t="str">
        <v xml:space="preserve"> FY26-Q3</v>
      </c>
      <c r="O117" t="str">
        <v>CY26-Q1</v>
      </c>
    </row>
    <row r="118" spans="10:15" x14ac:dyDescent="0.25">
      <c r="J118">
        <v>5</v>
      </c>
      <c r="K118">
        <v>12</v>
      </c>
      <c r="L118">
        <v>46441</v>
      </c>
      <c r="M118">
        <v>62426.1</v>
      </c>
      <c r="N118" t="str">
        <v xml:space="preserve"> FY27-Q3</v>
      </c>
      <c r="O118" t="str">
        <v>CY27-Q1</v>
      </c>
    </row>
    <row r="119" spans="10:15" x14ac:dyDescent="0.25">
      <c r="J119">
        <v>5</v>
      </c>
      <c r="K119">
        <v>12</v>
      </c>
      <c r="L119">
        <v>46623</v>
      </c>
      <c r="M119">
        <v>62426.1</v>
      </c>
      <c r="N119" t="str">
        <v xml:space="preserve"> FY27-Q3</v>
      </c>
      <c r="O119" t="str">
        <v>CY27-Q1</v>
      </c>
    </row>
    <row r="120" spans="10:15" x14ac:dyDescent="0.25">
      <c r="J120">
        <v>5</v>
      </c>
      <c r="K120">
        <v>12</v>
      </c>
      <c r="L120">
        <v>46805</v>
      </c>
      <c r="M120">
        <v>62426.1</v>
      </c>
      <c r="N120" t="str">
        <v xml:space="preserve"> FY27-Q3</v>
      </c>
      <c r="O120" t="str">
        <v>CY27-Q1</v>
      </c>
    </row>
    <row r="121" spans="10:15" x14ac:dyDescent="0.25">
      <c r="J121">
        <v>5</v>
      </c>
      <c r="K121">
        <v>12</v>
      </c>
      <c r="L121">
        <v>46987</v>
      </c>
      <c r="M121">
        <v>62426.1</v>
      </c>
      <c r="N121" t="str">
        <v xml:space="preserve"> FY27-Q3</v>
      </c>
      <c r="O121" t="str">
        <v>CY27-Q1</v>
      </c>
    </row>
    <row r="122" spans="10:15" x14ac:dyDescent="0.25">
      <c r="J122">
        <v>5</v>
      </c>
      <c r="K122">
        <v>12</v>
      </c>
      <c r="L122">
        <v>47169</v>
      </c>
      <c r="M122">
        <v>62426.1</v>
      </c>
      <c r="N122" t="str">
        <v xml:space="preserve"> FY27-Q3</v>
      </c>
      <c r="O122" t="str">
        <v>CY27-Q1</v>
      </c>
    </row>
    <row r="123" spans="10:15" x14ac:dyDescent="0.25">
      <c r="J123">
        <v>5</v>
      </c>
      <c r="K123">
        <v>12</v>
      </c>
      <c r="L123">
        <v>47351</v>
      </c>
      <c r="M123">
        <v>62426.1</v>
      </c>
      <c r="N123" t="str">
        <v xml:space="preserve"> FY27-Q3</v>
      </c>
      <c r="O123" t="str">
        <v>CY27-Q1</v>
      </c>
    </row>
    <row r="124" spans="10:15" x14ac:dyDescent="0.25">
      <c r="J124">
        <v>5</v>
      </c>
      <c r="K124">
        <v>12</v>
      </c>
      <c r="L124">
        <v>47533</v>
      </c>
      <c r="M124">
        <v>62426.1</v>
      </c>
      <c r="N124" t="str">
        <v xml:space="preserve"> FY27-Q3</v>
      </c>
      <c r="O124" t="str">
        <v>CY27-Q1</v>
      </c>
    </row>
    <row r="125" spans="10:15" x14ac:dyDescent="0.25">
      <c r="J125">
        <v>5</v>
      </c>
      <c r="K125">
        <v>12</v>
      </c>
      <c r="L125">
        <v>47715</v>
      </c>
      <c r="M125">
        <v>62426.1</v>
      </c>
      <c r="N125" t="str">
        <v xml:space="preserve"> FY27-Q3</v>
      </c>
      <c r="O125" t="str">
        <v>CY27-Q1</v>
      </c>
    </row>
    <row r="126" spans="10:15" x14ac:dyDescent="0.25">
      <c r="J126">
        <v>5</v>
      </c>
      <c r="K126">
        <v>12</v>
      </c>
      <c r="L126">
        <v>47897</v>
      </c>
      <c r="M126">
        <v>62426.1</v>
      </c>
      <c r="N126" t="str">
        <v xml:space="preserve"> FY27-Q3</v>
      </c>
      <c r="O126" t="str">
        <v>CY27-Q1</v>
      </c>
    </row>
    <row r="127" spans="10:15" x14ac:dyDescent="0.25">
      <c r="J127">
        <v>5</v>
      </c>
      <c r="K127">
        <v>12</v>
      </c>
      <c r="L127">
        <v>48079</v>
      </c>
      <c r="M127">
        <v>62426.1</v>
      </c>
      <c r="N127" t="str">
        <v xml:space="preserve"> FY27-Q3</v>
      </c>
      <c r="O127" t="str">
        <v>CY27-Q1</v>
      </c>
    </row>
    <row r="128" spans="10:15" x14ac:dyDescent="0.25">
      <c r="J128">
        <v>5</v>
      </c>
      <c r="K128">
        <v>12</v>
      </c>
      <c r="L128">
        <v>48261</v>
      </c>
      <c r="M128">
        <v>62426.1</v>
      </c>
      <c r="N128" t="str">
        <v xml:space="preserve"> FY27-Q3</v>
      </c>
      <c r="O128" t="str">
        <v>CY27-Q1</v>
      </c>
    </row>
    <row r="129" spans="10:15" x14ac:dyDescent="0.25">
      <c r="J129">
        <v>5</v>
      </c>
      <c r="K129">
        <v>12</v>
      </c>
      <c r="L129">
        <v>48443</v>
      </c>
      <c r="M129">
        <v>62426.1</v>
      </c>
      <c r="N129" t="str">
        <v xml:space="preserve"> FY27-Q3</v>
      </c>
      <c r="O129" t="str">
        <v>CY27-Q1</v>
      </c>
    </row>
    <row r="130" spans="10:15" x14ac:dyDescent="0.25">
      <c r="J130">
        <v>5</v>
      </c>
      <c r="K130">
        <v>12</v>
      </c>
      <c r="L130">
        <v>48625</v>
      </c>
      <c r="M130">
        <v>62426.1</v>
      </c>
      <c r="N130" t="str">
        <v xml:space="preserve"> FY27-Q3</v>
      </c>
      <c r="O130" t="str">
        <v>CY27-Q1</v>
      </c>
    </row>
    <row r="131" spans="10:15" x14ac:dyDescent="0.25">
      <c r="J131">
        <v>5</v>
      </c>
      <c r="K131">
        <v>12</v>
      </c>
      <c r="L131">
        <v>48807</v>
      </c>
      <c r="M131">
        <v>62426.1</v>
      </c>
      <c r="N131" t="str">
        <v xml:space="preserve"> FY27-Q3</v>
      </c>
      <c r="O131" t="str">
        <v>CY27-Q1</v>
      </c>
    </row>
    <row r="132" spans="10:15" x14ac:dyDescent="0.25">
      <c r="J132">
        <v>5</v>
      </c>
      <c r="K132">
        <v>12</v>
      </c>
      <c r="L132">
        <v>48989</v>
      </c>
      <c r="M132">
        <v>62426.1</v>
      </c>
      <c r="N132" t="str">
        <v xml:space="preserve"> FY27-Q3</v>
      </c>
      <c r="O132" t="str">
        <v>CY27-Q1</v>
      </c>
    </row>
    <row r="133" spans="10:15" x14ac:dyDescent="0.25">
      <c r="J133">
        <v>5</v>
      </c>
      <c r="K133">
        <v>12</v>
      </c>
      <c r="L133">
        <v>49171</v>
      </c>
      <c r="M133">
        <v>62426.1</v>
      </c>
      <c r="N133" t="str">
        <v xml:space="preserve"> FY27-Q3</v>
      </c>
      <c r="O133" t="str">
        <v>CY27-Q1</v>
      </c>
    </row>
    <row r="134" spans="10:15" x14ac:dyDescent="0.25">
      <c r="J134">
        <v>5</v>
      </c>
      <c r="K134">
        <v>12</v>
      </c>
      <c r="L134">
        <v>49353</v>
      </c>
      <c r="M134">
        <v>62426.1</v>
      </c>
      <c r="N134" t="str">
        <v xml:space="preserve"> FY27-Q3</v>
      </c>
      <c r="O134" t="str">
        <v>CY27-Q1</v>
      </c>
    </row>
    <row r="135" spans="10:15" x14ac:dyDescent="0.25">
      <c r="J135">
        <v>5</v>
      </c>
      <c r="K135">
        <v>12</v>
      </c>
      <c r="L135">
        <v>49535</v>
      </c>
      <c r="M135">
        <v>62426.1</v>
      </c>
      <c r="N135" t="str">
        <v xml:space="preserve"> FY27-Q3</v>
      </c>
      <c r="O135" t="str">
        <v>CY27-Q1</v>
      </c>
    </row>
    <row r="136" spans="10:15" x14ac:dyDescent="0.25">
      <c r="J136">
        <v>5</v>
      </c>
      <c r="K136">
        <v>12</v>
      </c>
      <c r="L136">
        <v>49717</v>
      </c>
      <c r="M136">
        <v>62426.1</v>
      </c>
      <c r="N136" t="str">
        <v xml:space="preserve"> FY27-Q3</v>
      </c>
      <c r="O136" t="str">
        <v>CY27-Q1</v>
      </c>
    </row>
    <row r="137" spans="10:15" x14ac:dyDescent="0.25">
      <c r="J137">
        <v>5</v>
      </c>
      <c r="K137">
        <v>12</v>
      </c>
      <c r="L137">
        <v>49899</v>
      </c>
      <c r="M137">
        <v>62426.1</v>
      </c>
      <c r="N137" t="str">
        <v xml:space="preserve"> FY27-Q3</v>
      </c>
      <c r="O137" t="str">
        <v>CY27-Q1</v>
      </c>
    </row>
    <row r="138" spans="10:15" x14ac:dyDescent="0.25">
      <c r="J138">
        <v>6</v>
      </c>
      <c r="K138">
        <v>13</v>
      </c>
      <c r="L138">
        <v>46199</v>
      </c>
      <c r="M138">
        <v>59007.5</v>
      </c>
      <c r="N138" t="str">
        <v xml:space="preserve"> FY26-Q4</v>
      </c>
      <c r="O138" t="str">
        <v>CY26-Q2</v>
      </c>
    </row>
    <row r="139" spans="10:15" x14ac:dyDescent="0.25">
      <c r="J139">
        <v>6</v>
      </c>
      <c r="K139">
        <v>13</v>
      </c>
      <c r="L139">
        <v>46381</v>
      </c>
      <c r="M139">
        <v>59007.5</v>
      </c>
      <c r="N139" t="str">
        <v xml:space="preserve"> FY26-Q4</v>
      </c>
      <c r="O139" t="str">
        <v>CY26-Q2</v>
      </c>
    </row>
    <row r="140" spans="10:15" x14ac:dyDescent="0.25">
      <c r="J140">
        <v>6</v>
      </c>
      <c r="K140">
        <v>13</v>
      </c>
      <c r="L140">
        <v>46563</v>
      </c>
      <c r="M140">
        <v>59007.5</v>
      </c>
      <c r="N140" t="str">
        <v xml:space="preserve"> FY26-Q4</v>
      </c>
      <c r="O140" t="str">
        <v>CY26-Q2</v>
      </c>
    </row>
    <row r="141" spans="10:15" x14ac:dyDescent="0.25">
      <c r="J141">
        <v>6</v>
      </c>
      <c r="K141">
        <v>13</v>
      </c>
      <c r="L141">
        <v>46745</v>
      </c>
      <c r="M141">
        <v>59007.5</v>
      </c>
      <c r="N141" t="str">
        <v xml:space="preserve"> FY26-Q4</v>
      </c>
      <c r="O141" t="str">
        <v>CY26-Q2</v>
      </c>
    </row>
    <row r="142" spans="10:15" x14ac:dyDescent="0.25">
      <c r="J142">
        <v>6</v>
      </c>
      <c r="K142">
        <v>13</v>
      </c>
      <c r="L142">
        <v>46927</v>
      </c>
      <c r="M142">
        <v>59007.5</v>
      </c>
      <c r="N142" t="str">
        <v xml:space="preserve"> FY26-Q4</v>
      </c>
      <c r="O142" t="str">
        <v>CY26-Q2</v>
      </c>
    </row>
    <row r="143" spans="10:15" x14ac:dyDescent="0.25">
      <c r="J143">
        <v>6</v>
      </c>
      <c r="K143">
        <v>13</v>
      </c>
      <c r="L143">
        <v>47109</v>
      </c>
      <c r="M143">
        <v>59007.5</v>
      </c>
      <c r="N143" t="str">
        <v xml:space="preserve"> FY26-Q4</v>
      </c>
      <c r="O143" t="str">
        <v>CY26-Q2</v>
      </c>
    </row>
    <row r="144" spans="10:15" x14ac:dyDescent="0.25">
      <c r="J144">
        <v>6</v>
      </c>
      <c r="K144">
        <v>13</v>
      </c>
      <c r="L144">
        <v>47291</v>
      </c>
      <c r="M144">
        <v>59007.5</v>
      </c>
      <c r="N144" t="str">
        <v xml:space="preserve"> FY26-Q4</v>
      </c>
      <c r="O144" t="str">
        <v>CY26-Q2</v>
      </c>
    </row>
    <row r="145" spans="10:15" x14ac:dyDescent="0.25">
      <c r="J145">
        <v>6</v>
      </c>
      <c r="K145">
        <v>13</v>
      </c>
      <c r="L145">
        <v>47473</v>
      </c>
      <c r="M145">
        <v>59007.5</v>
      </c>
      <c r="N145" t="str">
        <v xml:space="preserve"> FY26-Q4</v>
      </c>
      <c r="O145" t="str">
        <v>CY26-Q2</v>
      </c>
    </row>
    <row r="146" spans="10:15" x14ac:dyDescent="0.25">
      <c r="J146">
        <v>6</v>
      </c>
      <c r="K146">
        <v>13</v>
      </c>
      <c r="L146">
        <v>47655</v>
      </c>
      <c r="M146">
        <v>59007.5</v>
      </c>
      <c r="N146" t="str">
        <v xml:space="preserve"> FY26-Q4</v>
      </c>
      <c r="O146" t="str">
        <v>CY26-Q2</v>
      </c>
    </row>
    <row r="147" spans="10:15" x14ac:dyDescent="0.25">
      <c r="J147">
        <v>6</v>
      </c>
      <c r="K147">
        <v>13</v>
      </c>
      <c r="L147">
        <v>47837</v>
      </c>
      <c r="M147">
        <v>59007.5</v>
      </c>
      <c r="N147" t="str">
        <v xml:space="preserve"> FY26-Q4</v>
      </c>
      <c r="O147" t="str">
        <v>CY26-Q2</v>
      </c>
    </row>
    <row r="148" spans="10:15" x14ac:dyDescent="0.25">
      <c r="J148">
        <v>6</v>
      </c>
      <c r="K148">
        <v>13</v>
      </c>
      <c r="L148">
        <v>48019</v>
      </c>
      <c r="M148">
        <v>59007.5</v>
      </c>
      <c r="N148" t="str">
        <v xml:space="preserve"> FY26-Q4</v>
      </c>
      <c r="O148" t="str">
        <v>CY26-Q2</v>
      </c>
    </row>
    <row r="149" spans="10:15" x14ac:dyDescent="0.25">
      <c r="J149">
        <v>6</v>
      </c>
      <c r="K149">
        <v>13</v>
      </c>
      <c r="L149">
        <v>48201</v>
      </c>
      <c r="M149">
        <v>59007.5</v>
      </c>
      <c r="N149" t="str">
        <v xml:space="preserve"> FY26-Q4</v>
      </c>
      <c r="O149" t="str">
        <v>CY26-Q2</v>
      </c>
    </row>
    <row r="150" spans="10:15" x14ac:dyDescent="0.25">
      <c r="J150">
        <v>6</v>
      </c>
      <c r="K150">
        <v>13</v>
      </c>
      <c r="L150">
        <v>48383</v>
      </c>
      <c r="M150">
        <v>59007.5</v>
      </c>
      <c r="N150" t="str">
        <v xml:space="preserve"> FY26-Q4</v>
      </c>
      <c r="O150" t="str">
        <v>CY26-Q2</v>
      </c>
    </row>
    <row r="151" spans="10:15" x14ac:dyDescent="0.25">
      <c r="J151">
        <v>6</v>
      </c>
      <c r="K151">
        <v>13</v>
      </c>
      <c r="L151">
        <v>48565</v>
      </c>
      <c r="M151">
        <v>59007.5</v>
      </c>
      <c r="N151" t="str">
        <v xml:space="preserve"> FY26-Q4</v>
      </c>
      <c r="O151" t="str">
        <v>CY26-Q2</v>
      </c>
    </row>
    <row r="152" spans="10:15" x14ac:dyDescent="0.25">
      <c r="J152">
        <v>7</v>
      </c>
      <c r="K152">
        <v>14</v>
      </c>
      <c r="L152">
        <v>46413</v>
      </c>
      <c r="M152">
        <v>45568.818181818184</v>
      </c>
      <c r="N152" t="str">
        <v xml:space="preserve"> FY27-Q3</v>
      </c>
      <c r="O152" t="str">
        <v>CY27-Q1</v>
      </c>
    </row>
    <row r="153" spans="10:15" x14ac:dyDescent="0.25">
      <c r="J153">
        <v>7</v>
      </c>
      <c r="K153">
        <v>14</v>
      </c>
      <c r="L153">
        <v>46504</v>
      </c>
      <c r="M153">
        <v>45568.818181818184</v>
      </c>
      <c r="N153" t="str">
        <v xml:space="preserve"> FY27-Q3</v>
      </c>
      <c r="O153" t="str">
        <v>CY27-Q1</v>
      </c>
    </row>
    <row r="154" spans="10:15" x14ac:dyDescent="0.25">
      <c r="J154">
        <v>7</v>
      </c>
      <c r="K154">
        <v>14</v>
      </c>
      <c r="L154">
        <v>46595</v>
      </c>
      <c r="M154">
        <v>45568.818181818184</v>
      </c>
      <c r="N154" t="str">
        <v xml:space="preserve"> FY27-Q3</v>
      </c>
      <c r="O154" t="str">
        <v>CY27-Q1</v>
      </c>
    </row>
    <row r="155" spans="10:15" x14ac:dyDescent="0.25">
      <c r="J155">
        <v>7</v>
      </c>
      <c r="K155">
        <v>14</v>
      </c>
      <c r="L155">
        <v>46686</v>
      </c>
      <c r="M155">
        <v>45568.818181818184</v>
      </c>
      <c r="N155" t="str">
        <v xml:space="preserve"> FY27-Q3</v>
      </c>
      <c r="O155" t="str">
        <v>CY27-Q1</v>
      </c>
    </row>
    <row r="156" spans="10:15" x14ac:dyDescent="0.25">
      <c r="J156">
        <v>7</v>
      </c>
      <c r="K156">
        <v>14</v>
      </c>
      <c r="L156">
        <v>46777</v>
      </c>
      <c r="M156">
        <v>45568.818181818184</v>
      </c>
      <c r="N156" t="str">
        <v xml:space="preserve"> FY27-Q3</v>
      </c>
      <c r="O156" t="str">
        <v>CY27-Q1</v>
      </c>
    </row>
    <row r="157" spans="10:15" x14ac:dyDescent="0.25">
      <c r="J157">
        <v>7</v>
      </c>
      <c r="K157">
        <v>14</v>
      </c>
      <c r="L157">
        <v>46868</v>
      </c>
      <c r="M157">
        <v>45568.818181818184</v>
      </c>
      <c r="N157" t="str">
        <v xml:space="preserve"> FY27-Q3</v>
      </c>
      <c r="O157" t="str">
        <v>CY27-Q1</v>
      </c>
    </row>
    <row r="158" spans="10:15" x14ac:dyDescent="0.25">
      <c r="J158">
        <v>7</v>
      </c>
      <c r="K158">
        <v>14</v>
      </c>
      <c r="L158">
        <v>46959</v>
      </c>
      <c r="M158">
        <v>45568.818181818184</v>
      </c>
      <c r="N158" t="str">
        <v xml:space="preserve"> FY27-Q3</v>
      </c>
      <c r="O158" t="str">
        <v>CY27-Q1</v>
      </c>
    </row>
    <row r="159" spans="10:15" x14ac:dyDescent="0.25">
      <c r="J159">
        <v>7</v>
      </c>
      <c r="K159">
        <v>14</v>
      </c>
      <c r="L159">
        <v>47050</v>
      </c>
      <c r="M159">
        <v>45568.818181818184</v>
      </c>
      <c r="N159" t="str">
        <v xml:space="preserve"> FY27-Q3</v>
      </c>
      <c r="O159" t="str">
        <v>CY27-Q1</v>
      </c>
    </row>
    <row r="160" spans="10:15" x14ac:dyDescent="0.25">
      <c r="J160">
        <v>7</v>
      </c>
      <c r="K160">
        <v>14</v>
      </c>
      <c r="L160">
        <v>47141</v>
      </c>
      <c r="M160">
        <v>45568.818181818184</v>
      </c>
      <c r="N160" t="str">
        <v xml:space="preserve"> FY27-Q3</v>
      </c>
      <c r="O160" t="str">
        <v>CY27-Q1</v>
      </c>
    </row>
    <row r="161" spans="10:15" x14ac:dyDescent="0.25">
      <c r="J161">
        <v>7</v>
      </c>
      <c r="K161">
        <v>14</v>
      </c>
      <c r="L161">
        <v>47232</v>
      </c>
      <c r="M161">
        <v>45568.818181818184</v>
      </c>
      <c r="N161" t="str">
        <v xml:space="preserve"> FY27-Q3</v>
      </c>
      <c r="O161" t="str">
        <v>CY27-Q1</v>
      </c>
    </row>
    <row r="162" spans="10:15" x14ac:dyDescent="0.25">
      <c r="J162">
        <v>7</v>
      </c>
      <c r="K162">
        <v>14</v>
      </c>
      <c r="L162">
        <v>47323</v>
      </c>
      <c r="M162">
        <v>45568.818181818184</v>
      </c>
      <c r="N162" t="str">
        <v xml:space="preserve"> FY27-Q3</v>
      </c>
      <c r="O162" t="str">
        <v>CY27-Q1</v>
      </c>
    </row>
    <row r="163" spans="10:15" x14ac:dyDescent="0.25">
      <c r="J163">
        <v>7</v>
      </c>
      <c r="K163">
        <v>14</v>
      </c>
      <c r="L163">
        <v>47414</v>
      </c>
      <c r="M163">
        <v>45568.818181818184</v>
      </c>
      <c r="N163" t="str">
        <v xml:space="preserve"> FY27-Q3</v>
      </c>
      <c r="O163" t="str">
        <v>CY27-Q1</v>
      </c>
    </row>
    <row r="164" spans="10:15" x14ac:dyDescent="0.25">
      <c r="J164">
        <v>7</v>
      </c>
      <c r="K164">
        <v>14</v>
      </c>
      <c r="L164">
        <v>47505</v>
      </c>
      <c r="M164">
        <v>45568.818181818184</v>
      </c>
      <c r="N164" t="str">
        <v xml:space="preserve"> FY27-Q3</v>
      </c>
      <c r="O164" t="str">
        <v>CY27-Q1</v>
      </c>
    </row>
    <row r="165" spans="10:15" x14ac:dyDescent="0.25">
      <c r="J165">
        <v>7</v>
      </c>
      <c r="K165">
        <v>14</v>
      </c>
      <c r="L165">
        <v>47596</v>
      </c>
      <c r="M165">
        <v>45568.818181818184</v>
      </c>
      <c r="N165" t="str">
        <v xml:space="preserve"> FY27-Q3</v>
      </c>
      <c r="O165" t="str">
        <v>CY27-Q1</v>
      </c>
    </row>
    <row r="166" spans="10:15" x14ac:dyDescent="0.25">
      <c r="J166">
        <v>7</v>
      </c>
      <c r="K166">
        <v>14</v>
      </c>
      <c r="L166">
        <v>47687</v>
      </c>
      <c r="M166">
        <v>45568.818181818184</v>
      </c>
      <c r="N166" t="str">
        <v xml:space="preserve"> FY27-Q3</v>
      </c>
      <c r="O166" t="str">
        <v>CY27-Q1</v>
      </c>
    </row>
    <row r="167" spans="10:15" x14ac:dyDescent="0.25">
      <c r="J167">
        <v>7</v>
      </c>
      <c r="K167">
        <v>14</v>
      </c>
      <c r="L167">
        <v>47778</v>
      </c>
      <c r="M167">
        <v>45568.818181818184</v>
      </c>
      <c r="N167" t="str">
        <v xml:space="preserve"> FY27-Q3</v>
      </c>
      <c r="O167" t="str">
        <v>CY27-Q1</v>
      </c>
    </row>
    <row r="168" spans="10:15" x14ac:dyDescent="0.25">
      <c r="J168">
        <v>7</v>
      </c>
      <c r="K168">
        <v>14</v>
      </c>
      <c r="L168">
        <v>47869</v>
      </c>
      <c r="M168">
        <v>45568.818181818184</v>
      </c>
      <c r="N168" t="str">
        <v xml:space="preserve"> FY27-Q3</v>
      </c>
      <c r="O168" t="str">
        <v>CY27-Q1</v>
      </c>
    </row>
    <row r="169" spans="10:15" x14ac:dyDescent="0.25">
      <c r="J169">
        <v>7</v>
      </c>
      <c r="K169">
        <v>14</v>
      </c>
      <c r="L169">
        <v>47960</v>
      </c>
      <c r="M169">
        <v>45568.818181818184</v>
      </c>
      <c r="N169" t="str">
        <v xml:space="preserve"> FY27-Q3</v>
      </c>
      <c r="O169" t="str">
        <v>CY27-Q1</v>
      </c>
    </row>
    <row r="170" spans="10:15" x14ac:dyDescent="0.25">
      <c r="J170">
        <v>7</v>
      </c>
      <c r="K170">
        <v>14</v>
      </c>
      <c r="L170">
        <v>48051</v>
      </c>
      <c r="M170">
        <v>45568.818181818184</v>
      </c>
      <c r="N170" t="str">
        <v xml:space="preserve"> FY27-Q3</v>
      </c>
      <c r="O170" t="str">
        <v>CY27-Q1</v>
      </c>
    </row>
    <row r="171" spans="10:15" x14ac:dyDescent="0.25">
      <c r="J171">
        <v>7</v>
      </c>
      <c r="K171">
        <v>14</v>
      </c>
      <c r="L171">
        <v>48142</v>
      </c>
      <c r="M171">
        <v>45568.818181818184</v>
      </c>
      <c r="N171" t="str">
        <v xml:space="preserve"> FY27-Q3</v>
      </c>
      <c r="O171" t="str">
        <v>CY27-Q1</v>
      </c>
    </row>
    <row r="172" spans="10:15" x14ac:dyDescent="0.25">
      <c r="J172">
        <v>7</v>
      </c>
      <c r="K172">
        <v>14</v>
      </c>
      <c r="L172">
        <v>48233</v>
      </c>
      <c r="M172">
        <v>45568.818181818184</v>
      </c>
      <c r="N172" t="str">
        <v xml:space="preserve"> FY27-Q3</v>
      </c>
      <c r="O172" t="str">
        <v>CY27-Q1</v>
      </c>
    </row>
    <row r="173" spans="10:15" x14ac:dyDescent="0.25">
      <c r="J173">
        <v>7</v>
      </c>
      <c r="K173">
        <v>14</v>
      </c>
      <c r="L173">
        <v>48324</v>
      </c>
      <c r="M173">
        <v>45568.818181818184</v>
      </c>
      <c r="N173" t="str">
        <v xml:space="preserve"> FY27-Q3</v>
      </c>
      <c r="O173" t="str">
        <v>CY27-Q1</v>
      </c>
    </row>
    <row r="174" spans="10:15" x14ac:dyDescent="0.25">
      <c r="J174">
        <v>8</v>
      </c>
      <c r="K174">
        <v>13</v>
      </c>
      <c r="L174">
        <v>46027</v>
      </c>
      <c r="M174">
        <v>66906.8</v>
      </c>
      <c r="N174" t="str">
        <v xml:space="preserve"> FY26-Q3</v>
      </c>
      <c r="O174" t="str">
        <v>CY26-Q1</v>
      </c>
    </row>
    <row r="175" spans="10:15" x14ac:dyDescent="0.25">
      <c r="J175">
        <v>8</v>
      </c>
      <c r="K175">
        <v>13</v>
      </c>
      <c r="L175">
        <v>46209</v>
      </c>
      <c r="M175">
        <v>66906.8</v>
      </c>
      <c r="N175" t="str">
        <v xml:space="preserve"> FY26-Q3</v>
      </c>
      <c r="O175" t="str">
        <v>CY26-Q1</v>
      </c>
    </row>
    <row r="176" spans="10:15" x14ac:dyDescent="0.25">
      <c r="J176">
        <v>8</v>
      </c>
      <c r="K176">
        <v>13</v>
      </c>
      <c r="L176">
        <v>46391</v>
      </c>
      <c r="M176">
        <v>66906.8</v>
      </c>
      <c r="N176" t="str">
        <v xml:space="preserve"> FY26-Q3</v>
      </c>
      <c r="O176" t="str">
        <v>CY26-Q1</v>
      </c>
    </row>
    <row r="177" spans="10:15" x14ac:dyDescent="0.25">
      <c r="J177">
        <v>8</v>
      </c>
      <c r="K177">
        <v>13</v>
      </c>
      <c r="L177">
        <v>46573</v>
      </c>
      <c r="M177">
        <v>66906.8</v>
      </c>
      <c r="N177" t="str">
        <v xml:space="preserve"> FY26-Q3</v>
      </c>
      <c r="O177" t="str">
        <v>CY26-Q1</v>
      </c>
    </row>
    <row r="178" spans="10:15" x14ac:dyDescent="0.25">
      <c r="J178">
        <v>8</v>
      </c>
      <c r="K178">
        <v>13</v>
      </c>
      <c r="L178">
        <v>46755</v>
      </c>
      <c r="M178">
        <v>66906.8</v>
      </c>
      <c r="N178" t="str">
        <v xml:space="preserve"> FY26-Q3</v>
      </c>
      <c r="O178" t="str">
        <v>CY26-Q1</v>
      </c>
    </row>
    <row r="179" spans="10:15" x14ac:dyDescent="0.25">
      <c r="J179">
        <v>8</v>
      </c>
      <c r="K179">
        <v>13</v>
      </c>
      <c r="L179">
        <v>46937</v>
      </c>
      <c r="M179">
        <v>66906.8</v>
      </c>
      <c r="N179" t="str">
        <v xml:space="preserve"> FY26-Q3</v>
      </c>
      <c r="O179" t="str">
        <v>CY26-Q1</v>
      </c>
    </row>
    <row r="180" spans="10:15" x14ac:dyDescent="0.25">
      <c r="J180">
        <v>8</v>
      </c>
      <c r="K180">
        <v>13</v>
      </c>
      <c r="L180">
        <v>47119</v>
      </c>
      <c r="M180">
        <v>66906.8</v>
      </c>
      <c r="N180" t="str">
        <v xml:space="preserve"> FY26-Q3</v>
      </c>
      <c r="O180" t="str">
        <v>CY26-Q1</v>
      </c>
    </row>
    <row r="181" spans="10:15" x14ac:dyDescent="0.25">
      <c r="J181">
        <v>8</v>
      </c>
      <c r="K181">
        <v>13</v>
      </c>
      <c r="L181">
        <v>47301</v>
      </c>
      <c r="M181">
        <v>66906.8</v>
      </c>
      <c r="N181" t="str">
        <v xml:space="preserve"> FY26-Q3</v>
      </c>
      <c r="O181" t="str">
        <v>CY26-Q1</v>
      </c>
    </row>
    <row r="182" spans="10:15" x14ac:dyDescent="0.25">
      <c r="J182">
        <v>8</v>
      </c>
      <c r="K182">
        <v>13</v>
      </c>
      <c r="L182">
        <v>47483</v>
      </c>
      <c r="M182">
        <v>66906.8</v>
      </c>
      <c r="N182" t="str">
        <v xml:space="preserve"> FY26-Q3</v>
      </c>
      <c r="O182" t="str">
        <v>CY26-Q1</v>
      </c>
    </row>
    <row r="183" spans="10:15" x14ac:dyDescent="0.25">
      <c r="J183">
        <v>8</v>
      </c>
      <c r="K183">
        <v>13</v>
      </c>
      <c r="L183">
        <v>47665</v>
      </c>
      <c r="M183">
        <v>66906.8</v>
      </c>
      <c r="N183" t="str">
        <v xml:space="preserve"> FY26-Q3</v>
      </c>
      <c r="O183" t="str">
        <v>CY26-Q1</v>
      </c>
    </row>
    <row r="184" spans="10:15" x14ac:dyDescent="0.25">
      <c r="J184">
        <v>8</v>
      </c>
      <c r="K184">
        <v>13</v>
      </c>
      <c r="L184">
        <v>47847</v>
      </c>
      <c r="M184">
        <v>66906.8</v>
      </c>
      <c r="N184" t="str">
        <v xml:space="preserve"> FY26-Q3</v>
      </c>
      <c r="O184" t="str">
        <v>CY26-Q1</v>
      </c>
    </row>
    <row r="185" spans="10:15" x14ac:dyDescent="0.25">
      <c r="J185">
        <v>8</v>
      </c>
      <c r="K185">
        <v>13</v>
      </c>
      <c r="L185">
        <v>48029</v>
      </c>
      <c r="M185">
        <v>66906.8</v>
      </c>
      <c r="N185" t="str">
        <v xml:space="preserve"> FY26-Q3</v>
      </c>
      <c r="O185" t="str">
        <v>CY26-Q1</v>
      </c>
    </row>
    <row r="186" spans="10:15" x14ac:dyDescent="0.25">
      <c r="J186">
        <v>8</v>
      </c>
      <c r="K186">
        <v>13</v>
      </c>
      <c r="L186">
        <v>48211</v>
      </c>
      <c r="M186">
        <v>66906.8</v>
      </c>
      <c r="N186" t="str">
        <v xml:space="preserve"> FY26-Q3</v>
      </c>
      <c r="O186" t="str">
        <v>CY26-Q1</v>
      </c>
    </row>
    <row r="187" spans="10:15" x14ac:dyDescent="0.25">
      <c r="J187">
        <v>8</v>
      </c>
      <c r="K187">
        <v>13</v>
      </c>
      <c r="L187">
        <v>48393</v>
      </c>
      <c r="M187">
        <v>66906.8</v>
      </c>
      <c r="N187" t="str">
        <v xml:space="preserve"> FY26-Q3</v>
      </c>
      <c r="O187" t="str">
        <v>CY26-Q1</v>
      </c>
    </row>
    <row r="188" spans="10:15" x14ac:dyDescent="0.25">
      <c r="J188">
        <v>8</v>
      </c>
      <c r="K188">
        <v>13</v>
      </c>
      <c r="L188">
        <v>48575</v>
      </c>
      <c r="M188">
        <v>66906.8</v>
      </c>
      <c r="N188" t="str">
        <v xml:space="preserve"> FY26-Q3</v>
      </c>
      <c r="O188" t="str">
        <v>CY26-Q1</v>
      </c>
    </row>
    <row r="189" spans="10:15" x14ac:dyDescent="0.25">
      <c r="J189">
        <v>9</v>
      </c>
      <c r="K189">
        <v>26</v>
      </c>
      <c r="L189">
        <v>46222</v>
      </c>
      <c r="M189">
        <v>52426.92</v>
      </c>
      <c r="N189" t="str">
        <v xml:space="preserve"> FY27-Q1</v>
      </c>
      <c r="O189" t="str">
        <v>CY26-Q3</v>
      </c>
    </row>
    <row r="190" spans="10:15" x14ac:dyDescent="0.25">
      <c r="J190">
        <v>9</v>
      </c>
      <c r="K190">
        <v>26</v>
      </c>
      <c r="L190">
        <v>46587</v>
      </c>
      <c r="M190">
        <v>52426.92</v>
      </c>
      <c r="N190" t="str">
        <v xml:space="preserve"> FY27-Q1</v>
      </c>
      <c r="O190" t="str">
        <v>CY26-Q3</v>
      </c>
    </row>
    <row r="191" spans="10:15" x14ac:dyDescent="0.25">
      <c r="J191">
        <v>9</v>
      </c>
      <c r="K191">
        <v>26</v>
      </c>
      <c r="L191">
        <v>46952</v>
      </c>
      <c r="M191">
        <v>52426.92</v>
      </c>
      <c r="N191" t="str">
        <v xml:space="preserve"> FY27-Q1</v>
      </c>
      <c r="O191" t="str">
        <v>CY26-Q3</v>
      </c>
    </row>
    <row r="192" spans="10:15" x14ac:dyDescent="0.25">
      <c r="J192">
        <v>9</v>
      </c>
      <c r="K192">
        <v>26</v>
      </c>
      <c r="L192">
        <v>47317</v>
      </c>
      <c r="M192">
        <v>52426.92</v>
      </c>
      <c r="N192" t="str">
        <v xml:space="preserve"> FY27-Q1</v>
      </c>
      <c r="O192" t="str">
        <v>CY26-Q3</v>
      </c>
    </row>
    <row r="193" spans="10:15" x14ac:dyDescent="0.25">
      <c r="J193">
        <v>9</v>
      </c>
      <c r="K193">
        <v>26</v>
      </c>
      <c r="L193">
        <v>47682</v>
      </c>
      <c r="M193">
        <v>52426.92</v>
      </c>
      <c r="N193" t="str">
        <v xml:space="preserve"> FY27-Q1</v>
      </c>
      <c r="O193" t="str">
        <v>CY26-Q3</v>
      </c>
    </row>
    <row r="194" spans="10:15" x14ac:dyDescent="0.25">
      <c r="J194">
        <v>9</v>
      </c>
      <c r="K194">
        <v>26</v>
      </c>
      <c r="L194">
        <v>48047</v>
      </c>
      <c r="M194">
        <v>52426.92</v>
      </c>
      <c r="N194" t="str">
        <v xml:space="preserve"> FY27-Q1</v>
      </c>
      <c r="O194" t="str">
        <v>CY26-Q3</v>
      </c>
    </row>
    <row r="195" spans="10:15" x14ac:dyDescent="0.25">
      <c r="J195">
        <v>9</v>
      </c>
      <c r="K195">
        <v>26</v>
      </c>
      <c r="L195">
        <v>48412</v>
      </c>
      <c r="M195">
        <v>52426.92</v>
      </c>
      <c r="N195" t="str">
        <v xml:space="preserve"> FY27-Q1</v>
      </c>
      <c r="O195" t="str">
        <v>CY26-Q3</v>
      </c>
    </row>
    <row r="196" spans="10:15" x14ac:dyDescent="0.25">
      <c r="J196">
        <v>9</v>
      </c>
      <c r="K196">
        <v>26</v>
      </c>
      <c r="L196">
        <v>48777</v>
      </c>
      <c r="M196">
        <v>52426.92</v>
      </c>
      <c r="N196" t="str">
        <v xml:space="preserve"> FY27-Q1</v>
      </c>
      <c r="O196" t="str">
        <v>CY26-Q3</v>
      </c>
    </row>
    <row r="197" spans="10:15" x14ac:dyDescent="0.25">
      <c r="J197">
        <v>9</v>
      </c>
      <c r="K197">
        <v>26</v>
      </c>
      <c r="L197">
        <v>49142</v>
      </c>
      <c r="M197">
        <v>52426.92</v>
      </c>
      <c r="N197" t="str">
        <v xml:space="preserve"> FY27-Q1</v>
      </c>
      <c r="O197" t="str">
        <v>CY26-Q3</v>
      </c>
    </row>
    <row r="198" spans="10:15" x14ac:dyDescent="0.25">
      <c r="J198">
        <v>9</v>
      </c>
      <c r="K198">
        <v>26</v>
      </c>
      <c r="L198">
        <v>49507</v>
      </c>
      <c r="M198">
        <v>52426.92</v>
      </c>
      <c r="N198" t="str">
        <v xml:space="preserve"> FY27-Q1</v>
      </c>
      <c r="O198" t="str">
        <v>CY26-Q3</v>
      </c>
    </row>
    <row r="199" spans="10:15" x14ac:dyDescent="0.25">
      <c r="J199">
        <v>9</v>
      </c>
      <c r="K199">
        <v>26</v>
      </c>
      <c r="L199">
        <v>49872</v>
      </c>
      <c r="M199">
        <v>52426.92</v>
      </c>
      <c r="N199" t="str">
        <v xml:space="preserve"> FY27-Q1</v>
      </c>
      <c r="O199" t="str">
        <v>CY26-Q3</v>
      </c>
    </row>
    <row r="200" spans="10:15" x14ac:dyDescent="0.25">
      <c r="J200">
        <v>9</v>
      </c>
      <c r="K200">
        <v>26</v>
      </c>
      <c r="L200">
        <v>50237</v>
      </c>
      <c r="M200">
        <v>52426.92</v>
      </c>
      <c r="N200" t="str">
        <v xml:space="preserve"> FY27-Q1</v>
      </c>
      <c r="O200" t="str">
        <v>CY26-Q3</v>
      </c>
    </row>
    <row r="201" spans="10:15" x14ac:dyDescent="0.25">
      <c r="J201">
        <v>9</v>
      </c>
      <c r="K201">
        <v>26</v>
      </c>
      <c r="L201">
        <v>50602</v>
      </c>
      <c r="M201">
        <v>52426.92</v>
      </c>
      <c r="N201" t="str">
        <v xml:space="preserve"> FY27-Q1</v>
      </c>
      <c r="O201" t="str">
        <v>CY26-Q3</v>
      </c>
    </row>
    <row r="202" spans="10:15" x14ac:dyDescent="0.25">
      <c r="J202">
        <v>9</v>
      </c>
      <c r="K202">
        <v>26</v>
      </c>
      <c r="L202">
        <v>50967</v>
      </c>
      <c r="M202">
        <v>52426.92</v>
      </c>
      <c r="N202" t="str">
        <v xml:space="preserve"> FY27-Q1</v>
      </c>
      <c r="O202" t="str">
        <v>CY26-Q3</v>
      </c>
    </row>
    <row r="203" spans="10:15" x14ac:dyDescent="0.25">
      <c r="J203">
        <v>9</v>
      </c>
      <c r="K203">
        <v>26</v>
      </c>
      <c r="L203">
        <v>51332</v>
      </c>
      <c r="M203">
        <v>52426.92</v>
      </c>
      <c r="N203" t="str">
        <v xml:space="preserve"> FY27-Q1</v>
      </c>
      <c r="O203" t="str">
        <v>CY26-Q3</v>
      </c>
    </row>
    <row r="204" spans="10:15" x14ac:dyDescent="0.25">
      <c r="J204">
        <v>9</v>
      </c>
      <c r="K204">
        <v>26</v>
      </c>
      <c r="L204">
        <v>51697</v>
      </c>
      <c r="M204">
        <v>52426.92</v>
      </c>
      <c r="N204" t="str">
        <v xml:space="preserve"> FY27-Q1</v>
      </c>
      <c r="O204" t="str">
        <v>CY26-Q3</v>
      </c>
    </row>
    <row r="205" spans="10:15" x14ac:dyDescent="0.25">
      <c r="J205">
        <v>9</v>
      </c>
      <c r="K205">
        <v>26</v>
      </c>
      <c r="L205">
        <v>52062</v>
      </c>
      <c r="M205">
        <v>52426.92</v>
      </c>
      <c r="N205" t="str">
        <v xml:space="preserve"> FY27-Q1</v>
      </c>
      <c r="O205" t="str">
        <v>CY26-Q3</v>
      </c>
    </row>
    <row r="206" spans="10:15" x14ac:dyDescent="0.25">
      <c r="J206">
        <v>9</v>
      </c>
      <c r="K206">
        <v>26</v>
      </c>
      <c r="L206">
        <v>52427</v>
      </c>
      <c r="M206">
        <v>52426.92</v>
      </c>
      <c r="N206" t="str">
        <v xml:space="preserve"> FY27-Q1</v>
      </c>
      <c r="O206" t="str">
        <v>CY26-Q3</v>
      </c>
    </row>
    <row r="207" spans="10:15" x14ac:dyDescent="0.25">
      <c r="J207">
        <v>9</v>
      </c>
      <c r="K207">
        <v>26</v>
      </c>
      <c r="L207">
        <v>52792</v>
      </c>
      <c r="M207">
        <v>52426.92</v>
      </c>
      <c r="N207" t="str">
        <v xml:space="preserve"> FY27-Q1</v>
      </c>
      <c r="O207" t="str">
        <v>CY26-Q3</v>
      </c>
    </row>
    <row r="208" spans="10:15" x14ac:dyDescent="0.25">
      <c r="J208">
        <v>9</v>
      </c>
      <c r="K208">
        <v>26</v>
      </c>
      <c r="L208">
        <v>53157</v>
      </c>
      <c r="M208">
        <v>52426.92</v>
      </c>
      <c r="N208" t="str">
        <v xml:space="preserve"> FY27-Q1</v>
      </c>
      <c r="O208" t="str">
        <v>CY26-Q3</v>
      </c>
    </row>
    <row r="209" spans="10:15" x14ac:dyDescent="0.25">
      <c r="J209">
        <v>9</v>
      </c>
      <c r="K209">
        <v>26</v>
      </c>
      <c r="L209">
        <v>53522</v>
      </c>
      <c r="M209">
        <v>52426.92</v>
      </c>
      <c r="N209" t="str">
        <v xml:space="preserve"> FY27-Q1</v>
      </c>
      <c r="O209" t="str">
        <v>CY26-Q3</v>
      </c>
    </row>
    <row r="210" spans="10:15" x14ac:dyDescent="0.25">
      <c r="J210">
        <v>9</v>
      </c>
      <c r="K210">
        <v>26</v>
      </c>
      <c r="L210">
        <v>53887</v>
      </c>
      <c r="M210">
        <v>52426.92</v>
      </c>
      <c r="N210" t="str">
        <v xml:space="preserve"> FY27-Q1</v>
      </c>
      <c r="O210" t="str">
        <v>CY26-Q3</v>
      </c>
    </row>
    <row r="211" spans="10:15" x14ac:dyDescent="0.25">
      <c r="J211">
        <v>9</v>
      </c>
      <c r="K211">
        <v>26</v>
      </c>
      <c r="L211">
        <v>54252</v>
      </c>
      <c r="M211">
        <v>52426.92</v>
      </c>
      <c r="N211" t="str">
        <v xml:space="preserve"> FY27-Q1</v>
      </c>
      <c r="O211" t="str">
        <v>CY26-Q3</v>
      </c>
    </row>
    <row r="212" spans="10:15" x14ac:dyDescent="0.25">
      <c r="J212">
        <v>9</v>
      </c>
      <c r="K212">
        <v>26</v>
      </c>
      <c r="L212">
        <v>54617</v>
      </c>
      <c r="M212">
        <v>52426.92</v>
      </c>
      <c r="N212" t="str">
        <v xml:space="preserve"> FY27-Q1</v>
      </c>
      <c r="O212" t="str">
        <v>CY26-Q3</v>
      </c>
    </row>
    <row r="213" spans="10:15" x14ac:dyDescent="0.25">
      <c r="J213">
        <v>9</v>
      </c>
      <c r="K213">
        <v>26</v>
      </c>
      <c r="L213">
        <v>54982</v>
      </c>
      <c r="M213">
        <v>52426.92</v>
      </c>
      <c r="N213" t="str">
        <v xml:space="preserve"> FY27-Q1</v>
      </c>
      <c r="O213" t="str">
        <v>CY26-Q3</v>
      </c>
    </row>
    <row r="214" spans="10:15" x14ac:dyDescent="0.25">
      <c r="J214">
        <v>11</v>
      </c>
      <c r="K214">
        <v>3</v>
      </c>
      <c r="L214">
        <v>46400</v>
      </c>
      <c r="M214">
        <v>36019.285714285717</v>
      </c>
      <c r="N214" t="str">
        <v xml:space="preserve"> FY27-Q3</v>
      </c>
      <c r="O214" t="str">
        <v>CY27-Q1</v>
      </c>
    </row>
    <row r="215" spans="10:15" x14ac:dyDescent="0.25">
      <c r="J215">
        <v>11</v>
      </c>
      <c r="K215">
        <v>3</v>
      </c>
      <c r="L215">
        <v>46491</v>
      </c>
      <c r="M215">
        <v>36019.285714285717</v>
      </c>
      <c r="N215" t="str">
        <v xml:space="preserve"> FY27-Q3</v>
      </c>
      <c r="O215" t="str">
        <v>CY27-Q1</v>
      </c>
    </row>
    <row r="216" spans="10:15" x14ac:dyDescent="0.25">
      <c r="J216">
        <v>11</v>
      </c>
      <c r="K216">
        <v>3</v>
      </c>
      <c r="L216">
        <v>46582</v>
      </c>
      <c r="M216">
        <v>36019.285714285717</v>
      </c>
      <c r="N216" t="str">
        <v xml:space="preserve"> FY27-Q3</v>
      </c>
      <c r="O216" t="str">
        <v>CY27-Q1</v>
      </c>
    </row>
    <row r="217" spans="10:15" x14ac:dyDescent="0.25">
      <c r="J217">
        <v>11</v>
      </c>
      <c r="K217">
        <v>3</v>
      </c>
      <c r="L217">
        <v>46673</v>
      </c>
      <c r="M217">
        <v>36019.285714285717</v>
      </c>
      <c r="N217" t="str">
        <v xml:space="preserve"> FY27-Q3</v>
      </c>
      <c r="O217" t="str">
        <v>CY27-Q1</v>
      </c>
    </row>
    <row r="218" spans="10:15" x14ac:dyDescent="0.25">
      <c r="J218">
        <v>11</v>
      </c>
      <c r="K218">
        <v>3</v>
      </c>
      <c r="L218">
        <v>46764</v>
      </c>
      <c r="M218">
        <v>36019.285714285717</v>
      </c>
      <c r="N218" t="str">
        <v xml:space="preserve"> FY27-Q3</v>
      </c>
      <c r="O218" t="str">
        <v>CY27-Q1</v>
      </c>
    </row>
    <row r="219" spans="10:15" x14ac:dyDescent="0.25">
      <c r="J219">
        <v>11</v>
      </c>
      <c r="K219">
        <v>3</v>
      </c>
      <c r="L219">
        <v>46855</v>
      </c>
      <c r="M219">
        <v>36019.285714285717</v>
      </c>
      <c r="N219" t="str">
        <v xml:space="preserve"> FY27-Q3</v>
      </c>
      <c r="O219" t="str">
        <v>CY27-Q1</v>
      </c>
    </row>
    <row r="220" spans="10:15" x14ac:dyDescent="0.25">
      <c r="J220">
        <v>11</v>
      </c>
      <c r="K220">
        <v>3</v>
      </c>
      <c r="L220">
        <v>46946</v>
      </c>
      <c r="M220">
        <v>36019.285714285717</v>
      </c>
      <c r="N220" t="str">
        <v xml:space="preserve"> FY27-Q3</v>
      </c>
      <c r="O220" t="str">
        <v>CY27-Q1</v>
      </c>
    </row>
    <row r="221" spans="10:15" x14ac:dyDescent="0.25">
      <c r="J221">
        <v>11</v>
      </c>
      <c r="K221">
        <v>3</v>
      </c>
      <c r="L221">
        <v>47037</v>
      </c>
      <c r="M221">
        <v>36019.285714285717</v>
      </c>
      <c r="N221" t="str">
        <v xml:space="preserve"> FY27-Q3</v>
      </c>
      <c r="O221" t="str">
        <v>CY27-Q1</v>
      </c>
    </row>
    <row r="222" spans="10:15" x14ac:dyDescent="0.25">
      <c r="J222">
        <v>11</v>
      </c>
      <c r="K222">
        <v>3</v>
      </c>
      <c r="L222">
        <v>47128</v>
      </c>
      <c r="M222">
        <v>36019.285714285717</v>
      </c>
      <c r="N222" t="str">
        <v xml:space="preserve"> FY27-Q3</v>
      </c>
      <c r="O222" t="str">
        <v>CY27-Q1</v>
      </c>
    </row>
    <row r="223" spans="10:15" x14ac:dyDescent="0.25">
      <c r="J223">
        <v>11</v>
      </c>
      <c r="K223">
        <v>3</v>
      </c>
      <c r="L223">
        <v>47219</v>
      </c>
      <c r="M223">
        <v>36019.285714285717</v>
      </c>
      <c r="N223" t="str">
        <v xml:space="preserve"> FY27-Q3</v>
      </c>
      <c r="O223" t="str">
        <v>CY27-Q1</v>
      </c>
    </row>
    <row r="224" spans="10:15" x14ac:dyDescent="0.25">
      <c r="J224">
        <v>11</v>
      </c>
      <c r="K224">
        <v>3</v>
      </c>
      <c r="L224">
        <v>47310</v>
      </c>
      <c r="M224">
        <v>36019.285714285717</v>
      </c>
      <c r="N224" t="str">
        <v xml:space="preserve"> FY27-Q3</v>
      </c>
      <c r="O224" t="str">
        <v>CY27-Q1</v>
      </c>
    </row>
    <row r="225" spans="10:15" x14ac:dyDescent="0.25">
      <c r="J225">
        <v>11</v>
      </c>
      <c r="K225">
        <v>3</v>
      </c>
      <c r="L225">
        <v>47401</v>
      </c>
      <c r="M225">
        <v>36019.285714285717</v>
      </c>
      <c r="N225" t="str">
        <v xml:space="preserve"> FY27-Q3</v>
      </c>
      <c r="O225" t="str">
        <v>CY27-Q1</v>
      </c>
    </row>
    <row r="226" spans="10:15" x14ac:dyDescent="0.25">
      <c r="J226">
        <v>11</v>
      </c>
      <c r="K226">
        <v>3</v>
      </c>
      <c r="L226">
        <v>47492</v>
      </c>
      <c r="M226">
        <v>36019.285714285717</v>
      </c>
      <c r="N226" t="str">
        <v xml:space="preserve"> FY27-Q3</v>
      </c>
      <c r="O226" t="str">
        <v>CY27-Q1</v>
      </c>
    </row>
    <row r="227" spans="10:15" x14ac:dyDescent="0.25">
      <c r="J227">
        <v>11</v>
      </c>
      <c r="K227">
        <v>3</v>
      </c>
      <c r="L227">
        <v>47583</v>
      </c>
      <c r="M227">
        <v>36019.285714285717</v>
      </c>
      <c r="N227" t="str">
        <v xml:space="preserve"> FY27-Q3</v>
      </c>
      <c r="O227" t="str">
        <v>CY27-Q1</v>
      </c>
    </row>
    <row r="228" spans="10:15" x14ac:dyDescent="0.25">
      <c r="J228">
        <v>11</v>
      </c>
      <c r="K228">
        <v>3</v>
      </c>
      <c r="L228">
        <v>47674</v>
      </c>
      <c r="M228">
        <v>36019.285714285717</v>
      </c>
      <c r="N228" t="str">
        <v xml:space="preserve"> FY27-Q3</v>
      </c>
      <c r="O228" t="str">
        <v>CY27-Q1</v>
      </c>
    </row>
    <row r="229" spans="10:15" x14ac:dyDescent="0.25">
      <c r="J229">
        <v>11</v>
      </c>
      <c r="K229">
        <v>3</v>
      </c>
      <c r="L229">
        <v>47765</v>
      </c>
      <c r="M229">
        <v>36019.285714285717</v>
      </c>
      <c r="N229" t="str">
        <v xml:space="preserve"> FY27-Q3</v>
      </c>
      <c r="O229" t="str">
        <v>CY27-Q1</v>
      </c>
    </row>
    <row r="230" spans="10:15" x14ac:dyDescent="0.25">
      <c r="J230">
        <v>11</v>
      </c>
      <c r="K230">
        <v>3</v>
      </c>
      <c r="L230">
        <v>47856</v>
      </c>
      <c r="M230">
        <v>36019.285714285717</v>
      </c>
      <c r="N230" t="str">
        <v xml:space="preserve"> FY27-Q3</v>
      </c>
      <c r="O230" t="str">
        <v>CY27-Q1</v>
      </c>
    </row>
    <row r="231" spans="10:15" x14ac:dyDescent="0.25">
      <c r="J231">
        <v>11</v>
      </c>
      <c r="K231">
        <v>3</v>
      </c>
      <c r="L231">
        <v>47947</v>
      </c>
      <c r="M231">
        <v>36019.285714285717</v>
      </c>
      <c r="N231" t="str">
        <v xml:space="preserve"> FY27-Q3</v>
      </c>
      <c r="O231" t="str">
        <v>CY27-Q1</v>
      </c>
    </row>
    <row r="232" spans="10:15" x14ac:dyDescent="0.25">
      <c r="J232">
        <v>11</v>
      </c>
      <c r="K232">
        <v>3</v>
      </c>
      <c r="L232">
        <v>48038</v>
      </c>
      <c r="M232">
        <v>36019.285714285717</v>
      </c>
      <c r="N232" t="str">
        <v xml:space="preserve"> FY27-Q3</v>
      </c>
      <c r="O232" t="str">
        <v>CY27-Q1</v>
      </c>
    </row>
    <row r="233" spans="10:15" x14ac:dyDescent="0.25">
      <c r="J233">
        <v>11</v>
      </c>
      <c r="K233">
        <v>3</v>
      </c>
      <c r="L233">
        <v>48129</v>
      </c>
      <c r="M233">
        <v>36019.285714285717</v>
      </c>
      <c r="N233" t="str">
        <v xml:space="preserve"> FY27-Q3</v>
      </c>
      <c r="O233" t="str">
        <v>CY27-Q1</v>
      </c>
    </row>
    <row r="234" spans="10:15" x14ac:dyDescent="0.25">
      <c r="J234">
        <v>11</v>
      </c>
      <c r="K234">
        <v>3</v>
      </c>
      <c r="L234">
        <v>48220</v>
      </c>
      <c r="M234">
        <v>36019.285714285717</v>
      </c>
      <c r="N234" t="str">
        <v xml:space="preserve"> FY27-Q3</v>
      </c>
      <c r="O234" t="str">
        <v>CY27-Q1</v>
      </c>
    </row>
    <row r="235" spans="10:15" x14ac:dyDescent="0.25">
      <c r="J235">
        <v>11</v>
      </c>
      <c r="K235">
        <v>3</v>
      </c>
      <c r="L235">
        <v>48311</v>
      </c>
      <c r="M235">
        <v>36019.285714285717</v>
      </c>
      <c r="N235" t="str">
        <v xml:space="preserve"> FY27-Q3</v>
      </c>
      <c r="O235" t="str">
        <v>CY27-Q1</v>
      </c>
    </row>
    <row r="236" spans="10:15" x14ac:dyDescent="0.25">
      <c r="J236">
        <v>11</v>
      </c>
      <c r="K236">
        <v>3</v>
      </c>
      <c r="L236">
        <v>48402</v>
      </c>
      <c r="M236">
        <v>36019.285714285717</v>
      </c>
      <c r="N236" t="str">
        <v xml:space="preserve"> FY27-Q3</v>
      </c>
      <c r="O236" t="str">
        <v>CY27-Q1</v>
      </c>
    </row>
    <row r="237" spans="10:15" x14ac:dyDescent="0.25">
      <c r="J237">
        <v>11</v>
      </c>
      <c r="K237">
        <v>3</v>
      </c>
      <c r="L237">
        <v>48493</v>
      </c>
      <c r="M237">
        <v>36019.285714285717</v>
      </c>
      <c r="N237" t="str">
        <v xml:space="preserve"> FY27-Q3</v>
      </c>
      <c r="O237" t="str">
        <v>CY27-Q1</v>
      </c>
    </row>
    <row r="238" spans="10:15" x14ac:dyDescent="0.25">
      <c r="J238">
        <v>11</v>
      </c>
      <c r="K238">
        <v>3</v>
      </c>
      <c r="L238">
        <v>48584</v>
      </c>
      <c r="M238">
        <v>36019.285714285717</v>
      </c>
      <c r="N238" t="str">
        <v xml:space="preserve"> FY27-Q3</v>
      </c>
      <c r="O238" t="str">
        <v>CY27-Q1</v>
      </c>
    </row>
    <row r="239" spans="10:15" x14ac:dyDescent="0.25">
      <c r="J239">
        <v>11</v>
      </c>
      <c r="K239">
        <v>3</v>
      </c>
      <c r="L239">
        <v>48675</v>
      </c>
      <c r="M239">
        <v>36019.285714285717</v>
      </c>
      <c r="N239" t="str">
        <v xml:space="preserve"> FY27-Q3</v>
      </c>
      <c r="O239" t="str">
        <v>CY27-Q1</v>
      </c>
    </row>
    <row r="240" spans="10:15" x14ac:dyDescent="0.25">
      <c r="J240">
        <v>11</v>
      </c>
      <c r="K240">
        <v>3</v>
      </c>
      <c r="L240">
        <v>48766</v>
      </c>
      <c r="M240">
        <v>36019.285714285717</v>
      </c>
      <c r="N240" t="str">
        <v xml:space="preserve"> FY27-Q3</v>
      </c>
      <c r="O240" t="str">
        <v>CY27-Q1</v>
      </c>
    </row>
    <row r="241" spans="10:15" x14ac:dyDescent="0.25">
      <c r="J241">
        <v>11</v>
      </c>
      <c r="K241">
        <v>3</v>
      </c>
      <c r="L241">
        <v>48857</v>
      </c>
      <c r="M241">
        <v>36019.285714285717</v>
      </c>
      <c r="N241" t="str">
        <v xml:space="preserve"> FY27-Q3</v>
      </c>
      <c r="O241" t="str">
        <v>CY27-Q1</v>
      </c>
    </row>
    <row r="242" spans="10:15" x14ac:dyDescent="0.25">
      <c r="J242">
        <v>11</v>
      </c>
      <c r="K242">
        <v>3</v>
      </c>
      <c r="L242">
        <v>48948</v>
      </c>
      <c r="M242">
        <v>36019.285714285717</v>
      </c>
      <c r="N242" t="str">
        <v xml:space="preserve"> FY27-Q3</v>
      </c>
      <c r="O242" t="str">
        <v>CY27-Q1</v>
      </c>
    </row>
    <row r="243" spans="10:15" x14ac:dyDescent="0.25">
      <c r="J243">
        <v>11</v>
      </c>
      <c r="K243">
        <v>3</v>
      </c>
      <c r="L243">
        <v>49039</v>
      </c>
      <c r="M243">
        <v>36019.285714285717</v>
      </c>
      <c r="N243" t="str">
        <v xml:space="preserve"> FY27-Q3</v>
      </c>
      <c r="O243" t="str">
        <v>CY27-Q1</v>
      </c>
    </row>
    <row r="244" spans="10:15" x14ac:dyDescent="0.25">
      <c r="J244">
        <v>11</v>
      </c>
      <c r="K244">
        <v>3</v>
      </c>
      <c r="L244">
        <v>49130</v>
      </c>
      <c r="M244">
        <v>36019.285714285717</v>
      </c>
      <c r="N244" t="str">
        <v xml:space="preserve"> FY27-Q3</v>
      </c>
      <c r="O244" t="str">
        <v>CY27-Q1</v>
      </c>
    </row>
    <row r="245" spans="10:15" x14ac:dyDescent="0.25">
      <c r="J245">
        <v>11</v>
      </c>
      <c r="K245">
        <v>3</v>
      </c>
      <c r="L245">
        <v>49221</v>
      </c>
      <c r="M245">
        <v>36019.285714285717</v>
      </c>
      <c r="N245" t="str">
        <v xml:space="preserve"> FY27-Q3</v>
      </c>
      <c r="O245" t="str">
        <v>CY27-Q1</v>
      </c>
    </row>
    <row r="246" spans="10:15" x14ac:dyDescent="0.25">
      <c r="J246">
        <v>11</v>
      </c>
      <c r="K246">
        <v>3</v>
      </c>
      <c r="L246">
        <v>49312</v>
      </c>
      <c r="M246">
        <v>36019.285714285717</v>
      </c>
      <c r="N246" t="str">
        <v xml:space="preserve"> FY27-Q3</v>
      </c>
      <c r="O246" t="str">
        <v>CY27-Q1</v>
      </c>
    </row>
    <row r="247" spans="10:15" x14ac:dyDescent="0.25">
      <c r="J247">
        <v>11</v>
      </c>
      <c r="K247">
        <v>3</v>
      </c>
      <c r="L247">
        <v>49403</v>
      </c>
      <c r="M247">
        <v>36019.285714285717</v>
      </c>
      <c r="N247" t="str">
        <v xml:space="preserve"> FY27-Q3</v>
      </c>
      <c r="O247" t="str">
        <v>CY27-Q1</v>
      </c>
    </row>
    <row r="248" spans="10:15" x14ac:dyDescent="0.25">
      <c r="J248">
        <v>11</v>
      </c>
      <c r="K248">
        <v>3</v>
      </c>
      <c r="L248">
        <v>49494</v>
      </c>
      <c r="M248">
        <v>36019.285714285717</v>
      </c>
      <c r="N248" t="str">
        <v xml:space="preserve"> FY27-Q3</v>
      </c>
      <c r="O248" t="str">
        <v>CY27-Q1</v>
      </c>
    </row>
    <row r="249" spans="10:15" x14ac:dyDescent="0.25">
      <c r="J249">
        <v>11</v>
      </c>
      <c r="K249">
        <v>3</v>
      </c>
      <c r="L249">
        <v>49585</v>
      </c>
      <c r="M249">
        <v>36019.285714285717</v>
      </c>
      <c r="N249" t="str">
        <v xml:space="preserve"> FY27-Q3</v>
      </c>
      <c r="O249" t="str">
        <v>CY27-Q1</v>
      </c>
    </row>
    <row r="250" spans="10:15" x14ac:dyDescent="0.25">
      <c r="J250">
        <v>11</v>
      </c>
      <c r="K250">
        <v>3</v>
      </c>
      <c r="L250">
        <v>49676</v>
      </c>
      <c r="M250">
        <v>36019.285714285717</v>
      </c>
      <c r="N250" t="str">
        <v xml:space="preserve"> FY27-Q3</v>
      </c>
      <c r="O250" t="str">
        <v>CY27-Q1</v>
      </c>
    </row>
    <row r="251" spans="10:15" x14ac:dyDescent="0.25">
      <c r="J251">
        <v>11</v>
      </c>
      <c r="K251">
        <v>3</v>
      </c>
      <c r="L251">
        <v>49767</v>
      </c>
      <c r="M251">
        <v>36019.285714285717</v>
      </c>
      <c r="N251" t="str">
        <v xml:space="preserve"> FY27-Q3</v>
      </c>
      <c r="O251" t="str">
        <v>CY27-Q1</v>
      </c>
    </row>
    <row r="252" spans="10:15" x14ac:dyDescent="0.25">
      <c r="J252">
        <v>11</v>
      </c>
      <c r="K252">
        <v>3</v>
      </c>
      <c r="L252">
        <v>49858</v>
      </c>
      <c r="M252">
        <v>36019.285714285717</v>
      </c>
      <c r="N252" t="str">
        <v xml:space="preserve"> FY27-Q3</v>
      </c>
      <c r="O252" t="str">
        <v>CY27-Q1</v>
      </c>
    </row>
    <row r="253" spans="10:15" x14ac:dyDescent="0.25">
      <c r="J253">
        <v>11</v>
      </c>
      <c r="K253">
        <v>3</v>
      </c>
      <c r="L253">
        <v>49949</v>
      </c>
      <c r="M253">
        <v>36019.285714285717</v>
      </c>
      <c r="N253" t="str">
        <v xml:space="preserve"> FY27-Q3</v>
      </c>
      <c r="O253" t="str">
        <v>CY27-Q1</v>
      </c>
    </row>
    <row r="254" spans="10:15" x14ac:dyDescent="0.25">
      <c r="J254">
        <v>11</v>
      </c>
      <c r="K254">
        <v>3</v>
      </c>
      <c r="L254">
        <v>50040</v>
      </c>
      <c r="M254">
        <v>36019.285714285717</v>
      </c>
      <c r="N254" t="str">
        <v xml:space="preserve"> FY27-Q3</v>
      </c>
      <c r="O254" t="str">
        <v>CY27-Q1</v>
      </c>
    </row>
    <row r="255" spans="10:15" x14ac:dyDescent="0.25">
      <c r="J255">
        <v>11</v>
      </c>
      <c r="K255">
        <v>3</v>
      </c>
      <c r="L255">
        <v>50131</v>
      </c>
      <c r="M255">
        <v>36019.285714285717</v>
      </c>
      <c r="N255" t="str">
        <v xml:space="preserve"> FY27-Q3</v>
      </c>
      <c r="O255" t="str">
        <v>CY27-Q1</v>
      </c>
    </row>
    <row r="256" spans="10:15" x14ac:dyDescent="0.25">
      <c r="J256">
        <v>11</v>
      </c>
      <c r="K256">
        <v>3</v>
      </c>
      <c r="L256">
        <v>50222</v>
      </c>
      <c r="M256">
        <v>36019.285714285717</v>
      </c>
      <c r="N256" t="str">
        <v xml:space="preserve"> FY27-Q3</v>
      </c>
      <c r="O256" t="str">
        <v>CY27-Q1</v>
      </c>
    </row>
    <row r="257" spans="10:15" x14ac:dyDescent="0.25">
      <c r="J257">
        <v>11</v>
      </c>
      <c r="K257">
        <v>3</v>
      </c>
      <c r="L257">
        <v>50313</v>
      </c>
      <c r="M257">
        <v>36019.285714285717</v>
      </c>
      <c r="N257" t="str">
        <v xml:space="preserve"> FY27-Q3</v>
      </c>
      <c r="O257" t="str">
        <v>CY27-Q1</v>
      </c>
    </row>
    <row r="258" spans="10:15" x14ac:dyDescent="0.25">
      <c r="J258">
        <v>11</v>
      </c>
      <c r="K258">
        <v>3</v>
      </c>
      <c r="L258">
        <v>50404</v>
      </c>
      <c r="M258">
        <v>36019.285714285717</v>
      </c>
      <c r="N258" t="str">
        <v xml:space="preserve"> FY27-Q3</v>
      </c>
      <c r="O258" t="str">
        <v>CY27-Q1</v>
      </c>
    </row>
    <row r="259" spans="10:15" x14ac:dyDescent="0.25">
      <c r="J259">
        <v>11</v>
      </c>
      <c r="K259">
        <v>3</v>
      </c>
      <c r="L259">
        <v>50495</v>
      </c>
      <c r="M259">
        <v>36019.285714285717</v>
      </c>
      <c r="N259" t="str">
        <v xml:space="preserve"> FY27-Q3</v>
      </c>
      <c r="O259" t="str">
        <v>CY27-Q1</v>
      </c>
    </row>
    <row r="260" spans="10:15" x14ac:dyDescent="0.25">
      <c r="J260">
        <v>11</v>
      </c>
      <c r="K260">
        <v>3</v>
      </c>
      <c r="L260">
        <v>50586</v>
      </c>
      <c r="M260">
        <v>36019.285714285717</v>
      </c>
      <c r="N260" t="str">
        <v xml:space="preserve"> FY27-Q3</v>
      </c>
      <c r="O260" t="str">
        <v>CY27-Q1</v>
      </c>
    </row>
    <row r="261" spans="10:15" x14ac:dyDescent="0.25">
      <c r="J261">
        <v>11</v>
      </c>
      <c r="K261">
        <v>3</v>
      </c>
      <c r="L261">
        <v>50677</v>
      </c>
      <c r="M261">
        <v>36019.285714285717</v>
      </c>
      <c r="N261" t="str">
        <v xml:space="preserve"> FY27-Q3</v>
      </c>
      <c r="O261" t="str">
        <v>CY27-Q1</v>
      </c>
    </row>
    <row r="262" spans="10:15" x14ac:dyDescent="0.25">
      <c r="J262">
        <v>11</v>
      </c>
      <c r="K262">
        <v>3</v>
      </c>
      <c r="L262">
        <v>50768</v>
      </c>
      <c r="M262">
        <v>36019.285714285717</v>
      </c>
      <c r="N262" t="str">
        <v xml:space="preserve"> FY27-Q3</v>
      </c>
      <c r="O262" t="str">
        <v>CY27-Q1</v>
      </c>
    </row>
    <row r="263" spans="10:15" x14ac:dyDescent="0.25">
      <c r="J263">
        <v>11</v>
      </c>
      <c r="K263">
        <v>3</v>
      </c>
      <c r="L263">
        <v>50859</v>
      </c>
      <c r="M263">
        <v>36019.285714285717</v>
      </c>
      <c r="N263" t="str">
        <v xml:space="preserve"> FY27-Q3</v>
      </c>
      <c r="O263" t="str">
        <v>CY27-Q1</v>
      </c>
    </row>
    <row r="264" spans="10:15" x14ac:dyDescent="0.25">
      <c r="J264">
        <v>11</v>
      </c>
      <c r="K264">
        <v>3</v>
      </c>
      <c r="L264">
        <v>50950</v>
      </c>
      <c r="M264">
        <v>36019.285714285717</v>
      </c>
      <c r="N264" t="str">
        <v xml:space="preserve"> FY27-Q3</v>
      </c>
      <c r="O264" t="str">
        <v>CY27-Q1</v>
      </c>
    </row>
    <row r="265" spans="10:15" x14ac:dyDescent="0.25">
      <c r="J265">
        <v>11</v>
      </c>
      <c r="K265">
        <v>3</v>
      </c>
      <c r="L265">
        <v>51041</v>
      </c>
      <c r="M265">
        <v>36019.285714285717</v>
      </c>
      <c r="N265" t="str">
        <v xml:space="preserve"> FY27-Q3</v>
      </c>
      <c r="O265" t="str">
        <v>CY27-Q1</v>
      </c>
    </row>
    <row r="266" spans="10:15" x14ac:dyDescent="0.25">
      <c r="J266">
        <v>11</v>
      </c>
      <c r="K266">
        <v>3</v>
      </c>
      <c r="L266">
        <v>51132</v>
      </c>
      <c r="M266">
        <v>36019.285714285717</v>
      </c>
      <c r="N266" t="str">
        <v xml:space="preserve"> FY27-Q3</v>
      </c>
      <c r="O266" t="str">
        <v>CY27-Q1</v>
      </c>
    </row>
    <row r="267" spans="10:15" x14ac:dyDescent="0.25">
      <c r="J267">
        <v>11</v>
      </c>
      <c r="K267">
        <v>3</v>
      </c>
      <c r="L267">
        <v>51223</v>
      </c>
      <c r="M267">
        <v>36019.285714285717</v>
      </c>
      <c r="N267" t="str">
        <v xml:space="preserve"> FY27-Q3</v>
      </c>
      <c r="O267" t="str">
        <v>CY27-Q1</v>
      </c>
    </row>
    <row r="268" spans="10:15" x14ac:dyDescent="0.25">
      <c r="J268">
        <v>11</v>
      </c>
      <c r="K268">
        <v>3</v>
      </c>
      <c r="L268">
        <v>51314</v>
      </c>
      <c r="M268">
        <v>36019.285714285717</v>
      </c>
      <c r="N268" t="str">
        <v xml:space="preserve"> FY27-Q3</v>
      </c>
      <c r="O268" t="str">
        <v>CY27-Q1</v>
      </c>
    </row>
    <row r="269" spans="10:15" x14ac:dyDescent="0.25">
      <c r="J269">
        <v>11</v>
      </c>
      <c r="K269">
        <v>3</v>
      </c>
      <c r="L269">
        <v>51405</v>
      </c>
      <c r="M269">
        <v>36019.285714285717</v>
      </c>
      <c r="N269" t="str">
        <v xml:space="preserve"> FY27-Q3</v>
      </c>
      <c r="O269" t="str">
        <v>CY27-Q1</v>
      </c>
    </row>
    <row r="270" spans="10:15" x14ac:dyDescent="0.25">
      <c r="J270">
        <v>12</v>
      </c>
      <c r="K270">
        <v>17</v>
      </c>
      <c r="L270">
        <v>46313</v>
      </c>
      <c r="M270">
        <v>83625</v>
      </c>
      <c r="N270" t="str">
        <v xml:space="preserve"> FY27-Q2</v>
      </c>
      <c r="O270" t="str">
        <v>CY26-Q4</v>
      </c>
    </row>
    <row r="271" spans="10:15" x14ac:dyDescent="0.25">
      <c r="J271">
        <v>12</v>
      </c>
      <c r="K271">
        <v>17</v>
      </c>
      <c r="L271">
        <v>46678</v>
      </c>
      <c r="M271">
        <v>83625</v>
      </c>
      <c r="N271" t="str">
        <v xml:space="preserve"> FY27-Q2</v>
      </c>
      <c r="O271" t="str">
        <v>CY26-Q4</v>
      </c>
    </row>
    <row r="272" spans="10:15" x14ac:dyDescent="0.25">
      <c r="J272">
        <v>12</v>
      </c>
      <c r="K272">
        <v>17</v>
      </c>
      <c r="L272">
        <v>47043</v>
      </c>
      <c r="M272">
        <v>83625</v>
      </c>
      <c r="N272" t="str">
        <v xml:space="preserve"> FY27-Q2</v>
      </c>
      <c r="O272" t="str">
        <v>CY26-Q4</v>
      </c>
    </row>
    <row r="273" spans="10:15" x14ac:dyDescent="0.25">
      <c r="J273">
        <v>12</v>
      </c>
      <c r="K273">
        <v>17</v>
      </c>
      <c r="L273">
        <v>47408</v>
      </c>
      <c r="M273">
        <v>83625</v>
      </c>
      <c r="N273" t="str">
        <v xml:space="preserve"> FY27-Q2</v>
      </c>
      <c r="O273" t="str">
        <v>CY26-Q4</v>
      </c>
    </row>
    <row r="274" spans="10:15" x14ac:dyDescent="0.25">
      <c r="J274">
        <v>12</v>
      </c>
      <c r="K274">
        <v>17</v>
      </c>
      <c r="L274">
        <v>47773</v>
      </c>
      <c r="M274">
        <v>83625</v>
      </c>
      <c r="N274" t="str">
        <v xml:space="preserve"> FY27-Q2</v>
      </c>
      <c r="O274" t="str">
        <v>CY26-Q4</v>
      </c>
    </row>
    <row r="275" spans="10:15" x14ac:dyDescent="0.25">
      <c r="J275">
        <v>12</v>
      </c>
      <c r="K275">
        <v>17</v>
      </c>
      <c r="L275">
        <v>48138</v>
      </c>
      <c r="M275">
        <v>83625</v>
      </c>
      <c r="N275" t="str">
        <v xml:space="preserve"> FY27-Q2</v>
      </c>
      <c r="O275" t="str">
        <v>CY26-Q4</v>
      </c>
    </row>
    <row r="276" spans="10:15" x14ac:dyDescent="0.25">
      <c r="J276">
        <v>12</v>
      </c>
      <c r="K276">
        <v>17</v>
      </c>
      <c r="L276">
        <v>48503</v>
      </c>
      <c r="M276">
        <v>83625</v>
      </c>
      <c r="N276" t="str">
        <v xml:space="preserve"> FY27-Q2</v>
      </c>
      <c r="O276" t="str">
        <v>CY26-Q4</v>
      </c>
    </row>
    <row r="277" spans="10:15" x14ac:dyDescent="0.25">
      <c r="J277">
        <v>12</v>
      </c>
      <c r="K277">
        <v>17</v>
      </c>
      <c r="L277">
        <v>48868</v>
      </c>
      <c r="M277">
        <v>83625</v>
      </c>
      <c r="N277" t="str">
        <v xml:space="preserve"> FY27-Q2</v>
      </c>
      <c r="O277" t="str">
        <v>CY26-Q4</v>
      </c>
    </row>
    <row r="278" spans="10:15" x14ac:dyDescent="0.25">
      <c r="J278">
        <v>12</v>
      </c>
      <c r="K278">
        <v>17</v>
      </c>
      <c r="L278">
        <v>49233</v>
      </c>
      <c r="M278">
        <v>83625</v>
      </c>
      <c r="N278" t="str">
        <v xml:space="preserve"> FY27-Q2</v>
      </c>
      <c r="O278" t="str">
        <v>CY26-Q4</v>
      </c>
    </row>
    <row r="279" spans="10:15" x14ac:dyDescent="0.25">
      <c r="J279">
        <v>12</v>
      </c>
      <c r="K279">
        <v>17</v>
      </c>
      <c r="L279">
        <v>49598</v>
      </c>
      <c r="M279">
        <v>83625</v>
      </c>
      <c r="N279" t="str">
        <v xml:space="preserve"> FY27-Q2</v>
      </c>
      <c r="O279" t="str">
        <v>CY26-Q4</v>
      </c>
    </row>
    <row r="280" spans="10:15" x14ac:dyDescent="0.25">
      <c r="J280">
        <v>12</v>
      </c>
      <c r="K280">
        <v>17</v>
      </c>
      <c r="L280">
        <v>49963</v>
      </c>
      <c r="M280">
        <v>83625</v>
      </c>
      <c r="N280" t="str">
        <v xml:space="preserve"> FY27-Q2</v>
      </c>
      <c r="O280" t="str">
        <v>CY26-Q4</v>
      </c>
    </row>
    <row r="281" spans="10:15" x14ac:dyDescent="0.25">
      <c r="J281">
        <v>12</v>
      </c>
      <c r="K281">
        <v>17</v>
      </c>
      <c r="L281">
        <v>50328</v>
      </c>
      <c r="M281">
        <v>83625</v>
      </c>
      <c r="N281" t="str">
        <v xml:space="preserve"> FY27-Q2</v>
      </c>
      <c r="O281" t="str">
        <v>CY26-Q4</v>
      </c>
    </row>
    <row r="282" spans="10:15" x14ac:dyDescent="0.25">
      <c r="J282">
        <v>12</v>
      </c>
      <c r="K282">
        <v>17</v>
      </c>
      <c r="L282">
        <v>50693</v>
      </c>
      <c r="M282">
        <v>83625</v>
      </c>
      <c r="N282" t="str">
        <v xml:space="preserve"> FY27-Q2</v>
      </c>
      <c r="O282" t="str">
        <v>CY26-Q4</v>
      </c>
    </row>
    <row r="283" spans="10:15" x14ac:dyDescent="0.25">
      <c r="J283">
        <v>13</v>
      </c>
      <c r="K283">
        <v>2</v>
      </c>
      <c r="L283">
        <v>46317</v>
      </c>
      <c r="M283">
        <v>34351.027777777781</v>
      </c>
      <c r="N283" t="str">
        <v xml:space="preserve"> FY27-Q2</v>
      </c>
      <c r="O283" t="str">
        <v>CY26-Q4</v>
      </c>
    </row>
    <row r="284" spans="10:15" x14ac:dyDescent="0.25">
      <c r="J284">
        <v>13</v>
      </c>
      <c r="K284">
        <v>2</v>
      </c>
      <c r="L284">
        <v>46347</v>
      </c>
      <c r="M284">
        <v>34351.027777777781</v>
      </c>
      <c r="N284" t="str">
        <v xml:space="preserve"> FY27-Q2</v>
      </c>
      <c r="O284" t="str">
        <v>CY26-Q4</v>
      </c>
    </row>
    <row r="285" spans="10:15" x14ac:dyDescent="0.25">
      <c r="J285">
        <v>13</v>
      </c>
      <c r="K285">
        <v>2</v>
      </c>
      <c r="L285">
        <v>46377</v>
      </c>
      <c r="M285">
        <v>34351.027777777781</v>
      </c>
      <c r="N285" t="str">
        <v xml:space="preserve"> FY27-Q2</v>
      </c>
      <c r="O285" t="str">
        <v>CY26-Q4</v>
      </c>
    </row>
    <row r="286" spans="10:15" x14ac:dyDescent="0.25">
      <c r="J286">
        <v>13</v>
      </c>
      <c r="K286">
        <v>2</v>
      </c>
      <c r="L286">
        <v>46407</v>
      </c>
      <c r="M286">
        <v>34351.027777777781</v>
      </c>
      <c r="N286" t="str">
        <v xml:space="preserve"> FY27-Q2</v>
      </c>
      <c r="O286" t="str">
        <v>CY26-Q4</v>
      </c>
    </row>
    <row r="287" spans="10:15" x14ac:dyDescent="0.25">
      <c r="J287">
        <v>13</v>
      </c>
      <c r="K287">
        <v>2</v>
      </c>
      <c r="L287">
        <v>46437</v>
      </c>
      <c r="M287">
        <v>34351.027777777781</v>
      </c>
      <c r="N287" t="str">
        <v xml:space="preserve"> FY27-Q2</v>
      </c>
      <c r="O287" t="str">
        <v>CY26-Q4</v>
      </c>
    </row>
    <row r="288" spans="10:15" x14ac:dyDescent="0.25">
      <c r="J288">
        <v>13</v>
      </c>
      <c r="K288">
        <v>2</v>
      </c>
      <c r="L288">
        <v>46467</v>
      </c>
      <c r="M288">
        <v>34351.027777777781</v>
      </c>
      <c r="N288" t="str">
        <v xml:space="preserve"> FY27-Q2</v>
      </c>
      <c r="O288" t="str">
        <v>CY26-Q4</v>
      </c>
    </row>
    <row r="289" spans="10:15" x14ac:dyDescent="0.25">
      <c r="J289">
        <v>13</v>
      </c>
      <c r="K289">
        <v>2</v>
      </c>
      <c r="L289">
        <v>46497</v>
      </c>
      <c r="M289">
        <v>34351.027777777781</v>
      </c>
      <c r="N289" t="str">
        <v xml:space="preserve"> FY27-Q2</v>
      </c>
      <c r="O289" t="str">
        <v>CY26-Q4</v>
      </c>
    </row>
    <row r="290" spans="10:15" x14ac:dyDescent="0.25">
      <c r="J290">
        <v>13</v>
      </c>
      <c r="K290">
        <v>2</v>
      </c>
      <c r="L290">
        <v>46527</v>
      </c>
      <c r="M290">
        <v>34351.027777777781</v>
      </c>
      <c r="N290" t="str">
        <v xml:space="preserve"> FY27-Q2</v>
      </c>
      <c r="O290" t="str">
        <v>CY26-Q4</v>
      </c>
    </row>
    <row r="291" spans="10:15" x14ac:dyDescent="0.25">
      <c r="J291">
        <v>13</v>
      </c>
      <c r="K291">
        <v>2</v>
      </c>
      <c r="L291">
        <v>46557</v>
      </c>
      <c r="M291">
        <v>34351.027777777781</v>
      </c>
      <c r="N291" t="str">
        <v xml:space="preserve"> FY27-Q2</v>
      </c>
      <c r="O291" t="str">
        <v>CY26-Q4</v>
      </c>
    </row>
    <row r="292" spans="10:15" x14ac:dyDescent="0.25">
      <c r="J292">
        <v>13</v>
      </c>
      <c r="K292">
        <v>2</v>
      </c>
      <c r="L292">
        <v>46587</v>
      </c>
      <c r="M292">
        <v>34351.027777777781</v>
      </c>
      <c r="N292" t="str">
        <v xml:space="preserve"> FY27-Q2</v>
      </c>
      <c r="O292" t="str">
        <v>CY26-Q4</v>
      </c>
    </row>
    <row r="293" spans="10:15" x14ac:dyDescent="0.25">
      <c r="J293">
        <v>13</v>
      </c>
      <c r="K293">
        <v>2</v>
      </c>
      <c r="L293">
        <v>46617</v>
      </c>
      <c r="M293">
        <v>34351.027777777781</v>
      </c>
      <c r="N293" t="str">
        <v xml:space="preserve"> FY27-Q2</v>
      </c>
      <c r="O293" t="str">
        <v>CY26-Q4</v>
      </c>
    </row>
    <row r="294" spans="10:15" x14ac:dyDescent="0.25">
      <c r="J294">
        <v>13</v>
      </c>
      <c r="K294">
        <v>2</v>
      </c>
      <c r="L294">
        <v>46647</v>
      </c>
      <c r="M294">
        <v>34351.027777777781</v>
      </c>
      <c r="N294" t="str">
        <v xml:space="preserve"> FY27-Q2</v>
      </c>
      <c r="O294" t="str">
        <v>CY26-Q4</v>
      </c>
    </row>
    <row r="295" spans="10:15" x14ac:dyDescent="0.25">
      <c r="J295">
        <v>13</v>
      </c>
      <c r="K295">
        <v>2</v>
      </c>
      <c r="L295">
        <v>46677</v>
      </c>
      <c r="M295">
        <v>34351.027777777781</v>
      </c>
      <c r="N295" t="str">
        <v xml:space="preserve"> FY27-Q2</v>
      </c>
      <c r="O295" t="str">
        <v>CY26-Q4</v>
      </c>
    </row>
    <row r="296" spans="10:15" x14ac:dyDescent="0.25">
      <c r="J296">
        <v>13</v>
      </c>
      <c r="K296">
        <v>2</v>
      </c>
      <c r="L296">
        <v>46707</v>
      </c>
      <c r="M296">
        <v>34351.027777777781</v>
      </c>
      <c r="N296" t="str">
        <v xml:space="preserve"> FY27-Q2</v>
      </c>
      <c r="O296" t="str">
        <v>CY26-Q4</v>
      </c>
    </row>
    <row r="297" spans="10:15" x14ac:dyDescent="0.25">
      <c r="J297">
        <v>13</v>
      </c>
      <c r="K297">
        <v>2</v>
      </c>
      <c r="L297">
        <v>46737</v>
      </c>
      <c r="M297">
        <v>34351.027777777781</v>
      </c>
      <c r="N297" t="str">
        <v xml:space="preserve"> FY27-Q2</v>
      </c>
      <c r="O297" t="str">
        <v>CY26-Q4</v>
      </c>
    </row>
    <row r="298" spans="10:15" x14ac:dyDescent="0.25">
      <c r="J298">
        <v>13</v>
      </c>
      <c r="K298">
        <v>2</v>
      </c>
      <c r="L298">
        <v>46767</v>
      </c>
      <c r="M298">
        <v>34351.027777777781</v>
      </c>
      <c r="N298" t="str">
        <v xml:space="preserve"> FY27-Q2</v>
      </c>
      <c r="O298" t="str">
        <v>CY26-Q4</v>
      </c>
    </row>
    <row r="299" spans="10:15" x14ac:dyDescent="0.25">
      <c r="J299">
        <v>13</v>
      </c>
      <c r="K299">
        <v>2</v>
      </c>
      <c r="L299">
        <v>46797</v>
      </c>
      <c r="M299">
        <v>34351.027777777781</v>
      </c>
      <c r="N299" t="str">
        <v xml:space="preserve"> FY27-Q2</v>
      </c>
      <c r="O299" t="str">
        <v>CY26-Q4</v>
      </c>
    </row>
    <row r="300" spans="10:15" x14ac:dyDescent="0.25">
      <c r="J300">
        <v>13</v>
      </c>
      <c r="K300">
        <v>2</v>
      </c>
      <c r="L300">
        <v>46827</v>
      </c>
      <c r="M300">
        <v>34351.027777777781</v>
      </c>
      <c r="N300" t="str">
        <v xml:space="preserve"> FY27-Q2</v>
      </c>
      <c r="O300" t="str">
        <v>CY26-Q4</v>
      </c>
    </row>
    <row r="301" spans="10:15" x14ac:dyDescent="0.25">
      <c r="J301">
        <v>13</v>
      </c>
      <c r="K301">
        <v>2</v>
      </c>
      <c r="L301">
        <v>46857</v>
      </c>
      <c r="M301">
        <v>34351.027777777781</v>
      </c>
      <c r="N301" t="str">
        <v xml:space="preserve"> FY27-Q2</v>
      </c>
      <c r="O301" t="str">
        <v>CY26-Q4</v>
      </c>
    </row>
    <row r="302" spans="10:15" x14ac:dyDescent="0.25">
      <c r="J302">
        <v>13</v>
      </c>
      <c r="K302">
        <v>2</v>
      </c>
      <c r="L302">
        <v>46887</v>
      </c>
      <c r="M302">
        <v>34351.027777777781</v>
      </c>
      <c r="N302" t="str">
        <v xml:space="preserve"> FY27-Q2</v>
      </c>
      <c r="O302" t="str">
        <v>CY26-Q4</v>
      </c>
    </row>
    <row r="303" spans="10:15" x14ac:dyDescent="0.25">
      <c r="J303">
        <v>13</v>
      </c>
      <c r="K303">
        <v>2</v>
      </c>
      <c r="L303">
        <v>46917</v>
      </c>
      <c r="M303">
        <v>34351.027777777781</v>
      </c>
      <c r="N303" t="str">
        <v xml:space="preserve"> FY27-Q2</v>
      </c>
      <c r="O303" t="str">
        <v>CY26-Q4</v>
      </c>
    </row>
    <row r="304" spans="10:15" x14ac:dyDescent="0.25">
      <c r="J304">
        <v>13</v>
      </c>
      <c r="K304">
        <v>2</v>
      </c>
      <c r="L304">
        <v>46947</v>
      </c>
      <c r="M304">
        <v>34351.027777777781</v>
      </c>
      <c r="N304" t="str">
        <v xml:space="preserve"> FY27-Q2</v>
      </c>
      <c r="O304" t="str">
        <v>CY26-Q4</v>
      </c>
    </row>
    <row r="305" spans="10:15" x14ac:dyDescent="0.25">
      <c r="J305">
        <v>13</v>
      </c>
      <c r="K305">
        <v>2</v>
      </c>
      <c r="L305">
        <v>46977</v>
      </c>
      <c r="M305">
        <v>34351.027777777781</v>
      </c>
      <c r="N305" t="str">
        <v xml:space="preserve"> FY27-Q2</v>
      </c>
      <c r="O305" t="str">
        <v>CY26-Q4</v>
      </c>
    </row>
    <row r="306" spans="10:15" x14ac:dyDescent="0.25">
      <c r="J306">
        <v>13</v>
      </c>
      <c r="K306">
        <v>2</v>
      </c>
      <c r="L306">
        <v>47007</v>
      </c>
      <c r="M306">
        <v>34351.027777777781</v>
      </c>
      <c r="N306" t="str">
        <v xml:space="preserve"> FY27-Q2</v>
      </c>
      <c r="O306" t="str">
        <v>CY26-Q4</v>
      </c>
    </row>
    <row r="307" spans="10:15" x14ac:dyDescent="0.25">
      <c r="J307">
        <v>13</v>
      </c>
      <c r="K307">
        <v>2</v>
      </c>
      <c r="L307">
        <v>47037</v>
      </c>
      <c r="M307">
        <v>34351.027777777781</v>
      </c>
      <c r="N307" t="str">
        <v xml:space="preserve"> FY27-Q2</v>
      </c>
      <c r="O307" t="str">
        <v>CY26-Q4</v>
      </c>
    </row>
    <row r="308" spans="10:15" x14ac:dyDescent="0.25">
      <c r="J308">
        <v>13</v>
      </c>
      <c r="K308">
        <v>2</v>
      </c>
      <c r="L308">
        <v>47067</v>
      </c>
      <c r="M308">
        <v>34351.027777777781</v>
      </c>
      <c r="N308" t="str">
        <v xml:space="preserve"> FY27-Q2</v>
      </c>
      <c r="O308" t="str">
        <v>CY26-Q4</v>
      </c>
    </row>
    <row r="309" spans="10:15" x14ac:dyDescent="0.25">
      <c r="J309">
        <v>13</v>
      </c>
      <c r="K309">
        <v>2</v>
      </c>
      <c r="L309">
        <v>47097</v>
      </c>
      <c r="M309">
        <v>34351.027777777781</v>
      </c>
      <c r="N309" t="str">
        <v xml:space="preserve"> FY27-Q2</v>
      </c>
      <c r="O309" t="str">
        <v>CY26-Q4</v>
      </c>
    </row>
    <row r="310" spans="10:15" x14ac:dyDescent="0.25">
      <c r="J310">
        <v>13</v>
      </c>
      <c r="K310">
        <v>2</v>
      </c>
      <c r="L310">
        <v>47127</v>
      </c>
      <c r="M310">
        <v>34351.027777777781</v>
      </c>
      <c r="N310" t="str">
        <v xml:space="preserve"> FY27-Q2</v>
      </c>
      <c r="O310" t="str">
        <v>CY26-Q4</v>
      </c>
    </row>
    <row r="311" spans="10:15" x14ac:dyDescent="0.25">
      <c r="J311">
        <v>13</v>
      </c>
      <c r="K311">
        <v>2</v>
      </c>
      <c r="L311">
        <v>47157</v>
      </c>
      <c r="M311">
        <v>34351.027777777781</v>
      </c>
      <c r="N311" t="str">
        <v xml:space="preserve"> FY27-Q2</v>
      </c>
      <c r="O311" t="str">
        <v>CY26-Q4</v>
      </c>
    </row>
    <row r="312" spans="10:15" x14ac:dyDescent="0.25">
      <c r="J312">
        <v>13</v>
      </c>
      <c r="K312">
        <v>2</v>
      </c>
      <c r="L312">
        <v>47187</v>
      </c>
      <c r="M312">
        <v>34351.027777777781</v>
      </c>
      <c r="N312" t="str">
        <v xml:space="preserve"> FY27-Q2</v>
      </c>
      <c r="O312" t="str">
        <v>CY26-Q4</v>
      </c>
    </row>
    <row r="313" spans="10:15" x14ac:dyDescent="0.25">
      <c r="J313">
        <v>13</v>
      </c>
      <c r="K313">
        <v>2</v>
      </c>
      <c r="L313">
        <v>47217</v>
      </c>
      <c r="M313">
        <v>34351.027777777781</v>
      </c>
      <c r="N313" t="str">
        <v xml:space="preserve"> FY27-Q2</v>
      </c>
      <c r="O313" t="str">
        <v>CY26-Q4</v>
      </c>
    </row>
    <row r="314" spans="10:15" x14ac:dyDescent="0.25">
      <c r="J314">
        <v>13</v>
      </c>
      <c r="K314">
        <v>2</v>
      </c>
      <c r="L314">
        <v>47247</v>
      </c>
      <c r="M314">
        <v>34351.027777777781</v>
      </c>
      <c r="N314" t="str">
        <v xml:space="preserve"> FY27-Q2</v>
      </c>
      <c r="O314" t="str">
        <v>CY26-Q4</v>
      </c>
    </row>
    <row r="315" spans="10:15" x14ac:dyDescent="0.25">
      <c r="J315">
        <v>13</v>
      </c>
      <c r="K315">
        <v>2</v>
      </c>
      <c r="L315">
        <v>47277</v>
      </c>
      <c r="M315">
        <v>34351.027777777781</v>
      </c>
      <c r="N315" t="str">
        <v xml:space="preserve"> FY27-Q2</v>
      </c>
      <c r="O315" t="str">
        <v>CY26-Q4</v>
      </c>
    </row>
    <row r="316" spans="10:15" x14ac:dyDescent="0.25">
      <c r="J316">
        <v>13</v>
      </c>
      <c r="K316">
        <v>2</v>
      </c>
      <c r="L316">
        <v>47307</v>
      </c>
      <c r="M316">
        <v>34351.027777777781</v>
      </c>
      <c r="N316" t="str">
        <v xml:space="preserve"> FY27-Q2</v>
      </c>
      <c r="O316" t="str">
        <v>CY26-Q4</v>
      </c>
    </row>
    <row r="317" spans="10:15" x14ac:dyDescent="0.25">
      <c r="J317">
        <v>13</v>
      </c>
      <c r="K317">
        <v>2</v>
      </c>
      <c r="L317">
        <v>47337</v>
      </c>
      <c r="M317">
        <v>34351.027777777781</v>
      </c>
      <c r="N317" t="str">
        <v xml:space="preserve"> FY27-Q2</v>
      </c>
      <c r="O317" t="str">
        <v>CY26-Q4</v>
      </c>
    </row>
    <row r="318" spans="10:15" x14ac:dyDescent="0.25">
      <c r="J318">
        <v>13</v>
      </c>
      <c r="K318">
        <v>2</v>
      </c>
      <c r="L318">
        <v>47367</v>
      </c>
      <c r="M318">
        <v>34351.027777777781</v>
      </c>
      <c r="N318" t="str">
        <v xml:space="preserve"> FY27-Q2</v>
      </c>
      <c r="O318" t="str">
        <v>CY26-Q4</v>
      </c>
    </row>
    <row r="319" spans="10:15" x14ac:dyDescent="0.25">
      <c r="J319">
        <v>14</v>
      </c>
      <c r="K319">
        <v>2</v>
      </c>
      <c r="L319">
        <v>46235</v>
      </c>
      <c r="M319">
        <v>96484.090909090912</v>
      </c>
      <c r="N319" t="str">
        <v xml:space="preserve"> FY27-Q1</v>
      </c>
      <c r="O319" t="str">
        <v>CY26-Q3</v>
      </c>
    </row>
    <row r="320" spans="10:15" x14ac:dyDescent="0.25">
      <c r="J320">
        <v>14</v>
      </c>
      <c r="K320">
        <v>2</v>
      </c>
      <c r="L320">
        <v>46600</v>
      </c>
      <c r="M320">
        <v>96484.090909090912</v>
      </c>
      <c r="N320" t="str">
        <v xml:space="preserve"> FY27-Q1</v>
      </c>
      <c r="O320" t="str">
        <v>CY26-Q3</v>
      </c>
    </row>
    <row r="321" spans="10:15" x14ac:dyDescent="0.25">
      <c r="J321">
        <v>14</v>
      </c>
      <c r="K321">
        <v>2</v>
      </c>
      <c r="L321">
        <v>46965</v>
      </c>
      <c r="M321">
        <v>96484.090909090912</v>
      </c>
      <c r="N321" t="str">
        <v xml:space="preserve"> FY27-Q1</v>
      </c>
      <c r="O321" t="str">
        <v>CY26-Q3</v>
      </c>
    </row>
    <row r="322" spans="10:15" x14ac:dyDescent="0.25">
      <c r="J322">
        <v>14</v>
      </c>
      <c r="K322">
        <v>2</v>
      </c>
      <c r="L322">
        <v>47330</v>
      </c>
      <c r="M322">
        <v>96484.090909090912</v>
      </c>
      <c r="N322" t="str">
        <v xml:space="preserve"> FY27-Q1</v>
      </c>
      <c r="O322" t="str">
        <v>CY26-Q3</v>
      </c>
    </row>
    <row r="323" spans="10:15" x14ac:dyDescent="0.25">
      <c r="J323">
        <v>14</v>
      </c>
      <c r="K323">
        <v>2</v>
      </c>
      <c r="L323">
        <v>47695</v>
      </c>
      <c r="M323">
        <v>96484.090909090912</v>
      </c>
      <c r="N323" t="str">
        <v xml:space="preserve"> FY27-Q1</v>
      </c>
      <c r="O323" t="str">
        <v>CY26-Q3</v>
      </c>
    </row>
    <row r="324" spans="10:15" x14ac:dyDescent="0.25">
      <c r="J324">
        <v>14</v>
      </c>
      <c r="K324">
        <v>2</v>
      </c>
      <c r="L324">
        <v>48060</v>
      </c>
      <c r="M324">
        <v>96484.090909090912</v>
      </c>
      <c r="N324" t="str">
        <v xml:space="preserve"> FY27-Q1</v>
      </c>
      <c r="O324" t="str">
        <v>CY26-Q3</v>
      </c>
    </row>
    <row r="325" spans="10:15" x14ac:dyDescent="0.25">
      <c r="J325">
        <v>14</v>
      </c>
      <c r="K325">
        <v>2</v>
      </c>
      <c r="L325">
        <v>48425</v>
      </c>
      <c r="M325">
        <v>96484.090909090912</v>
      </c>
      <c r="N325" t="str">
        <v xml:space="preserve"> FY27-Q1</v>
      </c>
      <c r="O325" t="str">
        <v>CY26-Q3</v>
      </c>
    </row>
    <row r="326" spans="10:15" x14ac:dyDescent="0.25">
      <c r="J326">
        <v>14</v>
      </c>
      <c r="K326">
        <v>2</v>
      </c>
      <c r="L326">
        <v>48790</v>
      </c>
      <c r="M326">
        <v>96484.090909090912</v>
      </c>
      <c r="N326" t="str">
        <v xml:space="preserve"> FY27-Q1</v>
      </c>
      <c r="O326" t="str">
        <v>CY26-Q3</v>
      </c>
    </row>
    <row r="327" spans="10:15" x14ac:dyDescent="0.25">
      <c r="J327">
        <v>14</v>
      </c>
      <c r="K327">
        <v>2</v>
      </c>
      <c r="L327">
        <v>49155</v>
      </c>
      <c r="M327">
        <v>96484.090909090912</v>
      </c>
      <c r="N327" t="str">
        <v xml:space="preserve"> FY27-Q1</v>
      </c>
      <c r="O327" t="str">
        <v>CY26-Q3</v>
      </c>
    </row>
    <row r="328" spans="10:15" x14ac:dyDescent="0.25">
      <c r="J328">
        <v>14</v>
      </c>
      <c r="K328">
        <v>2</v>
      </c>
      <c r="L328">
        <v>49520</v>
      </c>
      <c r="M328">
        <v>96484.090909090912</v>
      </c>
      <c r="N328" t="str">
        <v xml:space="preserve"> FY27-Q1</v>
      </c>
      <c r="O328" t="str">
        <v>CY26-Q3</v>
      </c>
    </row>
    <row r="329" spans="10:15" x14ac:dyDescent="0.25">
      <c r="J329">
        <v>14</v>
      </c>
      <c r="K329">
        <v>2</v>
      </c>
      <c r="L329">
        <v>49885</v>
      </c>
      <c r="M329">
        <v>96484.090909090912</v>
      </c>
      <c r="N329" t="str">
        <v xml:space="preserve"> FY27-Q1</v>
      </c>
      <c r="O329" t="str">
        <v>CY26-Q3</v>
      </c>
    </row>
    <row r="330" spans="10:15" x14ac:dyDescent="0.25">
      <c r="J330">
        <v>15</v>
      </c>
      <c r="K330">
        <v>24</v>
      </c>
      <c r="L330">
        <v>46394</v>
      </c>
      <c r="M330">
        <v>28788.433962264149</v>
      </c>
      <c r="N330" t="str">
        <v xml:space="preserve"> FY27-Q3</v>
      </c>
      <c r="O330" t="str">
        <v>CY27-Q1</v>
      </c>
    </row>
    <row r="331" spans="10:15" x14ac:dyDescent="0.25">
      <c r="J331">
        <v>15</v>
      </c>
      <c r="K331">
        <v>24</v>
      </c>
      <c r="L331">
        <v>46424</v>
      </c>
      <c r="M331">
        <v>28788.433962264149</v>
      </c>
      <c r="N331" t="str">
        <v xml:space="preserve"> FY27-Q3</v>
      </c>
      <c r="O331" t="str">
        <v>CY27-Q1</v>
      </c>
    </row>
    <row r="332" spans="10:15" x14ac:dyDescent="0.25">
      <c r="J332">
        <v>15</v>
      </c>
      <c r="K332">
        <v>24</v>
      </c>
      <c r="L332">
        <v>46454</v>
      </c>
      <c r="M332">
        <v>28788.433962264149</v>
      </c>
      <c r="N332" t="str">
        <v xml:space="preserve"> FY27-Q3</v>
      </c>
      <c r="O332" t="str">
        <v>CY27-Q1</v>
      </c>
    </row>
    <row r="333" spans="10:15" x14ac:dyDescent="0.25">
      <c r="J333">
        <v>15</v>
      </c>
      <c r="K333">
        <v>24</v>
      </c>
      <c r="L333">
        <v>46484</v>
      </c>
      <c r="M333">
        <v>28788.433962264149</v>
      </c>
      <c r="N333" t="str">
        <v xml:space="preserve"> FY27-Q3</v>
      </c>
      <c r="O333" t="str">
        <v>CY27-Q1</v>
      </c>
    </row>
    <row r="334" spans="10:15" x14ac:dyDescent="0.25">
      <c r="J334">
        <v>15</v>
      </c>
      <c r="K334">
        <v>24</v>
      </c>
      <c r="L334">
        <v>46514</v>
      </c>
      <c r="M334">
        <v>28788.433962264149</v>
      </c>
      <c r="N334" t="str">
        <v xml:space="preserve"> FY27-Q3</v>
      </c>
      <c r="O334" t="str">
        <v>CY27-Q1</v>
      </c>
    </row>
    <row r="335" spans="10:15" x14ac:dyDescent="0.25">
      <c r="J335">
        <v>15</v>
      </c>
      <c r="K335">
        <v>24</v>
      </c>
      <c r="L335">
        <v>46544</v>
      </c>
      <c r="M335">
        <v>28788.433962264149</v>
      </c>
      <c r="N335" t="str">
        <v xml:space="preserve"> FY27-Q3</v>
      </c>
      <c r="O335" t="str">
        <v>CY27-Q1</v>
      </c>
    </row>
    <row r="336" spans="10:15" x14ac:dyDescent="0.25">
      <c r="J336">
        <v>15</v>
      </c>
      <c r="K336">
        <v>24</v>
      </c>
      <c r="L336">
        <v>46574</v>
      </c>
      <c r="M336">
        <v>28788.433962264149</v>
      </c>
      <c r="N336" t="str">
        <v xml:space="preserve"> FY27-Q3</v>
      </c>
      <c r="O336" t="str">
        <v>CY27-Q1</v>
      </c>
    </row>
    <row r="337" spans="10:15" x14ac:dyDescent="0.25">
      <c r="J337">
        <v>15</v>
      </c>
      <c r="K337">
        <v>24</v>
      </c>
      <c r="L337">
        <v>46604</v>
      </c>
      <c r="M337">
        <v>28788.433962264149</v>
      </c>
      <c r="N337" t="str">
        <v xml:space="preserve"> FY27-Q3</v>
      </c>
      <c r="O337" t="str">
        <v>CY27-Q1</v>
      </c>
    </row>
    <row r="338" spans="10:15" x14ac:dyDescent="0.25">
      <c r="J338">
        <v>15</v>
      </c>
      <c r="K338">
        <v>24</v>
      </c>
      <c r="L338">
        <v>46634</v>
      </c>
      <c r="M338">
        <v>28788.433962264149</v>
      </c>
      <c r="N338" t="str">
        <v xml:space="preserve"> FY27-Q3</v>
      </c>
      <c r="O338" t="str">
        <v>CY27-Q1</v>
      </c>
    </row>
    <row r="339" spans="10:15" x14ac:dyDescent="0.25">
      <c r="J339">
        <v>15</v>
      </c>
      <c r="K339">
        <v>24</v>
      </c>
      <c r="L339">
        <v>46664</v>
      </c>
      <c r="M339">
        <v>28788.433962264149</v>
      </c>
      <c r="N339" t="str">
        <v xml:space="preserve"> FY27-Q3</v>
      </c>
      <c r="O339" t="str">
        <v>CY27-Q1</v>
      </c>
    </row>
    <row r="340" spans="10:15" x14ac:dyDescent="0.25">
      <c r="J340">
        <v>15</v>
      </c>
      <c r="K340">
        <v>24</v>
      </c>
      <c r="L340">
        <v>46694</v>
      </c>
      <c r="M340">
        <v>28788.433962264149</v>
      </c>
      <c r="N340" t="str">
        <v xml:space="preserve"> FY27-Q3</v>
      </c>
      <c r="O340" t="str">
        <v>CY27-Q1</v>
      </c>
    </row>
    <row r="341" spans="10:15" x14ac:dyDescent="0.25">
      <c r="J341">
        <v>15</v>
      </c>
      <c r="K341">
        <v>24</v>
      </c>
      <c r="L341">
        <v>46724</v>
      </c>
      <c r="M341">
        <v>28788.433962264149</v>
      </c>
      <c r="N341" t="str">
        <v xml:space="preserve"> FY27-Q3</v>
      </c>
      <c r="O341" t="str">
        <v>CY27-Q1</v>
      </c>
    </row>
    <row r="342" spans="10:15" x14ac:dyDescent="0.25">
      <c r="J342">
        <v>15</v>
      </c>
      <c r="K342">
        <v>24</v>
      </c>
      <c r="L342">
        <v>46754</v>
      </c>
      <c r="M342">
        <v>28788.433962264149</v>
      </c>
      <c r="N342" t="str">
        <v xml:space="preserve"> FY27-Q3</v>
      </c>
      <c r="O342" t="str">
        <v>CY27-Q1</v>
      </c>
    </row>
    <row r="343" spans="10:15" x14ac:dyDescent="0.25">
      <c r="J343">
        <v>15</v>
      </c>
      <c r="K343">
        <v>24</v>
      </c>
      <c r="L343">
        <v>46784</v>
      </c>
      <c r="M343">
        <v>28788.433962264149</v>
      </c>
      <c r="N343" t="str">
        <v xml:space="preserve"> FY27-Q3</v>
      </c>
      <c r="O343" t="str">
        <v>CY27-Q1</v>
      </c>
    </row>
    <row r="344" spans="10:15" x14ac:dyDescent="0.25">
      <c r="J344">
        <v>15</v>
      </c>
      <c r="K344">
        <v>24</v>
      </c>
      <c r="L344">
        <v>46814</v>
      </c>
      <c r="M344">
        <v>28788.433962264149</v>
      </c>
      <c r="N344" t="str">
        <v xml:space="preserve"> FY27-Q3</v>
      </c>
      <c r="O344" t="str">
        <v>CY27-Q1</v>
      </c>
    </row>
    <row r="345" spans="10:15" x14ac:dyDescent="0.25">
      <c r="J345">
        <v>15</v>
      </c>
      <c r="K345">
        <v>24</v>
      </c>
      <c r="L345">
        <v>46844</v>
      </c>
      <c r="M345">
        <v>28788.433962264149</v>
      </c>
      <c r="N345" t="str">
        <v xml:space="preserve"> FY27-Q3</v>
      </c>
      <c r="O345" t="str">
        <v>CY27-Q1</v>
      </c>
    </row>
    <row r="346" spans="10:15" x14ac:dyDescent="0.25">
      <c r="J346">
        <v>15</v>
      </c>
      <c r="K346">
        <v>24</v>
      </c>
      <c r="L346">
        <v>46874</v>
      </c>
      <c r="M346">
        <v>28788.433962264149</v>
      </c>
      <c r="N346" t="str">
        <v xml:space="preserve"> FY27-Q3</v>
      </c>
      <c r="O346" t="str">
        <v>CY27-Q1</v>
      </c>
    </row>
    <row r="347" spans="10:15" x14ac:dyDescent="0.25">
      <c r="J347">
        <v>15</v>
      </c>
      <c r="K347">
        <v>24</v>
      </c>
      <c r="L347">
        <v>46904</v>
      </c>
      <c r="M347">
        <v>28788.433962264149</v>
      </c>
      <c r="N347" t="str">
        <v xml:space="preserve"> FY27-Q3</v>
      </c>
      <c r="O347" t="str">
        <v>CY27-Q1</v>
      </c>
    </row>
    <row r="348" spans="10:15" x14ac:dyDescent="0.25">
      <c r="J348">
        <v>15</v>
      </c>
      <c r="K348">
        <v>24</v>
      </c>
      <c r="L348">
        <v>46934</v>
      </c>
      <c r="M348">
        <v>28788.433962264149</v>
      </c>
      <c r="N348" t="str">
        <v xml:space="preserve"> FY27-Q3</v>
      </c>
      <c r="O348" t="str">
        <v>CY27-Q1</v>
      </c>
    </row>
    <row r="349" spans="10:15" x14ac:dyDescent="0.25">
      <c r="J349">
        <v>15</v>
      </c>
      <c r="K349">
        <v>24</v>
      </c>
      <c r="L349">
        <v>46964</v>
      </c>
      <c r="M349">
        <v>28788.433962264149</v>
      </c>
      <c r="N349" t="str">
        <v xml:space="preserve"> FY27-Q3</v>
      </c>
      <c r="O349" t="str">
        <v>CY27-Q1</v>
      </c>
    </row>
    <row r="350" spans="10:15" x14ac:dyDescent="0.25">
      <c r="J350">
        <v>15</v>
      </c>
      <c r="K350">
        <v>24</v>
      </c>
      <c r="L350">
        <v>46994</v>
      </c>
      <c r="M350">
        <v>28788.433962264149</v>
      </c>
      <c r="N350" t="str">
        <v xml:space="preserve"> FY27-Q3</v>
      </c>
      <c r="O350" t="str">
        <v>CY27-Q1</v>
      </c>
    </row>
    <row r="351" spans="10:15" x14ac:dyDescent="0.25">
      <c r="J351">
        <v>15</v>
      </c>
      <c r="K351">
        <v>24</v>
      </c>
      <c r="L351">
        <v>47024</v>
      </c>
      <c r="M351">
        <v>28788.433962264149</v>
      </c>
      <c r="N351" t="str">
        <v xml:space="preserve"> FY27-Q3</v>
      </c>
      <c r="O351" t="str">
        <v>CY27-Q1</v>
      </c>
    </row>
    <row r="352" spans="10:15" x14ac:dyDescent="0.25">
      <c r="J352">
        <v>15</v>
      </c>
      <c r="K352">
        <v>24</v>
      </c>
      <c r="L352">
        <v>47054</v>
      </c>
      <c r="M352">
        <v>28788.433962264149</v>
      </c>
      <c r="N352" t="str">
        <v xml:space="preserve"> FY27-Q3</v>
      </c>
      <c r="O352" t="str">
        <v>CY27-Q1</v>
      </c>
    </row>
    <row r="353" spans="10:15" x14ac:dyDescent="0.25">
      <c r="J353">
        <v>15</v>
      </c>
      <c r="K353">
        <v>24</v>
      </c>
      <c r="L353">
        <v>47084</v>
      </c>
      <c r="M353">
        <v>28788.433962264149</v>
      </c>
      <c r="N353" t="str">
        <v xml:space="preserve"> FY27-Q3</v>
      </c>
      <c r="O353" t="str">
        <v>CY27-Q1</v>
      </c>
    </row>
    <row r="354" spans="10:15" x14ac:dyDescent="0.25">
      <c r="J354">
        <v>15</v>
      </c>
      <c r="K354">
        <v>24</v>
      </c>
      <c r="L354">
        <v>47114</v>
      </c>
      <c r="M354">
        <v>28788.433962264149</v>
      </c>
      <c r="N354" t="str">
        <v xml:space="preserve"> FY27-Q3</v>
      </c>
      <c r="O354" t="str">
        <v>CY27-Q1</v>
      </c>
    </row>
    <row r="355" spans="10:15" x14ac:dyDescent="0.25">
      <c r="J355">
        <v>15</v>
      </c>
      <c r="K355">
        <v>24</v>
      </c>
      <c r="L355">
        <v>47144</v>
      </c>
      <c r="M355">
        <v>28788.433962264149</v>
      </c>
      <c r="N355" t="str">
        <v xml:space="preserve"> FY27-Q3</v>
      </c>
      <c r="O355" t="str">
        <v>CY27-Q1</v>
      </c>
    </row>
    <row r="356" spans="10:15" x14ac:dyDescent="0.25">
      <c r="J356">
        <v>15</v>
      </c>
      <c r="K356">
        <v>24</v>
      </c>
      <c r="L356">
        <v>47174</v>
      </c>
      <c r="M356">
        <v>28788.433962264149</v>
      </c>
      <c r="N356" t="str">
        <v xml:space="preserve"> FY27-Q3</v>
      </c>
      <c r="O356" t="str">
        <v>CY27-Q1</v>
      </c>
    </row>
    <row r="357" spans="10:15" x14ac:dyDescent="0.25">
      <c r="J357">
        <v>15</v>
      </c>
      <c r="K357">
        <v>24</v>
      </c>
      <c r="L357">
        <v>47204</v>
      </c>
      <c r="M357">
        <v>28788.433962264149</v>
      </c>
      <c r="N357" t="str">
        <v xml:space="preserve"> FY27-Q3</v>
      </c>
      <c r="O357" t="str">
        <v>CY27-Q1</v>
      </c>
    </row>
    <row r="358" spans="10:15" x14ac:dyDescent="0.25">
      <c r="J358">
        <v>15</v>
      </c>
      <c r="K358">
        <v>24</v>
      </c>
      <c r="L358">
        <v>47234</v>
      </c>
      <c r="M358">
        <v>28788.433962264149</v>
      </c>
      <c r="N358" t="str">
        <v xml:space="preserve"> FY27-Q3</v>
      </c>
      <c r="O358" t="str">
        <v>CY27-Q1</v>
      </c>
    </row>
    <row r="359" spans="10:15" x14ac:dyDescent="0.25">
      <c r="J359">
        <v>15</v>
      </c>
      <c r="K359">
        <v>24</v>
      </c>
      <c r="L359">
        <v>47264</v>
      </c>
      <c r="M359">
        <v>28788.433962264149</v>
      </c>
      <c r="N359" t="str">
        <v xml:space="preserve"> FY27-Q3</v>
      </c>
      <c r="O359" t="str">
        <v>CY27-Q1</v>
      </c>
    </row>
    <row r="360" spans="10:15" x14ac:dyDescent="0.25">
      <c r="J360">
        <v>15</v>
      </c>
      <c r="K360">
        <v>24</v>
      </c>
      <c r="L360">
        <v>47294</v>
      </c>
      <c r="M360">
        <v>28788.433962264149</v>
      </c>
      <c r="N360" t="str">
        <v xml:space="preserve"> FY27-Q3</v>
      </c>
      <c r="O360" t="str">
        <v>CY27-Q1</v>
      </c>
    </row>
    <row r="361" spans="10:15" x14ac:dyDescent="0.25">
      <c r="J361">
        <v>15</v>
      </c>
      <c r="K361">
        <v>24</v>
      </c>
      <c r="L361">
        <v>47324</v>
      </c>
      <c r="M361">
        <v>28788.433962264149</v>
      </c>
      <c r="N361" t="str">
        <v xml:space="preserve"> FY27-Q3</v>
      </c>
      <c r="O361" t="str">
        <v>CY27-Q1</v>
      </c>
    </row>
    <row r="362" spans="10:15" x14ac:dyDescent="0.25">
      <c r="J362">
        <v>15</v>
      </c>
      <c r="K362">
        <v>24</v>
      </c>
      <c r="L362">
        <v>47354</v>
      </c>
      <c r="M362">
        <v>28788.433962264149</v>
      </c>
      <c r="N362" t="str">
        <v xml:space="preserve"> FY27-Q3</v>
      </c>
      <c r="O362" t="str">
        <v>CY27-Q1</v>
      </c>
    </row>
    <row r="363" spans="10:15" x14ac:dyDescent="0.25">
      <c r="J363">
        <v>15</v>
      </c>
      <c r="K363">
        <v>24</v>
      </c>
      <c r="L363">
        <v>47384</v>
      </c>
      <c r="M363">
        <v>28788.433962264149</v>
      </c>
      <c r="N363" t="str">
        <v xml:space="preserve"> FY27-Q3</v>
      </c>
      <c r="O363" t="str">
        <v>CY27-Q1</v>
      </c>
    </row>
    <row r="364" spans="10:15" x14ac:dyDescent="0.25">
      <c r="J364">
        <v>15</v>
      </c>
      <c r="K364">
        <v>24</v>
      </c>
      <c r="L364">
        <v>47414</v>
      </c>
      <c r="M364">
        <v>28788.433962264149</v>
      </c>
      <c r="N364" t="str">
        <v xml:space="preserve"> FY27-Q3</v>
      </c>
      <c r="O364" t="str">
        <v>CY27-Q1</v>
      </c>
    </row>
    <row r="365" spans="10:15" x14ac:dyDescent="0.25">
      <c r="J365">
        <v>15</v>
      </c>
      <c r="K365">
        <v>24</v>
      </c>
      <c r="L365">
        <v>47444</v>
      </c>
      <c r="M365">
        <v>28788.433962264149</v>
      </c>
      <c r="N365" t="str">
        <v xml:space="preserve"> FY27-Q3</v>
      </c>
      <c r="O365" t="str">
        <v>CY27-Q1</v>
      </c>
    </row>
    <row r="366" spans="10:15" x14ac:dyDescent="0.25">
      <c r="J366">
        <v>15</v>
      </c>
      <c r="K366">
        <v>24</v>
      </c>
      <c r="L366">
        <v>47474</v>
      </c>
      <c r="M366">
        <v>28788.433962264149</v>
      </c>
      <c r="N366" t="str">
        <v xml:space="preserve"> FY27-Q3</v>
      </c>
      <c r="O366" t="str">
        <v>CY27-Q1</v>
      </c>
    </row>
    <row r="367" spans="10:15" x14ac:dyDescent="0.25">
      <c r="J367">
        <v>15</v>
      </c>
      <c r="K367">
        <v>24</v>
      </c>
      <c r="L367">
        <v>47504</v>
      </c>
      <c r="M367">
        <v>28788.433962264149</v>
      </c>
      <c r="N367" t="str">
        <v xml:space="preserve"> FY27-Q3</v>
      </c>
      <c r="O367" t="str">
        <v>CY27-Q1</v>
      </c>
    </row>
    <row r="368" spans="10:15" x14ac:dyDescent="0.25">
      <c r="J368">
        <v>15</v>
      </c>
      <c r="K368">
        <v>24</v>
      </c>
      <c r="L368">
        <v>47534</v>
      </c>
      <c r="M368">
        <v>28788.433962264149</v>
      </c>
      <c r="N368" t="str">
        <v xml:space="preserve"> FY27-Q3</v>
      </c>
      <c r="O368" t="str">
        <v>CY27-Q1</v>
      </c>
    </row>
    <row r="369" spans="10:15" x14ac:dyDescent="0.25">
      <c r="J369">
        <v>15</v>
      </c>
      <c r="K369">
        <v>24</v>
      </c>
      <c r="L369">
        <v>47564</v>
      </c>
      <c r="M369">
        <v>28788.433962264149</v>
      </c>
      <c r="N369" t="str">
        <v xml:space="preserve"> FY27-Q3</v>
      </c>
      <c r="O369" t="str">
        <v>CY27-Q1</v>
      </c>
    </row>
    <row r="370" spans="10:15" x14ac:dyDescent="0.25">
      <c r="J370">
        <v>15</v>
      </c>
      <c r="K370">
        <v>24</v>
      </c>
      <c r="L370">
        <v>47594</v>
      </c>
      <c r="M370">
        <v>28788.433962264149</v>
      </c>
      <c r="N370" t="str">
        <v xml:space="preserve"> FY27-Q3</v>
      </c>
      <c r="O370" t="str">
        <v>CY27-Q1</v>
      </c>
    </row>
    <row r="371" spans="10:15" x14ac:dyDescent="0.25">
      <c r="J371">
        <v>15</v>
      </c>
      <c r="K371">
        <v>24</v>
      </c>
      <c r="L371">
        <v>47624</v>
      </c>
      <c r="M371">
        <v>28788.433962264149</v>
      </c>
      <c r="N371" t="str">
        <v xml:space="preserve"> FY27-Q3</v>
      </c>
      <c r="O371" t="str">
        <v>CY27-Q1</v>
      </c>
    </row>
    <row r="372" spans="10:15" x14ac:dyDescent="0.25">
      <c r="J372">
        <v>15</v>
      </c>
      <c r="K372">
        <v>24</v>
      </c>
      <c r="L372">
        <v>47654</v>
      </c>
      <c r="M372">
        <v>28788.433962264149</v>
      </c>
      <c r="N372" t="str">
        <v xml:space="preserve"> FY27-Q3</v>
      </c>
      <c r="O372" t="str">
        <v>CY27-Q1</v>
      </c>
    </row>
    <row r="373" spans="10:15" x14ac:dyDescent="0.25">
      <c r="J373">
        <v>15</v>
      </c>
      <c r="K373">
        <v>24</v>
      </c>
      <c r="L373">
        <v>47684</v>
      </c>
      <c r="M373">
        <v>28788.433962264149</v>
      </c>
      <c r="N373" t="str">
        <v xml:space="preserve"> FY27-Q3</v>
      </c>
      <c r="O373" t="str">
        <v>CY27-Q1</v>
      </c>
    </row>
    <row r="374" spans="10:15" x14ac:dyDescent="0.25">
      <c r="J374">
        <v>15</v>
      </c>
      <c r="K374">
        <v>24</v>
      </c>
      <c r="L374">
        <v>47714</v>
      </c>
      <c r="M374">
        <v>28788.433962264149</v>
      </c>
      <c r="N374" t="str">
        <v xml:space="preserve"> FY27-Q3</v>
      </c>
      <c r="O374" t="str">
        <v>CY27-Q1</v>
      </c>
    </row>
    <row r="375" spans="10:15" x14ac:dyDescent="0.25">
      <c r="J375">
        <v>15</v>
      </c>
      <c r="K375">
        <v>24</v>
      </c>
      <c r="L375">
        <v>47744</v>
      </c>
      <c r="M375">
        <v>28788.433962264149</v>
      </c>
      <c r="N375" t="str">
        <v xml:space="preserve"> FY27-Q3</v>
      </c>
      <c r="O375" t="str">
        <v>CY27-Q1</v>
      </c>
    </row>
    <row r="376" spans="10:15" x14ac:dyDescent="0.25">
      <c r="J376">
        <v>15</v>
      </c>
      <c r="K376">
        <v>24</v>
      </c>
      <c r="L376">
        <v>47774</v>
      </c>
      <c r="M376">
        <v>28788.433962264149</v>
      </c>
      <c r="N376" t="str">
        <v xml:space="preserve"> FY27-Q3</v>
      </c>
      <c r="O376" t="str">
        <v>CY27-Q1</v>
      </c>
    </row>
    <row r="377" spans="10:15" x14ac:dyDescent="0.25">
      <c r="J377">
        <v>15</v>
      </c>
      <c r="K377">
        <v>24</v>
      </c>
      <c r="L377">
        <v>47804</v>
      </c>
      <c r="M377">
        <v>28788.433962264149</v>
      </c>
      <c r="N377" t="str">
        <v xml:space="preserve"> FY27-Q3</v>
      </c>
      <c r="O377" t="str">
        <v>CY27-Q1</v>
      </c>
    </row>
    <row r="378" spans="10:15" x14ac:dyDescent="0.25">
      <c r="J378">
        <v>15</v>
      </c>
      <c r="K378">
        <v>24</v>
      </c>
      <c r="L378">
        <v>47834</v>
      </c>
      <c r="M378">
        <v>28788.433962264149</v>
      </c>
      <c r="N378" t="str">
        <v xml:space="preserve"> FY27-Q3</v>
      </c>
      <c r="O378" t="str">
        <v>CY27-Q1</v>
      </c>
    </row>
    <row r="379" spans="10:15" x14ac:dyDescent="0.25">
      <c r="J379">
        <v>15</v>
      </c>
      <c r="K379">
        <v>24</v>
      </c>
      <c r="L379">
        <v>47864</v>
      </c>
      <c r="M379">
        <v>28788.433962264149</v>
      </c>
      <c r="N379" t="str">
        <v xml:space="preserve"> FY27-Q3</v>
      </c>
      <c r="O379" t="str">
        <v>CY27-Q1</v>
      </c>
    </row>
    <row r="380" spans="10:15" x14ac:dyDescent="0.25">
      <c r="J380">
        <v>15</v>
      </c>
      <c r="K380">
        <v>24</v>
      </c>
      <c r="L380">
        <v>47894</v>
      </c>
      <c r="M380">
        <v>28788.433962264149</v>
      </c>
      <c r="N380" t="str">
        <v xml:space="preserve"> FY27-Q3</v>
      </c>
      <c r="O380" t="str">
        <v>CY27-Q1</v>
      </c>
    </row>
    <row r="381" spans="10:15" x14ac:dyDescent="0.25">
      <c r="J381">
        <v>15</v>
      </c>
      <c r="K381">
        <v>24</v>
      </c>
      <c r="L381">
        <v>47924</v>
      </c>
      <c r="M381">
        <v>28788.433962264149</v>
      </c>
      <c r="N381" t="str">
        <v xml:space="preserve"> FY27-Q3</v>
      </c>
      <c r="O381" t="str">
        <v>CY27-Q1</v>
      </c>
    </row>
    <row r="382" spans="10:15" x14ac:dyDescent="0.25">
      <c r="J382">
        <v>15</v>
      </c>
      <c r="K382">
        <v>24</v>
      </c>
      <c r="L382">
        <v>47954</v>
      </c>
      <c r="M382">
        <v>28788.433962264149</v>
      </c>
      <c r="N382" t="str">
        <v xml:space="preserve"> FY27-Q3</v>
      </c>
      <c r="O382" t="str">
        <v>CY27-Q1</v>
      </c>
    </row>
    <row r="383" spans="10:15" x14ac:dyDescent="0.25">
      <c r="J383">
        <v>16</v>
      </c>
      <c r="K383">
        <v>22</v>
      </c>
      <c r="L383">
        <v>46123</v>
      </c>
      <c r="M383">
        <v>29540.125</v>
      </c>
      <c r="N383" t="str">
        <v xml:space="preserve"> FY26-Q4</v>
      </c>
      <c r="O383" t="str">
        <v>CY26-Q2</v>
      </c>
    </row>
    <row r="384" spans="10:15" x14ac:dyDescent="0.25">
      <c r="J384">
        <v>16</v>
      </c>
      <c r="K384">
        <v>22</v>
      </c>
      <c r="L384">
        <v>46214</v>
      </c>
      <c r="M384">
        <v>29540.125</v>
      </c>
      <c r="N384" t="str">
        <v xml:space="preserve"> FY26-Q4</v>
      </c>
      <c r="O384" t="str">
        <v>CY26-Q2</v>
      </c>
    </row>
    <row r="385" spans="10:15" x14ac:dyDescent="0.25">
      <c r="J385">
        <v>16</v>
      </c>
      <c r="K385">
        <v>22</v>
      </c>
      <c r="L385">
        <v>46305</v>
      </c>
      <c r="M385">
        <v>29540.125</v>
      </c>
      <c r="N385" t="str">
        <v xml:space="preserve"> FY26-Q4</v>
      </c>
      <c r="O385" t="str">
        <v>CY26-Q2</v>
      </c>
    </row>
    <row r="386" spans="10:15" x14ac:dyDescent="0.25">
      <c r="J386">
        <v>16</v>
      </c>
      <c r="K386">
        <v>22</v>
      </c>
      <c r="L386">
        <v>46396</v>
      </c>
      <c r="M386">
        <v>29540.125</v>
      </c>
      <c r="N386" t="str">
        <v xml:space="preserve"> FY26-Q4</v>
      </c>
      <c r="O386" t="str">
        <v>CY26-Q2</v>
      </c>
    </row>
    <row r="387" spans="10:15" x14ac:dyDescent="0.25">
      <c r="J387">
        <v>16</v>
      </c>
      <c r="K387">
        <v>22</v>
      </c>
      <c r="L387">
        <v>46487</v>
      </c>
      <c r="M387">
        <v>29540.125</v>
      </c>
      <c r="N387" t="str">
        <v xml:space="preserve"> FY26-Q4</v>
      </c>
      <c r="O387" t="str">
        <v>CY26-Q2</v>
      </c>
    </row>
    <row r="388" spans="10:15" x14ac:dyDescent="0.25">
      <c r="J388">
        <v>16</v>
      </c>
      <c r="K388">
        <v>22</v>
      </c>
      <c r="L388">
        <v>46578</v>
      </c>
      <c r="M388">
        <v>29540.125</v>
      </c>
      <c r="N388" t="str">
        <v xml:space="preserve"> FY26-Q4</v>
      </c>
      <c r="O388" t="str">
        <v>CY26-Q2</v>
      </c>
    </row>
    <row r="389" spans="10:15" x14ac:dyDescent="0.25">
      <c r="J389">
        <v>16</v>
      </c>
      <c r="K389">
        <v>22</v>
      </c>
      <c r="L389">
        <v>46669</v>
      </c>
      <c r="M389">
        <v>29540.125</v>
      </c>
      <c r="N389" t="str">
        <v xml:space="preserve"> FY26-Q4</v>
      </c>
      <c r="O389" t="str">
        <v>CY26-Q2</v>
      </c>
    </row>
    <row r="390" spans="10:15" x14ac:dyDescent="0.25">
      <c r="J390">
        <v>16</v>
      </c>
      <c r="K390">
        <v>22</v>
      </c>
      <c r="L390">
        <v>46760</v>
      </c>
      <c r="M390">
        <v>29540.125</v>
      </c>
      <c r="N390" t="str">
        <v xml:space="preserve"> FY26-Q4</v>
      </c>
      <c r="O390" t="str">
        <v>CY26-Q2</v>
      </c>
    </row>
    <row r="391" spans="10:15" x14ac:dyDescent="0.25">
      <c r="J391">
        <v>16</v>
      </c>
      <c r="K391">
        <v>22</v>
      </c>
      <c r="L391">
        <v>46851</v>
      </c>
      <c r="M391">
        <v>29540.125</v>
      </c>
      <c r="N391" t="str">
        <v xml:space="preserve"> FY26-Q4</v>
      </c>
      <c r="O391" t="str">
        <v>CY26-Q2</v>
      </c>
    </row>
    <row r="392" spans="10:15" x14ac:dyDescent="0.25">
      <c r="J392">
        <v>16</v>
      </c>
      <c r="K392">
        <v>22</v>
      </c>
      <c r="L392">
        <v>46942</v>
      </c>
      <c r="M392">
        <v>29540.125</v>
      </c>
      <c r="N392" t="str">
        <v xml:space="preserve"> FY26-Q4</v>
      </c>
      <c r="O392" t="str">
        <v>CY26-Q2</v>
      </c>
    </row>
    <row r="393" spans="10:15" x14ac:dyDescent="0.25">
      <c r="J393">
        <v>16</v>
      </c>
      <c r="K393">
        <v>22</v>
      </c>
      <c r="L393">
        <v>47033</v>
      </c>
      <c r="M393">
        <v>29540.125</v>
      </c>
      <c r="N393" t="str">
        <v xml:space="preserve"> FY26-Q4</v>
      </c>
      <c r="O393" t="str">
        <v>CY26-Q2</v>
      </c>
    </row>
    <row r="394" spans="10:15" x14ac:dyDescent="0.25">
      <c r="J394">
        <v>16</v>
      </c>
      <c r="K394">
        <v>22</v>
      </c>
      <c r="L394">
        <v>47124</v>
      </c>
      <c r="M394">
        <v>29540.125</v>
      </c>
      <c r="N394" t="str">
        <v xml:space="preserve"> FY26-Q4</v>
      </c>
      <c r="O394" t="str">
        <v>CY26-Q2</v>
      </c>
    </row>
    <row r="395" spans="10:15" x14ac:dyDescent="0.25">
      <c r="J395">
        <v>16</v>
      </c>
      <c r="K395">
        <v>22</v>
      </c>
      <c r="L395">
        <v>47215</v>
      </c>
      <c r="M395">
        <v>29540.125</v>
      </c>
      <c r="N395" t="str">
        <v xml:space="preserve"> FY26-Q4</v>
      </c>
      <c r="O395" t="str">
        <v>CY26-Q2</v>
      </c>
    </row>
    <row r="396" spans="10:15" x14ac:dyDescent="0.25">
      <c r="J396">
        <v>16</v>
      </c>
      <c r="K396">
        <v>22</v>
      </c>
      <c r="L396">
        <v>47306</v>
      </c>
      <c r="M396">
        <v>29540.125</v>
      </c>
      <c r="N396" t="str">
        <v xml:space="preserve"> FY26-Q4</v>
      </c>
      <c r="O396" t="str">
        <v>CY26-Q2</v>
      </c>
    </row>
    <row r="397" spans="10:15" x14ac:dyDescent="0.25">
      <c r="J397">
        <v>16</v>
      </c>
      <c r="K397">
        <v>22</v>
      </c>
      <c r="L397">
        <v>47397</v>
      </c>
      <c r="M397">
        <v>29540.125</v>
      </c>
      <c r="N397" t="str">
        <v xml:space="preserve"> FY26-Q4</v>
      </c>
      <c r="O397" t="str">
        <v>CY26-Q2</v>
      </c>
    </row>
    <row r="398" spans="10:15" x14ac:dyDescent="0.25">
      <c r="J398">
        <v>16</v>
      </c>
      <c r="K398">
        <v>22</v>
      </c>
      <c r="L398">
        <v>47488</v>
      </c>
      <c r="M398">
        <v>29540.125</v>
      </c>
      <c r="N398" t="str">
        <v xml:space="preserve"> FY26-Q4</v>
      </c>
      <c r="O398" t="str">
        <v>CY26-Q2</v>
      </c>
    </row>
    <row r="399" spans="10:15" x14ac:dyDescent="0.25">
      <c r="J399">
        <v>16</v>
      </c>
      <c r="K399">
        <v>22</v>
      </c>
      <c r="L399">
        <v>47579</v>
      </c>
      <c r="M399">
        <v>29540.125</v>
      </c>
      <c r="N399" t="str">
        <v xml:space="preserve"> FY26-Q4</v>
      </c>
      <c r="O399" t="str">
        <v>CY26-Q2</v>
      </c>
    </row>
    <row r="400" spans="10:15" x14ac:dyDescent="0.25">
      <c r="J400">
        <v>16</v>
      </c>
      <c r="K400">
        <v>22</v>
      </c>
      <c r="L400">
        <v>47670</v>
      </c>
      <c r="M400">
        <v>29540.125</v>
      </c>
      <c r="N400" t="str">
        <v xml:space="preserve"> FY26-Q4</v>
      </c>
      <c r="O400" t="str">
        <v>CY26-Q2</v>
      </c>
    </row>
    <row r="401" spans="10:15" x14ac:dyDescent="0.25">
      <c r="J401">
        <v>16</v>
      </c>
      <c r="K401">
        <v>22</v>
      </c>
      <c r="L401">
        <v>47761</v>
      </c>
      <c r="M401">
        <v>29540.125</v>
      </c>
      <c r="N401" t="str">
        <v xml:space="preserve"> FY26-Q4</v>
      </c>
      <c r="O401" t="str">
        <v>CY26-Q2</v>
      </c>
    </row>
    <row r="402" spans="10:15" x14ac:dyDescent="0.25">
      <c r="J402">
        <v>16</v>
      </c>
      <c r="K402">
        <v>22</v>
      </c>
      <c r="L402">
        <v>47852</v>
      </c>
      <c r="M402">
        <v>29540.125</v>
      </c>
      <c r="N402" t="str">
        <v xml:space="preserve"> FY26-Q4</v>
      </c>
      <c r="O402" t="str">
        <v>CY26-Q2</v>
      </c>
    </row>
    <row r="403" spans="10:15" x14ac:dyDescent="0.25">
      <c r="J403">
        <v>16</v>
      </c>
      <c r="K403">
        <v>22</v>
      </c>
      <c r="L403">
        <v>47943</v>
      </c>
      <c r="M403">
        <v>29540.125</v>
      </c>
      <c r="N403" t="str">
        <v xml:space="preserve"> FY26-Q4</v>
      </c>
      <c r="O403" t="str">
        <v>CY26-Q2</v>
      </c>
    </row>
    <row r="404" spans="10:15" x14ac:dyDescent="0.25">
      <c r="J404">
        <v>16</v>
      </c>
      <c r="K404">
        <v>22</v>
      </c>
      <c r="L404">
        <v>48034</v>
      </c>
      <c r="M404">
        <v>29540.125</v>
      </c>
      <c r="N404" t="str">
        <v xml:space="preserve"> FY26-Q4</v>
      </c>
      <c r="O404" t="str">
        <v>CY26-Q2</v>
      </c>
    </row>
    <row r="405" spans="10:15" x14ac:dyDescent="0.25">
      <c r="J405">
        <v>16</v>
      </c>
      <c r="K405">
        <v>22</v>
      </c>
      <c r="L405">
        <v>48125</v>
      </c>
      <c r="M405">
        <v>29540.125</v>
      </c>
      <c r="N405" t="str">
        <v xml:space="preserve"> FY26-Q4</v>
      </c>
      <c r="O405" t="str">
        <v>CY26-Q2</v>
      </c>
    </row>
    <row r="406" spans="10:15" x14ac:dyDescent="0.25">
      <c r="J406">
        <v>16</v>
      </c>
      <c r="K406">
        <v>22</v>
      </c>
      <c r="L406">
        <v>48216</v>
      </c>
      <c r="M406">
        <v>29540.125</v>
      </c>
      <c r="N406" t="str">
        <v xml:space="preserve"> FY26-Q4</v>
      </c>
      <c r="O406" t="str">
        <v>CY26-Q2</v>
      </c>
    </row>
    <row r="407" spans="10:15" x14ac:dyDescent="0.25">
      <c r="J407">
        <v>16</v>
      </c>
      <c r="K407">
        <v>22</v>
      </c>
      <c r="L407">
        <v>48307</v>
      </c>
      <c r="M407">
        <v>29540.125</v>
      </c>
      <c r="N407" t="str">
        <v xml:space="preserve"> FY26-Q4</v>
      </c>
      <c r="O407" t="str">
        <v>CY26-Q2</v>
      </c>
    </row>
    <row r="408" spans="10:15" x14ac:dyDescent="0.25">
      <c r="J408">
        <v>16</v>
      </c>
      <c r="K408">
        <v>22</v>
      </c>
      <c r="L408">
        <v>48398</v>
      </c>
      <c r="M408">
        <v>29540.125</v>
      </c>
      <c r="N408" t="str">
        <v xml:space="preserve"> FY26-Q4</v>
      </c>
      <c r="O408" t="str">
        <v>CY26-Q2</v>
      </c>
    </row>
    <row r="409" spans="10:15" x14ac:dyDescent="0.25">
      <c r="J409">
        <v>16</v>
      </c>
      <c r="K409">
        <v>22</v>
      </c>
      <c r="L409">
        <v>48489</v>
      </c>
      <c r="M409">
        <v>29540.125</v>
      </c>
      <c r="N409" t="str">
        <v xml:space="preserve"> FY26-Q4</v>
      </c>
      <c r="O409" t="str">
        <v>CY26-Q2</v>
      </c>
    </row>
    <row r="410" spans="10:15" x14ac:dyDescent="0.25">
      <c r="J410">
        <v>16</v>
      </c>
      <c r="K410">
        <v>22</v>
      </c>
      <c r="L410">
        <v>48580</v>
      </c>
      <c r="M410">
        <v>29540.125</v>
      </c>
      <c r="N410" t="str">
        <v xml:space="preserve"> FY26-Q4</v>
      </c>
      <c r="O410" t="str">
        <v>CY26-Q2</v>
      </c>
    </row>
    <row r="411" spans="10:15" x14ac:dyDescent="0.25">
      <c r="J411">
        <v>16</v>
      </c>
      <c r="K411">
        <v>22</v>
      </c>
      <c r="L411">
        <v>48671</v>
      </c>
      <c r="M411">
        <v>29540.125</v>
      </c>
      <c r="N411" t="str">
        <v xml:space="preserve"> FY26-Q4</v>
      </c>
      <c r="O411" t="str">
        <v>CY26-Q2</v>
      </c>
    </row>
    <row r="412" spans="10:15" x14ac:dyDescent="0.25">
      <c r="J412">
        <v>16</v>
      </c>
      <c r="K412">
        <v>22</v>
      </c>
      <c r="L412">
        <v>48762</v>
      </c>
      <c r="M412">
        <v>29540.125</v>
      </c>
      <c r="N412" t="str">
        <v xml:space="preserve"> FY26-Q4</v>
      </c>
      <c r="O412" t="str">
        <v>CY26-Q2</v>
      </c>
    </row>
    <row r="413" spans="10:15" x14ac:dyDescent="0.25">
      <c r="J413">
        <v>16</v>
      </c>
      <c r="K413">
        <v>22</v>
      </c>
      <c r="L413">
        <v>48853</v>
      </c>
      <c r="M413">
        <v>29540.125</v>
      </c>
      <c r="N413" t="str">
        <v xml:space="preserve"> FY26-Q4</v>
      </c>
      <c r="O413" t="str">
        <v>CY26-Q2</v>
      </c>
    </row>
    <row r="414" spans="10:15" x14ac:dyDescent="0.25">
      <c r="J414">
        <v>16</v>
      </c>
      <c r="K414">
        <v>22</v>
      </c>
      <c r="L414">
        <v>48944</v>
      </c>
      <c r="M414">
        <v>29540.125</v>
      </c>
      <c r="N414" t="str">
        <v xml:space="preserve"> FY26-Q4</v>
      </c>
      <c r="O414" t="str">
        <v>CY26-Q2</v>
      </c>
    </row>
    <row r="415" spans="10:15" x14ac:dyDescent="0.25">
      <c r="J415">
        <v>18</v>
      </c>
      <c r="K415">
        <v>9</v>
      </c>
      <c r="L415">
        <v>46231</v>
      </c>
      <c r="M415">
        <v>184844</v>
      </c>
      <c r="N415" t="str">
        <v xml:space="preserve"> FY27-Q1</v>
      </c>
      <c r="O415" t="str">
        <v>CY26-Q3</v>
      </c>
    </row>
    <row r="416" spans="10:15" x14ac:dyDescent="0.25">
      <c r="J416">
        <v>18</v>
      </c>
      <c r="K416">
        <v>9</v>
      </c>
      <c r="L416">
        <v>46413</v>
      </c>
      <c r="M416">
        <v>184844</v>
      </c>
      <c r="N416" t="str">
        <v xml:space="preserve"> FY27-Q1</v>
      </c>
      <c r="O416" t="str">
        <v>CY26-Q3</v>
      </c>
    </row>
    <row r="417" spans="10:15" x14ac:dyDescent="0.25">
      <c r="J417">
        <v>18</v>
      </c>
      <c r="K417">
        <v>9</v>
      </c>
      <c r="L417">
        <v>46595</v>
      </c>
      <c r="M417">
        <v>184844</v>
      </c>
      <c r="N417" t="str">
        <v xml:space="preserve"> FY27-Q1</v>
      </c>
      <c r="O417" t="str">
        <v>CY26-Q3</v>
      </c>
    </row>
    <row r="418" spans="10:15" x14ac:dyDescent="0.25">
      <c r="J418">
        <v>18</v>
      </c>
      <c r="K418">
        <v>9</v>
      </c>
      <c r="L418">
        <v>46777</v>
      </c>
      <c r="M418">
        <v>184844</v>
      </c>
      <c r="N418" t="str">
        <v xml:space="preserve"> FY27-Q1</v>
      </c>
      <c r="O418" t="str">
        <v>CY26-Q3</v>
      </c>
    </row>
    <row r="419" spans="10:15" x14ac:dyDescent="0.25">
      <c r="J419">
        <v>18</v>
      </c>
      <c r="K419">
        <v>9</v>
      </c>
      <c r="L419">
        <v>46959</v>
      </c>
      <c r="M419">
        <v>184844</v>
      </c>
      <c r="N419" t="str">
        <v xml:space="preserve"> FY27-Q1</v>
      </c>
      <c r="O419" t="str">
        <v>CY26-Q3</v>
      </c>
    </row>
    <row r="420" spans="10:15" x14ac:dyDescent="0.25">
      <c r="J420">
        <v>18</v>
      </c>
      <c r="K420">
        <v>9</v>
      </c>
      <c r="L420">
        <v>47141</v>
      </c>
      <c r="M420">
        <v>184844</v>
      </c>
      <c r="N420" t="str">
        <v xml:space="preserve"> FY27-Q1</v>
      </c>
      <c r="O420" t="str">
        <v>CY26-Q3</v>
      </c>
    </row>
    <row r="421" spans="10:15" x14ac:dyDescent="0.25">
      <c r="J421">
        <v>18</v>
      </c>
      <c r="K421">
        <v>9</v>
      </c>
      <c r="L421">
        <v>47323</v>
      </c>
      <c r="M421">
        <v>184844</v>
      </c>
      <c r="N421" t="str">
        <v xml:space="preserve"> FY27-Q1</v>
      </c>
      <c r="O421" t="str">
        <v>CY26-Q3</v>
      </c>
    </row>
    <row r="422" spans="10:15" x14ac:dyDescent="0.25">
      <c r="J422">
        <v>18</v>
      </c>
      <c r="K422">
        <v>9</v>
      </c>
      <c r="L422">
        <v>47505</v>
      </c>
      <c r="M422">
        <v>184844</v>
      </c>
      <c r="N422" t="str">
        <v xml:space="preserve"> FY27-Q1</v>
      </c>
      <c r="O422" t="str">
        <v>CY26-Q3</v>
      </c>
    </row>
    <row r="423" spans="10:15" x14ac:dyDescent="0.25">
      <c r="J423">
        <v>18</v>
      </c>
      <c r="K423">
        <v>9</v>
      </c>
      <c r="L423">
        <v>47687</v>
      </c>
      <c r="M423">
        <v>184844</v>
      </c>
      <c r="N423" t="str">
        <v xml:space="preserve"> FY27-Q1</v>
      </c>
      <c r="O423" t="str">
        <v>CY26-Q3</v>
      </c>
    </row>
    <row r="424" spans="10:15" x14ac:dyDescent="0.25">
      <c r="J424">
        <v>18</v>
      </c>
      <c r="K424">
        <v>9</v>
      </c>
      <c r="L424">
        <v>47869</v>
      </c>
      <c r="M424">
        <v>184844</v>
      </c>
      <c r="N424" t="str">
        <v xml:space="preserve"> FY27-Q1</v>
      </c>
      <c r="O424" t="str">
        <v>CY26-Q3</v>
      </c>
    </row>
    <row r="425" spans="10:15" x14ac:dyDescent="0.25">
      <c r="J425">
        <v>18</v>
      </c>
      <c r="K425">
        <v>9</v>
      </c>
      <c r="L425">
        <v>48051</v>
      </c>
      <c r="M425">
        <v>184844</v>
      </c>
      <c r="N425" t="str">
        <v xml:space="preserve"> FY27-Q1</v>
      </c>
      <c r="O425" t="str">
        <v>CY26-Q3</v>
      </c>
    </row>
    <row r="426" spans="10:15" x14ac:dyDescent="0.25">
      <c r="J426">
        <v>18</v>
      </c>
      <c r="K426">
        <v>9</v>
      </c>
      <c r="L426">
        <v>48233</v>
      </c>
      <c r="M426">
        <v>184844</v>
      </c>
      <c r="N426" t="str">
        <v xml:space="preserve"> FY27-Q1</v>
      </c>
      <c r="O426" t="str">
        <v>CY26-Q3</v>
      </c>
    </row>
    <row r="427" spans="10:15" x14ac:dyDescent="0.25">
      <c r="J427">
        <v>20</v>
      </c>
      <c r="K427">
        <v>28</v>
      </c>
      <c r="L427">
        <v>46106</v>
      </c>
      <c r="M427">
        <v>232285.2</v>
      </c>
      <c r="N427" t="str">
        <v xml:space="preserve"> FY26-Q3</v>
      </c>
      <c r="O427" t="str">
        <v>CY26-Q1</v>
      </c>
    </row>
    <row r="428" spans="10:15" x14ac:dyDescent="0.25">
      <c r="J428">
        <v>20</v>
      </c>
      <c r="K428">
        <v>28</v>
      </c>
      <c r="L428">
        <v>46471</v>
      </c>
      <c r="M428">
        <v>232285.2</v>
      </c>
      <c r="N428" t="str">
        <v xml:space="preserve"> FY26-Q3</v>
      </c>
      <c r="O428" t="str">
        <v>CY26-Q1</v>
      </c>
    </row>
    <row r="429" spans="10:15" x14ac:dyDescent="0.25">
      <c r="J429">
        <v>20</v>
      </c>
      <c r="K429">
        <v>28</v>
      </c>
      <c r="L429">
        <v>46836</v>
      </c>
      <c r="M429">
        <v>232285.2</v>
      </c>
      <c r="N429" t="str">
        <v xml:space="preserve"> FY26-Q3</v>
      </c>
      <c r="O429" t="str">
        <v>CY26-Q1</v>
      </c>
    </row>
    <row r="430" spans="10:15" x14ac:dyDescent="0.25">
      <c r="J430">
        <v>20</v>
      </c>
      <c r="K430">
        <v>28</v>
      </c>
      <c r="L430">
        <v>47201</v>
      </c>
      <c r="M430">
        <v>232285.2</v>
      </c>
      <c r="N430" t="str">
        <v xml:space="preserve"> FY26-Q3</v>
      </c>
      <c r="O430" t="str">
        <v>CY26-Q1</v>
      </c>
    </row>
    <row r="431" spans="10:15" x14ac:dyDescent="0.25">
      <c r="J431">
        <v>20</v>
      </c>
      <c r="K431">
        <v>28</v>
      </c>
      <c r="L431">
        <v>47566</v>
      </c>
      <c r="M431">
        <v>232285.2</v>
      </c>
      <c r="N431" t="str">
        <v xml:space="preserve"> FY26-Q3</v>
      </c>
      <c r="O431" t="str">
        <v>CY26-Q1</v>
      </c>
    </row>
    <row r="432" spans="10:15" x14ac:dyDescent="0.25">
      <c r="J432">
        <v>21</v>
      </c>
      <c r="K432">
        <v>1</v>
      </c>
      <c r="L432">
        <v>46095</v>
      </c>
      <c r="M432">
        <v>28636.799999999999</v>
      </c>
      <c r="N432" t="str">
        <v xml:space="preserve"> FY26-Q3</v>
      </c>
      <c r="O432" t="str">
        <v>CY26-Q1</v>
      </c>
    </row>
    <row r="433" spans="10:15" x14ac:dyDescent="0.25">
      <c r="J433">
        <v>21</v>
      </c>
      <c r="K433">
        <v>1</v>
      </c>
      <c r="L433">
        <v>46277</v>
      </c>
      <c r="M433">
        <v>28636.799999999999</v>
      </c>
      <c r="N433" t="str">
        <v xml:space="preserve"> FY26-Q3</v>
      </c>
      <c r="O433" t="str">
        <v>CY26-Q1</v>
      </c>
    </row>
    <row r="434" spans="10:15" x14ac:dyDescent="0.25">
      <c r="J434">
        <v>21</v>
      </c>
      <c r="K434">
        <v>1</v>
      </c>
      <c r="L434">
        <v>46459</v>
      </c>
      <c r="M434">
        <v>28636.799999999999</v>
      </c>
      <c r="N434" t="str">
        <v xml:space="preserve"> FY26-Q3</v>
      </c>
      <c r="O434" t="str">
        <v>CY26-Q1</v>
      </c>
    </row>
    <row r="435" spans="10:15" x14ac:dyDescent="0.25">
      <c r="J435">
        <v>21</v>
      </c>
      <c r="K435">
        <v>1</v>
      </c>
      <c r="L435">
        <v>46641</v>
      </c>
      <c r="M435">
        <v>28636.799999999999</v>
      </c>
      <c r="N435" t="str">
        <v xml:space="preserve"> FY26-Q3</v>
      </c>
      <c r="O435" t="str">
        <v>CY26-Q1</v>
      </c>
    </row>
    <row r="436" spans="10:15" x14ac:dyDescent="0.25">
      <c r="J436">
        <v>21</v>
      </c>
      <c r="K436">
        <v>1</v>
      </c>
      <c r="L436">
        <v>46823</v>
      </c>
      <c r="M436">
        <v>28636.799999999999</v>
      </c>
      <c r="N436" t="str">
        <v xml:space="preserve"> FY26-Q3</v>
      </c>
      <c r="O436" t="str">
        <v>CY26-Q1</v>
      </c>
    </row>
    <row r="437" spans="10:15" x14ac:dyDescent="0.25">
      <c r="J437">
        <v>21</v>
      </c>
      <c r="K437">
        <v>1</v>
      </c>
      <c r="L437">
        <v>47005</v>
      </c>
      <c r="M437">
        <v>28636.799999999999</v>
      </c>
      <c r="N437" t="str">
        <v xml:space="preserve"> FY26-Q3</v>
      </c>
      <c r="O437" t="str">
        <v>CY26-Q1</v>
      </c>
    </row>
    <row r="438" spans="10:15" x14ac:dyDescent="0.25">
      <c r="J438">
        <v>21</v>
      </c>
      <c r="K438">
        <v>1</v>
      </c>
      <c r="L438">
        <v>47187</v>
      </c>
      <c r="M438">
        <v>28636.799999999999</v>
      </c>
      <c r="N438" t="str">
        <v xml:space="preserve"> FY26-Q3</v>
      </c>
      <c r="O438" t="str">
        <v>CY26-Q1</v>
      </c>
    </row>
    <row r="439" spans="10:15" x14ac:dyDescent="0.25">
      <c r="J439">
        <v>21</v>
      </c>
      <c r="K439">
        <v>1</v>
      </c>
      <c r="L439">
        <v>47369</v>
      </c>
      <c r="M439">
        <v>28636.799999999999</v>
      </c>
      <c r="N439" t="str">
        <v xml:space="preserve"> FY26-Q3</v>
      </c>
      <c r="O439" t="str">
        <v>CY26-Q1</v>
      </c>
    </row>
    <row r="440" spans="10:15" x14ac:dyDescent="0.25">
      <c r="J440">
        <v>21</v>
      </c>
      <c r="K440">
        <v>1</v>
      </c>
      <c r="L440">
        <v>47551</v>
      </c>
      <c r="M440">
        <v>28636.799999999999</v>
      </c>
      <c r="N440" t="str">
        <v xml:space="preserve"> FY26-Q3</v>
      </c>
      <c r="O440" t="str">
        <v>CY26-Q1</v>
      </c>
    </row>
    <row r="441" spans="10:15" x14ac:dyDescent="0.25">
      <c r="J441">
        <v>21</v>
      </c>
      <c r="K441">
        <v>1</v>
      </c>
      <c r="L441">
        <v>47733</v>
      </c>
      <c r="M441">
        <v>28636.799999999999</v>
      </c>
      <c r="N441" t="str">
        <v xml:space="preserve"> FY26-Q3</v>
      </c>
      <c r="O441" t="str">
        <v>CY26-Q1</v>
      </c>
    </row>
    <row r="442" spans="10:15" x14ac:dyDescent="0.25">
      <c r="J442">
        <v>21</v>
      </c>
      <c r="K442">
        <v>1</v>
      </c>
      <c r="L442">
        <v>47915</v>
      </c>
      <c r="M442">
        <v>28636.799999999999</v>
      </c>
      <c r="N442" t="str">
        <v xml:space="preserve"> FY26-Q3</v>
      </c>
      <c r="O442" t="str">
        <v>CY26-Q1</v>
      </c>
    </row>
    <row r="443" spans="10:15" x14ac:dyDescent="0.25">
      <c r="J443">
        <v>21</v>
      </c>
      <c r="K443">
        <v>1</v>
      </c>
      <c r="L443">
        <v>48097</v>
      </c>
      <c r="M443">
        <v>28636.799999999999</v>
      </c>
      <c r="N443" t="str">
        <v xml:space="preserve"> FY26-Q3</v>
      </c>
      <c r="O443" t="str">
        <v>CY26-Q1</v>
      </c>
    </row>
    <row r="444" spans="10:15" x14ac:dyDescent="0.25">
      <c r="J444">
        <v>21</v>
      </c>
      <c r="K444">
        <v>1</v>
      </c>
      <c r="L444">
        <v>48279</v>
      </c>
      <c r="M444">
        <v>28636.799999999999</v>
      </c>
      <c r="N444" t="str">
        <v xml:space="preserve"> FY26-Q3</v>
      </c>
      <c r="O444" t="str">
        <v>CY26-Q1</v>
      </c>
    </row>
    <row r="445" spans="10:15" x14ac:dyDescent="0.25">
      <c r="J445">
        <v>21</v>
      </c>
      <c r="K445">
        <v>1</v>
      </c>
      <c r="L445">
        <v>48461</v>
      </c>
      <c r="M445">
        <v>28636.799999999999</v>
      </c>
      <c r="N445" t="str">
        <v xml:space="preserve"> FY26-Q3</v>
      </c>
      <c r="O445" t="str">
        <v>CY26-Q1</v>
      </c>
    </row>
    <row r="446" spans="10:15" x14ac:dyDescent="0.25">
      <c r="J446">
        <v>21</v>
      </c>
      <c r="K446">
        <v>1</v>
      </c>
      <c r="L446">
        <v>48643</v>
      </c>
      <c r="M446">
        <v>28636.799999999999</v>
      </c>
      <c r="N446" t="str">
        <v xml:space="preserve"> FY26-Q3</v>
      </c>
      <c r="O446" t="str">
        <v>CY26-Q1</v>
      </c>
    </row>
    <row r="447" spans="10:15" x14ac:dyDescent="0.25">
      <c r="J447">
        <v>21</v>
      </c>
      <c r="K447">
        <v>1</v>
      </c>
      <c r="L447">
        <v>48825</v>
      </c>
      <c r="M447">
        <v>28636.799999999999</v>
      </c>
      <c r="N447" t="str">
        <v xml:space="preserve"> FY26-Q3</v>
      </c>
      <c r="O447" t="str">
        <v>CY26-Q1</v>
      </c>
    </row>
    <row r="448" spans="10:15" x14ac:dyDescent="0.25">
      <c r="J448">
        <v>21</v>
      </c>
      <c r="K448">
        <v>1</v>
      </c>
      <c r="L448">
        <v>49007</v>
      </c>
      <c r="M448">
        <v>28636.799999999999</v>
      </c>
      <c r="N448" t="str">
        <v xml:space="preserve"> FY26-Q3</v>
      </c>
      <c r="O448" t="str">
        <v>CY26-Q1</v>
      </c>
    </row>
    <row r="449" spans="10:15" x14ac:dyDescent="0.25">
      <c r="J449">
        <v>21</v>
      </c>
      <c r="K449">
        <v>1</v>
      </c>
      <c r="L449">
        <v>49189</v>
      </c>
      <c r="M449">
        <v>28636.799999999999</v>
      </c>
      <c r="N449" t="str">
        <v xml:space="preserve"> FY26-Q3</v>
      </c>
      <c r="O449" t="str">
        <v>CY26-Q1</v>
      </c>
    </row>
    <row r="450" spans="10:15" x14ac:dyDescent="0.25">
      <c r="J450">
        <v>21</v>
      </c>
      <c r="K450">
        <v>1</v>
      </c>
      <c r="L450">
        <v>49371</v>
      </c>
      <c r="M450">
        <v>28636.799999999999</v>
      </c>
      <c r="N450" t="str">
        <v xml:space="preserve"> FY26-Q3</v>
      </c>
      <c r="O450" t="str">
        <v>CY26-Q1</v>
      </c>
    </row>
    <row r="451" spans="10:15" x14ac:dyDescent="0.25">
      <c r="J451">
        <v>21</v>
      </c>
      <c r="K451">
        <v>1</v>
      </c>
      <c r="L451">
        <v>49553</v>
      </c>
      <c r="M451">
        <v>28636.799999999999</v>
      </c>
      <c r="N451" t="str">
        <v xml:space="preserve"> FY26-Q3</v>
      </c>
      <c r="O451" t="str">
        <v>CY26-Q1</v>
      </c>
    </row>
    <row r="452" spans="10:15" x14ac:dyDescent="0.25">
      <c r="J452">
        <v>21</v>
      </c>
      <c r="K452">
        <v>1</v>
      </c>
      <c r="L452">
        <v>49735</v>
      </c>
      <c r="M452">
        <v>28636.799999999999</v>
      </c>
      <c r="N452" t="str">
        <v xml:space="preserve"> FY26-Q3</v>
      </c>
      <c r="O452" t="str">
        <v>CY26-Q1</v>
      </c>
    </row>
    <row r="453" spans="10:15" x14ac:dyDescent="0.25">
      <c r="J453">
        <v>21</v>
      </c>
      <c r="K453">
        <v>1</v>
      </c>
      <c r="L453">
        <v>49917</v>
      </c>
      <c r="M453">
        <v>28636.799999999999</v>
      </c>
      <c r="N453" t="str">
        <v xml:space="preserve"> FY26-Q3</v>
      </c>
      <c r="O453" t="str">
        <v>CY26-Q1</v>
      </c>
    </row>
    <row r="454" spans="10:15" x14ac:dyDescent="0.25">
      <c r="J454">
        <v>21</v>
      </c>
      <c r="K454">
        <v>1</v>
      </c>
      <c r="L454">
        <v>50099</v>
      </c>
      <c r="M454">
        <v>28636.799999999999</v>
      </c>
      <c r="N454" t="str">
        <v xml:space="preserve"> FY26-Q3</v>
      </c>
      <c r="O454" t="str">
        <v>CY26-Q1</v>
      </c>
    </row>
    <row r="455" spans="10:15" x14ac:dyDescent="0.25">
      <c r="J455">
        <v>21</v>
      </c>
      <c r="K455">
        <v>1</v>
      </c>
      <c r="L455">
        <v>50281</v>
      </c>
      <c r="M455">
        <v>28636.799999999999</v>
      </c>
      <c r="N455" t="str">
        <v xml:space="preserve"> FY26-Q3</v>
      </c>
      <c r="O455" t="str">
        <v>CY26-Q1</v>
      </c>
    </row>
    <row r="456" spans="10:15" x14ac:dyDescent="0.25">
      <c r="J456">
        <v>21</v>
      </c>
      <c r="K456">
        <v>1</v>
      </c>
      <c r="L456">
        <v>50463</v>
      </c>
      <c r="M456">
        <v>28636.799999999999</v>
      </c>
      <c r="N456" t="str">
        <v xml:space="preserve"> FY26-Q3</v>
      </c>
      <c r="O456" t="str">
        <v>CY26-Q1</v>
      </c>
    </row>
    <row r="457" spans="10:15" x14ac:dyDescent="0.25">
      <c r="J457">
        <v>21</v>
      </c>
      <c r="K457">
        <v>1</v>
      </c>
      <c r="L457">
        <v>50645</v>
      </c>
      <c r="M457">
        <v>28636.799999999999</v>
      </c>
      <c r="N457" t="str">
        <v xml:space="preserve"> FY26-Q3</v>
      </c>
      <c r="O457" t="str">
        <v>CY26-Q1</v>
      </c>
    </row>
    <row r="458" spans="10:15" x14ac:dyDescent="0.25">
      <c r="J458">
        <v>21</v>
      </c>
      <c r="K458">
        <v>1</v>
      </c>
      <c r="L458">
        <v>50827</v>
      </c>
      <c r="M458">
        <v>28636.799999999999</v>
      </c>
      <c r="N458" t="str">
        <v xml:space="preserve"> FY26-Q3</v>
      </c>
      <c r="O458" t="str">
        <v>CY26-Q1</v>
      </c>
    </row>
    <row r="459" spans="10:15" x14ac:dyDescent="0.25">
      <c r="J459">
        <v>21</v>
      </c>
      <c r="K459">
        <v>1</v>
      </c>
      <c r="L459">
        <v>51009</v>
      </c>
      <c r="M459">
        <v>28636.799999999999</v>
      </c>
      <c r="N459" t="str">
        <v xml:space="preserve"> FY26-Q3</v>
      </c>
      <c r="O459" t="str">
        <v>CY26-Q1</v>
      </c>
    </row>
    <row r="460" spans="10:15" x14ac:dyDescent="0.25">
      <c r="J460">
        <v>21</v>
      </c>
      <c r="K460">
        <v>1</v>
      </c>
      <c r="L460">
        <v>51191</v>
      </c>
      <c r="M460">
        <v>28636.799999999999</v>
      </c>
      <c r="N460" t="str">
        <v xml:space="preserve"> FY26-Q3</v>
      </c>
      <c r="O460" t="str">
        <v>CY26-Q1</v>
      </c>
    </row>
    <row r="461" spans="10:15" x14ac:dyDescent="0.25">
      <c r="J461">
        <v>21</v>
      </c>
      <c r="K461">
        <v>1</v>
      </c>
      <c r="L461">
        <v>51373</v>
      </c>
      <c r="M461">
        <v>28636.799999999999</v>
      </c>
      <c r="N461" t="str">
        <v xml:space="preserve"> FY26-Q3</v>
      </c>
      <c r="O461" t="str">
        <v>CY26-Q1</v>
      </c>
    </row>
    <row r="462" spans="10:15" x14ac:dyDescent="0.25">
      <c r="J462">
        <v>21</v>
      </c>
      <c r="K462">
        <v>1</v>
      </c>
      <c r="L462">
        <v>51555</v>
      </c>
      <c r="M462">
        <v>28636.799999999999</v>
      </c>
      <c r="N462" t="str">
        <v xml:space="preserve"> FY26-Q3</v>
      </c>
      <c r="O462" t="str">
        <v>CY26-Q1</v>
      </c>
    </row>
    <row r="463" spans="10:15" x14ac:dyDescent="0.25">
      <c r="J463">
        <v>21</v>
      </c>
      <c r="K463">
        <v>1</v>
      </c>
      <c r="L463">
        <v>51737</v>
      </c>
      <c r="M463">
        <v>28636.799999999999</v>
      </c>
      <c r="N463" t="str">
        <v xml:space="preserve"> FY26-Q3</v>
      </c>
      <c r="O463" t="str">
        <v>CY26-Q1</v>
      </c>
    </row>
    <row r="464" spans="10:15" x14ac:dyDescent="0.25">
      <c r="J464">
        <v>21</v>
      </c>
      <c r="K464">
        <v>1</v>
      </c>
      <c r="L464">
        <v>51919</v>
      </c>
      <c r="M464">
        <v>28636.799999999999</v>
      </c>
      <c r="N464" t="str">
        <v xml:space="preserve"> FY26-Q3</v>
      </c>
      <c r="O464" t="str">
        <v>CY26-Q1</v>
      </c>
    </row>
    <row r="465" spans="10:15" x14ac:dyDescent="0.25">
      <c r="J465">
        <v>21</v>
      </c>
      <c r="K465">
        <v>1</v>
      </c>
      <c r="L465">
        <v>52101</v>
      </c>
      <c r="M465">
        <v>28636.799999999999</v>
      </c>
      <c r="N465" t="str">
        <v xml:space="preserve"> FY26-Q3</v>
      </c>
      <c r="O465" t="str">
        <v>CY26-Q1</v>
      </c>
    </row>
    <row r="466" spans="10:15" x14ac:dyDescent="0.25">
      <c r="J466">
        <v>21</v>
      </c>
      <c r="K466">
        <v>1</v>
      </c>
      <c r="L466">
        <v>52283</v>
      </c>
      <c r="M466">
        <v>28636.799999999999</v>
      </c>
      <c r="N466" t="str">
        <v xml:space="preserve"> FY26-Q3</v>
      </c>
      <c r="O466" t="str">
        <v>CY26-Q1</v>
      </c>
    </row>
    <row r="467" spans="10:15" x14ac:dyDescent="0.25">
      <c r="J467">
        <v>22</v>
      </c>
      <c r="K467">
        <v>11</v>
      </c>
      <c r="L467">
        <v>46245</v>
      </c>
      <c r="M467">
        <v>304957.40000000002</v>
      </c>
      <c r="N467" t="str">
        <v xml:space="preserve"> FY27-Q1</v>
      </c>
      <c r="O467" t="str">
        <v>CY26-Q3</v>
      </c>
    </row>
    <row r="468" spans="10:15" x14ac:dyDescent="0.25">
      <c r="J468">
        <v>22</v>
      </c>
      <c r="K468">
        <v>11</v>
      </c>
      <c r="L468">
        <v>46275</v>
      </c>
      <c r="M468">
        <v>304957.40000000002</v>
      </c>
      <c r="N468" t="str">
        <v xml:space="preserve"> FY27-Q1</v>
      </c>
      <c r="O468" t="str">
        <v>CY26-Q3</v>
      </c>
    </row>
    <row r="469" spans="10:15" x14ac:dyDescent="0.25">
      <c r="J469">
        <v>22</v>
      </c>
      <c r="K469">
        <v>11</v>
      </c>
      <c r="L469">
        <v>46305</v>
      </c>
      <c r="M469">
        <v>304957.40000000002</v>
      </c>
      <c r="N469" t="str">
        <v xml:space="preserve"> FY27-Q1</v>
      </c>
      <c r="O469" t="str">
        <v>CY26-Q3</v>
      </c>
    </row>
    <row r="470" spans="10:15" x14ac:dyDescent="0.25">
      <c r="J470">
        <v>22</v>
      </c>
      <c r="K470">
        <v>11</v>
      </c>
      <c r="L470">
        <v>46335</v>
      </c>
      <c r="M470">
        <v>304957.40000000002</v>
      </c>
      <c r="N470" t="str">
        <v xml:space="preserve"> FY27-Q1</v>
      </c>
      <c r="O470" t="str">
        <v>CY26-Q3</v>
      </c>
    </row>
    <row r="471" spans="10:15" x14ac:dyDescent="0.25">
      <c r="J471">
        <v>22</v>
      </c>
      <c r="K471">
        <v>11</v>
      </c>
      <c r="L471">
        <v>46365</v>
      </c>
      <c r="M471">
        <v>304957.40000000002</v>
      </c>
      <c r="N471" t="str">
        <v xml:space="preserve"> FY27-Q1</v>
      </c>
      <c r="O471" t="str">
        <v>CY26-Q3</v>
      </c>
    </row>
    <row r="472" spans="10:15" x14ac:dyDescent="0.25">
      <c r="J472">
        <v>23</v>
      </c>
      <c r="K472">
        <v>11</v>
      </c>
      <c r="L472">
        <v>45981</v>
      </c>
      <c r="M472">
        <v>22278.862745098038</v>
      </c>
      <c r="N472" t="str">
        <v xml:space="preserve"> FY26-Q2</v>
      </c>
      <c r="O472" t="str">
        <v>CY25-Q4</v>
      </c>
    </row>
    <row r="473" spans="10:15" x14ac:dyDescent="0.25">
      <c r="J473">
        <v>23</v>
      </c>
      <c r="K473">
        <v>11</v>
      </c>
      <c r="L473">
        <v>46163</v>
      </c>
      <c r="M473">
        <v>22278.862745098038</v>
      </c>
      <c r="N473" t="str">
        <v xml:space="preserve"> FY26-Q2</v>
      </c>
      <c r="O473" t="str">
        <v>CY25-Q4</v>
      </c>
    </row>
    <row r="474" spans="10:15" x14ac:dyDescent="0.25">
      <c r="J474">
        <v>23</v>
      </c>
      <c r="K474">
        <v>11</v>
      </c>
      <c r="L474">
        <v>46345</v>
      </c>
      <c r="M474">
        <v>22278.862745098038</v>
      </c>
      <c r="N474" t="str">
        <v xml:space="preserve"> FY26-Q2</v>
      </c>
      <c r="O474" t="str">
        <v>CY25-Q4</v>
      </c>
    </row>
    <row r="475" spans="10:15" x14ac:dyDescent="0.25">
      <c r="J475">
        <v>23</v>
      </c>
      <c r="K475">
        <v>11</v>
      </c>
      <c r="L475">
        <v>46527</v>
      </c>
      <c r="M475">
        <v>22278.862745098038</v>
      </c>
      <c r="N475" t="str">
        <v xml:space="preserve"> FY26-Q2</v>
      </c>
      <c r="O475" t="str">
        <v>CY25-Q4</v>
      </c>
    </row>
    <row r="476" spans="10:15" x14ac:dyDescent="0.25">
      <c r="J476">
        <v>23</v>
      </c>
      <c r="K476">
        <v>11</v>
      </c>
      <c r="L476">
        <v>46709</v>
      </c>
      <c r="M476">
        <v>22278.862745098038</v>
      </c>
      <c r="N476" t="str">
        <v xml:space="preserve"> FY26-Q2</v>
      </c>
      <c r="O476" t="str">
        <v>CY25-Q4</v>
      </c>
    </row>
    <row r="477" spans="10:15" x14ac:dyDescent="0.25">
      <c r="J477">
        <v>23</v>
      </c>
      <c r="K477">
        <v>11</v>
      </c>
      <c r="L477">
        <v>46891</v>
      </c>
      <c r="M477">
        <v>22278.862745098038</v>
      </c>
      <c r="N477" t="str">
        <v xml:space="preserve"> FY26-Q2</v>
      </c>
      <c r="O477" t="str">
        <v>CY25-Q4</v>
      </c>
    </row>
    <row r="478" spans="10:15" x14ac:dyDescent="0.25">
      <c r="J478">
        <v>23</v>
      </c>
      <c r="K478">
        <v>11</v>
      </c>
      <c r="L478">
        <v>47073</v>
      </c>
      <c r="M478">
        <v>22278.862745098038</v>
      </c>
      <c r="N478" t="str">
        <v xml:space="preserve"> FY26-Q2</v>
      </c>
      <c r="O478" t="str">
        <v>CY25-Q4</v>
      </c>
    </row>
    <row r="479" spans="10:15" x14ac:dyDescent="0.25">
      <c r="J479">
        <v>23</v>
      </c>
      <c r="K479">
        <v>11</v>
      </c>
      <c r="L479">
        <v>47255</v>
      </c>
      <c r="M479">
        <v>22278.862745098038</v>
      </c>
      <c r="N479" t="str">
        <v xml:space="preserve"> FY26-Q2</v>
      </c>
      <c r="O479" t="str">
        <v>CY25-Q4</v>
      </c>
    </row>
    <row r="480" spans="10:15" x14ac:dyDescent="0.25">
      <c r="J480">
        <v>23</v>
      </c>
      <c r="K480">
        <v>11</v>
      </c>
      <c r="L480">
        <v>47437</v>
      </c>
      <c r="M480">
        <v>22278.862745098038</v>
      </c>
      <c r="N480" t="str">
        <v xml:space="preserve"> FY26-Q2</v>
      </c>
      <c r="O480" t="str">
        <v>CY25-Q4</v>
      </c>
    </row>
    <row r="481" spans="10:15" x14ac:dyDescent="0.25">
      <c r="J481">
        <v>23</v>
      </c>
      <c r="K481">
        <v>11</v>
      </c>
      <c r="L481">
        <v>47619</v>
      </c>
      <c r="M481">
        <v>22278.862745098038</v>
      </c>
      <c r="N481" t="str">
        <v xml:space="preserve"> FY26-Q2</v>
      </c>
      <c r="O481" t="str">
        <v>CY25-Q4</v>
      </c>
    </row>
    <row r="482" spans="10:15" x14ac:dyDescent="0.25">
      <c r="J482">
        <v>23</v>
      </c>
      <c r="K482">
        <v>11</v>
      </c>
      <c r="L482">
        <v>47801</v>
      </c>
      <c r="M482">
        <v>22278.862745098038</v>
      </c>
      <c r="N482" t="str">
        <v xml:space="preserve"> FY26-Q2</v>
      </c>
      <c r="O482" t="str">
        <v>CY25-Q4</v>
      </c>
    </row>
    <row r="483" spans="10:15" x14ac:dyDescent="0.25">
      <c r="J483">
        <v>23</v>
      </c>
      <c r="K483">
        <v>11</v>
      </c>
      <c r="L483">
        <v>47983</v>
      </c>
      <c r="M483">
        <v>22278.862745098038</v>
      </c>
      <c r="N483" t="str">
        <v xml:space="preserve"> FY26-Q2</v>
      </c>
      <c r="O483" t="str">
        <v>CY25-Q4</v>
      </c>
    </row>
    <row r="484" spans="10:15" x14ac:dyDescent="0.25">
      <c r="J484">
        <v>23</v>
      </c>
      <c r="K484">
        <v>11</v>
      </c>
      <c r="L484">
        <v>48165</v>
      </c>
      <c r="M484">
        <v>22278.862745098038</v>
      </c>
      <c r="N484" t="str">
        <v xml:space="preserve"> FY26-Q2</v>
      </c>
      <c r="O484" t="str">
        <v>CY25-Q4</v>
      </c>
    </row>
    <row r="485" spans="10:15" x14ac:dyDescent="0.25">
      <c r="J485">
        <v>23</v>
      </c>
      <c r="K485">
        <v>11</v>
      </c>
      <c r="L485">
        <v>48347</v>
      </c>
      <c r="M485">
        <v>22278.862745098038</v>
      </c>
      <c r="N485" t="str">
        <v xml:space="preserve"> FY26-Q2</v>
      </c>
      <c r="O485" t="str">
        <v>CY25-Q4</v>
      </c>
    </row>
    <row r="486" spans="10:15" x14ac:dyDescent="0.25">
      <c r="J486">
        <v>23</v>
      </c>
      <c r="K486">
        <v>11</v>
      </c>
      <c r="L486">
        <v>48529</v>
      </c>
      <c r="M486">
        <v>22278.862745098038</v>
      </c>
      <c r="N486" t="str">
        <v xml:space="preserve"> FY26-Q2</v>
      </c>
      <c r="O486" t="str">
        <v>CY25-Q4</v>
      </c>
    </row>
    <row r="487" spans="10:15" x14ac:dyDescent="0.25">
      <c r="J487">
        <v>23</v>
      </c>
      <c r="K487">
        <v>11</v>
      </c>
      <c r="L487">
        <v>48711</v>
      </c>
      <c r="M487">
        <v>22278.862745098038</v>
      </c>
      <c r="N487" t="str">
        <v xml:space="preserve"> FY26-Q2</v>
      </c>
      <c r="O487" t="str">
        <v>CY25-Q4</v>
      </c>
    </row>
    <row r="488" spans="10:15" x14ac:dyDescent="0.25">
      <c r="J488">
        <v>23</v>
      </c>
      <c r="K488">
        <v>11</v>
      </c>
      <c r="L488">
        <v>48893</v>
      </c>
      <c r="M488">
        <v>22278.862745098038</v>
      </c>
      <c r="N488" t="str">
        <v xml:space="preserve"> FY26-Q2</v>
      </c>
      <c r="O488" t="str">
        <v>CY25-Q4</v>
      </c>
    </row>
    <row r="489" spans="10:15" x14ac:dyDescent="0.25">
      <c r="J489">
        <v>23</v>
      </c>
      <c r="K489">
        <v>11</v>
      </c>
      <c r="L489">
        <v>49075</v>
      </c>
      <c r="M489">
        <v>22278.862745098038</v>
      </c>
      <c r="N489" t="str">
        <v xml:space="preserve"> FY26-Q2</v>
      </c>
      <c r="O489" t="str">
        <v>CY25-Q4</v>
      </c>
    </row>
    <row r="490" spans="10:15" x14ac:dyDescent="0.25">
      <c r="J490">
        <v>23</v>
      </c>
      <c r="K490">
        <v>11</v>
      </c>
      <c r="L490">
        <v>49257</v>
      </c>
      <c r="M490">
        <v>22278.862745098038</v>
      </c>
      <c r="N490" t="str">
        <v xml:space="preserve"> FY26-Q2</v>
      </c>
      <c r="O490" t="str">
        <v>CY25-Q4</v>
      </c>
    </row>
    <row r="491" spans="10:15" x14ac:dyDescent="0.25">
      <c r="J491">
        <v>23</v>
      </c>
      <c r="K491">
        <v>11</v>
      </c>
      <c r="L491">
        <v>49439</v>
      </c>
      <c r="M491">
        <v>22278.862745098038</v>
      </c>
      <c r="N491" t="str">
        <v xml:space="preserve"> FY26-Q2</v>
      </c>
      <c r="O491" t="str">
        <v>CY25-Q4</v>
      </c>
    </row>
    <row r="492" spans="10:15" x14ac:dyDescent="0.25">
      <c r="J492">
        <v>23</v>
      </c>
      <c r="K492">
        <v>11</v>
      </c>
      <c r="L492">
        <v>49621</v>
      </c>
      <c r="M492">
        <v>22278.862745098038</v>
      </c>
      <c r="N492" t="str">
        <v xml:space="preserve"> FY26-Q2</v>
      </c>
      <c r="O492" t="str">
        <v>CY25-Q4</v>
      </c>
    </row>
    <row r="493" spans="10:15" x14ac:dyDescent="0.25">
      <c r="J493">
        <v>23</v>
      </c>
      <c r="K493">
        <v>11</v>
      </c>
      <c r="L493">
        <v>49803</v>
      </c>
      <c r="M493">
        <v>22278.862745098038</v>
      </c>
      <c r="N493" t="str">
        <v xml:space="preserve"> FY26-Q2</v>
      </c>
      <c r="O493" t="str">
        <v>CY25-Q4</v>
      </c>
    </row>
    <row r="494" spans="10:15" x14ac:dyDescent="0.25">
      <c r="J494">
        <v>23</v>
      </c>
      <c r="K494">
        <v>11</v>
      </c>
      <c r="L494">
        <v>49985</v>
      </c>
      <c r="M494">
        <v>22278.862745098038</v>
      </c>
      <c r="N494" t="str">
        <v xml:space="preserve"> FY26-Q2</v>
      </c>
      <c r="O494" t="str">
        <v>CY25-Q4</v>
      </c>
    </row>
    <row r="495" spans="10:15" x14ac:dyDescent="0.25">
      <c r="J495">
        <v>23</v>
      </c>
      <c r="K495">
        <v>11</v>
      </c>
      <c r="L495">
        <v>50167</v>
      </c>
      <c r="M495">
        <v>22278.862745098038</v>
      </c>
      <c r="N495" t="str">
        <v xml:space="preserve"> FY26-Q2</v>
      </c>
      <c r="O495" t="str">
        <v>CY25-Q4</v>
      </c>
    </row>
    <row r="496" spans="10:15" x14ac:dyDescent="0.25">
      <c r="J496">
        <v>23</v>
      </c>
      <c r="K496">
        <v>11</v>
      </c>
      <c r="L496">
        <v>50349</v>
      </c>
      <c r="M496">
        <v>22278.862745098038</v>
      </c>
      <c r="N496" t="str">
        <v xml:space="preserve"> FY26-Q2</v>
      </c>
      <c r="O496" t="str">
        <v>CY25-Q4</v>
      </c>
    </row>
    <row r="497" spans="10:15" x14ac:dyDescent="0.25">
      <c r="J497">
        <v>23</v>
      </c>
      <c r="K497">
        <v>11</v>
      </c>
      <c r="L497">
        <v>50531</v>
      </c>
      <c r="M497">
        <v>22278.862745098038</v>
      </c>
      <c r="N497" t="str">
        <v xml:space="preserve"> FY26-Q2</v>
      </c>
      <c r="O497" t="str">
        <v>CY25-Q4</v>
      </c>
    </row>
    <row r="498" spans="10:15" x14ac:dyDescent="0.25">
      <c r="J498">
        <v>23</v>
      </c>
      <c r="K498">
        <v>11</v>
      </c>
      <c r="L498">
        <v>50713</v>
      </c>
      <c r="M498">
        <v>22278.862745098038</v>
      </c>
      <c r="N498" t="str">
        <v xml:space="preserve"> FY26-Q2</v>
      </c>
      <c r="O498" t="str">
        <v>CY25-Q4</v>
      </c>
    </row>
    <row r="499" spans="10:15" x14ac:dyDescent="0.25">
      <c r="J499">
        <v>23</v>
      </c>
      <c r="K499">
        <v>11</v>
      </c>
      <c r="L499">
        <v>50895</v>
      </c>
      <c r="M499">
        <v>22278.862745098038</v>
      </c>
      <c r="N499" t="str">
        <v xml:space="preserve"> FY26-Q2</v>
      </c>
      <c r="O499" t="str">
        <v>CY25-Q4</v>
      </c>
    </row>
    <row r="500" spans="10:15" x14ac:dyDescent="0.25">
      <c r="J500">
        <v>23</v>
      </c>
      <c r="K500">
        <v>11</v>
      </c>
      <c r="L500">
        <v>51077</v>
      </c>
      <c r="M500">
        <v>22278.862745098038</v>
      </c>
      <c r="N500" t="str">
        <v xml:space="preserve"> FY26-Q2</v>
      </c>
      <c r="O500" t="str">
        <v>CY25-Q4</v>
      </c>
    </row>
    <row r="501" spans="10:15" x14ac:dyDescent="0.25">
      <c r="J501">
        <v>23</v>
      </c>
      <c r="K501">
        <v>11</v>
      </c>
      <c r="L501">
        <v>51259</v>
      </c>
      <c r="M501">
        <v>22278.862745098038</v>
      </c>
      <c r="N501" t="str">
        <v xml:space="preserve"> FY26-Q2</v>
      </c>
      <c r="O501" t="str">
        <v>CY25-Q4</v>
      </c>
    </row>
    <row r="502" spans="10:15" x14ac:dyDescent="0.25">
      <c r="J502">
        <v>23</v>
      </c>
      <c r="K502">
        <v>11</v>
      </c>
      <c r="L502">
        <v>51441</v>
      </c>
      <c r="M502">
        <v>22278.862745098038</v>
      </c>
      <c r="N502" t="str">
        <v xml:space="preserve"> FY26-Q2</v>
      </c>
      <c r="O502" t="str">
        <v>CY25-Q4</v>
      </c>
    </row>
    <row r="503" spans="10:15" x14ac:dyDescent="0.25">
      <c r="J503">
        <v>23</v>
      </c>
      <c r="K503">
        <v>11</v>
      </c>
      <c r="L503">
        <v>51623</v>
      </c>
      <c r="M503">
        <v>22278.862745098038</v>
      </c>
      <c r="N503" t="str">
        <v xml:space="preserve"> FY26-Q2</v>
      </c>
      <c r="O503" t="str">
        <v>CY25-Q4</v>
      </c>
    </row>
    <row r="504" spans="10:15" x14ac:dyDescent="0.25">
      <c r="J504">
        <v>23</v>
      </c>
      <c r="K504">
        <v>11</v>
      </c>
      <c r="L504">
        <v>51805</v>
      </c>
      <c r="M504">
        <v>22278.862745098038</v>
      </c>
      <c r="N504" t="str">
        <v xml:space="preserve"> FY26-Q2</v>
      </c>
      <c r="O504" t="str">
        <v>CY25-Q4</v>
      </c>
    </row>
    <row r="505" spans="10:15" x14ac:dyDescent="0.25">
      <c r="J505">
        <v>23</v>
      </c>
      <c r="K505">
        <v>11</v>
      </c>
      <c r="L505">
        <v>51987</v>
      </c>
      <c r="M505">
        <v>22278.862745098038</v>
      </c>
      <c r="N505" t="str">
        <v xml:space="preserve"> FY26-Q2</v>
      </c>
      <c r="O505" t="str">
        <v>CY25-Q4</v>
      </c>
    </row>
    <row r="506" spans="10:15" x14ac:dyDescent="0.25">
      <c r="J506">
        <v>23</v>
      </c>
      <c r="K506">
        <v>11</v>
      </c>
      <c r="L506">
        <v>52169</v>
      </c>
      <c r="M506">
        <v>22278.862745098038</v>
      </c>
      <c r="N506" t="str">
        <v xml:space="preserve"> FY26-Q2</v>
      </c>
      <c r="O506" t="str">
        <v>CY25-Q4</v>
      </c>
    </row>
    <row r="507" spans="10:15" x14ac:dyDescent="0.25">
      <c r="J507">
        <v>23</v>
      </c>
      <c r="K507">
        <v>11</v>
      </c>
      <c r="L507">
        <v>52351</v>
      </c>
      <c r="M507">
        <v>22278.862745098038</v>
      </c>
      <c r="N507" t="str">
        <v xml:space="preserve"> FY26-Q2</v>
      </c>
      <c r="O507" t="str">
        <v>CY25-Q4</v>
      </c>
    </row>
    <row r="508" spans="10:15" x14ac:dyDescent="0.25">
      <c r="J508">
        <v>23</v>
      </c>
      <c r="K508">
        <v>11</v>
      </c>
      <c r="L508">
        <v>52533</v>
      </c>
      <c r="M508">
        <v>22278.862745098038</v>
      </c>
      <c r="N508" t="str">
        <v xml:space="preserve"> FY26-Q2</v>
      </c>
      <c r="O508" t="str">
        <v>CY25-Q4</v>
      </c>
    </row>
    <row r="509" spans="10:15" x14ac:dyDescent="0.25">
      <c r="J509">
        <v>23</v>
      </c>
      <c r="K509">
        <v>11</v>
      </c>
      <c r="L509">
        <v>52715</v>
      </c>
      <c r="M509">
        <v>22278.862745098038</v>
      </c>
      <c r="N509" t="str">
        <v xml:space="preserve"> FY26-Q2</v>
      </c>
      <c r="O509" t="str">
        <v>CY25-Q4</v>
      </c>
    </row>
    <row r="510" spans="10:15" x14ac:dyDescent="0.25">
      <c r="J510">
        <v>23</v>
      </c>
      <c r="K510">
        <v>11</v>
      </c>
      <c r="L510">
        <v>52897</v>
      </c>
      <c r="M510">
        <v>22278.862745098038</v>
      </c>
      <c r="N510" t="str">
        <v xml:space="preserve"> FY26-Q2</v>
      </c>
      <c r="O510" t="str">
        <v>CY25-Q4</v>
      </c>
    </row>
    <row r="511" spans="10:15" x14ac:dyDescent="0.25">
      <c r="J511">
        <v>23</v>
      </c>
      <c r="K511">
        <v>11</v>
      </c>
      <c r="L511">
        <v>53079</v>
      </c>
      <c r="M511">
        <v>22278.862745098038</v>
      </c>
      <c r="N511" t="str">
        <v xml:space="preserve"> FY26-Q2</v>
      </c>
      <c r="O511" t="str">
        <v>CY25-Q4</v>
      </c>
    </row>
    <row r="512" spans="10:15" x14ac:dyDescent="0.25">
      <c r="J512">
        <v>23</v>
      </c>
      <c r="K512">
        <v>11</v>
      </c>
      <c r="L512">
        <v>53261</v>
      </c>
      <c r="M512">
        <v>22278.862745098038</v>
      </c>
      <c r="N512" t="str">
        <v xml:space="preserve"> FY26-Q2</v>
      </c>
      <c r="O512" t="str">
        <v>CY25-Q4</v>
      </c>
    </row>
    <row r="513" spans="10:15" x14ac:dyDescent="0.25">
      <c r="J513">
        <v>23</v>
      </c>
      <c r="K513">
        <v>11</v>
      </c>
      <c r="L513">
        <v>53443</v>
      </c>
      <c r="M513">
        <v>22278.862745098038</v>
      </c>
      <c r="N513" t="str">
        <v xml:space="preserve"> FY26-Q2</v>
      </c>
      <c r="O513" t="str">
        <v>CY25-Q4</v>
      </c>
    </row>
    <row r="514" spans="10:15" x14ac:dyDescent="0.25">
      <c r="J514">
        <v>23</v>
      </c>
      <c r="K514">
        <v>11</v>
      </c>
      <c r="L514">
        <v>53625</v>
      </c>
      <c r="M514">
        <v>22278.862745098038</v>
      </c>
      <c r="N514" t="str">
        <v xml:space="preserve"> FY26-Q2</v>
      </c>
      <c r="O514" t="str">
        <v>CY25-Q4</v>
      </c>
    </row>
    <row r="515" spans="10:15" x14ac:dyDescent="0.25">
      <c r="J515">
        <v>23</v>
      </c>
      <c r="K515">
        <v>11</v>
      </c>
      <c r="L515">
        <v>53807</v>
      </c>
      <c r="M515">
        <v>22278.862745098038</v>
      </c>
      <c r="N515" t="str">
        <v xml:space="preserve"> FY26-Q2</v>
      </c>
      <c r="O515" t="str">
        <v>CY25-Q4</v>
      </c>
    </row>
    <row r="516" spans="10:15" x14ac:dyDescent="0.25">
      <c r="J516">
        <v>23</v>
      </c>
      <c r="K516">
        <v>11</v>
      </c>
      <c r="L516">
        <v>53989</v>
      </c>
      <c r="M516">
        <v>22278.862745098038</v>
      </c>
      <c r="N516" t="str">
        <v xml:space="preserve"> FY26-Q2</v>
      </c>
      <c r="O516" t="str">
        <v>CY25-Q4</v>
      </c>
    </row>
    <row r="517" spans="10:15" x14ac:dyDescent="0.25">
      <c r="J517">
        <v>23</v>
      </c>
      <c r="K517">
        <v>11</v>
      </c>
      <c r="L517">
        <v>54171</v>
      </c>
      <c r="M517">
        <v>22278.862745098038</v>
      </c>
      <c r="N517" t="str">
        <v xml:space="preserve"> FY26-Q2</v>
      </c>
      <c r="O517" t="str">
        <v>CY25-Q4</v>
      </c>
    </row>
    <row r="518" spans="10:15" x14ac:dyDescent="0.25">
      <c r="J518">
        <v>23</v>
      </c>
      <c r="K518">
        <v>11</v>
      </c>
      <c r="L518">
        <v>54353</v>
      </c>
      <c r="M518">
        <v>22278.862745098038</v>
      </c>
      <c r="N518" t="str">
        <v xml:space="preserve"> FY26-Q2</v>
      </c>
      <c r="O518" t="str">
        <v>CY25-Q4</v>
      </c>
    </row>
    <row r="519" spans="10:15" x14ac:dyDescent="0.25">
      <c r="J519">
        <v>23</v>
      </c>
      <c r="K519">
        <v>11</v>
      </c>
      <c r="L519">
        <v>54535</v>
      </c>
      <c r="M519">
        <v>22278.862745098038</v>
      </c>
      <c r="N519" t="str">
        <v xml:space="preserve"> FY26-Q2</v>
      </c>
      <c r="O519" t="str">
        <v>CY25-Q4</v>
      </c>
    </row>
    <row r="520" spans="10:15" x14ac:dyDescent="0.25">
      <c r="J520">
        <v>23</v>
      </c>
      <c r="K520">
        <v>11</v>
      </c>
      <c r="L520">
        <v>54717</v>
      </c>
      <c r="M520">
        <v>22278.862745098038</v>
      </c>
      <c r="N520" t="str">
        <v xml:space="preserve"> FY26-Q2</v>
      </c>
      <c r="O520" t="str">
        <v>CY25-Q4</v>
      </c>
    </row>
    <row r="521" spans="10:15" x14ac:dyDescent="0.25">
      <c r="J521">
        <v>23</v>
      </c>
      <c r="K521">
        <v>11</v>
      </c>
      <c r="L521">
        <v>54899</v>
      </c>
      <c r="M521">
        <v>22278.862745098038</v>
      </c>
      <c r="N521" t="str">
        <v xml:space="preserve"> FY26-Q2</v>
      </c>
      <c r="O521" t="str">
        <v>CY25-Q4</v>
      </c>
    </row>
    <row r="522" spans="10:15" x14ac:dyDescent="0.25">
      <c r="J522">
        <v>23</v>
      </c>
      <c r="K522">
        <v>11</v>
      </c>
      <c r="L522">
        <v>55081</v>
      </c>
      <c r="M522">
        <v>22278.862745098038</v>
      </c>
      <c r="N522" t="str">
        <v xml:space="preserve"> FY26-Q2</v>
      </c>
      <c r="O522" t="str">
        <v>CY25-Q4</v>
      </c>
    </row>
    <row r="523" spans="10:15" x14ac:dyDescent="0.25">
      <c r="J523">
        <v>24</v>
      </c>
      <c r="K523">
        <v>27</v>
      </c>
      <c r="L523">
        <v>46087</v>
      </c>
      <c r="M523">
        <v>124360.25</v>
      </c>
      <c r="N523" t="str">
        <v xml:space="preserve"> FY26-Q3</v>
      </c>
      <c r="O523" t="str">
        <v>CY26-Q1</v>
      </c>
    </row>
    <row r="524" spans="10:15" x14ac:dyDescent="0.25">
      <c r="J524">
        <v>24</v>
      </c>
      <c r="K524">
        <v>27</v>
      </c>
      <c r="L524">
        <v>46452</v>
      </c>
      <c r="M524">
        <v>124360.25</v>
      </c>
      <c r="N524" t="str">
        <v xml:space="preserve"> FY26-Q3</v>
      </c>
      <c r="O524" t="str">
        <v>CY26-Q1</v>
      </c>
    </row>
    <row r="525" spans="10:15" x14ac:dyDescent="0.25">
      <c r="J525">
        <v>24</v>
      </c>
      <c r="K525">
        <v>27</v>
      </c>
      <c r="L525">
        <v>46817</v>
      </c>
      <c r="M525">
        <v>124360.25</v>
      </c>
      <c r="N525" t="str">
        <v xml:space="preserve"> FY26-Q3</v>
      </c>
      <c r="O525" t="str">
        <v>CY26-Q1</v>
      </c>
    </row>
    <row r="526" spans="10:15" x14ac:dyDescent="0.25">
      <c r="J526">
        <v>24</v>
      </c>
      <c r="K526">
        <v>27</v>
      </c>
      <c r="L526">
        <v>47182</v>
      </c>
      <c r="M526">
        <v>124360.25</v>
      </c>
      <c r="N526" t="str">
        <v xml:space="preserve"> FY26-Q3</v>
      </c>
      <c r="O526" t="str">
        <v>CY26-Q1</v>
      </c>
    </row>
    <row r="527" spans="10:15" x14ac:dyDescent="0.25">
      <c r="J527">
        <v>24</v>
      </c>
      <c r="K527">
        <v>27</v>
      </c>
      <c r="L527">
        <v>47547</v>
      </c>
      <c r="M527">
        <v>124360.25</v>
      </c>
      <c r="N527" t="str">
        <v xml:space="preserve"> FY26-Q3</v>
      </c>
      <c r="O527" t="str">
        <v>CY26-Q1</v>
      </c>
    </row>
    <row r="528" spans="10:15" x14ac:dyDescent="0.25">
      <c r="J528">
        <v>24</v>
      </c>
      <c r="K528">
        <v>27</v>
      </c>
      <c r="L528">
        <v>47912</v>
      </c>
      <c r="M528">
        <v>124360.25</v>
      </c>
      <c r="N528" t="str">
        <v xml:space="preserve"> FY26-Q3</v>
      </c>
      <c r="O528" t="str">
        <v>CY26-Q1</v>
      </c>
    </row>
    <row r="529" spans="10:15" x14ac:dyDescent="0.25">
      <c r="J529">
        <v>24</v>
      </c>
      <c r="K529">
        <v>27</v>
      </c>
      <c r="L529">
        <v>48277</v>
      </c>
      <c r="M529">
        <v>124360.25</v>
      </c>
      <c r="N529" t="str">
        <v xml:space="preserve"> FY26-Q3</v>
      </c>
      <c r="O529" t="str">
        <v>CY26-Q1</v>
      </c>
    </row>
    <row r="530" spans="10:15" x14ac:dyDescent="0.25">
      <c r="J530">
        <v>24</v>
      </c>
      <c r="K530">
        <v>27</v>
      </c>
      <c r="L530">
        <v>48642</v>
      </c>
      <c r="M530">
        <v>124360.25</v>
      </c>
      <c r="N530" t="str">
        <v xml:space="preserve"> FY26-Q3</v>
      </c>
      <c r="O530" t="str">
        <v>CY26-Q1</v>
      </c>
    </row>
    <row r="531" spans="10:15" x14ac:dyDescent="0.25">
      <c r="J531">
        <v>25</v>
      </c>
      <c r="K531">
        <v>14</v>
      </c>
      <c r="L531">
        <v>46427</v>
      </c>
      <c r="M531">
        <v>95662.545454545456</v>
      </c>
      <c r="N531" t="str">
        <v xml:space="preserve"> FY27-Q3</v>
      </c>
      <c r="O531" t="str">
        <v>CY27-Q1</v>
      </c>
    </row>
    <row r="532" spans="10:15" x14ac:dyDescent="0.25">
      <c r="J532">
        <v>25</v>
      </c>
      <c r="K532">
        <v>14</v>
      </c>
      <c r="L532">
        <v>46518</v>
      </c>
      <c r="M532">
        <v>95662.545454545456</v>
      </c>
      <c r="N532" t="str">
        <v xml:space="preserve"> FY27-Q3</v>
      </c>
      <c r="O532" t="str">
        <v>CY27-Q1</v>
      </c>
    </row>
    <row r="533" spans="10:15" x14ac:dyDescent="0.25">
      <c r="J533">
        <v>25</v>
      </c>
      <c r="K533">
        <v>14</v>
      </c>
      <c r="L533">
        <v>46609</v>
      </c>
      <c r="M533">
        <v>95662.545454545456</v>
      </c>
      <c r="N533" t="str">
        <v xml:space="preserve"> FY27-Q3</v>
      </c>
      <c r="O533" t="str">
        <v>CY27-Q1</v>
      </c>
    </row>
    <row r="534" spans="10:15" x14ac:dyDescent="0.25">
      <c r="J534">
        <v>25</v>
      </c>
      <c r="K534">
        <v>14</v>
      </c>
      <c r="L534">
        <v>46700</v>
      </c>
      <c r="M534">
        <v>95662.545454545456</v>
      </c>
      <c r="N534" t="str">
        <v xml:space="preserve"> FY27-Q3</v>
      </c>
      <c r="O534" t="str">
        <v>CY27-Q1</v>
      </c>
    </row>
    <row r="535" spans="10:15" x14ac:dyDescent="0.25">
      <c r="J535">
        <v>25</v>
      </c>
      <c r="K535">
        <v>14</v>
      </c>
      <c r="L535">
        <v>46791</v>
      </c>
      <c r="M535">
        <v>95662.545454545456</v>
      </c>
      <c r="N535" t="str">
        <v xml:space="preserve"> FY27-Q3</v>
      </c>
      <c r="O535" t="str">
        <v>CY27-Q1</v>
      </c>
    </row>
    <row r="536" spans="10:15" x14ac:dyDescent="0.25">
      <c r="J536">
        <v>25</v>
      </c>
      <c r="K536">
        <v>14</v>
      </c>
      <c r="L536">
        <v>46882</v>
      </c>
      <c r="M536">
        <v>95662.545454545456</v>
      </c>
      <c r="N536" t="str">
        <v xml:space="preserve"> FY27-Q3</v>
      </c>
      <c r="O536" t="str">
        <v>CY27-Q1</v>
      </c>
    </row>
    <row r="537" spans="10:15" x14ac:dyDescent="0.25">
      <c r="J537">
        <v>25</v>
      </c>
      <c r="K537">
        <v>14</v>
      </c>
      <c r="L537">
        <v>46973</v>
      </c>
      <c r="M537">
        <v>95662.545454545456</v>
      </c>
      <c r="N537" t="str">
        <v xml:space="preserve"> FY27-Q3</v>
      </c>
      <c r="O537" t="str">
        <v>CY27-Q1</v>
      </c>
    </row>
    <row r="538" spans="10:15" x14ac:dyDescent="0.25">
      <c r="J538">
        <v>25</v>
      </c>
      <c r="K538">
        <v>14</v>
      </c>
      <c r="L538">
        <v>47064</v>
      </c>
      <c r="M538">
        <v>95662.545454545456</v>
      </c>
      <c r="N538" t="str">
        <v xml:space="preserve"> FY27-Q3</v>
      </c>
      <c r="O538" t="str">
        <v>CY27-Q1</v>
      </c>
    </row>
    <row r="539" spans="10:15" x14ac:dyDescent="0.25">
      <c r="J539">
        <v>25</v>
      </c>
      <c r="K539">
        <v>14</v>
      </c>
      <c r="L539">
        <v>47155</v>
      </c>
      <c r="M539">
        <v>95662.545454545456</v>
      </c>
      <c r="N539" t="str">
        <v xml:space="preserve"> FY27-Q3</v>
      </c>
      <c r="O539" t="str">
        <v>CY27-Q1</v>
      </c>
    </row>
    <row r="540" spans="10:15" x14ac:dyDescent="0.25">
      <c r="J540">
        <v>25</v>
      </c>
      <c r="K540">
        <v>14</v>
      </c>
      <c r="L540">
        <v>47246</v>
      </c>
      <c r="M540">
        <v>95662.545454545456</v>
      </c>
      <c r="N540" t="str">
        <v xml:space="preserve"> FY27-Q3</v>
      </c>
      <c r="O540" t="str">
        <v>CY27-Q1</v>
      </c>
    </row>
    <row r="541" spans="10:15" x14ac:dyDescent="0.25">
      <c r="J541">
        <v>25</v>
      </c>
      <c r="K541">
        <v>14</v>
      </c>
      <c r="L541">
        <v>47337</v>
      </c>
      <c r="M541">
        <v>95662.545454545456</v>
      </c>
      <c r="N541" t="str">
        <v xml:space="preserve"> FY27-Q3</v>
      </c>
      <c r="O541" t="str">
        <v>CY27-Q1</v>
      </c>
    </row>
    <row r="542" spans="10:15" x14ac:dyDescent="0.25">
      <c r="J542">
        <v>26</v>
      </c>
      <c r="K542">
        <v>1</v>
      </c>
      <c r="L542">
        <v>45933</v>
      </c>
      <c r="M542">
        <v>408227</v>
      </c>
      <c r="N542" t="str">
        <v xml:space="preserve"> FY26-Q2</v>
      </c>
      <c r="O542" t="str">
        <v>CY25-Q4</v>
      </c>
    </row>
    <row r="543" spans="10:15" x14ac:dyDescent="0.25">
      <c r="J543">
        <v>26</v>
      </c>
      <c r="K543">
        <v>1</v>
      </c>
      <c r="L543">
        <v>45963</v>
      </c>
      <c r="M543">
        <v>408227</v>
      </c>
      <c r="N543" t="str">
        <v xml:space="preserve"> FY26-Q2</v>
      </c>
      <c r="O543" t="str">
        <v>CY25-Q4</v>
      </c>
    </row>
    <row r="544" spans="10:15" x14ac:dyDescent="0.25">
      <c r="J544">
        <v>27</v>
      </c>
      <c r="K544">
        <v>2</v>
      </c>
      <c r="L544">
        <v>46251</v>
      </c>
      <c r="M544">
        <v>87702.31578947368</v>
      </c>
      <c r="N544" t="str">
        <v xml:space="preserve"> FY27-Q1</v>
      </c>
      <c r="O544" t="str">
        <v>CY26-Q3</v>
      </c>
    </row>
    <row r="545" spans="10:15" x14ac:dyDescent="0.25">
      <c r="J545">
        <v>27</v>
      </c>
      <c r="K545">
        <v>2</v>
      </c>
      <c r="L545">
        <v>46342</v>
      </c>
      <c r="M545">
        <v>87702.31578947368</v>
      </c>
      <c r="N545" t="str">
        <v xml:space="preserve"> FY27-Q1</v>
      </c>
      <c r="O545" t="str">
        <v>CY26-Q3</v>
      </c>
    </row>
    <row r="546" spans="10:15" x14ac:dyDescent="0.25">
      <c r="J546">
        <v>27</v>
      </c>
      <c r="K546">
        <v>2</v>
      </c>
      <c r="L546">
        <v>46433</v>
      </c>
      <c r="M546">
        <v>87702.31578947368</v>
      </c>
      <c r="N546" t="str">
        <v xml:space="preserve"> FY27-Q1</v>
      </c>
      <c r="O546" t="str">
        <v>CY26-Q3</v>
      </c>
    </row>
    <row r="547" spans="10:15" x14ac:dyDescent="0.25">
      <c r="J547">
        <v>27</v>
      </c>
      <c r="K547">
        <v>2</v>
      </c>
      <c r="L547">
        <v>46524</v>
      </c>
      <c r="M547">
        <v>87702.31578947368</v>
      </c>
      <c r="N547" t="str">
        <v xml:space="preserve"> FY27-Q1</v>
      </c>
      <c r="O547" t="str">
        <v>CY26-Q3</v>
      </c>
    </row>
    <row r="548" spans="10:15" x14ac:dyDescent="0.25">
      <c r="J548">
        <v>27</v>
      </c>
      <c r="K548">
        <v>2</v>
      </c>
      <c r="L548">
        <v>46615</v>
      </c>
      <c r="M548">
        <v>87702.31578947368</v>
      </c>
      <c r="N548" t="str">
        <v xml:space="preserve"> FY27-Q1</v>
      </c>
      <c r="O548" t="str">
        <v>CY26-Q3</v>
      </c>
    </row>
    <row r="549" spans="10:15" x14ac:dyDescent="0.25">
      <c r="J549">
        <v>27</v>
      </c>
      <c r="K549">
        <v>2</v>
      </c>
      <c r="L549">
        <v>46706</v>
      </c>
      <c r="M549">
        <v>87702.31578947368</v>
      </c>
      <c r="N549" t="str">
        <v xml:space="preserve"> FY27-Q1</v>
      </c>
      <c r="O549" t="str">
        <v>CY26-Q3</v>
      </c>
    </row>
    <row r="550" spans="10:15" x14ac:dyDescent="0.25">
      <c r="J550">
        <v>27</v>
      </c>
      <c r="K550">
        <v>2</v>
      </c>
      <c r="L550">
        <v>46797</v>
      </c>
      <c r="M550">
        <v>87702.31578947368</v>
      </c>
      <c r="N550" t="str">
        <v xml:space="preserve"> FY27-Q1</v>
      </c>
      <c r="O550" t="str">
        <v>CY26-Q3</v>
      </c>
    </row>
    <row r="551" spans="10:15" x14ac:dyDescent="0.25">
      <c r="J551">
        <v>27</v>
      </c>
      <c r="K551">
        <v>2</v>
      </c>
      <c r="L551">
        <v>46888</v>
      </c>
      <c r="M551">
        <v>87702.31578947368</v>
      </c>
      <c r="N551" t="str">
        <v xml:space="preserve"> FY27-Q1</v>
      </c>
      <c r="O551" t="str">
        <v>CY26-Q3</v>
      </c>
    </row>
    <row r="552" spans="10:15" x14ac:dyDescent="0.25">
      <c r="J552">
        <v>27</v>
      </c>
      <c r="K552">
        <v>2</v>
      </c>
      <c r="L552">
        <v>46979</v>
      </c>
      <c r="M552">
        <v>87702.31578947368</v>
      </c>
      <c r="N552" t="str">
        <v xml:space="preserve"> FY27-Q1</v>
      </c>
      <c r="O552" t="str">
        <v>CY26-Q3</v>
      </c>
    </row>
    <row r="553" spans="10:15" x14ac:dyDescent="0.25">
      <c r="J553">
        <v>27</v>
      </c>
      <c r="K553">
        <v>2</v>
      </c>
      <c r="L553">
        <v>47070</v>
      </c>
      <c r="M553">
        <v>87702.31578947368</v>
      </c>
      <c r="N553" t="str">
        <v xml:space="preserve"> FY27-Q1</v>
      </c>
      <c r="O553" t="str">
        <v>CY26-Q3</v>
      </c>
    </row>
    <row r="554" spans="10:15" x14ac:dyDescent="0.25">
      <c r="J554">
        <v>27</v>
      </c>
      <c r="K554">
        <v>2</v>
      </c>
      <c r="L554">
        <v>47161</v>
      </c>
      <c r="M554">
        <v>87702.31578947368</v>
      </c>
      <c r="N554" t="str">
        <v xml:space="preserve"> FY27-Q1</v>
      </c>
      <c r="O554" t="str">
        <v>CY26-Q3</v>
      </c>
    </row>
    <row r="555" spans="10:15" x14ac:dyDescent="0.25">
      <c r="J555">
        <v>27</v>
      </c>
      <c r="K555">
        <v>2</v>
      </c>
      <c r="L555">
        <v>47252</v>
      </c>
      <c r="M555">
        <v>87702.31578947368</v>
      </c>
      <c r="N555" t="str">
        <v xml:space="preserve"> FY27-Q1</v>
      </c>
      <c r="O555" t="str">
        <v>CY26-Q3</v>
      </c>
    </row>
    <row r="556" spans="10:15" x14ac:dyDescent="0.25">
      <c r="J556">
        <v>27</v>
      </c>
      <c r="K556">
        <v>2</v>
      </c>
      <c r="L556">
        <v>47343</v>
      </c>
      <c r="M556">
        <v>87702.31578947368</v>
      </c>
      <c r="N556" t="str">
        <v xml:space="preserve"> FY27-Q1</v>
      </c>
      <c r="O556" t="str">
        <v>CY26-Q3</v>
      </c>
    </row>
    <row r="557" spans="10:15" x14ac:dyDescent="0.25">
      <c r="J557">
        <v>27</v>
      </c>
      <c r="K557">
        <v>2</v>
      </c>
      <c r="L557">
        <v>47434</v>
      </c>
      <c r="M557">
        <v>87702.31578947368</v>
      </c>
      <c r="N557" t="str">
        <v xml:space="preserve"> FY27-Q1</v>
      </c>
      <c r="O557" t="str">
        <v>CY26-Q3</v>
      </c>
    </row>
    <row r="558" spans="10:15" x14ac:dyDescent="0.25">
      <c r="J558">
        <v>27</v>
      </c>
      <c r="K558">
        <v>2</v>
      </c>
      <c r="L558">
        <v>47525</v>
      </c>
      <c r="M558">
        <v>87702.31578947368</v>
      </c>
      <c r="N558" t="str">
        <v xml:space="preserve"> FY27-Q1</v>
      </c>
      <c r="O558" t="str">
        <v>CY26-Q3</v>
      </c>
    </row>
    <row r="559" spans="10:15" x14ac:dyDescent="0.25">
      <c r="J559">
        <v>27</v>
      </c>
      <c r="K559">
        <v>2</v>
      </c>
      <c r="L559">
        <v>47616</v>
      </c>
      <c r="M559">
        <v>87702.31578947368</v>
      </c>
      <c r="N559" t="str">
        <v xml:space="preserve"> FY27-Q1</v>
      </c>
      <c r="O559" t="str">
        <v>CY26-Q3</v>
      </c>
    </row>
    <row r="560" spans="10:15" x14ac:dyDescent="0.25">
      <c r="J560">
        <v>27</v>
      </c>
      <c r="K560">
        <v>2</v>
      </c>
      <c r="L560">
        <v>47707</v>
      </c>
      <c r="M560">
        <v>87702.31578947368</v>
      </c>
      <c r="N560" t="str">
        <v xml:space="preserve"> FY27-Q1</v>
      </c>
      <c r="O560" t="str">
        <v>CY26-Q3</v>
      </c>
    </row>
    <row r="561" spans="10:15" x14ac:dyDescent="0.25">
      <c r="J561">
        <v>27</v>
      </c>
      <c r="K561">
        <v>2</v>
      </c>
      <c r="L561">
        <v>47798</v>
      </c>
      <c r="M561">
        <v>87702.31578947368</v>
      </c>
      <c r="N561" t="str">
        <v xml:space="preserve"> FY27-Q1</v>
      </c>
      <c r="O561" t="str">
        <v>CY26-Q3</v>
      </c>
    </row>
    <row r="562" spans="10:15" x14ac:dyDescent="0.25">
      <c r="J562">
        <v>27</v>
      </c>
      <c r="K562">
        <v>2</v>
      </c>
      <c r="L562">
        <v>47889</v>
      </c>
      <c r="M562">
        <v>87702.31578947368</v>
      </c>
      <c r="N562" t="str">
        <v xml:space="preserve"> FY27-Q1</v>
      </c>
      <c r="O562" t="str">
        <v>CY26-Q3</v>
      </c>
    </row>
    <row r="563" spans="10:15" x14ac:dyDescent="0.25">
      <c r="J563">
        <v>28</v>
      </c>
      <c r="K563">
        <v>1</v>
      </c>
      <c r="L563">
        <v>46342</v>
      </c>
      <c r="M563">
        <v>25817.659574468085</v>
      </c>
      <c r="N563" t="str">
        <v xml:space="preserve"> FY27-Q2</v>
      </c>
      <c r="O563" t="str">
        <v>CY26-Q4</v>
      </c>
    </row>
    <row r="564" spans="10:15" x14ac:dyDescent="0.25">
      <c r="J564">
        <v>28</v>
      </c>
      <c r="K564">
        <v>1</v>
      </c>
      <c r="L564">
        <v>46433</v>
      </c>
      <c r="M564">
        <v>25817.659574468085</v>
      </c>
      <c r="N564" t="str">
        <v xml:space="preserve"> FY27-Q2</v>
      </c>
      <c r="O564" t="str">
        <v>CY26-Q4</v>
      </c>
    </row>
    <row r="565" spans="10:15" x14ac:dyDescent="0.25">
      <c r="J565">
        <v>28</v>
      </c>
      <c r="K565">
        <v>1</v>
      </c>
      <c r="L565">
        <v>46524</v>
      </c>
      <c r="M565">
        <v>25817.659574468085</v>
      </c>
      <c r="N565" t="str">
        <v xml:space="preserve"> FY27-Q2</v>
      </c>
      <c r="O565" t="str">
        <v>CY26-Q4</v>
      </c>
    </row>
    <row r="566" spans="10:15" x14ac:dyDescent="0.25">
      <c r="J566">
        <v>28</v>
      </c>
      <c r="K566">
        <v>1</v>
      </c>
      <c r="L566">
        <v>46615</v>
      </c>
      <c r="M566">
        <v>25817.659574468085</v>
      </c>
      <c r="N566" t="str">
        <v xml:space="preserve"> FY27-Q2</v>
      </c>
      <c r="O566" t="str">
        <v>CY26-Q4</v>
      </c>
    </row>
    <row r="567" spans="10:15" x14ac:dyDescent="0.25">
      <c r="J567">
        <v>28</v>
      </c>
      <c r="K567">
        <v>1</v>
      </c>
      <c r="L567">
        <v>46706</v>
      </c>
      <c r="M567">
        <v>25817.659574468085</v>
      </c>
      <c r="N567" t="str">
        <v xml:space="preserve"> FY27-Q2</v>
      </c>
      <c r="O567" t="str">
        <v>CY26-Q4</v>
      </c>
    </row>
    <row r="568" spans="10:15" x14ac:dyDescent="0.25">
      <c r="J568">
        <v>28</v>
      </c>
      <c r="K568">
        <v>1</v>
      </c>
      <c r="L568">
        <v>46797</v>
      </c>
      <c r="M568">
        <v>25817.659574468085</v>
      </c>
      <c r="N568" t="str">
        <v xml:space="preserve"> FY27-Q2</v>
      </c>
      <c r="O568" t="str">
        <v>CY26-Q4</v>
      </c>
    </row>
    <row r="569" spans="10:15" x14ac:dyDescent="0.25">
      <c r="J569">
        <v>28</v>
      </c>
      <c r="K569">
        <v>1</v>
      </c>
      <c r="L569">
        <v>46888</v>
      </c>
      <c r="M569">
        <v>25817.659574468085</v>
      </c>
      <c r="N569" t="str">
        <v xml:space="preserve"> FY27-Q2</v>
      </c>
      <c r="O569" t="str">
        <v>CY26-Q4</v>
      </c>
    </row>
    <row r="570" spans="10:15" x14ac:dyDescent="0.25">
      <c r="J570">
        <v>28</v>
      </c>
      <c r="K570">
        <v>1</v>
      </c>
      <c r="L570">
        <v>46979</v>
      </c>
      <c r="M570">
        <v>25817.659574468085</v>
      </c>
      <c r="N570" t="str">
        <v xml:space="preserve"> FY27-Q2</v>
      </c>
      <c r="O570" t="str">
        <v>CY26-Q4</v>
      </c>
    </row>
    <row r="571" spans="10:15" x14ac:dyDescent="0.25">
      <c r="J571">
        <v>28</v>
      </c>
      <c r="K571">
        <v>1</v>
      </c>
      <c r="L571">
        <v>47070</v>
      </c>
      <c r="M571">
        <v>25817.659574468085</v>
      </c>
      <c r="N571" t="str">
        <v xml:space="preserve"> FY27-Q2</v>
      </c>
      <c r="O571" t="str">
        <v>CY26-Q4</v>
      </c>
    </row>
    <row r="572" spans="10:15" x14ac:dyDescent="0.25">
      <c r="J572">
        <v>28</v>
      </c>
      <c r="K572">
        <v>1</v>
      </c>
      <c r="L572">
        <v>47161</v>
      </c>
      <c r="M572">
        <v>25817.659574468085</v>
      </c>
      <c r="N572" t="str">
        <v xml:space="preserve"> FY27-Q2</v>
      </c>
      <c r="O572" t="str">
        <v>CY26-Q4</v>
      </c>
    </row>
    <row r="573" spans="10:15" x14ac:dyDescent="0.25">
      <c r="J573">
        <v>28</v>
      </c>
      <c r="K573">
        <v>1</v>
      </c>
      <c r="L573">
        <v>47252</v>
      </c>
      <c r="M573">
        <v>25817.659574468085</v>
      </c>
      <c r="N573" t="str">
        <v xml:space="preserve"> FY27-Q2</v>
      </c>
      <c r="O573" t="str">
        <v>CY26-Q4</v>
      </c>
    </row>
    <row r="574" spans="10:15" x14ac:dyDescent="0.25">
      <c r="J574">
        <v>28</v>
      </c>
      <c r="K574">
        <v>1</v>
      </c>
      <c r="L574">
        <v>47343</v>
      </c>
      <c r="M574">
        <v>25817.659574468085</v>
      </c>
      <c r="N574" t="str">
        <v xml:space="preserve"> FY27-Q2</v>
      </c>
      <c r="O574" t="str">
        <v>CY26-Q4</v>
      </c>
    </row>
    <row r="575" spans="10:15" x14ac:dyDescent="0.25">
      <c r="J575">
        <v>28</v>
      </c>
      <c r="K575">
        <v>1</v>
      </c>
      <c r="L575">
        <v>47434</v>
      </c>
      <c r="M575">
        <v>25817.659574468085</v>
      </c>
      <c r="N575" t="str">
        <v xml:space="preserve"> FY27-Q2</v>
      </c>
      <c r="O575" t="str">
        <v>CY26-Q4</v>
      </c>
    </row>
    <row r="576" spans="10:15" x14ac:dyDescent="0.25">
      <c r="J576">
        <v>28</v>
      </c>
      <c r="K576">
        <v>1</v>
      </c>
      <c r="L576">
        <v>47525</v>
      </c>
      <c r="M576">
        <v>25817.659574468085</v>
      </c>
      <c r="N576" t="str">
        <v xml:space="preserve"> FY27-Q2</v>
      </c>
      <c r="O576" t="str">
        <v>CY26-Q4</v>
      </c>
    </row>
    <row r="577" spans="10:15" x14ac:dyDescent="0.25">
      <c r="J577">
        <v>28</v>
      </c>
      <c r="K577">
        <v>1</v>
      </c>
      <c r="L577">
        <v>47616</v>
      </c>
      <c r="M577">
        <v>25817.659574468085</v>
      </c>
      <c r="N577" t="str">
        <v xml:space="preserve"> FY27-Q2</v>
      </c>
      <c r="O577" t="str">
        <v>CY26-Q4</v>
      </c>
    </row>
    <row r="578" spans="10:15" x14ac:dyDescent="0.25">
      <c r="J578">
        <v>28</v>
      </c>
      <c r="K578">
        <v>1</v>
      </c>
      <c r="L578">
        <v>47707</v>
      </c>
      <c r="M578">
        <v>25817.659574468085</v>
      </c>
      <c r="N578" t="str">
        <v xml:space="preserve"> FY27-Q2</v>
      </c>
      <c r="O578" t="str">
        <v>CY26-Q4</v>
      </c>
    </row>
    <row r="579" spans="10:15" x14ac:dyDescent="0.25">
      <c r="J579">
        <v>28</v>
      </c>
      <c r="K579">
        <v>1</v>
      </c>
      <c r="L579">
        <v>47798</v>
      </c>
      <c r="M579">
        <v>25817.659574468085</v>
      </c>
      <c r="N579" t="str">
        <v xml:space="preserve"> FY27-Q2</v>
      </c>
      <c r="O579" t="str">
        <v>CY26-Q4</v>
      </c>
    </row>
    <row r="580" spans="10:15" x14ac:dyDescent="0.25">
      <c r="J580">
        <v>28</v>
      </c>
      <c r="K580">
        <v>1</v>
      </c>
      <c r="L580">
        <v>47889</v>
      </c>
      <c r="M580">
        <v>25817.659574468085</v>
      </c>
      <c r="N580" t="str">
        <v xml:space="preserve"> FY27-Q2</v>
      </c>
      <c r="O580" t="str">
        <v>CY26-Q4</v>
      </c>
    </row>
    <row r="581" spans="10:15" x14ac:dyDescent="0.25">
      <c r="J581">
        <v>28</v>
      </c>
      <c r="K581">
        <v>1</v>
      </c>
      <c r="L581">
        <v>47980</v>
      </c>
      <c r="M581">
        <v>25817.659574468085</v>
      </c>
      <c r="N581" t="str">
        <v xml:space="preserve"> FY27-Q2</v>
      </c>
      <c r="O581" t="str">
        <v>CY26-Q4</v>
      </c>
    </row>
    <row r="582" spans="10:15" x14ac:dyDescent="0.25">
      <c r="J582">
        <v>28</v>
      </c>
      <c r="K582">
        <v>1</v>
      </c>
      <c r="L582">
        <v>48071</v>
      </c>
      <c r="M582">
        <v>25817.659574468085</v>
      </c>
      <c r="N582" t="str">
        <v xml:space="preserve"> FY27-Q2</v>
      </c>
      <c r="O582" t="str">
        <v>CY26-Q4</v>
      </c>
    </row>
    <row r="583" spans="10:15" x14ac:dyDescent="0.25">
      <c r="J583">
        <v>28</v>
      </c>
      <c r="K583">
        <v>1</v>
      </c>
      <c r="L583">
        <v>48162</v>
      </c>
      <c r="M583">
        <v>25817.659574468085</v>
      </c>
      <c r="N583" t="str">
        <v xml:space="preserve"> FY27-Q2</v>
      </c>
      <c r="O583" t="str">
        <v>CY26-Q4</v>
      </c>
    </row>
    <row r="584" spans="10:15" x14ac:dyDescent="0.25">
      <c r="J584">
        <v>28</v>
      </c>
      <c r="K584">
        <v>1</v>
      </c>
      <c r="L584">
        <v>48253</v>
      </c>
      <c r="M584">
        <v>25817.659574468085</v>
      </c>
      <c r="N584" t="str">
        <v xml:space="preserve"> FY27-Q2</v>
      </c>
      <c r="O584" t="str">
        <v>CY26-Q4</v>
      </c>
    </row>
    <row r="585" spans="10:15" x14ac:dyDescent="0.25">
      <c r="J585">
        <v>28</v>
      </c>
      <c r="K585">
        <v>1</v>
      </c>
      <c r="L585">
        <v>48344</v>
      </c>
      <c r="M585">
        <v>25817.659574468085</v>
      </c>
      <c r="N585" t="str">
        <v xml:space="preserve"> FY27-Q2</v>
      </c>
      <c r="O585" t="str">
        <v>CY26-Q4</v>
      </c>
    </row>
    <row r="586" spans="10:15" x14ac:dyDescent="0.25">
      <c r="J586">
        <v>28</v>
      </c>
      <c r="K586">
        <v>1</v>
      </c>
      <c r="L586">
        <v>48435</v>
      </c>
      <c r="M586">
        <v>25817.659574468085</v>
      </c>
      <c r="N586" t="str">
        <v xml:space="preserve"> FY27-Q2</v>
      </c>
      <c r="O586" t="str">
        <v>CY26-Q4</v>
      </c>
    </row>
    <row r="587" spans="10:15" x14ac:dyDescent="0.25">
      <c r="J587">
        <v>28</v>
      </c>
      <c r="K587">
        <v>1</v>
      </c>
      <c r="L587">
        <v>48526</v>
      </c>
      <c r="M587">
        <v>25817.659574468085</v>
      </c>
      <c r="N587" t="str">
        <v xml:space="preserve"> FY27-Q2</v>
      </c>
      <c r="O587" t="str">
        <v>CY26-Q4</v>
      </c>
    </row>
    <row r="588" spans="10:15" x14ac:dyDescent="0.25">
      <c r="J588">
        <v>28</v>
      </c>
      <c r="K588">
        <v>1</v>
      </c>
      <c r="L588">
        <v>48617</v>
      </c>
      <c r="M588">
        <v>25817.659574468085</v>
      </c>
      <c r="N588" t="str">
        <v xml:space="preserve"> FY27-Q2</v>
      </c>
      <c r="O588" t="str">
        <v>CY26-Q4</v>
      </c>
    </row>
    <row r="589" spans="10:15" x14ac:dyDescent="0.25">
      <c r="J589">
        <v>28</v>
      </c>
      <c r="K589">
        <v>1</v>
      </c>
      <c r="L589">
        <v>48708</v>
      </c>
      <c r="M589">
        <v>25817.659574468085</v>
      </c>
      <c r="N589" t="str">
        <v xml:space="preserve"> FY27-Q2</v>
      </c>
      <c r="O589" t="str">
        <v>CY26-Q4</v>
      </c>
    </row>
    <row r="590" spans="10:15" x14ac:dyDescent="0.25">
      <c r="J590">
        <v>28</v>
      </c>
      <c r="K590">
        <v>1</v>
      </c>
      <c r="L590">
        <v>48799</v>
      </c>
      <c r="M590">
        <v>25817.659574468085</v>
      </c>
      <c r="N590" t="str">
        <v xml:space="preserve"> FY27-Q2</v>
      </c>
      <c r="O590" t="str">
        <v>CY26-Q4</v>
      </c>
    </row>
    <row r="591" spans="10:15" x14ac:dyDescent="0.25">
      <c r="J591">
        <v>28</v>
      </c>
      <c r="K591">
        <v>1</v>
      </c>
      <c r="L591">
        <v>48890</v>
      </c>
      <c r="M591">
        <v>25817.659574468085</v>
      </c>
      <c r="N591" t="str">
        <v xml:space="preserve"> FY27-Q2</v>
      </c>
      <c r="O591" t="str">
        <v>CY26-Q4</v>
      </c>
    </row>
    <row r="592" spans="10:15" x14ac:dyDescent="0.25">
      <c r="J592">
        <v>28</v>
      </c>
      <c r="K592">
        <v>1</v>
      </c>
      <c r="L592">
        <v>48981</v>
      </c>
      <c r="M592">
        <v>25817.659574468085</v>
      </c>
      <c r="N592" t="str">
        <v xml:space="preserve"> FY27-Q2</v>
      </c>
      <c r="O592" t="str">
        <v>CY26-Q4</v>
      </c>
    </row>
    <row r="593" spans="10:15" x14ac:dyDescent="0.25">
      <c r="J593">
        <v>28</v>
      </c>
      <c r="K593">
        <v>1</v>
      </c>
      <c r="L593">
        <v>49072</v>
      </c>
      <c r="M593">
        <v>25817.659574468085</v>
      </c>
      <c r="N593" t="str">
        <v xml:space="preserve"> FY27-Q2</v>
      </c>
      <c r="O593" t="str">
        <v>CY26-Q4</v>
      </c>
    </row>
    <row r="594" spans="10:15" x14ac:dyDescent="0.25">
      <c r="J594">
        <v>28</v>
      </c>
      <c r="K594">
        <v>1</v>
      </c>
      <c r="L594">
        <v>49163</v>
      </c>
      <c r="M594">
        <v>25817.659574468085</v>
      </c>
      <c r="N594" t="str">
        <v xml:space="preserve"> FY27-Q2</v>
      </c>
      <c r="O594" t="str">
        <v>CY26-Q4</v>
      </c>
    </row>
    <row r="595" spans="10:15" x14ac:dyDescent="0.25">
      <c r="J595">
        <v>28</v>
      </c>
      <c r="K595">
        <v>1</v>
      </c>
      <c r="L595">
        <v>49254</v>
      </c>
      <c r="M595">
        <v>25817.659574468085</v>
      </c>
      <c r="N595" t="str">
        <v xml:space="preserve"> FY27-Q2</v>
      </c>
      <c r="O595" t="str">
        <v>CY26-Q4</v>
      </c>
    </row>
    <row r="596" spans="10:15" x14ac:dyDescent="0.25">
      <c r="J596">
        <v>28</v>
      </c>
      <c r="K596">
        <v>1</v>
      </c>
      <c r="L596">
        <v>49345</v>
      </c>
      <c r="M596">
        <v>25817.659574468085</v>
      </c>
      <c r="N596" t="str">
        <v xml:space="preserve"> FY27-Q2</v>
      </c>
      <c r="O596" t="str">
        <v>CY26-Q4</v>
      </c>
    </row>
    <row r="597" spans="10:15" x14ac:dyDescent="0.25">
      <c r="J597">
        <v>28</v>
      </c>
      <c r="K597">
        <v>1</v>
      </c>
      <c r="L597">
        <v>49436</v>
      </c>
      <c r="M597">
        <v>25817.659574468085</v>
      </c>
      <c r="N597" t="str">
        <v xml:space="preserve"> FY27-Q2</v>
      </c>
      <c r="O597" t="str">
        <v>CY26-Q4</v>
      </c>
    </row>
    <row r="598" spans="10:15" x14ac:dyDescent="0.25">
      <c r="J598">
        <v>28</v>
      </c>
      <c r="K598">
        <v>1</v>
      </c>
      <c r="L598">
        <v>49527</v>
      </c>
      <c r="M598">
        <v>25817.659574468085</v>
      </c>
      <c r="N598" t="str">
        <v xml:space="preserve"> FY27-Q2</v>
      </c>
      <c r="O598" t="str">
        <v>CY26-Q4</v>
      </c>
    </row>
    <row r="599" spans="10:15" x14ac:dyDescent="0.25">
      <c r="J599">
        <v>28</v>
      </c>
      <c r="K599">
        <v>1</v>
      </c>
      <c r="L599">
        <v>49618</v>
      </c>
      <c r="M599">
        <v>25817.659574468085</v>
      </c>
      <c r="N599" t="str">
        <v xml:space="preserve"> FY27-Q2</v>
      </c>
      <c r="O599" t="str">
        <v>CY26-Q4</v>
      </c>
    </row>
    <row r="600" spans="10:15" x14ac:dyDescent="0.25">
      <c r="J600">
        <v>28</v>
      </c>
      <c r="K600">
        <v>1</v>
      </c>
      <c r="L600">
        <v>49709</v>
      </c>
      <c r="M600">
        <v>25817.659574468085</v>
      </c>
      <c r="N600" t="str">
        <v xml:space="preserve"> FY27-Q2</v>
      </c>
      <c r="O600" t="str">
        <v>CY26-Q4</v>
      </c>
    </row>
    <row r="601" spans="10:15" x14ac:dyDescent="0.25">
      <c r="J601">
        <v>28</v>
      </c>
      <c r="K601">
        <v>1</v>
      </c>
      <c r="L601">
        <v>49800</v>
      </c>
      <c r="M601">
        <v>25817.659574468085</v>
      </c>
      <c r="N601" t="str">
        <v xml:space="preserve"> FY27-Q2</v>
      </c>
      <c r="O601" t="str">
        <v>CY26-Q4</v>
      </c>
    </row>
    <row r="602" spans="10:15" x14ac:dyDescent="0.25">
      <c r="J602">
        <v>28</v>
      </c>
      <c r="K602">
        <v>1</v>
      </c>
      <c r="L602">
        <v>49891</v>
      </c>
      <c r="M602">
        <v>25817.659574468085</v>
      </c>
      <c r="N602" t="str">
        <v xml:space="preserve"> FY27-Q2</v>
      </c>
      <c r="O602" t="str">
        <v>CY26-Q4</v>
      </c>
    </row>
    <row r="603" spans="10:15" x14ac:dyDescent="0.25">
      <c r="J603">
        <v>28</v>
      </c>
      <c r="K603">
        <v>1</v>
      </c>
      <c r="L603">
        <v>49982</v>
      </c>
      <c r="M603">
        <v>25817.659574468085</v>
      </c>
      <c r="N603" t="str">
        <v xml:space="preserve"> FY27-Q2</v>
      </c>
      <c r="O603" t="str">
        <v>CY26-Q4</v>
      </c>
    </row>
    <row r="604" spans="10:15" x14ac:dyDescent="0.25">
      <c r="J604">
        <v>28</v>
      </c>
      <c r="K604">
        <v>1</v>
      </c>
      <c r="L604">
        <v>50073</v>
      </c>
      <c r="M604">
        <v>25817.659574468085</v>
      </c>
      <c r="N604" t="str">
        <v xml:space="preserve"> FY27-Q2</v>
      </c>
      <c r="O604" t="str">
        <v>CY26-Q4</v>
      </c>
    </row>
    <row r="605" spans="10:15" x14ac:dyDescent="0.25">
      <c r="J605">
        <v>28</v>
      </c>
      <c r="K605">
        <v>1</v>
      </c>
      <c r="L605">
        <v>50164</v>
      </c>
      <c r="M605">
        <v>25817.659574468085</v>
      </c>
      <c r="N605" t="str">
        <v xml:space="preserve"> FY27-Q2</v>
      </c>
      <c r="O605" t="str">
        <v>CY26-Q4</v>
      </c>
    </row>
    <row r="606" spans="10:15" x14ac:dyDescent="0.25">
      <c r="J606">
        <v>28</v>
      </c>
      <c r="K606">
        <v>1</v>
      </c>
      <c r="L606">
        <v>50255</v>
      </c>
      <c r="M606">
        <v>25817.659574468085</v>
      </c>
      <c r="N606" t="str">
        <v xml:space="preserve"> FY27-Q2</v>
      </c>
      <c r="O606" t="str">
        <v>CY26-Q4</v>
      </c>
    </row>
    <row r="607" spans="10:15" x14ac:dyDescent="0.25">
      <c r="J607">
        <v>28</v>
      </c>
      <c r="K607">
        <v>1</v>
      </c>
      <c r="L607">
        <v>50346</v>
      </c>
      <c r="M607">
        <v>25817.659574468085</v>
      </c>
      <c r="N607" t="str">
        <v xml:space="preserve"> FY27-Q2</v>
      </c>
      <c r="O607" t="str">
        <v>CY26-Q4</v>
      </c>
    </row>
    <row r="608" spans="10:15" x14ac:dyDescent="0.25">
      <c r="J608">
        <v>28</v>
      </c>
      <c r="K608">
        <v>1</v>
      </c>
      <c r="L608">
        <v>50437</v>
      </c>
      <c r="M608">
        <v>25817.659574468085</v>
      </c>
      <c r="N608" t="str">
        <v xml:space="preserve"> FY27-Q2</v>
      </c>
      <c r="O608" t="str">
        <v>CY26-Q4</v>
      </c>
    </row>
    <row r="609" spans="10:15" x14ac:dyDescent="0.25">
      <c r="J609">
        <v>28</v>
      </c>
      <c r="K609">
        <v>1</v>
      </c>
      <c r="L609">
        <v>50528</v>
      </c>
      <c r="M609">
        <v>25817.659574468085</v>
      </c>
      <c r="N609" t="str">
        <v xml:space="preserve"> FY27-Q2</v>
      </c>
      <c r="O609" t="str">
        <v>CY26-Q4</v>
      </c>
    </row>
    <row r="610" spans="10:15" x14ac:dyDescent="0.25">
      <c r="J610">
        <v>29</v>
      </c>
      <c r="K610">
        <v>10</v>
      </c>
      <c r="L610">
        <v>46150</v>
      </c>
      <c r="M610">
        <v>225720.125</v>
      </c>
      <c r="N610" t="str">
        <v xml:space="preserve"> FY26-Q4</v>
      </c>
      <c r="O610" t="str">
        <v>CY26-Q2</v>
      </c>
    </row>
    <row r="611" spans="10:15" x14ac:dyDescent="0.25">
      <c r="J611">
        <v>29</v>
      </c>
      <c r="K611">
        <v>10</v>
      </c>
      <c r="L611">
        <v>46332</v>
      </c>
      <c r="M611">
        <v>225720.125</v>
      </c>
      <c r="N611" t="str">
        <v xml:space="preserve"> FY26-Q4</v>
      </c>
      <c r="O611" t="str">
        <v>CY26-Q2</v>
      </c>
    </row>
    <row r="612" spans="10:15" x14ac:dyDescent="0.25">
      <c r="J612">
        <v>29</v>
      </c>
      <c r="K612">
        <v>10</v>
      </c>
      <c r="L612">
        <v>46514</v>
      </c>
      <c r="M612">
        <v>225720.125</v>
      </c>
      <c r="N612" t="str">
        <v xml:space="preserve"> FY26-Q4</v>
      </c>
      <c r="O612" t="str">
        <v>CY26-Q2</v>
      </c>
    </row>
    <row r="613" spans="10:15" x14ac:dyDescent="0.25">
      <c r="J613">
        <v>29</v>
      </c>
      <c r="K613">
        <v>10</v>
      </c>
      <c r="L613">
        <v>46696</v>
      </c>
      <c r="M613">
        <v>225720.125</v>
      </c>
      <c r="N613" t="str">
        <v xml:space="preserve"> FY26-Q4</v>
      </c>
      <c r="O613" t="str">
        <v>CY26-Q2</v>
      </c>
    </row>
    <row r="614" spans="10:15" x14ac:dyDescent="0.25">
      <c r="J614">
        <v>29</v>
      </c>
      <c r="K614">
        <v>10</v>
      </c>
      <c r="L614">
        <v>46878</v>
      </c>
      <c r="M614">
        <v>225720.125</v>
      </c>
      <c r="N614" t="str">
        <v xml:space="preserve"> FY26-Q4</v>
      </c>
      <c r="O614" t="str">
        <v>CY26-Q2</v>
      </c>
    </row>
    <row r="615" spans="10:15" x14ac:dyDescent="0.25">
      <c r="J615">
        <v>29</v>
      </c>
      <c r="K615">
        <v>10</v>
      </c>
      <c r="L615">
        <v>47060</v>
      </c>
      <c r="M615">
        <v>225720.125</v>
      </c>
      <c r="N615" t="str">
        <v xml:space="preserve"> FY26-Q4</v>
      </c>
      <c r="O615" t="str">
        <v>CY26-Q2</v>
      </c>
    </row>
    <row r="616" spans="10:15" x14ac:dyDescent="0.25">
      <c r="J616">
        <v>29</v>
      </c>
      <c r="K616">
        <v>10</v>
      </c>
      <c r="L616">
        <v>47242</v>
      </c>
      <c r="M616">
        <v>225720.125</v>
      </c>
      <c r="N616" t="str">
        <v xml:space="preserve"> FY26-Q4</v>
      </c>
      <c r="O616" t="str">
        <v>CY26-Q2</v>
      </c>
    </row>
    <row r="617" spans="10:15" x14ac:dyDescent="0.25">
      <c r="J617">
        <v>29</v>
      </c>
      <c r="K617">
        <v>10</v>
      </c>
      <c r="L617">
        <v>47424</v>
      </c>
      <c r="M617">
        <v>225720.125</v>
      </c>
      <c r="N617" t="str">
        <v xml:space="preserve"> FY26-Q4</v>
      </c>
      <c r="O617" t="str">
        <v>CY26-Q2</v>
      </c>
    </row>
    <row r="618" spans="10:15" x14ac:dyDescent="0.25">
      <c r="J618">
        <v>30</v>
      </c>
      <c r="K618">
        <v>1</v>
      </c>
      <c r="L618">
        <v>46316</v>
      </c>
      <c r="M618">
        <v>23443.279999999999</v>
      </c>
      <c r="N618" t="str">
        <v xml:space="preserve"> FY27-Q2</v>
      </c>
      <c r="O618" t="str">
        <v>CY26-Q4</v>
      </c>
    </row>
    <row r="619" spans="10:15" x14ac:dyDescent="0.25">
      <c r="J619">
        <v>30</v>
      </c>
      <c r="K619">
        <v>1</v>
      </c>
      <c r="L619">
        <v>46681</v>
      </c>
      <c r="M619">
        <v>23443.279999999999</v>
      </c>
      <c r="N619" t="str">
        <v xml:space="preserve"> FY27-Q2</v>
      </c>
      <c r="O619" t="str">
        <v>CY26-Q4</v>
      </c>
    </row>
    <row r="620" spans="10:15" x14ac:dyDescent="0.25">
      <c r="J620">
        <v>30</v>
      </c>
      <c r="K620">
        <v>1</v>
      </c>
      <c r="L620">
        <v>47046</v>
      </c>
      <c r="M620">
        <v>23443.279999999999</v>
      </c>
      <c r="N620" t="str">
        <v xml:space="preserve"> FY27-Q2</v>
      </c>
      <c r="O620" t="str">
        <v>CY26-Q4</v>
      </c>
    </row>
    <row r="621" spans="10:15" x14ac:dyDescent="0.25">
      <c r="J621">
        <v>30</v>
      </c>
      <c r="K621">
        <v>1</v>
      </c>
      <c r="L621">
        <v>47411</v>
      </c>
      <c r="M621">
        <v>23443.279999999999</v>
      </c>
      <c r="N621" t="str">
        <v xml:space="preserve"> FY27-Q2</v>
      </c>
      <c r="O621" t="str">
        <v>CY26-Q4</v>
      </c>
    </row>
    <row r="622" spans="10:15" x14ac:dyDescent="0.25">
      <c r="J622">
        <v>30</v>
      </c>
      <c r="K622">
        <v>1</v>
      </c>
      <c r="L622">
        <v>47776</v>
      </c>
      <c r="M622">
        <v>23443.279999999999</v>
      </c>
      <c r="N622" t="str">
        <v xml:space="preserve"> FY27-Q2</v>
      </c>
      <c r="O622" t="str">
        <v>CY26-Q4</v>
      </c>
    </row>
    <row r="623" spans="10:15" x14ac:dyDescent="0.25">
      <c r="J623">
        <v>30</v>
      </c>
      <c r="K623">
        <v>1</v>
      </c>
      <c r="L623">
        <v>48141</v>
      </c>
      <c r="M623">
        <v>23443.279999999999</v>
      </c>
      <c r="N623" t="str">
        <v xml:space="preserve"> FY27-Q2</v>
      </c>
      <c r="O623" t="str">
        <v>CY26-Q4</v>
      </c>
    </row>
    <row r="624" spans="10:15" x14ac:dyDescent="0.25">
      <c r="J624">
        <v>30</v>
      </c>
      <c r="K624">
        <v>1</v>
      </c>
      <c r="L624">
        <v>48506</v>
      </c>
      <c r="M624">
        <v>23443.279999999999</v>
      </c>
      <c r="N624" t="str">
        <v xml:space="preserve"> FY27-Q2</v>
      </c>
      <c r="O624" t="str">
        <v>CY26-Q4</v>
      </c>
    </row>
    <row r="625" spans="10:15" x14ac:dyDescent="0.25">
      <c r="J625">
        <v>30</v>
      </c>
      <c r="K625">
        <v>1</v>
      </c>
      <c r="L625">
        <v>48871</v>
      </c>
      <c r="M625">
        <v>23443.279999999999</v>
      </c>
      <c r="N625" t="str">
        <v xml:space="preserve"> FY27-Q2</v>
      </c>
      <c r="O625" t="str">
        <v>CY26-Q4</v>
      </c>
    </row>
    <row r="626" spans="10:15" x14ac:dyDescent="0.25">
      <c r="J626">
        <v>30</v>
      </c>
      <c r="K626">
        <v>1</v>
      </c>
      <c r="L626">
        <v>49236</v>
      </c>
      <c r="M626">
        <v>23443.279999999999</v>
      </c>
      <c r="N626" t="str">
        <v xml:space="preserve"> FY27-Q2</v>
      </c>
      <c r="O626" t="str">
        <v>CY26-Q4</v>
      </c>
    </row>
    <row r="627" spans="10:15" x14ac:dyDescent="0.25">
      <c r="J627">
        <v>30</v>
      </c>
      <c r="K627">
        <v>1</v>
      </c>
      <c r="L627">
        <v>49601</v>
      </c>
      <c r="M627">
        <v>23443.279999999999</v>
      </c>
      <c r="N627" t="str">
        <v xml:space="preserve"> FY27-Q2</v>
      </c>
      <c r="O627" t="str">
        <v>CY26-Q4</v>
      </c>
    </row>
    <row r="628" spans="10:15" x14ac:dyDescent="0.25">
      <c r="J628">
        <v>30</v>
      </c>
      <c r="K628">
        <v>1</v>
      </c>
      <c r="L628">
        <v>49966</v>
      </c>
      <c r="M628">
        <v>23443.279999999999</v>
      </c>
      <c r="N628" t="str">
        <v xml:space="preserve"> FY27-Q2</v>
      </c>
      <c r="O628" t="str">
        <v>CY26-Q4</v>
      </c>
    </row>
    <row r="629" spans="10:15" x14ac:dyDescent="0.25">
      <c r="J629">
        <v>30</v>
      </c>
      <c r="K629">
        <v>1</v>
      </c>
      <c r="L629">
        <v>50331</v>
      </c>
      <c r="M629">
        <v>23443.279999999999</v>
      </c>
      <c r="N629" t="str">
        <v xml:space="preserve"> FY27-Q2</v>
      </c>
      <c r="O629" t="str">
        <v>CY26-Q4</v>
      </c>
    </row>
    <row r="630" spans="10:15" x14ac:dyDescent="0.25">
      <c r="J630">
        <v>30</v>
      </c>
      <c r="K630">
        <v>1</v>
      </c>
      <c r="L630">
        <v>50696</v>
      </c>
      <c r="M630">
        <v>23443.279999999999</v>
      </c>
      <c r="N630" t="str">
        <v xml:space="preserve"> FY27-Q2</v>
      </c>
      <c r="O630" t="str">
        <v>CY26-Q4</v>
      </c>
    </row>
    <row r="631" spans="10:15" x14ac:dyDescent="0.25">
      <c r="J631">
        <v>30</v>
      </c>
      <c r="K631">
        <v>1</v>
      </c>
      <c r="L631">
        <v>51061</v>
      </c>
      <c r="M631">
        <v>23443.279999999999</v>
      </c>
      <c r="N631" t="str">
        <v xml:space="preserve"> FY27-Q2</v>
      </c>
      <c r="O631" t="str">
        <v>CY26-Q4</v>
      </c>
    </row>
    <row r="632" spans="10:15" x14ac:dyDescent="0.25">
      <c r="J632">
        <v>30</v>
      </c>
      <c r="K632">
        <v>1</v>
      </c>
      <c r="L632">
        <v>51426</v>
      </c>
      <c r="M632">
        <v>23443.279999999999</v>
      </c>
      <c r="N632" t="str">
        <v xml:space="preserve"> FY27-Q2</v>
      </c>
      <c r="O632" t="str">
        <v>CY26-Q4</v>
      </c>
    </row>
    <row r="633" spans="10:15" x14ac:dyDescent="0.25">
      <c r="J633">
        <v>30</v>
      </c>
      <c r="K633">
        <v>1</v>
      </c>
      <c r="L633">
        <v>51791</v>
      </c>
      <c r="M633">
        <v>23443.279999999999</v>
      </c>
      <c r="N633" t="str">
        <v xml:space="preserve"> FY27-Q2</v>
      </c>
      <c r="O633" t="str">
        <v>CY26-Q4</v>
      </c>
    </row>
    <row r="634" spans="10:15" x14ac:dyDescent="0.25">
      <c r="J634">
        <v>30</v>
      </c>
      <c r="K634">
        <v>1</v>
      </c>
      <c r="L634">
        <v>52156</v>
      </c>
      <c r="M634">
        <v>23443.279999999999</v>
      </c>
      <c r="N634" t="str">
        <v xml:space="preserve"> FY27-Q2</v>
      </c>
      <c r="O634" t="str">
        <v>CY26-Q4</v>
      </c>
    </row>
    <row r="635" spans="10:15" x14ac:dyDescent="0.25">
      <c r="J635">
        <v>30</v>
      </c>
      <c r="K635">
        <v>1</v>
      </c>
      <c r="L635">
        <v>52521</v>
      </c>
      <c r="M635">
        <v>23443.279999999999</v>
      </c>
      <c r="N635" t="str">
        <v xml:space="preserve"> FY27-Q2</v>
      </c>
      <c r="O635" t="str">
        <v>CY26-Q4</v>
      </c>
    </row>
    <row r="636" spans="10:15" x14ac:dyDescent="0.25">
      <c r="J636">
        <v>30</v>
      </c>
      <c r="K636">
        <v>1</v>
      </c>
      <c r="L636">
        <v>52886</v>
      </c>
      <c r="M636">
        <v>23443.279999999999</v>
      </c>
      <c r="N636" t="str">
        <v xml:space="preserve"> FY27-Q2</v>
      </c>
      <c r="O636" t="str">
        <v>CY26-Q4</v>
      </c>
    </row>
    <row r="637" spans="10:15" x14ac:dyDescent="0.25">
      <c r="J637">
        <v>30</v>
      </c>
      <c r="K637">
        <v>1</v>
      </c>
      <c r="L637">
        <v>53251</v>
      </c>
      <c r="M637">
        <v>23443.279999999999</v>
      </c>
      <c r="N637" t="str">
        <v xml:space="preserve"> FY27-Q2</v>
      </c>
      <c r="O637" t="str">
        <v>CY26-Q4</v>
      </c>
    </row>
    <row r="638" spans="10:15" x14ac:dyDescent="0.25">
      <c r="J638">
        <v>30</v>
      </c>
      <c r="K638">
        <v>1</v>
      </c>
      <c r="L638">
        <v>53616</v>
      </c>
      <c r="M638">
        <v>23443.279999999999</v>
      </c>
      <c r="N638" t="str">
        <v xml:space="preserve"> FY27-Q2</v>
      </c>
      <c r="O638" t="str">
        <v>CY26-Q4</v>
      </c>
    </row>
    <row r="639" spans="10:15" x14ac:dyDescent="0.25">
      <c r="J639">
        <v>30</v>
      </c>
      <c r="K639">
        <v>1</v>
      </c>
      <c r="L639">
        <v>53981</v>
      </c>
      <c r="M639">
        <v>23443.279999999999</v>
      </c>
      <c r="N639" t="str">
        <v xml:space="preserve"> FY27-Q2</v>
      </c>
      <c r="O639" t="str">
        <v>CY26-Q4</v>
      </c>
    </row>
    <row r="640" spans="10:15" x14ac:dyDescent="0.25">
      <c r="J640">
        <v>30</v>
      </c>
      <c r="K640">
        <v>1</v>
      </c>
      <c r="L640">
        <v>54346</v>
      </c>
      <c r="M640">
        <v>23443.279999999999</v>
      </c>
      <c r="N640" t="str">
        <v xml:space="preserve"> FY27-Q2</v>
      </c>
      <c r="O640" t="str">
        <v>CY26-Q4</v>
      </c>
    </row>
    <row r="641" spans="10:15" x14ac:dyDescent="0.25">
      <c r="J641">
        <v>30</v>
      </c>
      <c r="K641">
        <v>1</v>
      </c>
      <c r="L641">
        <v>54711</v>
      </c>
      <c r="M641">
        <v>23443.279999999999</v>
      </c>
      <c r="N641" t="str">
        <v xml:space="preserve"> FY27-Q2</v>
      </c>
      <c r="O641" t="str">
        <v>CY26-Q4</v>
      </c>
    </row>
    <row r="642" spans="10:15" x14ac:dyDescent="0.25">
      <c r="J642">
        <v>30</v>
      </c>
      <c r="K642">
        <v>1</v>
      </c>
      <c r="L642">
        <v>55076</v>
      </c>
      <c r="M642">
        <v>23443.279999999999</v>
      </c>
      <c r="N642" t="str">
        <v xml:space="preserve"> FY27-Q2</v>
      </c>
      <c r="O642" t="str">
        <v>CY26-Q4</v>
      </c>
    </row>
    <row r="643" spans="10:15" x14ac:dyDescent="0.25">
      <c r="J643">
        <v>30</v>
      </c>
      <c r="K643">
        <v>1</v>
      </c>
      <c r="L643">
        <v>55441</v>
      </c>
      <c r="M643">
        <v>23443.279999999999</v>
      </c>
      <c r="N643" t="str">
        <v xml:space="preserve"> FY27-Q2</v>
      </c>
      <c r="O643" t="str">
        <v>CY26-Q4</v>
      </c>
    </row>
    <row r="644" spans="10:15" x14ac:dyDescent="0.25">
      <c r="J644">
        <v>30</v>
      </c>
      <c r="K644">
        <v>1</v>
      </c>
      <c r="L644">
        <v>55806</v>
      </c>
      <c r="M644">
        <v>23443.279999999999</v>
      </c>
      <c r="N644" t="str">
        <v xml:space="preserve"> FY27-Q2</v>
      </c>
      <c r="O644" t="str">
        <v>CY26-Q4</v>
      </c>
    </row>
    <row r="645" spans="10:15" x14ac:dyDescent="0.25">
      <c r="J645">
        <v>30</v>
      </c>
      <c r="K645">
        <v>1</v>
      </c>
      <c r="L645">
        <v>56171</v>
      </c>
      <c r="M645">
        <v>23443.279999999999</v>
      </c>
      <c r="N645" t="str">
        <v xml:space="preserve"> FY27-Q2</v>
      </c>
      <c r="O645" t="str">
        <v>CY26-Q4</v>
      </c>
    </row>
    <row r="646" spans="10:15" x14ac:dyDescent="0.25">
      <c r="J646">
        <v>30</v>
      </c>
      <c r="K646">
        <v>1</v>
      </c>
      <c r="L646">
        <v>56536</v>
      </c>
      <c r="M646">
        <v>23443.279999999999</v>
      </c>
      <c r="N646" t="str">
        <v xml:space="preserve"> FY27-Q2</v>
      </c>
      <c r="O646" t="str">
        <v>CY26-Q4</v>
      </c>
    </row>
    <row r="647" spans="10:15" x14ac:dyDescent="0.25">
      <c r="J647">
        <v>30</v>
      </c>
      <c r="K647">
        <v>1</v>
      </c>
      <c r="L647">
        <v>56901</v>
      </c>
      <c r="M647">
        <v>23443.279999999999</v>
      </c>
      <c r="N647" t="str">
        <v xml:space="preserve"> FY27-Q2</v>
      </c>
      <c r="O647" t="str">
        <v>CY26-Q4</v>
      </c>
    </row>
    <row r="648" spans="10:15" x14ac:dyDescent="0.25">
      <c r="J648">
        <v>30</v>
      </c>
      <c r="K648">
        <v>1</v>
      </c>
      <c r="L648">
        <v>57266</v>
      </c>
      <c r="M648">
        <v>23443.279999999999</v>
      </c>
      <c r="N648" t="str">
        <v xml:space="preserve"> FY27-Q2</v>
      </c>
      <c r="O648" t="str">
        <v>CY26-Q4</v>
      </c>
    </row>
    <row r="649" spans="10:15" x14ac:dyDescent="0.25">
      <c r="J649">
        <v>30</v>
      </c>
      <c r="K649">
        <v>1</v>
      </c>
      <c r="L649">
        <v>57631</v>
      </c>
      <c r="M649">
        <v>23443.279999999999</v>
      </c>
      <c r="N649" t="str">
        <v xml:space="preserve"> FY27-Q2</v>
      </c>
      <c r="O649" t="str">
        <v>CY26-Q4</v>
      </c>
    </row>
    <row r="650" spans="10:15" x14ac:dyDescent="0.25">
      <c r="J650">
        <v>30</v>
      </c>
      <c r="K650">
        <v>1</v>
      </c>
      <c r="L650">
        <v>57996</v>
      </c>
      <c r="M650">
        <v>23443.279999999999</v>
      </c>
      <c r="N650" t="str">
        <v xml:space="preserve"> FY27-Q2</v>
      </c>
      <c r="O650" t="str">
        <v>CY26-Q4</v>
      </c>
    </row>
    <row r="651" spans="10:15" x14ac:dyDescent="0.25">
      <c r="J651">
        <v>30</v>
      </c>
      <c r="K651">
        <v>1</v>
      </c>
      <c r="L651">
        <v>58361</v>
      </c>
      <c r="M651">
        <v>23443.279999999999</v>
      </c>
      <c r="N651" t="str">
        <v xml:space="preserve"> FY27-Q2</v>
      </c>
      <c r="O651" t="str">
        <v>CY26-Q4</v>
      </c>
    </row>
    <row r="652" spans="10:15" x14ac:dyDescent="0.25">
      <c r="J652">
        <v>30</v>
      </c>
      <c r="K652">
        <v>1</v>
      </c>
      <c r="L652">
        <v>58726</v>
      </c>
      <c r="M652">
        <v>23443.279999999999</v>
      </c>
      <c r="N652" t="str">
        <v xml:space="preserve"> FY27-Q2</v>
      </c>
      <c r="O652" t="str">
        <v>CY26-Q4</v>
      </c>
    </row>
    <row r="653" spans="10:15" x14ac:dyDescent="0.25">
      <c r="J653">
        <v>30</v>
      </c>
      <c r="K653">
        <v>1</v>
      </c>
      <c r="L653">
        <v>59091</v>
      </c>
      <c r="M653">
        <v>23443.279999999999</v>
      </c>
      <c r="N653" t="str">
        <v xml:space="preserve"> FY27-Q2</v>
      </c>
      <c r="O653" t="str">
        <v>CY26-Q4</v>
      </c>
    </row>
    <row r="654" spans="10:15" x14ac:dyDescent="0.25">
      <c r="J654">
        <v>30</v>
      </c>
      <c r="K654">
        <v>1</v>
      </c>
      <c r="L654">
        <v>59456</v>
      </c>
      <c r="M654">
        <v>23443.279999999999</v>
      </c>
      <c r="N654" t="str">
        <v xml:space="preserve"> FY27-Q2</v>
      </c>
      <c r="O654" t="str">
        <v>CY26-Q4</v>
      </c>
    </row>
    <row r="655" spans="10:15" x14ac:dyDescent="0.25">
      <c r="J655">
        <v>30</v>
      </c>
      <c r="K655">
        <v>1</v>
      </c>
      <c r="L655">
        <v>59821</v>
      </c>
      <c r="M655">
        <v>23443.279999999999</v>
      </c>
      <c r="N655" t="str">
        <v xml:space="preserve"> FY27-Q2</v>
      </c>
      <c r="O655" t="str">
        <v>CY26-Q4</v>
      </c>
    </row>
    <row r="656" spans="10:15" x14ac:dyDescent="0.25">
      <c r="J656">
        <v>30</v>
      </c>
      <c r="K656">
        <v>1</v>
      </c>
      <c r="L656">
        <v>60186</v>
      </c>
      <c r="M656">
        <v>23443.279999999999</v>
      </c>
      <c r="N656" t="str">
        <v xml:space="preserve"> FY27-Q2</v>
      </c>
      <c r="O656" t="str">
        <v>CY26-Q4</v>
      </c>
    </row>
    <row r="657" spans="10:15" x14ac:dyDescent="0.25">
      <c r="J657">
        <v>30</v>
      </c>
      <c r="K657">
        <v>1</v>
      </c>
      <c r="L657">
        <v>60551</v>
      </c>
      <c r="M657">
        <v>23443.279999999999</v>
      </c>
      <c r="N657" t="str">
        <v xml:space="preserve"> FY27-Q2</v>
      </c>
      <c r="O657" t="str">
        <v>CY26-Q4</v>
      </c>
    </row>
    <row r="658" spans="10:15" x14ac:dyDescent="0.25">
      <c r="J658">
        <v>30</v>
      </c>
      <c r="K658">
        <v>1</v>
      </c>
      <c r="L658">
        <v>60916</v>
      </c>
      <c r="M658">
        <v>23443.279999999999</v>
      </c>
      <c r="N658" t="str">
        <v xml:space="preserve"> FY27-Q2</v>
      </c>
      <c r="O658" t="str">
        <v>CY26-Q4</v>
      </c>
    </row>
    <row r="659" spans="10:15" x14ac:dyDescent="0.25">
      <c r="J659">
        <v>30</v>
      </c>
      <c r="K659">
        <v>1</v>
      </c>
      <c r="L659">
        <v>61281</v>
      </c>
      <c r="M659">
        <v>23443.279999999999</v>
      </c>
      <c r="N659" t="str">
        <v xml:space="preserve"> FY27-Q2</v>
      </c>
      <c r="O659" t="str">
        <v>CY26-Q4</v>
      </c>
    </row>
    <row r="660" spans="10:15" x14ac:dyDescent="0.25">
      <c r="J660">
        <v>30</v>
      </c>
      <c r="K660">
        <v>1</v>
      </c>
      <c r="L660">
        <v>61646</v>
      </c>
      <c r="M660">
        <v>23443.279999999999</v>
      </c>
      <c r="N660" t="str">
        <v xml:space="preserve"> FY27-Q2</v>
      </c>
      <c r="O660" t="str">
        <v>CY26-Q4</v>
      </c>
    </row>
    <row r="661" spans="10:15" x14ac:dyDescent="0.25">
      <c r="J661">
        <v>30</v>
      </c>
      <c r="K661">
        <v>1</v>
      </c>
      <c r="L661">
        <v>62011</v>
      </c>
      <c r="M661">
        <v>23443.279999999999</v>
      </c>
      <c r="N661" t="str">
        <v xml:space="preserve"> FY27-Q2</v>
      </c>
      <c r="O661" t="str">
        <v>CY26-Q4</v>
      </c>
    </row>
    <row r="662" spans="10:15" x14ac:dyDescent="0.25">
      <c r="J662">
        <v>30</v>
      </c>
      <c r="K662">
        <v>1</v>
      </c>
      <c r="L662">
        <v>62376</v>
      </c>
      <c r="M662">
        <v>23443.279999999999</v>
      </c>
      <c r="N662" t="str">
        <v xml:space="preserve"> FY27-Q2</v>
      </c>
      <c r="O662" t="str">
        <v>CY26-Q4</v>
      </c>
    </row>
    <row r="663" spans="10:15" x14ac:dyDescent="0.25">
      <c r="J663">
        <v>30</v>
      </c>
      <c r="K663">
        <v>1</v>
      </c>
      <c r="L663">
        <v>62741</v>
      </c>
      <c r="M663">
        <v>23443.279999999999</v>
      </c>
      <c r="N663" t="str">
        <v xml:space="preserve"> FY27-Q2</v>
      </c>
      <c r="O663" t="str">
        <v>CY26-Q4</v>
      </c>
    </row>
    <row r="664" spans="10:15" x14ac:dyDescent="0.25">
      <c r="J664">
        <v>30</v>
      </c>
      <c r="K664">
        <v>1</v>
      </c>
      <c r="L664">
        <v>63106</v>
      </c>
      <c r="M664">
        <v>23443.279999999999</v>
      </c>
      <c r="N664" t="str">
        <v xml:space="preserve"> FY27-Q2</v>
      </c>
      <c r="O664" t="str">
        <v>CY26-Q4</v>
      </c>
    </row>
    <row r="665" spans="10:15" x14ac:dyDescent="0.25">
      <c r="J665">
        <v>30</v>
      </c>
      <c r="K665">
        <v>1</v>
      </c>
      <c r="L665">
        <v>63471</v>
      </c>
      <c r="M665">
        <v>23443.279999999999</v>
      </c>
      <c r="N665" t="str">
        <v xml:space="preserve"> FY27-Q2</v>
      </c>
      <c r="O665" t="str">
        <v>CY26-Q4</v>
      </c>
    </row>
    <row r="666" spans="10:15" x14ac:dyDescent="0.25">
      <c r="J666">
        <v>30</v>
      </c>
      <c r="K666">
        <v>1</v>
      </c>
      <c r="L666">
        <v>63836</v>
      </c>
      <c r="M666">
        <v>23443.279999999999</v>
      </c>
      <c r="N666" t="str">
        <v xml:space="preserve"> FY27-Q2</v>
      </c>
      <c r="O666" t="str">
        <v>CY26-Q4</v>
      </c>
    </row>
    <row r="667" spans="10:15" x14ac:dyDescent="0.25">
      <c r="J667">
        <v>30</v>
      </c>
      <c r="K667">
        <v>1</v>
      </c>
      <c r="L667">
        <v>64201</v>
      </c>
      <c r="M667">
        <v>23443.279999999999</v>
      </c>
      <c r="N667" t="str">
        <v xml:space="preserve"> FY27-Q2</v>
      </c>
      <c r="O667" t="str">
        <v>CY26-Q4</v>
      </c>
    </row>
    <row r="668" spans="10:15" x14ac:dyDescent="0.25">
      <c r="J668">
        <v>31</v>
      </c>
      <c r="K668">
        <v>15</v>
      </c>
      <c r="L668">
        <v>46164</v>
      </c>
      <c r="M668">
        <v>192216.25</v>
      </c>
      <c r="N668" t="str">
        <v xml:space="preserve"> FY26-Q4</v>
      </c>
      <c r="O668" t="str">
        <v>CY26-Q2</v>
      </c>
    </row>
    <row r="669" spans="10:15" x14ac:dyDescent="0.25">
      <c r="J669">
        <v>31</v>
      </c>
      <c r="K669">
        <v>15</v>
      </c>
      <c r="L669">
        <v>46346</v>
      </c>
      <c r="M669">
        <v>192216.25</v>
      </c>
      <c r="N669" t="str">
        <v xml:space="preserve"> FY26-Q4</v>
      </c>
      <c r="O669" t="str">
        <v>CY26-Q2</v>
      </c>
    </row>
    <row r="670" spans="10:15" x14ac:dyDescent="0.25">
      <c r="J670">
        <v>31</v>
      </c>
      <c r="K670">
        <v>15</v>
      </c>
      <c r="L670">
        <v>46528</v>
      </c>
      <c r="M670">
        <v>192216.25</v>
      </c>
      <c r="N670" t="str">
        <v xml:space="preserve"> FY26-Q4</v>
      </c>
      <c r="O670" t="str">
        <v>CY26-Q2</v>
      </c>
    </row>
    <row r="671" spans="10:15" x14ac:dyDescent="0.25">
      <c r="J671">
        <v>31</v>
      </c>
      <c r="K671">
        <v>15</v>
      </c>
      <c r="L671">
        <v>46710</v>
      </c>
      <c r="M671">
        <v>192216.25</v>
      </c>
      <c r="N671" t="str">
        <v xml:space="preserve"> FY26-Q4</v>
      </c>
      <c r="O671" t="str">
        <v>CY26-Q2</v>
      </c>
    </row>
    <row r="672" spans="10:15" x14ac:dyDescent="0.25">
      <c r="J672">
        <v>32</v>
      </c>
      <c r="K672">
        <v>29</v>
      </c>
      <c r="L672">
        <v>45953</v>
      </c>
      <c r="M672">
        <v>23182.033333333333</v>
      </c>
      <c r="N672" t="str">
        <v xml:space="preserve"> FY26-Q2</v>
      </c>
      <c r="O672" t="str">
        <v>CY25-Q4</v>
      </c>
    </row>
    <row r="673" spans="10:15" x14ac:dyDescent="0.25">
      <c r="J673">
        <v>32</v>
      </c>
      <c r="K673">
        <v>29</v>
      </c>
      <c r="L673">
        <v>46318</v>
      </c>
      <c r="M673">
        <v>23182.033333333333</v>
      </c>
      <c r="N673" t="str">
        <v xml:space="preserve"> FY26-Q2</v>
      </c>
      <c r="O673" t="str">
        <v>CY25-Q4</v>
      </c>
    </row>
    <row r="674" spans="10:15" x14ac:dyDescent="0.25">
      <c r="J674">
        <v>32</v>
      </c>
      <c r="K674">
        <v>29</v>
      </c>
      <c r="L674">
        <v>46683</v>
      </c>
      <c r="M674">
        <v>23182.033333333333</v>
      </c>
      <c r="N674" t="str">
        <v xml:space="preserve"> FY26-Q2</v>
      </c>
      <c r="O674" t="str">
        <v>CY25-Q4</v>
      </c>
    </row>
    <row r="675" spans="10:15" x14ac:dyDescent="0.25">
      <c r="J675">
        <v>32</v>
      </c>
      <c r="K675">
        <v>29</v>
      </c>
      <c r="L675">
        <v>47048</v>
      </c>
      <c r="M675">
        <v>23182.033333333333</v>
      </c>
      <c r="N675" t="str">
        <v xml:space="preserve"> FY26-Q2</v>
      </c>
      <c r="O675" t="str">
        <v>CY25-Q4</v>
      </c>
    </row>
    <row r="676" spans="10:15" x14ac:dyDescent="0.25">
      <c r="J676">
        <v>32</v>
      </c>
      <c r="K676">
        <v>29</v>
      </c>
      <c r="L676">
        <v>47413</v>
      </c>
      <c r="M676">
        <v>23182.033333333333</v>
      </c>
      <c r="N676" t="str">
        <v xml:space="preserve"> FY26-Q2</v>
      </c>
      <c r="O676" t="str">
        <v>CY25-Q4</v>
      </c>
    </row>
    <row r="677" spans="10:15" x14ac:dyDescent="0.25">
      <c r="J677">
        <v>32</v>
      </c>
      <c r="K677">
        <v>29</v>
      </c>
      <c r="L677">
        <v>47778</v>
      </c>
      <c r="M677">
        <v>23182.033333333333</v>
      </c>
      <c r="N677" t="str">
        <v xml:space="preserve"> FY26-Q2</v>
      </c>
      <c r="O677" t="str">
        <v>CY25-Q4</v>
      </c>
    </row>
    <row r="678" spans="10:15" x14ac:dyDescent="0.25">
      <c r="J678">
        <v>32</v>
      </c>
      <c r="K678">
        <v>29</v>
      </c>
      <c r="L678">
        <v>48143</v>
      </c>
      <c r="M678">
        <v>23182.033333333333</v>
      </c>
      <c r="N678" t="str">
        <v xml:space="preserve"> FY26-Q2</v>
      </c>
      <c r="O678" t="str">
        <v>CY25-Q4</v>
      </c>
    </row>
    <row r="679" spans="10:15" x14ac:dyDescent="0.25">
      <c r="J679">
        <v>32</v>
      </c>
      <c r="K679">
        <v>29</v>
      </c>
      <c r="L679">
        <v>48508</v>
      </c>
      <c r="M679">
        <v>23182.033333333333</v>
      </c>
      <c r="N679" t="str">
        <v xml:space="preserve"> FY26-Q2</v>
      </c>
      <c r="O679" t="str">
        <v>CY25-Q4</v>
      </c>
    </row>
    <row r="680" spans="10:15" x14ac:dyDescent="0.25">
      <c r="J680">
        <v>32</v>
      </c>
      <c r="K680">
        <v>29</v>
      </c>
      <c r="L680">
        <v>48873</v>
      </c>
      <c r="M680">
        <v>23182.033333333333</v>
      </c>
      <c r="N680" t="str">
        <v xml:space="preserve"> FY26-Q2</v>
      </c>
      <c r="O680" t="str">
        <v>CY25-Q4</v>
      </c>
    </row>
    <row r="681" spans="10:15" x14ac:dyDescent="0.25">
      <c r="J681">
        <v>32</v>
      </c>
      <c r="K681">
        <v>29</v>
      </c>
      <c r="L681">
        <v>49238</v>
      </c>
      <c r="M681">
        <v>23182.033333333333</v>
      </c>
      <c r="N681" t="str">
        <v xml:space="preserve"> FY26-Q2</v>
      </c>
      <c r="O681" t="str">
        <v>CY25-Q4</v>
      </c>
    </row>
    <row r="682" spans="10:15" x14ac:dyDescent="0.25">
      <c r="J682">
        <v>32</v>
      </c>
      <c r="K682">
        <v>29</v>
      </c>
      <c r="L682">
        <v>49603</v>
      </c>
      <c r="M682">
        <v>23182.033333333333</v>
      </c>
      <c r="N682" t="str">
        <v xml:space="preserve"> FY26-Q2</v>
      </c>
      <c r="O682" t="str">
        <v>CY25-Q4</v>
      </c>
    </row>
    <row r="683" spans="10:15" x14ac:dyDescent="0.25">
      <c r="J683">
        <v>32</v>
      </c>
      <c r="K683">
        <v>29</v>
      </c>
      <c r="L683">
        <v>49968</v>
      </c>
      <c r="M683">
        <v>23182.033333333333</v>
      </c>
      <c r="N683" t="str">
        <v xml:space="preserve"> FY26-Q2</v>
      </c>
      <c r="O683" t="str">
        <v>CY25-Q4</v>
      </c>
    </row>
    <row r="684" spans="10:15" x14ac:dyDescent="0.25">
      <c r="J684">
        <v>32</v>
      </c>
      <c r="K684">
        <v>29</v>
      </c>
      <c r="L684">
        <v>50333</v>
      </c>
      <c r="M684">
        <v>23182.033333333333</v>
      </c>
      <c r="N684" t="str">
        <v xml:space="preserve"> FY26-Q2</v>
      </c>
      <c r="O684" t="str">
        <v>CY25-Q4</v>
      </c>
    </row>
    <row r="685" spans="10:15" x14ac:dyDescent="0.25">
      <c r="J685">
        <v>32</v>
      </c>
      <c r="K685">
        <v>29</v>
      </c>
      <c r="L685">
        <v>50698</v>
      </c>
      <c r="M685">
        <v>23182.033333333333</v>
      </c>
      <c r="N685" t="str">
        <v xml:space="preserve"> FY26-Q2</v>
      </c>
      <c r="O685" t="str">
        <v>CY25-Q4</v>
      </c>
    </row>
    <row r="686" spans="10:15" x14ac:dyDescent="0.25">
      <c r="J686">
        <v>32</v>
      </c>
      <c r="K686">
        <v>29</v>
      </c>
      <c r="L686">
        <v>51063</v>
      </c>
      <c r="M686">
        <v>23182.033333333333</v>
      </c>
      <c r="N686" t="str">
        <v xml:space="preserve"> FY26-Q2</v>
      </c>
      <c r="O686" t="str">
        <v>CY25-Q4</v>
      </c>
    </row>
    <row r="687" spans="10:15" x14ac:dyDescent="0.25">
      <c r="J687">
        <v>32</v>
      </c>
      <c r="K687">
        <v>29</v>
      </c>
      <c r="L687">
        <v>51428</v>
      </c>
      <c r="M687">
        <v>23182.033333333333</v>
      </c>
      <c r="N687" t="str">
        <v xml:space="preserve"> FY26-Q2</v>
      </c>
      <c r="O687" t="str">
        <v>CY25-Q4</v>
      </c>
    </row>
    <row r="688" spans="10:15" x14ac:dyDescent="0.25">
      <c r="J688">
        <v>32</v>
      </c>
      <c r="K688">
        <v>29</v>
      </c>
      <c r="L688">
        <v>51793</v>
      </c>
      <c r="M688">
        <v>23182.033333333333</v>
      </c>
      <c r="N688" t="str">
        <v xml:space="preserve"> FY26-Q2</v>
      </c>
      <c r="O688" t="str">
        <v>CY25-Q4</v>
      </c>
    </row>
    <row r="689" spans="10:15" x14ac:dyDescent="0.25">
      <c r="J689">
        <v>32</v>
      </c>
      <c r="K689">
        <v>29</v>
      </c>
      <c r="L689">
        <v>52158</v>
      </c>
      <c r="M689">
        <v>23182.033333333333</v>
      </c>
      <c r="N689" t="str">
        <v xml:space="preserve"> FY26-Q2</v>
      </c>
      <c r="O689" t="str">
        <v>CY25-Q4</v>
      </c>
    </row>
    <row r="690" spans="10:15" x14ac:dyDescent="0.25">
      <c r="J690">
        <v>32</v>
      </c>
      <c r="K690">
        <v>29</v>
      </c>
      <c r="L690">
        <v>52523</v>
      </c>
      <c r="M690">
        <v>23182.033333333333</v>
      </c>
      <c r="N690" t="str">
        <v xml:space="preserve"> FY26-Q2</v>
      </c>
      <c r="O690" t="str">
        <v>CY25-Q4</v>
      </c>
    </row>
    <row r="691" spans="10:15" x14ac:dyDescent="0.25">
      <c r="J691">
        <v>32</v>
      </c>
      <c r="K691">
        <v>29</v>
      </c>
      <c r="L691">
        <v>52888</v>
      </c>
      <c r="M691">
        <v>23182.033333333333</v>
      </c>
      <c r="N691" t="str">
        <v xml:space="preserve"> FY26-Q2</v>
      </c>
      <c r="O691" t="str">
        <v>CY25-Q4</v>
      </c>
    </row>
    <row r="692" spans="10:15" x14ac:dyDescent="0.25">
      <c r="J692">
        <v>32</v>
      </c>
      <c r="K692">
        <v>29</v>
      </c>
      <c r="L692">
        <v>53253</v>
      </c>
      <c r="M692">
        <v>23182.033333333333</v>
      </c>
      <c r="N692" t="str">
        <v xml:space="preserve"> FY26-Q2</v>
      </c>
      <c r="O692" t="str">
        <v>CY25-Q4</v>
      </c>
    </row>
    <row r="693" spans="10:15" x14ac:dyDescent="0.25">
      <c r="J693">
        <v>32</v>
      </c>
      <c r="K693">
        <v>29</v>
      </c>
      <c r="L693">
        <v>53618</v>
      </c>
      <c r="M693">
        <v>23182.033333333333</v>
      </c>
      <c r="N693" t="str">
        <v xml:space="preserve"> FY26-Q2</v>
      </c>
      <c r="O693" t="str">
        <v>CY25-Q4</v>
      </c>
    </row>
    <row r="694" spans="10:15" x14ac:dyDescent="0.25">
      <c r="J694">
        <v>32</v>
      </c>
      <c r="K694">
        <v>29</v>
      </c>
      <c r="L694">
        <v>53983</v>
      </c>
      <c r="M694">
        <v>23182.033333333333</v>
      </c>
      <c r="N694" t="str">
        <v xml:space="preserve"> FY26-Q2</v>
      </c>
      <c r="O694" t="str">
        <v>CY25-Q4</v>
      </c>
    </row>
    <row r="695" spans="10:15" x14ac:dyDescent="0.25">
      <c r="J695">
        <v>32</v>
      </c>
      <c r="K695">
        <v>29</v>
      </c>
      <c r="L695">
        <v>54348</v>
      </c>
      <c r="M695">
        <v>23182.033333333333</v>
      </c>
      <c r="N695" t="str">
        <v xml:space="preserve"> FY26-Q2</v>
      </c>
      <c r="O695" t="str">
        <v>CY25-Q4</v>
      </c>
    </row>
    <row r="696" spans="10:15" x14ac:dyDescent="0.25">
      <c r="J696">
        <v>32</v>
      </c>
      <c r="K696">
        <v>29</v>
      </c>
      <c r="L696">
        <v>54713</v>
      </c>
      <c r="M696">
        <v>23182.033333333333</v>
      </c>
      <c r="N696" t="str">
        <v xml:space="preserve"> FY26-Q2</v>
      </c>
      <c r="O696" t="str">
        <v>CY25-Q4</v>
      </c>
    </row>
    <row r="697" spans="10:15" x14ac:dyDescent="0.25">
      <c r="J697">
        <v>32</v>
      </c>
      <c r="K697">
        <v>29</v>
      </c>
      <c r="L697">
        <v>55078</v>
      </c>
      <c r="M697">
        <v>23182.033333333333</v>
      </c>
      <c r="N697" t="str">
        <v xml:space="preserve"> FY26-Q2</v>
      </c>
      <c r="O697" t="str">
        <v>CY25-Q4</v>
      </c>
    </row>
    <row r="698" spans="10:15" x14ac:dyDescent="0.25">
      <c r="J698">
        <v>32</v>
      </c>
      <c r="K698">
        <v>29</v>
      </c>
      <c r="L698">
        <v>55443</v>
      </c>
      <c r="M698">
        <v>23182.033333333333</v>
      </c>
      <c r="N698" t="str">
        <v xml:space="preserve"> FY26-Q2</v>
      </c>
      <c r="O698" t="str">
        <v>CY25-Q4</v>
      </c>
    </row>
    <row r="699" spans="10:15" x14ac:dyDescent="0.25">
      <c r="J699">
        <v>32</v>
      </c>
      <c r="K699">
        <v>29</v>
      </c>
      <c r="L699">
        <v>55808</v>
      </c>
      <c r="M699">
        <v>23182.033333333333</v>
      </c>
      <c r="N699" t="str">
        <v xml:space="preserve"> FY26-Q2</v>
      </c>
      <c r="O699" t="str">
        <v>CY25-Q4</v>
      </c>
    </row>
    <row r="700" spans="10:15" x14ac:dyDescent="0.25">
      <c r="J700">
        <v>32</v>
      </c>
      <c r="K700">
        <v>29</v>
      </c>
      <c r="L700">
        <v>56173</v>
      </c>
      <c r="M700">
        <v>23182.033333333333</v>
      </c>
      <c r="N700" t="str">
        <v xml:space="preserve"> FY26-Q2</v>
      </c>
      <c r="O700" t="str">
        <v>CY25-Q4</v>
      </c>
    </row>
    <row r="701" spans="10:15" x14ac:dyDescent="0.25">
      <c r="J701">
        <v>32</v>
      </c>
      <c r="K701">
        <v>29</v>
      </c>
      <c r="L701">
        <v>56538</v>
      </c>
      <c r="M701">
        <v>23182.033333333333</v>
      </c>
      <c r="N701" t="str">
        <v xml:space="preserve"> FY26-Q2</v>
      </c>
      <c r="O701" t="str">
        <v>CY25-Q4</v>
      </c>
    </row>
    <row r="702" spans="10:15" x14ac:dyDescent="0.25">
      <c r="J702">
        <v>33</v>
      </c>
      <c r="K702">
        <v>3</v>
      </c>
      <c r="L702">
        <v>46013</v>
      </c>
      <c r="M702">
        <v>40797.104166666664</v>
      </c>
      <c r="N702" t="str">
        <v xml:space="preserve"> FY26-Q2</v>
      </c>
      <c r="O702" t="str">
        <v>CY25-Q4</v>
      </c>
    </row>
    <row r="703" spans="10:15" x14ac:dyDescent="0.25">
      <c r="J703">
        <v>33</v>
      </c>
      <c r="K703">
        <v>3</v>
      </c>
      <c r="L703">
        <v>46378</v>
      </c>
      <c r="M703">
        <v>40797.104166666664</v>
      </c>
      <c r="N703" t="str">
        <v xml:space="preserve"> FY26-Q2</v>
      </c>
      <c r="O703" t="str">
        <v>CY25-Q4</v>
      </c>
    </row>
    <row r="704" spans="10:15" x14ac:dyDescent="0.25">
      <c r="J704">
        <v>33</v>
      </c>
      <c r="K704">
        <v>3</v>
      </c>
      <c r="L704">
        <v>46743</v>
      </c>
      <c r="M704">
        <v>40797.104166666664</v>
      </c>
      <c r="N704" t="str">
        <v xml:space="preserve"> FY26-Q2</v>
      </c>
      <c r="O704" t="str">
        <v>CY25-Q4</v>
      </c>
    </row>
    <row r="705" spans="10:15" x14ac:dyDescent="0.25">
      <c r="J705">
        <v>33</v>
      </c>
      <c r="K705">
        <v>3</v>
      </c>
      <c r="L705">
        <v>47108</v>
      </c>
      <c r="M705">
        <v>40797.104166666664</v>
      </c>
      <c r="N705" t="str">
        <v xml:space="preserve"> FY26-Q2</v>
      </c>
      <c r="O705" t="str">
        <v>CY25-Q4</v>
      </c>
    </row>
    <row r="706" spans="10:15" x14ac:dyDescent="0.25">
      <c r="J706">
        <v>33</v>
      </c>
      <c r="K706">
        <v>3</v>
      </c>
      <c r="L706">
        <v>47473</v>
      </c>
      <c r="M706">
        <v>40797.104166666664</v>
      </c>
      <c r="N706" t="str">
        <v xml:space="preserve"> FY26-Q2</v>
      </c>
      <c r="O706" t="str">
        <v>CY25-Q4</v>
      </c>
    </row>
    <row r="707" spans="10:15" x14ac:dyDescent="0.25">
      <c r="J707">
        <v>33</v>
      </c>
      <c r="K707">
        <v>3</v>
      </c>
      <c r="L707">
        <v>47838</v>
      </c>
      <c r="M707">
        <v>40797.104166666664</v>
      </c>
      <c r="N707" t="str">
        <v xml:space="preserve"> FY26-Q2</v>
      </c>
      <c r="O707" t="str">
        <v>CY25-Q4</v>
      </c>
    </row>
    <row r="708" spans="10:15" x14ac:dyDescent="0.25">
      <c r="J708">
        <v>33</v>
      </c>
      <c r="K708">
        <v>3</v>
      </c>
      <c r="L708">
        <v>48203</v>
      </c>
      <c r="M708">
        <v>40797.104166666664</v>
      </c>
      <c r="N708" t="str">
        <v xml:space="preserve"> FY26-Q2</v>
      </c>
      <c r="O708" t="str">
        <v>CY25-Q4</v>
      </c>
    </row>
    <row r="709" spans="10:15" x14ac:dyDescent="0.25">
      <c r="J709">
        <v>33</v>
      </c>
      <c r="K709">
        <v>3</v>
      </c>
      <c r="L709">
        <v>48568</v>
      </c>
      <c r="M709">
        <v>40797.104166666664</v>
      </c>
      <c r="N709" t="str">
        <v xml:space="preserve"> FY26-Q2</v>
      </c>
      <c r="O709" t="str">
        <v>CY25-Q4</v>
      </c>
    </row>
    <row r="710" spans="10:15" x14ac:dyDescent="0.25">
      <c r="J710">
        <v>33</v>
      </c>
      <c r="K710">
        <v>3</v>
      </c>
      <c r="L710">
        <v>48933</v>
      </c>
      <c r="M710">
        <v>40797.104166666664</v>
      </c>
      <c r="N710" t="str">
        <v xml:space="preserve"> FY26-Q2</v>
      </c>
      <c r="O710" t="str">
        <v>CY25-Q4</v>
      </c>
    </row>
    <row r="711" spans="10:15" x14ac:dyDescent="0.25">
      <c r="J711">
        <v>33</v>
      </c>
      <c r="K711">
        <v>3</v>
      </c>
      <c r="L711">
        <v>49298</v>
      </c>
      <c r="M711">
        <v>40797.104166666664</v>
      </c>
      <c r="N711" t="str">
        <v xml:space="preserve"> FY26-Q2</v>
      </c>
      <c r="O711" t="str">
        <v>CY25-Q4</v>
      </c>
    </row>
    <row r="712" spans="10:15" x14ac:dyDescent="0.25">
      <c r="J712">
        <v>33</v>
      </c>
      <c r="K712">
        <v>3</v>
      </c>
      <c r="L712">
        <v>49663</v>
      </c>
      <c r="M712">
        <v>40797.104166666664</v>
      </c>
      <c r="N712" t="str">
        <v xml:space="preserve"> FY26-Q2</v>
      </c>
      <c r="O712" t="str">
        <v>CY25-Q4</v>
      </c>
    </row>
    <row r="713" spans="10:15" x14ac:dyDescent="0.25">
      <c r="J713">
        <v>33</v>
      </c>
      <c r="K713">
        <v>3</v>
      </c>
      <c r="L713">
        <v>50028</v>
      </c>
      <c r="M713">
        <v>40797.104166666664</v>
      </c>
      <c r="N713" t="str">
        <v xml:space="preserve"> FY26-Q2</v>
      </c>
      <c r="O713" t="str">
        <v>CY25-Q4</v>
      </c>
    </row>
    <row r="714" spans="10:15" x14ac:dyDescent="0.25">
      <c r="J714">
        <v>33</v>
      </c>
      <c r="K714">
        <v>3</v>
      </c>
      <c r="L714">
        <v>50393</v>
      </c>
      <c r="M714">
        <v>40797.104166666664</v>
      </c>
      <c r="N714" t="str">
        <v xml:space="preserve"> FY26-Q2</v>
      </c>
      <c r="O714" t="str">
        <v>CY25-Q4</v>
      </c>
    </row>
    <row r="715" spans="10:15" x14ac:dyDescent="0.25">
      <c r="J715">
        <v>33</v>
      </c>
      <c r="K715">
        <v>3</v>
      </c>
      <c r="L715">
        <v>50758</v>
      </c>
      <c r="M715">
        <v>40797.104166666664</v>
      </c>
      <c r="N715" t="str">
        <v xml:space="preserve"> FY26-Q2</v>
      </c>
      <c r="O715" t="str">
        <v>CY25-Q4</v>
      </c>
    </row>
    <row r="716" spans="10:15" x14ac:dyDescent="0.25">
      <c r="J716">
        <v>33</v>
      </c>
      <c r="K716">
        <v>3</v>
      </c>
      <c r="L716">
        <v>51123</v>
      </c>
      <c r="M716">
        <v>40797.104166666664</v>
      </c>
      <c r="N716" t="str">
        <v xml:space="preserve"> FY26-Q2</v>
      </c>
      <c r="O716" t="str">
        <v>CY25-Q4</v>
      </c>
    </row>
    <row r="717" spans="10:15" x14ac:dyDescent="0.25">
      <c r="J717">
        <v>33</v>
      </c>
      <c r="K717">
        <v>3</v>
      </c>
      <c r="L717">
        <v>51488</v>
      </c>
      <c r="M717">
        <v>40797.104166666664</v>
      </c>
      <c r="N717" t="str">
        <v xml:space="preserve"> FY26-Q2</v>
      </c>
      <c r="O717" t="str">
        <v>CY25-Q4</v>
      </c>
    </row>
    <row r="718" spans="10:15" x14ac:dyDescent="0.25">
      <c r="J718">
        <v>33</v>
      </c>
      <c r="K718">
        <v>3</v>
      </c>
      <c r="L718">
        <v>51853</v>
      </c>
      <c r="M718">
        <v>40797.104166666664</v>
      </c>
      <c r="N718" t="str">
        <v xml:space="preserve"> FY26-Q2</v>
      </c>
      <c r="O718" t="str">
        <v>CY25-Q4</v>
      </c>
    </row>
    <row r="719" spans="10:15" x14ac:dyDescent="0.25">
      <c r="J719">
        <v>33</v>
      </c>
      <c r="K719">
        <v>3</v>
      </c>
      <c r="L719">
        <v>52218</v>
      </c>
      <c r="M719">
        <v>40797.104166666664</v>
      </c>
      <c r="N719" t="str">
        <v xml:space="preserve"> FY26-Q2</v>
      </c>
      <c r="O719" t="str">
        <v>CY25-Q4</v>
      </c>
    </row>
    <row r="720" spans="10:15" x14ac:dyDescent="0.25">
      <c r="J720">
        <v>33</v>
      </c>
      <c r="K720">
        <v>3</v>
      </c>
      <c r="L720">
        <v>52583</v>
      </c>
      <c r="M720">
        <v>40797.104166666664</v>
      </c>
      <c r="N720" t="str">
        <v xml:space="preserve"> FY26-Q2</v>
      </c>
      <c r="O720" t="str">
        <v>CY25-Q4</v>
      </c>
    </row>
    <row r="721" spans="10:15" x14ac:dyDescent="0.25">
      <c r="J721">
        <v>33</v>
      </c>
      <c r="K721">
        <v>3</v>
      </c>
      <c r="L721">
        <v>52948</v>
      </c>
      <c r="M721">
        <v>40797.104166666664</v>
      </c>
      <c r="N721" t="str">
        <v xml:space="preserve"> FY26-Q2</v>
      </c>
      <c r="O721" t="str">
        <v>CY25-Q4</v>
      </c>
    </row>
    <row r="722" spans="10:15" x14ac:dyDescent="0.25">
      <c r="J722">
        <v>33</v>
      </c>
      <c r="K722">
        <v>3</v>
      </c>
      <c r="L722">
        <v>53313</v>
      </c>
      <c r="M722">
        <v>40797.104166666664</v>
      </c>
      <c r="N722" t="str">
        <v xml:space="preserve"> FY26-Q2</v>
      </c>
      <c r="O722" t="str">
        <v>CY25-Q4</v>
      </c>
    </row>
    <row r="723" spans="10:15" x14ac:dyDescent="0.25">
      <c r="J723">
        <v>33</v>
      </c>
      <c r="K723">
        <v>3</v>
      </c>
      <c r="L723">
        <v>53678</v>
      </c>
      <c r="M723">
        <v>40797.104166666664</v>
      </c>
      <c r="N723" t="str">
        <v xml:space="preserve"> FY26-Q2</v>
      </c>
      <c r="O723" t="str">
        <v>CY25-Q4</v>
      </c>
    </row>
    <row r="724" spans="10:15" x14ac:dyDescent="0.25">
      <c r="J724">
        <v>33</v>
      </c>
      <c r="K724">
        <v>3</v>
      </c>
      <c r="L724">
        <v>54043</v>
      </c>
      <c r="M724">
        <v>40797.104166666664</v>
      </c>
      <c r="N724" t="str">
        <v xml:space="preserve"> FY26-Q2</v>
      </c>
      <c r="O724" t="str">
        <v>CY25-Q4</v>
      </c>
    </row>
    <row r="725" spans="10:15" x14ac:dyDescent="0.25">
      <c r="J725">
        <v>33</v>
      </c>
      <c r="K725">
        <v>3</v>
      </c>
      <c r="L725">
        <v>54408</v>
      </c>
      <c r="M725">
        <v>40797.104166666664</v>
      </c>
      <c r="N725" t="str">
        <v xml:space="preserve"> FY26-Q2</v>
      </c>
      <c r="O725" t="str">
        <v>CY25-Q4</v>
      </c>
    </row>
    <row r="726" spans="10:15" x14ac:dyDescent="0.25">
      <c r="J726">
        <v>33</v>
      </c>
      <c r="K726">
        <v>3</v>
      </c>
      <c r="L726">
        <v>54773</v>
      </c>
      <c r="M726">
        <v>40797.104166666664</v>
      </c>
      <c r="N726" t="str">
        <v xml:space="preserve"> FY26-Q2</v>
      </c>
      <c r="O726" t="str">
        <v>CY25-Q4</v>
      </c>
    </row>
    <row r="727" spans="10:15" x14ac:dyDescent="0.25">
      <c r="J727">
        <v>33</v>
      </c>
      <c r="K727">
        <v>3</v>
      </c>
      <c r="L727">
        <v>55138</v>
      </c>
      <c r="M727">
        <v>40797.104166666664</v>
      </c>
      <c r="N727" t="str">
        <v xml:space="preserve"> FY26-Q2</v>
      </c>
      <c r="O727" t="str">
        <v>CY25-Q4</v>
      </c>
    </row>
    <row r="728" spans="10:15" x14ac:dyDescent="0.25">
      <c r="J728">
        <v>33</v>
      </c>
      <c r="K728">
        <v>3</v>
      </c>
      <c r="L728">
        <v>55503</v>
      </c>
      <c r="M728">
        <v>40797.104166666664</v>
      </c>
      <c r="N728" t="str">
        <v xml:space="preserve"> FY26-Q2</v>
      </c>
      <c r="O728" t="str">
        <v>CY25-Q4</v>
      </c>
    </row>
    <row r="729" spans="10:15" x14ac:dyDescent="0.25">
      <c r="J729">
        <v>33</v>
      </c>
      <c r="K729">
        <v>3</v>
      </c>
      <c r="L729">
        <v>55868</v>
      </c>
      <c r="M729">
        <v>40797.104166666664</v>
      </c>
      <c r="N729" t="str">
        <v xml:space="preserve"> FY26-Q2</v>
      </c>
      <c r="O729" t="str">
        <v>CY25-Q4</v>
      </c>
    </row>
    <row r="730" spans="10:15" x14ac:dyDescent="0.25">
      <c r="J730">
        <v>33</v>
      </c>
      <c r="K730">
        <v>3</v>
      </c>
      <c r="L730">
        <v>56233</v>
      </c>
      <c r="M730">
        <v>40797.104166666664</v>
      </c>
      <c r="N730" t="str">
        <v xml:space="preserve"> FY26-Q2</v>
      </c>
      <c r="O730" t="str">
        <v>CY25-Q4</v>
      </c>
    </row>
    <row r="731" spans="10:15" x14ac:dyDescent="0.25">
      <c r="J731">
        <v>33</v>
      </c>
      <c r="K731">
        <v>3</v>
      </c>
      <c r="L731">
        <v>56598</v>
      </c>
      <c r="M731">
        <v>40797.104166666664</v>
      </c>
      <c r="N731" t="str">
        <v xml:space="preserve"> FY26-Q2</v>
      </c>
      <c r="O731" t="str">
        <v>CY25-Q4</v>
      </c>
    </row>
    <row r="732" spans="10:15" x14ac:dyDescent="0.25">
      <c r="J732">
        <v>33</v>
      </c>
      <c r="K732">
        <v>3</v>
      </c>
      <c r="L732">
        <v>56963</v>
      </c>
      <c r="M732">
        <v>40797.104166666664</v>
      </c>
      <c r="N732" t="str">
        <v xml:space="preserve"> FY26-Q2</v>
      </c>
      <c r="O732" t="str">
        <v>CY25-Q4</v>
      </c>
    </row>
    <row r="733" spans="10:15" x14ac:dyDescent="0.25">
      <c r="J733">
        <v>33</v>
      </c>
      <c r="K733">
        <v>3</v>
      </c>
      <c r="L733">
        <v>57328</v>
      </c>
      <c r="M733">
        <v>40797.104166666664</v>
      </c>
      <c r="N733" t="str">
        <v xml:space="preserve"> FY26-Q2</v>
      </c>
      <c r="O733" t="str">
        <v>CY25-Q4</v>
      </c>
    </row>
    <row r="734" spans="10:15" x14ac:dyDescent="0.25">
      <c r="J734">
        <v>33</v>
      </c>
      <c r="K734">
        <v>3</v>
      </c>
      <c r="L734">
        <v>57693</v>
      </c>
      <c r="M734">
        <v>40797.104166666664</v>
      </c>
      <c r="N734" t="str">
        <v xml:space="preserve"> FY26-Q2</v>
      </c>
      <c r="O734" t="str">
        <v>CY25-Q4</v>
      </c>
    </row>
    <row r="735" spans="10:15" x14ac:dyDescent="0.25">
      <c r="J735">
        <v>33</v>
      </c>
      <c r="K735">
        <v>3</v>
      </c>
      <c r="L735">
        <v>58058</v>
      </c>
      <c r="M735">
        <v>40797.104166666664</v>
      </c>
      <c r="N735" t="str">
        <v xml:space="preserve"> FY26-Q2</v>
      </c>
      <c r="O735" t="str">
        <v>CY25-Q4</v>
      </c>
    </row>
    <row r="736" spans="10:15" x14ac:dyDescent="0.25">
      <c r="J736">
        <v>33</v>
      </c>
      <c r="K736">
        <v>3</v>
      </c>
      <c r="L736">
        <v>58423</v>
      </c>
      <c r="M736">
        <v>40797.104166666664</v>
      </c>
      <c r="N736" t="str">
        <v xml:space="preserve"> FY26-Q2</v>
      </c>
      <c r="O736" t="str">
        <v>CY25-Q4</v>
      </c>
    </row>
    <row r="737" spans="10:15" x14ac:dyDescent="0.25">
      <c r="J737">
        <v>33</v>
      </c>
      <c r="K737">
        <v>3</v>
      </c>
      <c r="L737">
        <v>58788</v>
      </c>
      <c r="M737">
        <v>40797.104166666664</v>
      </c>
      <c r="N737" t="str">
        <v xml:space="preserve"> FY26-Q2</v>
      </c>
      <c r="O737" t="str">
        <v>CY25-Q4</v>
      </c>
    </row>
    <row r="738" spans="10:15" x14ac:dyDescent="0.25">
      <c r="J738">
        <v>33</v>
      </c>
      <c r="K738">
        <v>3</v>
      </c>
      <c r="L738">
        <v>59153</v>
      </c>
      <c r="M738">
        <v>40797.104166666664</v>
      </c>
      <c r="N738" t="str">
        <v xml:space="preserve"> FY26-Q2</v>
      </c>
      <c r="O738" t="str">
        <v>CY25-Q4</v>
      </c>
    </row>
    <row r="739" spans="10:15" x14ac:dyDescent="0.25">
      <c r="J739">
        <v>33</v>
      </c>
      <c r="K739">
        <v>3</v>
      </c>
      <c r="L739">
        <v>59518</v>
      </c>
      <c r="M739">
        <v>40797.104166666664</v>
      </c>
      <c r="N739" t="str">
        <v xml:space="preserve"> FY26-Q2</v>
      </c>
      <c r="O739" t="str">
        <v>CY25-Q4</v>
      </c>
    </row>
    <row r="740" spans="10:15" x14ac:dyDescent="0.25">
      <c r="J740">
        <v>33</v>
      </c>
      <c r="K740">
        <v>3</v>
      </c>
      <c r="L740">
        <v>59883</v>
      </c>
      <c r="M740">
        <v>40797.104166666664</v>
      </c>
      <c r="N740" t="str">
        <v xml:space="preserve"> FY26-Q2</v>
      </c>
      <c r="O740" t="str">
        <v>CY25-Q4</v>
      </c>
    </row>
    <row r="741" spans="10:15" x14ac:dyDescent="0.25">
      <c r="J741">
        <v>33</v>
      </c>
      <c r="K741">
        <v>3</v>
      </c>
      <c r="L741">
        <v>60248</v>
      </c>
      <c r="M741">
        <v>40797.104166666664</v>
      </c>
      <c r="N741" t="str">
        <v xml:space="preserve"> FY26-Q2</v>
      </c>
      <c r="O741" t="str">
        <v>CY25-Q4</v>
      </c>
    </row>
    <row r="742" spans="10:15" x14ac:dyDescent="0.25">
      <c r="J742">
        <v>33</v>
      </c>
      <c r="K742">
        <v>3</v>
      </c>
      <c r="L742">
        <v>60613</v>
      </c>
      <c r="M742">
        <v>40797.104166666664</v>
      </c>
      <c r="N742" t="str">
        <v xml:space="preserve"> FY26-Q2</v>
      </c>
      <c r="O742" t="str">
        <v>CY25-Q4</v>
      </c>
    </row>
    <row r="743" spans="10:15" x14ac:dyDescent="0.25">
      <c r="J743">
        <v>33</v>
      </c>
      <c r="K743">
        <v>3</v>
      </c>
      <c r="L743">
        <v>60978</v>
      </c>
      <c r="M743">
        <v>40797.104166666664</v>
      </c>
      <c r="N743" t="str">
        <v xml:space="preserve"> FY26-Q2</v>
      </c>
      <c r="O743" t="str">
        <v>CY25-Q4</v>
      </c>
    </row>
    <row r="744" spans="10:15" x14ac:dyDescent="0.25">
      <c r="J744">
        <v>33</v>
      </c>
      <c r="K744">
        <v>3</v>
      </c>
      <c r="L744">
        <v>61343</v>
      </c>
      <c r="M744">
        <v>40797.104166666664</v>
      </c>
      <c r="N744" t="str">
        <v xml:space="preserve"> FY26-Q2</v>
      </c>
      <c r="O744" t="str">
        <v>CY25-Q4</v>
      </c>
    </row>
    <row r="745" spans="10:15" x14ac:dyDescent="0.25">
      <c r="J745">
        <v>33</v>
      </c>
      <c r="K745">
        <v>3</v>
      </c>
      <c r="L745">
        <v>61708</v>
      </c>
      <c r="M745">
        <v>40797.104166666664</v>
      </c>
      <c r="N745" t="str">
        <v xml:space="preserve"> FY26-Q2</v>
      </c>
      <c r="O745" t="str">
        <v>CY25-Q4</v>
      </c>
    </row>
    <row r="746" spans="10:15" x14ac:dyDescent="0.25">
      <c r="J746">
        <v>33</v>
      </c>
      <c r="K746">
        <v>3</v>
      </c>
      <c r="L746">
        <v>62073</v>
      </c>
      <c r="M746">
        <v>40797.104166666664</v>
      </c>
      <c r="N746" t="str">
        <v xml:space="preserve"> FY26-Q2</v>
      </c>
      <c r="O746" t="str">
        <v>CY25-Q4</v>
      </c>
    </row>
    <row r="747" spans="10:15" x14ac:dyDescent="0.25">
      <c r="J747">
        <v>33</v>
      </c>
      <c r="K747">
        <v>3</v>
      </c>
      <c r="L747">
        <v>62438</v>
      </c>
      <c r="M747">
        <v>40797.104166666664</v>
      </c>
      <c r="N747" t="str">
        <v xml:space="preserve"> FY26-Q2</v>
      </c>
      <c r="O747" t="str">
        <v>CY25-Q4</v>
      </c>
    </row>
    <row r="748" spans="10:15" x14ac:dyDescent="0.25">
      <c r="J748">
        <v>33</v>
      </c>
      <c r="K748">
        <v>3</v>
      </c>
      <c r="L748">
        <v>62803</v>
      </c>
      <c r="M748">
        <v>40797.104166666664</v>
      </c>
      <c r="N748" t="str">
        <v xml:space="preserve"> FY26-Q2</v>
      </c>
      <c r="O748" t="str">
        <v>CY25-Q4</v>
      </c>
    </row>
    <row r="749" spans="10:15" x14ac:dyDescent="0.25">
      <c r="J749">
        <v>33</v>
      </c>
      <c r="K749">
        <v>3</v>
      </c>
      <c r="L749">
        <v>63168</v>
      </c>
      <c r="M749">
        <v>40797.104166666664</v>
      </c>
      <c r="N749" t="str">
        <v xml:space="preserve"> FY26-Q2</v>
      </c>
      <c r="O749" t="str">
        <v>CY25-Q4</v>
      </c>
    </row>
    <row r="750" spans="10:15" x14ac:dyDescent="0.25">
      <c r="J750">
        <v>36</v>
      </c>
      <c r="K750">
        <v>1</v>
      </c>
      <c r="L750">
        <v>46452</v>
      </c>
      <c r="M750">
        <v>24983.895833333332</v>
      </c>
      <c r="N750" t="str">
        <v xml:space="preserve"> FY27-Q3</v>
      </c>
      <c r="O750" t="str">
        <v>CY27-Q1</v>
      </c>
    </row>
    <row r="751" spans="10:15" x14ac:dyDescent="0.25">
      <c r="J751">
        <v>36</v>
      </c>
      <c r="K751">
        <v>1</v>
      </c>
      <c r="L751">
        <v>46482</v>
      </c>
      <c r="M751">
        <v>24983.895833333332</v>
      </c>
      <c r="N751" t="str">
        <v xml:space="preserve"> FY27-Q3</v>
      </c>
      <c r="O751" t="str">
        <v>CY27-Q1</v>
      </c>
    </row>
    <row r="752" spans="10:15" x14ac:dyDescent="0.25">
      <c r="J752">
        <v>36</v>
      </c>
      <c r="K752">
        <v>1</v>
      </c>
      <c r="L752">
        <v>46512</v>
      </c>
      <c r="M752">
        <v>24983.895833333332</v>
      </c>
      <c r="N752" t="str">
        <v xml:space="preserve"> FY27-Q3</v>
      </c>
      <c r="O752" t="str">
        <v>CY27-Q1</v>
      </c>
    </row>
    <row r="753" spans="10:15" x14ac:dyDescent="0.25">
      <c r="J753">
        <v>36</v>
      </c>
      <c r="K753">
        <v>1</v>
      </c>
      <c r="L753">
        <v>46542</v>
      </c>
      <c r="M753">
        <v>24983.895833333332</v>
      </c>
      <c r="N753" t="str">
        <v xml:space="preserve"> FY27-Q3</v>
      </c>
      <c r="O753" t="str">
        <v>CY27-Q1</v>
      </c>
    </row>
    <row r="754" spans="10:15" x14ac:dyDescent="0.25">
      <c r="J754">
        <v>36</v>
      </c>
      <c r="K754">
        <v>1</v>
      </c>
      <c r="L754">
        <v>46572</v>
      </c>
      <c r="M754">
        <v>24983.895833333332</v>
      </c>
      <c r="N754" t="str">
        <v xml:space="preserve"> FY27-Q3</v>
      </c>
      <c r="O754" t="str">
        <v>CY27-Q1</v>
      </c>
    </row>
    <row r="755" spans="10:15" x14ac:dyDescent="0.25">
      <c r="J755">
        <v>36</v>
      </c>
      <c r="K755">
        <v>1</v>
      </c>
      <c r="L755">
        <v>46602</v>
      </c>
      <c r="M755">
        <v>24983.895833333332</v>
      </c>
      <c r="N755" t="str">
        <v xml:space="preserve"> FY27-Q3</v>
      </c>
      <c r="O755" t="str">
        <v>CY27-Q1</v>
      </c>
    </row>
    <row r="756" spans="10:15" x14ac:dyDescent="0.25">
      <c r="J756">
        <v>36</v>
      </c>
      <c r="K756">
        <v>1</v>
      </c>
      <c r="L756">
        <v>46632</v>
      </c>
      <c r="M756">
        <v>24983.895833333332</v>
      </c>
      <c r="N756" t="str">
        <v xml:space="preserve"> FY27-Q3</v>
      </c>
      <c r="O756" t="str">
        <v>CY27-Q1</v>
      </c>
    </row>
    <row r="757" spans="10:15" x14ac:dyDescent="0.25">
      <c r="J757">
        <v>36</v>
      </c>
      <c r="K757">
        <v>1</v>
      </c>
      <c r="L757">
        <v>46662</v>
      </c>
      <c r="M757">
        <v>24983.895833333332</v>
      </c>
      <c r="N757" t="str">
        <v xml:space="preserve"> FY27-Q3</v>
      </c>
      <c r="O757" t="str">
        <v>CY27-Q1</v>
      </c>
    </row>
    <row r="758" spans="10:15" x14ac:dyDescent="0.25">
      <c r="J758">
        <v>36</v>
      </c>
      <c r="K758">
        <v>1</v>
      </c>
      <c r="L758">
        <v>46692</v>
      </c>
      <c r="M758">
        <v>24983.895833333332</v>
      </c>
      <c r="N758" t="str">
        <v xml:space="preserve"> FY27-Q3</v>
      </c>
      <c r="O758" t="str">
        <v>CY27-Q1</v>
      </c>
    </row>
    <row r="759" spans="10:15" x14ac:dyDescent="0.25">
      <c r="J759">
        <v>36</v>
      </c>
      <c r="K759">
        <v>1</v>
      </c>
      <c r="L759">
        <v>46722</v>
      </c>
      <c r="M759">
        <v>24983.895833333332</v>
      </c>
      <c r="N759" t="str">
        <v xml:space="preserve"> FY27-Q3</v>
      </c>
      <c r="O759" t="str">
        <v>CY27-Q1</v>
      </c>
    </row>
    <row r="760" spans="10:15" x14ac:dyDescent="0.25">
      <c r="J760">
        <v>36</v>
      </c>
      <c r="K760">
        <v>1</v>
      </c>
      <c r="L760">
        <v>46752</v>
      </c>
      <c r="M760">
        <v>24983.895833333332</v>
      </c>
      <c r="N760" t="str">
        <v xml:space="preserve"> FY27-Q3</v>
      </c>
      <c r="O760" t="str">
        <v>CY27-Q1</v>
      </c>
    </row>
    <row r="761" spans="10:15" x14ac:dyDescent="0.25">
      <c r="J761">
        <v>36</v>
      </c>
      <c r="K761">
        <v>1</v>
      </c>
      <c r="L761">
        <v>46782</v>
      </c>
      <c r="M761">
        <v>24983.895833333332</v>
      </c>
      <c r="N761" t="str">
        <v xml:space="preserve"> FY27-Q3</v>
      </c>
      <c r="O761" t="str">
        <v>CY27-Q1</v>
      </c>
    </row>
    <row r="762" spans="10:15" x14ac:dyDescent="0.25">
      <c r="J762">
        <v>36</v>
      </c>
      <c r="K762">
        <v>1</v>
      </c>
      <c r="L762">
        <v>46812</v>
      </c>
      <c r="M762">
        <v>24983.895833333332</v>
      </c>
      <c r="N762" t="str">
        <v xml:space="preserve"> FY27-Q3</v>
      </c>
      <c r="O762" t="str">
        <v>CY27-Q1</v>
      </c>
    </row>
    <row r="763" spans="10:15" x14ac:dyDescent="0.25">
      <c r="J763">
        <v>36</v>
      </c>
      <c r="K763">
        <v>1</v>
      </c>
      <c r="L763">
        <v>46842</v>
      </c>
      <c r="M763">
        <v>24983.895833333332</v>
      </c>
      <c r="N763" t="str">
        <v xml:space="preserve"> FY27-Q3</v>
      </c>
      <c r="O763" t="str">
        <v>CY27-Q1</v>
      </c>
    </row>
    <row r="764" spans="10:15" x14ac:dyDescent="0.25">
      <c r="J764">
        <v>36</v>
      </c>
      <c r="K764">
        <v>1</v>
      </c>
      <c r="L764">
        <v>46872</v>
      </c>
      <c r="M764">
        <v>24983.895833333332</v>
      </c>
      <c r="N764" t="str">
        <v xml:space="preserve"> FY27-Q3</v>
      </c>
      <c r="O764" t="str">
        <v>CY27-Q1</v>
      </c>
    </row>
    <row r="765" spans="10:15" x14ac:dyDescent="0.25">
      <c r="J765">
        <v>36</v>
      </c>
      <c r="K765">
        <v>1</v>
      </c>
      <c r="L765">
        <v>46902</v>
      </c>
      <c r="M765">
        <v>24983.895833333332</v>
      </c>
      <c r="N765" t="str">
        <v xml:space="preserve"> FY27-Q3</v>
      </c>
      <c r="O765" t="str">
        <v>CY27-Q1</v>
      </c>
    </row>
    <row r="766" spans="10:15" x14ac:dyDescent="0.25">
      <c r="J766">
        <v>36</v>
      </c>
      <c r="K766">
        <v>1</v>
      </c>
      <c r="L766">
        <v>46932</v>
      </c>
      <c r="M766">
        <v>24983.895833333332</v>
      </c>
      <c r="N766" t="str">
        <v xml:space="preserve"> FY27-Q3</v>
      </c>
      <c r="O766" t="str">
        <v>CY27-Q1</v>
      </c>
    </row>
    <row r="767" spans="10:15" x14ac:dyDescent="0.25">
      <c r="J767">
        <v>36</v>
      </c>
      <c r="K767">
        <v>1</v>
      </c>
      <c r="L767">
        <v>46962</v>
      </c>
      <c r="M767">
        <v>24983.895833333332</v>
      </c>
      <c r="N767" t="str">
        <v xml:space="preserve"> FY27-Q3</v>
      </c>
      <c r="O767" t="str">
        <v>CY27-Q1</v>
      </c>
    </row>
    <row r="768" spans="10:15" x14ac:dyDescent="0.25">
      <c r="J768">
        <v>36</v>
      </c>
      <c r="K768">
        <v>1</v>
      </c>
      <c r="L768">
        <v>46992</v>
      </c>
      <c r="M768">
        <v>24983.895833333332</v>
      </c>
      <c r="N768" t="str">
        <v xml:space="preserve"> FY27-Q3</v>
      </c>
      <c r="O768" t="str">
        <v>CY27-Q1</v>
      </c>
    </row>
    <row r="769" spans="10:15" x14ac:dyDescent="0.25">
      <c r="J769">
        <v>36</v>
      </c>
      <c r="K769">
        <v>1</v>
      </c>
      <c r="L769">
        <v>47022</v>
      </c>
      <c r="M769">
        <v>24983.895833333332</v>
      </c>
      <c r="N769" t="str">
        <v xml:space="preserve"> FY27-Q3</v>
      </c>
      <c r="O769" t="str">
        <v>CY27-Q1</v>
      </c>
    </row>
    <row r="770" spans="10:15" x14ac:dyDescent="0.25">
      <c r="J770">
        <v>36</v>
      </c>
      <c r="K770">
        <v>1</v>
      </c>
      <c r="L770">
        <v>47052</v>
      </c>
      <c r="M770">
        <v>24983.895833333332</v>
      </c>
      <c r="N770" t="str">
        <v xml:space="preserve"> FY27-Q3</v>
      </c>
      <c r="O770" t="str">
        <v>CY27-Q1</v>
      </c>
    </row>
    <row r="771" spans="10:15" x14ac:dyDescent="0.25">
      <c r="J771">
        <v>36</v>
      </c>
      <c r="K771">
        <v>1</v>
      </c>
      <c r="L771">
        <v>47082</v>
      </c>
      <c r="M771">
        <v>24983.895833333332</v>
      </c>
      <c r="N771" t="str">
        <v xml:space="preserve"> FY27-Q3</v>
      </c>
      <c r="O771" t="str">
        <v>CY27-Q1</v>
      </c>
    </row>
    <row r="772" spans="10:15" x14ac:dyDescent="0.25">
      <c r="J772">
        <v>36</v>
      </c>
      <c r="K772">
        <v>1</v>
      </c>
      <c r="L772">
        <v>47112</v>
      </c>
      <c r="M772">
        <v>24983.895833333332</v>
      </c>
      <c r="N772" t="str">
        <v xml:space="preserve"> FY27-Q3</v>
      </c>
      <c r="O772" t="str">
        <v>CY27-Q1</v>
      </c>
    </row>
    <row r="773" spans="10:15" x14ac:dyDescent="0.25">
      <c r="J773">
        <v>36</v>
      </c>
      <c r="K773">
        <v>1</v>
      </c>
      <c r="L773">
        <v>47142</v>
      </c>
      <c r="M773">
        <v>24983.895833333332</v>
      </c>
      <c r="N773" t="str">
        <v xml:space="preserve"> FY27-Q3</v>
      </c>
      <c r="O773" t="str">
        <v>CY27-Q1</v>
      </c>
    </row>
    <row r="774" spans="10:15" x14ac:dyDescent="0.25">
      <c r="J774">
        <v>36</v>
      </c>
      <c r="K774">
        <v>1</v>
      </c>
      <c r="L774">
        <v>47172</v>
      </c>
      <c r="M774">
        <v>24983.895833333332</v>
      </c>
      <c r="N774" t="str">
        <v xml:space="preserve"> FY27-Q3</v>
      </c>
      <c r="O774" t="str">
        <v>CY27-Q1</v>
      </c>
    </row>
    <row r="775" spans="10:15" x14ac:dyDescent="0.25">
      <c r="J775">
        <v>36</v>
      </c>
      <c r="K775">
        <v>1</v>
      </c>
      <c r="L775">
        <v>47202</v>
      </c>
      <c r="M775">
        <v>24983.895833333332</v>
      </c>
      <c r="N775" t="str">
        <v xml:space="preserve"> FY27-Q3</v>
      </c>
      <c r="O775" t="str">
        <v>CY27-Q1</v>
      </c>
    </row>
    <row r="776" spans="10:15" x14ac:dyDescent="0.25">
      <c r="J776">
        <v>36</v>
      </c>
      <c r="K776">
        <v>1</v>
      </c>
      <c r="L776">
        <v>47232</v>
      </c>
      <c r="M776">
        <v>24983.895833333332</v>
      </c>
      <c r="N776" t="str">
        <v xml:space="preserve"> FY27-Q3</v>
      </c>
      <c r="O776" t="str">
        <v>CY27-Q1</v>
      </c>
    </row>
    <row r="777" spans="10:15" x14ac:dyDescent="0.25">
      <c r="J777">
        <v>36</v>
      </c>
      <c r="K777">
        <v>1</v>
      </c>
      <c r="L777">
        <v>47262</v>
      </c>
      <c r="M777">
        <v>24983.895833333332</v>
      </c>
      <c r="N777" t="str">
        <v xml:space="preserve"> FY27-Q3</v>
      </c>
      <c r="O777" t="str">
        <v>CY27-Q1</v>
      </c>
    </row>
    <row r="778" spans="10:15" x14ac:dyDescent="0.25">
      <c r="J778">
        <v>36</v>
      </c>
      <c r="K778">
        <v>1</v>
      </c>
      <c r="L778">
        <v>47292</v>
      </c>
      <c r="M778">
        <v>24983.895833333332</v>
      </c>
      <c r="N778" t="str">
        <v xml:space="preserve"> FY27-Q3</v>
      </c>
      <c r="O778" t="str">
        <v>CY27-Q1</v>
      </c>
    </row>
    <row r="779" spans="10:15" x14ac:dyDescent="0.25">
      <c r="J779">
        <v>36</v>
      </c>
      <c r="K779">
        <v>1</v>
      </c>
      <c r="L779">
        <v>47322</v>
      </c>
      <c r="M779">
        <v>24983.895833333332</v>
      </c>
      <c r="N779" t="str">
        <v xml:space="preserve"> FY27-Q3</v>
      </c>
      <c r="O779" t="str">
        <v>CY27-Q1</v>
      </c>
    </row>
    <row r="780" spans="10:15" x14ac:dyDescent="0.25">
      <c r="J780">
        <v>36</v>
      </c>
      <c r="K780">
        <v>1</v>
      </c>
      <c r="L780">
        <v>47352</v>
      </c>
      <c r="M780">
        <v>24983.895833333332</v>
      </c>
      <c r="N780" t="str">
        <v xml:space="preserve"> FY27-Q3</v>
      </c>
      <c r="O780" t="str">
        <v>CY27-Q1</v>
      </c>
    </row>
    <row r="781" spans="10:15" x14ac:dyDescent="0.25">
      <c r="J781">
        <v>36</v>
      </c>
      <c r="K781">
        <v>1</v>
      </c>
      <c r="L781">
        <v>47382</v>
      </c>
      <c r="M781">
        <v>24983.895833333332</v>
      </c>
      <c r="N781" t="str">
        <v xml:space="preserve"> FY27-Q3</v>
      </c>
      <c r="O781" t="str">
        <v>CY27-Q1</v>
      </c>
    </row>
    <row r="782" spans="10:15" x14ac:dyDescent="0.25">
      <c r="J782">
        <v>36</v>
      </c>
      <c r="K782">
        <v>1</v>
      </c>
      <c r="L782">
        <v>47412</v>
      </c>
      <c r="M782">
        <v>24983.895833333332</v>
      </c>
      <c r="N782" t="str">
        <v xml:space="preserve"> FY27-Q3</v>
      </c>
      <c r="O782" t="str">
        <v>CY27-Q1</v>
      </c>
    </row>
    <row r="783" spans="10:15" x14ac:dyDescent="0.25">
      <c r="J783">
        <v>36</v>
      </c>
      <c r="K783">
        <v>1</v>
      </c>
      <c r="L783">
        <v>47442</v>
      </c>
      <c r="M783">
        <v>24983.895833333332</v>
      </c>
      <c r="N783" t="str">
        <v xml:space="preserve"> FY27-Q3</v>
      </c>
      <c r="O783" t="str">
        <v>CY27-Q1</v>
      </c>
    </row>
    <row r="784" spans="10:15" x14ac:dyDescent="0.25">
      <c r="J784">
        <v>36</v>
      </c>
      <c r="K784">
        <v>1</v>
      </c>
      <c r="L784">
        <v>47472</v>
      </c>
      <c r="M784">
        <v>24983.895833333332</v>
      </c>
      <c r="N784" t="str">
        <v xml:space="preserve"> FY27-Q3</v>
      </c>
      <c r="O784" t="str">
        <v>CY27-Q1</v>
      </c>
    </row>
    <row r="785" spans="10:15" x14ac:dyDescent="0.25">
      <c r="J785">
        <v>36</v>
      </c>
      <c r="K785">
        <v>1</v>
      </c>
      <c r="L785">
        <v>47502</v>
      </c>
      <c r="M785">
        <v>24983.895833333332</v>
      </c>
      <c r="N785" t="str">
        <v xml:space="preserve"> FY27-Q3</v>
      </c>
      <c r="O785" t="str">
        <v>CY27-Q1</v>
      </c>
    </row>
    <row r="786" spans="10:15" x14ac:dyDescent="0.25">
      <c r="J786">
        <v>36</v>
      </c>
      <c r="K786">
        <v>1</v>
      </c>
      <c r="L786">
        <v>47532</v>
      </c>
      <c r="M786">
        <v>24983.895833333332</v>
      </c>
      <c r="N786" t="str">
        <v xml:space="preserve"> FY27-Q3</v>
      </c>
      <c r="O786" t="str">
        <v>CY27-Q1</v>
      </c>
    </row>
    <row r="787" spans="10:15" x14ac:dyDescent="0.25">
      <c r="J787">
        <v>36</v>
      </c>
      <c r="K787">
        <v>1</v>
      </c>
      <c r="L787">
        <v>47562</v>
      </c>
      <c r="M787">
        <v>24983.895833333332</v>
      </c>
      <c r="N787" t="str">
        <v xml:space="preserve"> FY27-Q3</v>
      </c>
      <c r="O787" t="str">
        <v>CY27-Q1</v>
      </c>
    </row>
    <row r="788" spans="10:15" x14ac:dyDescent="0.25">
      <c r="J788">
        <v>36</v>
      </c>
      <c r="K788">
        <v>1</v>
      </c>
      <c r="L788">
        <v>47592</v>
      </c>
      <c r="M788">
        <v>24983.895833333332</v>
      </c>
      <c r="N788" t="str">
        <v xml:space="preserve"> FY27-Q3</v>
      </c>
      <c r="O788" t="str">
        <v>CY27-Q1</v>
      </c>
    </row>
    <row r="789" spans="10:15" x14ac:dyDescent="0.25">
      <c r="J789">
        <v>36</v>
      </c>
      <c r="K789">
        <v>1</v>
      </c>
      <c r="L789">
        <v>47622</v>
      </c>
      <c r="M789">
        <v>24983.895833333332</v>
      </c>
      <c r="N789" t="str">
        <v xml:space="preserve"> FY27-Q3</v>
      </c>
      <c r="O789" t="str">
        <v>CY27-Q1</v>
      </c>
    </row>
    <row r="790" spans="10:15" x14ac:dyDescent="0.25">
      <c r="J790">
        <v>36</v>
      </c>
      <c r="K790">
        <v>1</v>
      </c>
      <c r="L790">
        <v>47652</v>
      </c>
      <c r="M790">
        <v>24983.895833333332</v>
      </c>
      <c r="N790" t="str">
        <v xml:space="preserve"> FY27-Q3</v>
      </c>
      <c r="O790" t="str">
        <v>CY27-Q1</v>
      </c>
    </row>
    <row r="791" spans="10:15" x14ac:dyDescent="0.25">
      <c r="J791">
        <v>36</v>
      </c>
      <c r="K791">
        <v>1</v>
      </c>
      <c r="L791">
        <v>47682</v>
      </c>
      <c r="M791">
        <v>24983.895833333332</v>
      </c>
      <c r="N791" t="str">
        <v xml:space="preserve"> FY27-Q3</v>
      </c>
      <c r="O791" t="str">
        <v>CY27-Q1</v>
      </c>
    </row>
    <row r="792" spans="10:15" x14ac:dyDescent="0.25">
      <c r="J792">
        <v>36</v>
      </c>
      <c r="K792">
        <v>1</v>
      </c>
      <c r="L792">
        <v>47712</v>
      </c>
      <c r="M792">
        <v>24983.895833333332</v>
      </c>
      <c r="N792" t="str">
        <v xml:space="preserve"> FY27-Q3</v>
      </c>
      <c r="O792" t="str">
        <v>CY27-Q1</v>
      </c>
    </row>
    <row r="793" spans="10:15" x14ac:dyDescent="0.25">
      <c r="J793">
        <v>36</v>
      </c>
      <c r="K793">
        <v>1</v>
      </c>
      <c r="L793">
        <v>47742</v>
      </c>
      <c r="M793">
        <v>24983.895833333332</v>
      </c>
      <c r="N793" t="str">
        <v xml:space="preserve"> FY27-Q3</v>
      </c>
      <c r="O793" t="str">
        <v>CY27-Q1</v>
      </c>
    </row>
    <row r="794" spans="10:15" x14ac:dyDescent="0.25">
      <c r="J794">
        <v>36</v>
      </c>
      <c r="K794">
        <v>1</v>
      </c>
      <c r="L794">
        <v>47772</v>
      </c>
      <c r="M794">
        <v>24983.895833333332</v>
      </c>
      <c r="N794" t="str">
        <v xml:space="preserve"> FY27-Q3</v>
      </c>
      <c r="O794" t="str">
        <v>CY27-Q1</v>
      </c>
    </row>
    <row r="795" spans="10:15" x14ac:dyDescent="0.25">
      <c r="J795">
        <v>36</v>
      </c>
      <c r="K795">
        <v>1</v>
      </c>
      <c r="L795">
        <v>47802</v>
      </c>
      <c r="M795">
        <v>24983.895833333332</v>
      </c>
      <c r="N795" t="str">
        <v xml:space="preserve"> FY27-Q3</v>
      </c>
      <c r="O795" t="str">
        <v>CY27-Q1</v>
      </c>
    </row>
    <row r="796" spans="10:15" x14ac:dyDescent="0.25">
      <c r="J796">
        <v>36</v>
      </c>
      <c r="K796">
        <v>1</v>
      </c>
      <c r="L796">
        <v>47832</v>
      </c>
      <c r="M796">
        <v>24983.895833333332</v>
      </c>
      <c r="N796" t="str">
        <v xml:space="preserve"> FY27-Q3</v>
      </c>
      <c r="O796" t="str">
        <v>CY27-Q1</v>
      </c>
    </row>
    <row r="797" spans="10:15" x14ac:dyDescent="0.25">
      <c r="J797">
        <v>36</v>
      </c>
      <c r="K797">
        <v>1</v>
      </c>
      <c r="L797">
        <v>47862</v>
      </c>
      <c r="M797">
        <v>24983.895833333332</v>
      </c>
      <c r="N797" t="str">
        <v xml:space="preserve"> FY27-Q3</v>
      </c>
      <c r="O797" t="str">
        <v>CY27-Q1</v>
      </c>
    </row>
    <row r="798" spans="10:15" x14ac:dyDescent="0.25">
      <c r="J798">
        <v>37</v>
      </c>
      <c r="K798">
        <v>20</v>
      </c>
      <c r="L798">
        <v>45979</v>
      </c>
      <c r="M798">
        <v>154515.375</v>
      </c>
      <c r="N798" t="str">
        <v xml:space="preserve"> FY26-Q2</v>
      </c>
      <c r="O798" t="str">
        <v>CY25-Q4</v>
      </c>
    </row>
    <row r="799" spans="10:15" x14ac:dyDescent="0.25">
      <c r="J799">
        <v>37</v>
      </c>
      <c r="K799">
        <v>20</v>
      </c>
      <c r="L799">
        <v>46161</v>
      </c>
      <c r="M799">
        <v>154515.375</v>
      </c>
      <c r="N799" t="str">
        <v xml:space="preserve"> FY26-Q2</v>
      </c>
      <c r="O799" t="str">
        <v>CY25-Q4</v>
      </c>
    </row>
    <row r="800" spans="10:15" x14ac:dyDescent="0.25">
      <c r="J800">
        <v>37</v>
      </c>
      <c r="K800">
        <v>20</v>
      </c>
      <c r="L800">
        <v>46343</v>
      </c>
      <c r="M800">
        <v>154515.375</v>
      </c>
      <c r="N800" t="str">
        <v xml:space="preserve"> FY26-Q2</v>
      </c>
      <c r="O800" t="str">
        <v>CY25-Q4</v>
      </c>
    </row>
    <row r="801" spans="10:15" x14ac:dyDescent="0.25">
      <c r="J801">
        <v>37</v>
      </c>
      <c r="K801">
        <v>20</v>
      </c>
      <c r="L801">
        <v>46525</v>
      </c>
      <c r="M801">
        <v>154515.375</v>
      </c>
      <c r="N801" t="str">
        <v xml:space="preserve"> FY26-Q2</v>
      </c>
      <c r="O801" t="str">
        <v>CY25-Q4</v>
      </c>
    </row>
    <row r="802" spans="10:15" x14ac:dyDescent="0.25">
      <c r="J802">
        <v>37</v>
      </c>
      <c r="K802">
        <v>20</v>
      </c>
      <c r="L802">
        <v>46707</v>
      </c>
      <c r="M802">
        <v>154515.375</v>
      </c>
      <c r="N802" t="str">
        <v xml:space="preserve"> FY26-Q2</v>
      </c>
      <c r="O802" t="str">
        <v>CY25-Q4</v>
      </c>
    </row>
    <row r="803" spans="10:15" x14ac:dyDescent="0.25">
      <c r="J803">
        <v>37</v>
      </c>
      <c r="K803">
        <v>20</v>
      </c>
      <c r="L803">
        <v>46889</v>
      </c>
      <c r="M803">
        <v>154515.375</v>
      </c>
      <c r="N803" t="str">
        <v xml:space="preserve"> FY26-Q2</v>
      </c>
      <c r="O803" t="str">
        <v>CY25-Q4</v>
      </c>
    </row>
    <row r="804" spans="10:15" x14ac:dyDescent="0.25">
      <c r="J804">
        <v>37</v>
      </c>
      <c r="K804">
        <v>20</v>
      </c>
      <c r="L804">
        <v>47071</v>
      </c>
      <c r="M804">
        <v>154515.375</v>
      </c>
      <c r="N804" t="str">
        <v xml:space="preserve"> FY26-Q2</v>
      </c>
      <c r="O804" t="str">
        <v>CY25-Q4</v>
      </c>
    </row>
    <row r="805" spans="10:15" x14ac:dyDescent="0.25">
      <c r="J805">
        <v>37</v>
      </c>
      <c r="K805">
        <v>20</v>
      </c>
      <c r="L805">
        <v>47253</v>
      </c>
      <c r="M805">
        <v>154515.375</v>
      </c>
      <c r="N805" t="str">
        <v xml:space="preserve"> FY26-Q2</v>
      </c>
      <c r="O805" t="str">
        <v>CY25-Q4</v>
      </c>
    </row>
    <row r="806" spans="10:15" x14ac:dyDescent="0.25">
      <c r="J806">
        <v>38</v>
      </c>
      <c r="K806">
        <v>21</v>
      </c>
      <c r="L806">
        <v>46386</v>
      </c>
      <c r="M806">
        <v>182961</v>
      </c>
      <c r="N806" t="str">
        <v xml:space="preserve"> FY27-Q2</v>
      </c>
      <c r="O806" t="str">
        <v>CY26-Q4</v>
      </c>
    </row>
    <row r="807" spans="10:15" x14ac:dyDescent="0.25">
      <c r="J807">
        <v>38</v>
      </c>
      <c r="K807">
        <v>21</v>
      </c>
      <c r="L807">
        <v>46568</v>
      </c>
      <c r="M807">
        <v>182961</v>
      </c>
      <c r="N807" t="str">
        <v xml:space="preserve"> FY27-Q2</v>
      </c>
      <c r="O807" t="str">
        <v>CY26-Q4</v>
      </c>
    </row>
    <row r="808" spans="10:15" x14ac:dyDescent="0.25">
      <c r="J808">
        <v>38</v>
      </c>
      <c r="K808">
        <v>21</v>
      </c>
      <c r="L808">
        <v>46750</v>
      </c>
      <c r="M808">
        <v>182961</v>
      </c>
      <c r="N808" t="str">
        <v xml:space="preserve"> FY27-Q2</v>
      </c>
      <c r="O808" t="str">
        <v>CY26-Q4</v>
      </c>
    </row>
    <row r="809" spans="10:15" x14ac:dyDescent="0.25">
      <c r="J809">
        <v>38</v>
      </c>
      <c r="K809">
        <v>21</v>
      </c>
      <c r="L809">
        <v>46932</v>
      </c>
      <c r="M809">
        <v>182961</v>
      </c>
      <c r="N809" t="str">
        <v xml:space="preserve"> FY27-Q2</v>
      </c>
      <c r="O809" t="str">
        <v>CY26-Q4</v>
      </c>
    </row>
    <row r="810" spans="10:15" x14ac:dyDescent="0.25">
      <c r="J810">
        <v>38</v>
      </c>
      <c r="K810">
        <v>21</v>
      </c>
      <c r="L810">
        <v>47114</v>
      </c>
      <c r="M810">
        <v>182961</v>
      </c>
      <c r="N810" t="str">
        <v xml:space="preserve"> FY27-Q2</v>
      </c>
      <c r="O810" t="str">
        <v>CY26-Q4</v>
      </c>
    </row>
    <row r="811" spans="10:15" x14ac:dyDescent="0.25">
      <c r="J811">
        <v>39</v>
      </c>
      <c r="K811">
        <v>3</v>
      </c>
      <c r="L811">
        <v>46268</v>
      </c>
      <c r="M811">
        <v>54415.8</v>
      </c>
      <c r="N811" t="str">
        <v xml:space="preserve"> FY27-Q1</v>
      </c>
      <c r="O811" t="str">
        <v>CY26-Q3</v>
      </c>
    </row>
    <row r="812" spans="10:15" x14ac:dyDescent="0.25">
      <c r="J812">
        <v>39</v>
      </c>
      <c r="K812">
        <v>3</v>
      </c>
      <c r="L812">
        <v>46298</v>
      </c>
      <c r="M812">
        <v>54415.8</v>
      </c>
      <c r="N812" t="str">
        <v xml:space="preserve"> FY27-Q1</v>
      </c>
      <c r="O812" t="str">
        <v>CY26-Q3</v>
      </c>
    </row>
    <row r="813" spans="10:15" x14ac:dyDescent="0.25">
      <c r="J813">
        <v>39</v>
      </c>
      <c r="K813">
        <v>3</v>
      </c>
      <c r="L813">
        <v>46328</v>
      </c>
      <c r="M813">
        <v>54415.8</v>
      </c>
      <c r="N813" t="str">
        <v xml:space="preserve"> FY27-Q1</v>
      </c>
      <c r="O813" t="str">
        <v>CY26-Q3</v>
      </c>
    </row>
    <row r="814" spans="10:15" x14ac:dyDescent="0.25">
      <c r="J814">
        <v>39</v>
      </c>
      <c r="K814">
        <v>3</v>
      </c>
      <c r="L814">
        <v>46358</v>
      </c>
      <c r="M814">
        <v>54415.8</v>
      </c>
      <c r="N814" t="str">
        <v xml:space="preserve"> FY27-Q1</v>
      </c>
      <c r="O814" t="str">
        <v>CY26-Q3</v>
      </c>
    </row>
    <row r="815" spans="10:15" x14ac:dyDescent="0.25">
      <c r="J815">
        <v>39</v>
      </c>
      <c r="K815">
        <v>3</v>
      </c>
      <c r="L815">
        <v>46388</v>
      </c>
      <c r="M815">
        <v>54415.8</v>
      </c>
      <c r="N815" t="str">
        <v xml:space="preserve"> FY27-Q1</v>
      </c>
      <c r="O815" t="str">
        <v>CY26-Q3</v>
      </c>
    </row>
    <row r="816" spans="10:15" x14ac:dyDescent="0.25">
      <c r="J816">
        <v>39</v>
      </c>
      <c r="K816">
        <v>3</v>
      </c>
      <c r="L816">
        <v>46418</v>
      </c>
      <c r="M816">
        <v>54415.8</v>
      </c>
      <c r="N816" t="str">
        <v xml:space="preserve"> FY27-Q1</v>
      </c>
      <c r="O816" t="str">
        <v>CY26-Q3</v>
      </c>
    </row>
    <row r="817" spans="10:15" x14ac:dyDescent="0.25">
      <c r="J817">
        <v>39</v>
      </c>
      <c r="K817">
        <v>3</v>
      </c>
      <c r="L817">
        <v>46448</v>
      </c>
      <c r="M817">
        <v>54415.8</v>
      </c>
      <c r="N817" t="str">
        <v xml:space="preserve"> FY27-Q1</v>
      </c>
      <c r="O817" t="str">
        <v>CY26-Q3</v>
      </c>
    </row>
    <row r="818" spans="10:15" x14ac:dyDescent="0.25">
      <c r="J818">
        <v>39</v>
      </c>
      <c r="K818">
        <v>3</v>
      </c>
      <c r="L818">
        <v>46478</v>
      </c>
      <c r="M818">
        <v>54415.8</v>
      </c>
      <c r="N818" t="str">
        <v xml:space="preserve"> FY27-Q1</v>
      </c>
      <c r="O818" t="str">
        <v>CY26-Q3</v>
      </c>
    </row>
    <row r="819" spans="10:15" x14ac:dyDescent="0.25">
      <c r="J819">
        <v>39</v>
      </c>
      <c r="K819">
        <v>3</v>
      </c>
      <c r="L819">
        <v>46508</v>
      </c>
      <c r="M819">
        <v>54415.8</v>
      </c>
      <c r="N819" t="str">
        <v xml:space="preserve"> FY27-Q1</v>
      </c>
      <c r="O819" t="str">
        <v>CY26-Q3</v>
      </c>
    </row>
    <row r="820" spans="10:15" x14ac:dyDescent="0.25">
      <c r="J820">
        <v>39</v>
      </c>
      <c r="K820">
        <v>3</v>
      </c>
      <c r="L820">
        <v>46538</v>
      </c>
      <c r="M820">
        <v>54415.8</v>
      </c>
      <c r="N820" t="str">
        <v xml:space="preserve"> FY27-Q1</v>
      </c>
      <c r="O820" t="str">
        <v>CY26-Q3</v>
      </c>
    </row>
    <row r="821" spans="10:15" x14ac:dyDescent="0.25">
      <c r="J821">
        <v>39</v>
      </c>
      <c r="K821">
        <v>3</v>
      </c>
      <c r="L821">
        <v>46568</v>
      </c>
      <c r="M821">
        <v>54415.8</v>
      </c>
      <c r="N821" t="str">
        <v xml:space="preserve"> FY27-Q1</v>
      </c>
      <c r="O821" t="str">
        <v>CY26-Q3</v>
      </c>
    </row>
    <row r="822" spans="10:15" x14ac:dyDescent="0.25">
      <c r="J822">
        <v>39</v>
      </c>
      <c r="K822">
        <v>3</v>
      </c>
      <c r="L822">
        <v>46598</v>
      </c>
      <c r="M822">
        <v>54415.8</v>
      </c>
      <c r="N822" t="str">
        <v xml:space="preserve"> FY27-Q1</v>
      </c>
      <c r="O822" t="str">
        <v>CY26-Q3</v>
      </c>
    </row>
    <row r="823" spans="10:15" x14ac:dyDescent="0.25">
      <c r="J823">
        <v>39</v>
      </c>
      <c r="K823">
        <v>3</v>
      </c>
      <c r="L823">
        <v>46628</v>
      </c>
      <c r="M823">
        <v>54415.8</v>
      </c>
      <c r="N823" t="str">
        <v xml:space="preserve"> FY27-Q1</v>
      </c>
      <c r="O823" t="str">
        <v>CY26-Q3</v>
      </c>
    </row>
    <row r="824" spans="10:15" x14ac:dyDescent="0.25">
      <c r="J824">
        <v>39</v>
      </c>
      <c r="K824">
        <v>3</v>
      </c>
      <c r="L824">
        <v>46658</v>
      </c>
      <c r="M824">
        <v>54415.8</v>
      </c>
      <c r="N824" t="str">
        <v xml:space="preserve"> FY27-Q1</v>
      </c>
      <c r="O824" t="str">
        <v>CY26-Q3</v>
      </c>
    </row>
    <row r="825" spans="10:15" x14ac:dyDescent="0.25">
      <c r="J825">
        <v>39</v>
      </c>
      <c r="K825">
        <v>3</v>
      </c>
      <c r="L825">
        <v>46688</v>
      </c>
      <c r="M825">
        <v>54415.8</v>
      </c>
      <c r="N825" t="str">
        <v xml:space="preserve"> FY27-Q1</v>
      </c>
      <c r="O825" t="str">
        <v>CY26-Q3</v>
      </c>
    </row>
    <row r="826" spans="10:15" x14ac:dyDescent="0.25">
      <c r="J826">
        <v>39</v>
      </c>
      <c r="K826">
        <v>3</v>
      </c>
      <c r="L826">
        <v>46718</v>
      </c>
      <c r="M826">
        <v>54415.8</v>
      </c>
      <c r="N826" t="str">
        <v xml:space="preserve"> FY27-Q1</v>
      </c>
      <c r="O826" t="str">
        <v>CY26-Q3</v>
      </c>
    </row>
    <row r="827" spans="10:15" x14ac:dyDescent="0.25">
      <c r="J827">
        <v>39</v>
      </c>
      <c r="K827">
        <v>3</v>
      </c>
      <c r="L827">
        <v>46748</v>
      </c>
      <c r="M827">
        <v>54415.8</v>
      </c>
      <c r="N827" t="str">
        <v xml:space="preserve"> FY27-Q1</v>
      </c>
      <c r="O827" t="str">
        <v>CY26-Q3</v>
      </c>
    </row>
    <row r="828" spans="10:15" x14ac:dyDescent="0.25">
      <c r="J828">
        <v>39</v>
      </c>
      <c r="K828">
        <v>3</v>
      </c>
      <c r="L828">
        <v>46778</v>
      </c>
      <c r="M828">
        <v>54415.8</v>
      </c>
      <c r="N828" t="str">
        <v xml:space="preserve"> FY27-Q1</v>
      </c>
      <c r="O828" t="str">
        <v>CY26-Q3</v>
      </c>
    </row>
    <row r="829" spans="10:15" x14ac:dyDescent="0.25">
      <c r="J829">
        <v>39</v>
      </c>
      <c r="K829">
        <v>3</v>
      </c>
      <c r="L829">
        <v>46808</v>
      </c>
      <c r="M829">
        <v>54415.8</v>
      </c>
      <c r="N829" t="str">
        <v xml:space="preserve"> FY27-Q1</v>
      </c>
      <c r="O829" t="str">
        <v>CY26-Q3</v>
      </c>
    </row>
    <row r="830" spans="10:15" x14ac:dyDescent="0.25">
      <c r="J830">
        <v>39</v>
      </c>
      <c r="K830">
        <v>3</v>
      </c>
      <c r="L830">
        <v>46838</v>
      </c>
      <c r="M830">
        <v>54415.8</v>
      </c>
      <c r="N830" t="str">
        <v xml:space="preserve"> FY27-Q1</v>
      </c>
      <c r="O830" t="str">
        <v>CY26-Q3</v>
      </c>
    </row>
    <row r="831" spans="10:15" x14ac:dyDescent="0.25">
      <c r="J831">
        <v>39</v>
      </c>
      <c r="K831">
        <v>3</v>
      </c>
      <c r="L831">
        <v>46868</v>
      </c>
      <c r="M831">
        <v>54415.8</v>
      </c>
      <c r="N831" t="str">
        <v xml:space="preserve"> FY27-Q1</v>
      </c>
      <c r="O831" t="str">
        <v>CY26-Q3</v>
      </c>
    </row>
    <row r="832" spans="10:15" x14ac:dyDescent="0.25">
      <c r="J832">
        <v>39</v>
      </c>
      <c r="K832">
        <v>3</v>
      </c>
      <c r="L832">
        <v>46898</v>
      </c>
      <c r="M832">
        <v>54415.8</v>
      </c>
      <c r="N832" t="str">
        <v xml:space="preserve"> FY27-Q1</v>
      </c>
      <c r="O832" t="str">
        <v>CY26-Q3</v>
      </c>
    </row>
    <row r="833" spans="10:15" x14ac:dyDescent="0.25">
      <c r="J833">
        <v>39</v>
      </c>
      <c r="K833">
        <v>3</v>
      </c>
      <c r="L833">
        <v>46928</v>
      </c>
      <c r="M833">
        <v>54415.8</v>
      </c>
      <c r="N833" t="str">
        <v xml:space="preserve"> FY27-Q1</v>
      </c>
      <c r="O833" t="str">
        <v>CY26-Q3</v>
      </c>
    </row>
    <row r="834" spans="10:15" x14ac:dyDescent="0.25">
      <c r="J834">
        <v>39</v>
      </c>
      <c r="K834">
        <v>3</v>
      </c>
      <c r="L834">
        <v>46958</v>
      </c>
      <c r="M834">
        <v>54415.8</v>
      </c>
      <c r="N834" t="str">
        <v xml:space="preserve"> FY27-Q1</v>
      </c>
      <c r="O834" t="str">
        <v>CY26-Q3</v>
      </c>
    </row>
    <row r="835" spans="10:15" x14ac:dyDescent="0.25">
      <c r="J835">
        <v>39</v>
      </c>
      <c r="K835">
        <v>3</v>
      </c>
      <c r="L835">
        <v>46988</v>
      </c>
      <c r="M835">
        <v>54415.8</v>
      </c>
      <c r="N835" t="str">
        <v xml:space="preserve"> FY27-Q1</v>
      </c>
      <c r="O835" t="str">
        <v>CY26-Q3</v>
      </c>
    </row>
    <row r="836" spans="10:15" x14ac:dyDescent="0.25">
      <c r="J836">
        <v>39</v>
      </c>
      <c r="K836">
        <v>3</v>
      </c>
      <c r="L836">
        <v>47018</v>
      </c>
      <c r="M836">
        <v>54415.8</v>
      </c>
      <c r="N836" t="str">
        <v xml:space="preserve"> FY27-Q1</v>
      </c>
      <c r="O836" t="str">
        <v>CY26-Q3</v>
      </c>
    </row>
    <row r="837" spans="10:15" x14ac:dyDescent="0.25">
      <c r="J837">
        <v>39</v>
      </c>
      <c r="K837">
        <v>3</v>
      </c>
      <c r="L837">
        <v>47048</v>
      </c>
      <c r="M837">
        <v>54415.8</v>
      </c>
      <c r="N837" t="str">
        <v xml:space="preserve"> FY27-Q1</v>
      </c>
      <c r="O837" t="str">
        <v>CY26-Q3</v>
      </c>
    </row>
    <row r="838" spans="10:15" x14ac:dyDescent="0.25">
      <c r="J838">
        <v>39</v>
      </c>
      <c r="K838">
        <v>3</v>
      </c>
      <c r="L838">
        <v>47078</v>
      </c>
      <c r="M838">
        <v>54415.8</v>
      </c>
      <c r="N838" t="str">
        <v xml:space="preserve"> FY27-Q1</v>
      </c>
      <c r="O838" t="str">
        <v>CY26-Q3</v>
      </c>
    </row>
    <row r="839" spans="10:15" x14ac:dyDescent="0.25">
      <c r="J839">
        <v>39</v>
      </c>
      <c r="K839">
        <v>3</v>
      </c>
      <c r="L839">
        <v>47108</v>
      </c>
      <c r="M839">
        <v>54415.8</v>
      </c>
      <c r="N839" t="str">
        <v xml:space="preserve"> FY27-Q1</v>
      </c>
      <c r="O839" t="str">
        <v>CY26-Q3</v>
      </c>
    </row>
    <row r="840" spans="10:15" x14ac:dyDescent="0.25">
      <c r="J840">
        <v>39</v>
      </c>
      <c r="K840">
        <v>3</v>
      </c>
      <c r="L840">
        <v>47138</v>
      </c>
      <c r="M840">
        <v>54415.8</v>
      </c>
      <c r="N840" t="str">
        <v xml:space="preserve"> FY27-Q1</v>
      </c>
      <c r="O840" t="str">
        <v>CY26-Q3</v>
      </c>
    </row>
    <row r="841" spans="10:15" x14ac:dyDescent="0.25">
      <c r="J841">
        <v>39</v>
      </c>
      <c r="K841">
        <v>3</v>
      </c>
      <c r="L841">
        <v>47168</v>
      </c>
      <c r="M841">
        <v>54415.8</v>
      </c>
      <c r="N841" t="str">
        <v xml:space="preserve"> FY27-Q1</v>
      </c>
      <c r="O841" t="str">
        <v>CY26-Q3</v>
      </c>
    </row>
    <row r="842" spans="10:15" x14ac:dyDescent="0.25">
      <c r="J842">
        <v>39</v>
      </c>
      <c r="K842">
        <v>3</v>
      </c>
      <c r="L842">
        <v>47198</v>
      </c>
      <c r="M842">
        <v>54415.8</v>
      </c>
      <c r="N842" t="str">
        <v xml:space="preserve"> FY27-Q1</v>
      </c>
      <c r="O842" t="str">
        <v>CY26-Q3</v>
      </c>
    </row>
    <row r="843" spans="10:15" x14ac:dyDescent="0.25">
      <c r="J843">
        <v>39</v>
      </c>
      <c r="K843">
        <v>3</v>
      </c>
      <c r="L843">
        <v>47228</v>
      </c>
      <c r="M843">
        <v>54415.8</v>
      </c>
      <c r="N843" t="str">
        <v xml:space="preserve"> FY27-Q1</v>
      </c>
      <c r="O843" t="str">
        <v>CY26-Q3</v>
      </c>
    </row>
    <row r="844" spans="10:15" x14ac:dyDescent="0.25">
      <c r="J844">
        <v>39</v>
      </c>
      <c r="K844">
        <v>3</v>
      </c>
      <c r="L844">
        <v>47258</v>
      </c>
      <c r="M844">
        <v>54415.8</v>
      </c>
      <c r="N844" t="str">
        <v xml:space="preserve"> FY27-Q1</v>
      </c>
      <c r="O844" t="str">
        <v>CY26-Q3</v>
      </c>
    </row>
    <row r="845" spans="10:15" x14ac:dyDescent="0.25">
      <c r="J845">
        <v>39</v>
      </c>
      <c r="K845">
        <v>3</v>
      </c>
      <c r="L845">
        <v>47288</v>
      </c>
      <c r="M845">
        <v>54415.8</v>
      </c>
      <c r="N845" t="str">
        <v xml:space="preserve"> FY27-Q1</v>
      </c>
      <c r="O845" t="str">
        <v>CY26-Q3</v>
      </c>
    </row>
    <row r="846" spans="10:15" x14ac:dyDescent="0.25">
      <c r="J846">
        <v>39</v>
      </c>
      <c r="K846">
        <v>3</v>
      </c>
      <c r="L846">
        <v>47318</v>
      </c>
      <c r="M846">
        <v>54415.8</v>
      </c>
      <c r="N846" t="str">
        <v xml:space="preserve"> FY27-Q1</v>
      </c>
      <c r="O846" t="str">
        <v>CY26-Q3</v>
      </c>
    </row>
    <row r="847" spans="10:15" x14ac:dyDescent="0.25">
      <c r="J847">
        <v>39</v>
      </c>
      <c r="K847">
        <v>3</v>
      </c>
      <c r="L847">
        <v>47348</v>
      </c>
      <c r="M847">
        <v>54415.8</v>
      </c>
      <c r="N847" t="str">
        <v xml:space="preserve"> FY27-Q1</v>
      </c>
      <c r="O847" t="str">
        <v>CY26-Q3</v>
      </c>
    </row>
    <row r="848" spans="10:15" x14ac:dyDescent="0.25">
      <c r="J848">
        <v>39</v>
      </c>
      <c r="K848">
        <v>3</v>
      </c>
      <c r="L848">
        <v>47378</v>
      </c>
      <c r="M848">
        <v>54415.8</v>
      </c>
      <c r="N848" t="str">
        <v xml:space="preserve"> FY27-Q1</v>
      </c>
      <c r="O848" t="str">
        <v>CY26-Q3</v>
      </c>
    </row>
    <row r="849" spans="10:15" x14ac:dyDescent="0.25">
      <c r="J849">
        <v>39</v>
      </c>
      <c r="K849">
        <v>3</v>
      </c>
      <c r="L849">
        <v>47408</v>
      </c>
      <c r="M849">
        <v>54415.8</v>
      </c>
      <c r="N849" t="str">
        <v xml:space="preserve"> FY27-Q1</v>
      </c>
      <c r="O849" t="str">
        <v>CY26-Q3</v>
      </c>
    </row>
    <row r="850" spans="10:15" x14ac:dyDescent="0.25">
      <c r="J850">
        <v>39</v>
      </c>
      <c r="K850">
        <v>3</v>
      </c>
      <c r="L850">
        <v>47438</v>
      </c>
      <c r="M850">
        <v>54415.8</v>
      </c>
      <c r="N850" t="str">
        <v xml:space="preserve"> FY27-Q1</v>
      </c>
      <c r="O850" t="str">
        <v>CY26-Q3</v>
      </c>
    </row>
    <row r="851" spans="10:15" x14ac:dyDescent="0.25">
      <c r="J851">
        <v>40</v>
      </c>
      <c r="K851">
        <v>15</v>
      </c>
      <c r="L851">
        <v>46406</v>
      </c>
      <c r="M851">
        <v>24096.3</v>
      </c>
      <c r="N851" t="str">
        <v xml:space="preserve"> FY27-Q3</v>
      </c>
      <c r="O851" t="str">
        <v>CY27-Q1</v>
      </c>
    </row>
    <row r="852" spans="10:15" x14ac:dyDescent="0.25">
      <c r="J852">
        <v>40</v>
      </c>
      <c r="K852">
        <v>15</v>
      </c>
      <c r="L852">
        <v>46588</v>
      </c>
      <c r="M852">
        <v>24096.3</v>
      </c>
      <c r="N852" t="str">
        <v xml:space="preserve"> FY27-Q3</v>
      </c>
      <c r="O852" t="str">
        <v>CY27-Q1</v>
      </c>
    </row>
    <row r="853" spans="10:15" x14ac:dyDescent="0.25">
      <c r="J853">
        <v>40</v>
      </c>
      <c r="K853">
        <v>15</v>
      </c>
      <c r="L853">
        <v>46770</v>
      </c>
      <c r="M853">
        <v>24096.3</v>
      </c>
      <c r="N853" t="str">
        <v xml:space="preserve"> FY27-Q3</v>
      </c>
      <c r="O853" t="str">
        <v>CY27-Q1</v>
      </c>
    </row>
    <row r="854" spans="10:15" x14ac:dyDescent="0.25">
      <c r="J854">
        <v>40</v>
      </c>
      <c r="K854">
        <v>15</v>
      </c>
      <c r="L854">
        <v>46952</v>
      </c>
      <c r="M854">
        <v>24096.3</v>
      </c>
      <c r="N854" t="str">
        <v xml:space="preserve"> FY27-Q3</v>
      </c>
      <c r="O854" t="str">
        <v>CY27-Q1</v>
      </c>
    </row>
    <row r="855" spans="10:15" x14ac:dyDescent="0.25">
      <c r="J855">
        <v>40</v>
      </c>
      <c r="K855">
        <v>15</v>
      </c>
      <c r="L855">
        <v>47134</v>
      </c>
      <c r="M855">
        <v>24096.3</v>
      </c>
      <c r="N855" t="str">
        <v xml:space="preserve"> FY27-Q3</v>
      </c>
      <c r="O855" t="str">
        <v>CY27-Q1</v>
      </c>
    </row>
    <row r="856" spans="10:15" x14ac:dyDescent="0.25">
      <c r="J856">
        <v>40</v>
      </c>
      <c r="K856">
        <v>15</v>
      </c>
      <c r="L856">
        <v>47316</v>
      </c>
      <c r="M856">
        <v>24096.3</v>
      </c>
      <c r="N856" t="str">
        <v xml:space="preserve"> FY27-Q3</v>
      </c>
      <c r="O856" t="str">
        <v>CY27-Q1</v>
      </c>
    </row>
    <row r="857" spans="10:15" x14ac:dyDescent="0.25">
      <c r="J857">
        <v>40</v>
      </c>
      <c r="K857">
        <v>15</v>
      </c>
      <c r="L857">
        <v>47498</v>
      </c>
      <c r="M857">
        <v>24096.3</v>
      </c>
      <c r="N857" t="str">
        <v xml:space="preserve"> FY27-Q3</v>
      </c>
      <c r="O857" t="str">
        <v>CY27-Q1</v>
      </c>
    </row>
    <row r="858" spans="10:15" x14ac:dyDescent="0.25">
      <c r="J858">
        <v>40</v>
      </c>
      <c r="K858">
        <v>15</v>
      </c>
      <c r="L858">
        <v>47680</v>
      </c>
      <c r="M858">
        <v>24096.3</v>
      </c>
      <c r="N858" t="str">
        <v xml:space="preserve"> FY27-Q3</v>
      </c>
      <c r="O858" t="str">
        <v>CY27-Q1</v>
      </c>
    </row>
    <row r="859" spans="10:15" x14ac:dyDescent="0.25">
      <c r="J859">
        <v>40</v>
      </c>
      <c r="K859">
        <v>15</v>
      </c>
      <c r="L859">
        <v>47862</v>
      </c>
      <c r="M859">
        <v>24096.3</v>
      </c>
      <c r="N859" t="str">
        <v xml:space="preserve"> FY27-Q3</v>
      </c>
      <c r="O859" t="str">
        <v>CY27-Q1</v>
      </c>
    </row>
    <row r="860" spans="10:15" x14ac:dyDescent="0.25">
      <c r="J860">
        <v>40</v>
      </c>
      <c r="K860">
        <v>15</v>
      </c>
      <c r="L860">
        <v>48044</v>
      </c>
      <c r="M860">
        <v>24096.3</v>
      </c>
      <c r="N860" t="str">
        <v xml:space="preserve"> FY27-Q3</v>
      </c>
      <c r="O860" t="str">
        <v>CY27-Q1</v>
      </c>
    </row>
    <row r="861" spans="10:15" x14ac:dyDescent="0.25">
      <c r="J861">
        <v>40</v>
      </c>
      <c r="K861">
        <v>15</v>
      </c>
      <c r="L861">
        <v>48226</v>
      </c>
      <c r="M861">
        <v>24096.3</v>
      </c>
      <c r="N861" t="str">
        <v xml:space="preserve"> FY27-Q3</v>
      </c>
      <c r="O861" t="str">
        <v>CY27-Q1</v>
      </c>
    </row>
    <row r="862" spans="10:15" x14ac:dyDescent="0.25">
      <c r="J862">
        <v>40</v>
      </c>
      <c r="K862">
        <v>15</v>
      </c>
      <c r="L862">
        <v>48408</v>
      </c>
      <c r="M862">
        <v>24096.3</v>
      </c>
      <c r="N862" t="str">
        <v xml:space="preserve"> FY27-Q3</v>
      </c>
      <c r="O862" t="str">
        <v>CY27-Q1</v>
      </c>
    </row>
    <row r="863" spans="10:15" x14ac:dyDescent="0.25">
      <c r="J863">
        <v>40</v>
      </c>
      <c r="K863">
        <v>15</v>
      </c>
      <c r="L863">
        <v>48590</v>
      </c>
      <c r="M863">
        <v>24096.3</v>
      </c>
      <c r="N863" t="str">
        <v xml:space="preserve"> FY27-Q3</v>
      </c>
      <c r="O863" t="str">
        <v>CY27-Q1</v>
      </c>
    </row>
    <row r="864" spans="10:15" x14ac:dyDescent="0.25">
      <c r="J864">
        <v>40</v>
      </c>
      <c r="K864">
        <v>15</v>
      </c>
      <c r="L864">
        <v>48772</v>
      </c>
      <c r="M864">
        <v>24096.3</v>
      </c>
      <c r="N864" t="str">
        <v xml:space="preserve"> FY27-Q3</v>
      </c>
      <c r="O864" t="str">
        <v>CY27-Q1</v>
      </c>
    </row>
    <row r="865" spans="10:15" x14ac:dyDescent="0.25">
      <c r="J865">
        <v>40</v>
      </c>
      <c r="K865">
        <v>15</v>
      </c>
      <c r="L865">
        <v>48954</v>
      </c>
      <c r="M865">
        <v>24096.3</v>
      </c>
      <c r="N865" t="str">
        <v xml:space="preserve"> FY27-Q3</v>
      </c>
      <c r="O865" t="str">
        <v>CY27-Q1</v>
      </c>
    </row>
    <row r="866" spans="10:15" x14ac:dyDescent="0.25">
      <c r="J866">
        <v>40</v>
      </c>
      <c r="K866">
        <v>15</v>
      </c>
      <c r="L866">
        <v>49136</v>
      </c>
      <c r="M866">
        <v>24096.3</v>
      </c>
      <c r="N866" t="str">
        <v xml:space="preserve"> FY27-Q3</v>
      </c>
      <c r="O866" t="str">
        <v>CY27-Q1</v>
      </c>
    </row>
    <row r="867" spans="10:15" x14ac:dyDescent="0.25">
      <c r="J867">
        <v>40</v>
      </c>
      <c r="K867">
        <v>15</v>
      </c>
      <c r="L867">
        <v>49318</v>
      </c>
      <c r="M867">
        <v>24096.3</v>
      </c>
      <c r="N867" t="str">
        <v xml:space="preserve"> FY27-Q3</v>
      </c>
      <c r="O867" t="str">
        <v>CY27-Q1</v>
      </c>
    </row>
    <row r="868" spans="10:15" x14ac:dyDescent="0.25">
      <c r="J868">
        <v>40</v>
      </c>
      <c r="K868">
        <v>15</v>
      </c>
      <c r="L868">
        <v>49500</v>
      </c>
      <c r="M868">
        <v>24096.3</v>
      </c>
      <c r="N868" t="str">
        <v xml:space="preserve"> FY27-Q3</v>
      </c>
      <c r="O868" t="str">
        <v>CY27-Q1</v>
      </c>
    </row>
    <row r="869" spans="10:15" x14ac:dyDescent="0.25">
      <c r="J869">
        <v>40</v>
      </c>
      <c r="K869">
        <v>15</v>
      </c>
      <c r="L869">
        <v>49682</v>
      </c>
      <c r="M869">
        <v>24096.3</v>
      </c>
      <c r="N869" t="str">
        <v xml:space="preserve"> FY27-Q3</v>
      </c>
      <c r="O869" t="str">
        <v>CY27-Q1</v>
      </c>
    </row>
    <row r="870" spans="10:15" x14ac:dyDescent="0.25">
      <c r="J870">
        <v>40</v>
      </c>
      <c r="K870">
        <v>15</v>
      </c>
      <c r="L870">
        <v>49864</v>
      </c>
      <c r="M870">
        <v>24096.3</v>
      </c>
      <c r="N870" t="str">
        <v xml:space="preserve"> FY27-Q3</v>
      </c>
      <c r="O870" t="str">
        <v>CY27-Q1</v>
      </c>
    </row>
  </sheetData>
  <pageMargins left="0.7" right="0.7" top="0.75" bottom="0.75" header="0.3" footer="0.3"/>
  <tableParts count="1">
    <tablePart r:id="rId1"/>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9BE98B-4D4F-4C20-B0F1-4A2BE343A19E}">
  <sheetPr codeName="Sheet3"/>
  <dimension ref="A1:AD41"/>
  <sheetViews>
    <sheetView topLeftCell="A5" zoomScale="85" zoomScaleNormal="85" workbookViewId="0">
      <selection activeCell="N2" sqref="N2:N41"/>
    </sheetView>
  </sheetViews>
  <sheetFormatPr defaultRowHeight="15" x14ac:dyDescent="0.25"/>
  <cols>
    <col min="1" max="1" width="5.7109375" bestFit="1" customWidth="1"/>
    <col min="2" max="2" width="32.28515625" bestFit="1" customWidth="1"/>
    <col min="3" max="3" width="9.28515625" bestFit="1" customWidth="1"/>
    <col min="4" max="4" width="17.42578125" bestFit="1" customWidth="1"/>
    <col min="5" max="5" width="10.7109375" bestFit="1" customWidth="1"/>
    <col min="6" max="6" width="13.140625" bestFit="1" customWidth="1"/>
    <col min="7" max="7" width="11.42578125" bestFit="1" customWidth="1"/>
    <col min="8" max="8" width="21.140625" bestFit="1" customWidth="1"/>
    <col min="9" max="9" width="23.7109375" bestFit="1" customWidth="1"/>
    <col min="10" max="10" width="14.140625" bestFit="1" customWidth="1"/>
    <col min="11" max="11" width="16" bestFit="1" customWidth="1"/>
    <col min="12" max="12" width="20.28515625" bestFit="1" customWidth="1"/>
    <col min="13" max="13" width="26" bestFit="1" customWidth="1"/>
    <col min="14" max="14" width="14.85546875" bestFit="1" customWidth="1"/>
    <col min="15" max="15" width="12" bestFit="1" customWidth="1"/>
    <col min="16" max="16" width="9" bestFit="1" customWidth="1"/>
    <col min="17" max="17" width="8.85546875" bestFit="1" customWidth="1"/>
    <col min="18" max="18" width="81.140625" bestFit="1" customWidth="1"/>
    <col min="19" max="19" width="15.7109375" bestFit="1" customWidth="1"/>
    <col min="20" max="20" width="20.7109375" bestFit="1" customWidth="1"/>
    <col min="21" max="21" width="12.28515625" bestFit="1" customWidth="1"/>
    <col min="22" max="22" width="16" bestFit="1" customWidth="1"/>
    <col min="23" max="23" width="26.140625" bestFit="1" customWidth="1"/>
    <col min="24" max="24" width="81.140625" bestFit="1" customWidth="1"/>
    <col min="25" max="25" width="9.7109375" bestFit="1" customWidth="1"/>
    <col min="26" max="26" width="81.140625" bestFit="1" customWidth="1"/>
    <col min="27" max="27" width="16" bestFit="1" customWidth="1"/>
    <col min="28" max="28" width="19.5703125" bestFit="1" customWidth="1"/>
    <col min="29" max="29" width="17.85546875" bestFit="1" customWidth="1"/>
    <col min="30" max="30" width="17.7109375" bestFit="1" customWidth="1"/>
    <col min="31" max="31" width="26.140625" bestFit="1" customWidth="1"/>
    <col min="32" max="32" width="81.140625" bestFit="1" customWidth="1"/>
    <col min="33" max="33" width="9.7109375" bestFit="1" customWidth="1"/>
    <col min="34" max="34" width="16" bestFit="1" customWidth="1"/>
    <col min="35" max="35" width="9" bestFit="1" customWidth="1"/>
    <col min="36" max="36" width="8.85546875" bestFit="1" customWidth="1"/>
    <col min="37" max="37" width="81.140625" bestFit="1" customWidth="1"/>
    <col min="38" max="38" width="15.7109375" bestFit="1" customWidth="1"/>
    <col min="39" max="39" width="20" bestFit="1" customWidth="1"/>
    <col min="40" max="40" width="13.42578125" bestFit="1" customWidth="1"/>
    <col min="41" max="41" width="14.5703125" bestFit="1" customWidth="1"/>
    <col min="42" max="42" width="15" bestFit="1" customWidth="1"/>
    <col min="43" max="43" width="14" bestFit="1" customWidth="1"/>
    <col min="44" max="44" width="13.28515625" bestFit="1" customWidth="1"/>
    <col min="45" max="45" width="13.85546875" bestFit="1" customWidth="1"/>
    <col min="46" max="47" width="13.42578125" bestFit="1" customWidth="1"/>
    <col min="48" max="48" width="21.85546875" bestFit="1" customWidth="1"/>
    <col min="49" max="49" width="18" bestFit="1" customWidth="1"/>
    <col min="50" max="50" width="25" bestFit="1" customWidth="1"/>
    <col min="51" max="51" width="38" bestFit="1" customWidth="1"/>
  </cols>
  <sheetData>
    <row r="1" spans="1:30" x14ac:dyDescent="0.25">
      <c r="A1" t="s">
        <v>384</v>
      </c>
      <c r="B1" t="s">
        <v>90</v>
      </c>
      <c r="C1" t="s">
        <v>13</v>
      </c>
      <c r="D1" t="s">
        <v>14</v>
      </c>
      <c r="E1" t="s">
        <v>15</v>
      </c>
      <c r="F1" t="s">
        <v>16</v>
      </c>
      <c r="G1" t="s">
        <v>34</v>
      </c>
      <c r="H1" t="s">
        <v>39</v>
      </c>
      <c r="I1" t="s">
        <v>38</v>
      </c>
      <c r="J1" t="s">
        <v>385</v>
      </c>
      <c r="K1" t="s">
        <v>45</v>
      </c>
      <c r="L1" t="s">
        <v>89</v>
      </c>
      <c r="M1" t="s">
        <v>800</v>
      </c>
      <c r="N1" t="s">
        <v>801</v>
      </c>
      <c r="O1" t="s">
        <v>802</v>
      </c>
      <c r="P1" t="s">
        <v>31</v>
      </c>
      <c r="Q1" t="s">
        <v>32</v>
      </c>
      <c r="R1" t="s">
        <v>29</v>
      </c>
      <c r="S1" t="s">
        <v>35</v>
      </c>
      <c r="T1" t="s">
        <v>36</v>
      </c>
      <c r="U1" t="s">
        <v>41</v>
      </c>
      <c r="V1" t="s">
        <v>74</v>
      </c>
      <c r="W1" t="s">
        <v>85</v>
      </c>
      <c r="X1" t="s">
        <v>142</v>
      </c>
      <c r="Y1" t="s">
        <v>44</v>
      </c>
      <c r="Z1" t="s">
        <v>377</v>
      </c>
      <c r="AA1" t="s">
        <v>30</v>
      </c>
      <c r="AB1" t="s">
        <v>387</v>
      </c>
      <c r="AC1" t="s">
        <v>399</v>
      </c>
      <c r="AD1" t="s">
        <v>28</v>
      </c>
    </row>
    <row r="2" spans="1:30" x14ac:dyDescent="0.25">
      <c r="A2">
        <v>1</v>
      </c>
      <c r="B2" t="s">
        <v>91</v>
      </c>
      <c r="C2" t="s">
        <v>19</v>
      </c>
      <c r="D2" t="s">
        <v>20</v>
      </c>
      <c r="E2">
        <v>1488043</v>
      </c>
      <c r="F2" t="s">
        <v>84</v>
      </c>
      <c r="G2" s="36">
        <v>46157</v>
      </c>
      <c r="H2" s="36">
        <v>45898</v>
      </c>
      <c r="I2" t="s">
        <v>151</v>
      </c>
      <c r="J2">
        <v>18</v>
      </c>
      <c r="L2" t="s">
        <v>393</v>
      </c>
      <c r="M2" t="s">
        <v>803</v>
      </c>
      <c r="N2" cm="1">
        <f t="array" aca="1" ref="N2" ca="1">_xlfn.SWITCH(Opportunities[[#This Row],[RecurringRevenueModel]],"Annually",RANDBETWEEN(2,8),"Semi-Annually",RANDBETWEEN(6,12),"Quarterly",RANDBETWEEN(8,20),"Monthly",RANDBETWEEN(24,60),"One-time",1)</f>
        <v>5</v>
      </c>
      <c r="O2" s="36">
        <v>46190</v>
      </c>
      <c r="P2" t="str">
        <f>" FY"&amp;RIGHT(IF(MONTH(Opportunities[[#This Row],[Close]])&gt;=7,YEAR(Opportunities[[#This Row],[Close]])+1,YEAR(Opportunities[[#This Row],[Close]])),2)&amp;"-Q"&amp;IF(MONTH(Opportunities[[#This Row],[Close]])&gt;=7,CEILING((MONTH(Opportunities[[#This Row],[Close]])-6)/3,1),CEILING((MONTH(Opportunities[[#This Row],[Close]])+6)/3,1))</f>
        <v xml:space="preserve"> FY26-Q4</v>
      </c>
      <c r="Q2" t="str">
        <f>"CY"&amp;RIGHT(YEAR(Opportunities[[#This Row],[Close]]),2)&amp;"-Q"&amp;ROUNDUP(MONTH(Opportunities[[#This Row],[Close]])/3, 0)</f>
        <v>CY26-Q2</v>
      </c>
      <c r="R2" t="str">
        <f>siteUrl&amp;"/Lists/"&amp;oppList&amp;"/DispForm.aspx?ID="&amp;Opportunities[[#This Row],[ID]]</f>
        <v>https://cleansheet5.sharepoint.com/sites/SalesFunnel//Lists/auto12Opportunities/DispForm.aspx?ID=1</v>
      </c>
      <c r="S2">
        <f>_xlfn.XLOOKUP(Opportunities[[#This Row],[Stage]],stage[Stage Name],stage[Index],"")</f>
        <v>1</v>
      </c>
      <c r="T2" t="str">
        <f>_xlfn.XLOOKUP(Opportunities[[#This Row],[StageNumber]],stage[Index],stage[Display])</f>
        <v>➀ - Lead Qualification</v>
      </c>
      <c r="U2">
        <f>Opportunities[[#This Row],[Amount]]*_xlfn.XLOOKUP(Opportunities[[#This Row],[Probability]],prob[Win Probability],prob[Value])</f>
        <v>297608.60000000003</v>
      </c>
      <c r="V2" t="str" cm="1">
        <f t="array" ref="V2">_xlfn.SWITCH(Opportunities[[#This Row],[Status]],"At Risk","⚠","Active","✓","⮾")</f>
        <v>✓</v>
      </c>
      <c r="W2" t="str">
        <f>_xlfn.XLOOKUP(Opportunities[[#This Row],[CustomerId]],Customers[Id],Customers[Customer Name])</f>
        <v>Agricultural Systems</v>
      </c>
      <c r="X2" t="str">
        <f>_xlfn.XLOOKUP(Opportunities[[#This Row],[CustomerId]],Customers[Id],Customers[CustomerRecordUrl])</f>
        <v>https://cleansheet5.sharepoint.com/sites/SalesFunnel//Lists/auto12Customers/DispForm.aspx?ID=18</v>
      </c>
      <c r="Y2">
        <f>_xlfn.XLOOKUP(Opportunities[[#This Row],[ID]],View[ID],View[Visible])</f>
        <v>1</v>
      </c>
      <c r="Z2" t="str">
        <f>Opportunities[[#This Row],[status symbol]]&amp;" "&amp; Opportunities[[#This Row],[Customer Name]] &amp;CHAR(10)&amp;"("&amp;Opportunities[[#This Row],[OpportunityName]] &amp; ")"&amp;CHAR(10)&amp;" $"&amp;TEXT(Opportunities[[#This Row],[Amount]]/1000000,"#,0.0")&amp;"m • "&amp; Opportunities[[#This Row],[Stage]]&amp; " • Owner: " &amp; Opportunities[[#This Row],[OpportunityOwner]]</f>
        <v>✓ Agricultural Systems
(ERP Implementation Project)
 $1.5m • Lead Qualification • Owner: Amanda Sales</v>
      </c>
      <c r="AA2" t="str">
        <f>IF(calendarType="FQ","FY"&amp;RIGHT(TEXT(IF(MONTH(Opportunities[[#This Row],[Close]])&gt;MONTH(fqStart),YEAR(Opportunities[[#This Row],[Close]])+1,IF(MONTH(Opportunities[[#This Row],[Close]])&lt;MONTH(fqStart),YEAR(Opportunities[[#This Row],[Close]]),IF(DAY(Opportunities[[#This Row],[Close]])&gt;=DAY(fqStart),YEAR(Opportunities[[#This Row],[Close]])+1,YEAR(Opportunities[[#This Row],[Close]])))),"0"),2)&amp;"-Q"&amp;ROUNDUP((MONTH(Opportunities[[#This Row],[Close]])-MONTH(fqStart)+IF(DAY(Opportunities[[#This Row],[Close]])&lt;DAY(fqStart),0,1)+IF(MONTH(Opportunities[[#This Row],[Close]])&lt;MONTH(fqStart),12,0))/3,0),_xlfn.XLOOKUP(Opportunities[[#This Row],[ID]],Opportunities[ID],Opportunities[CQ]))</f>
        <v>FY26-Q4</v>
      </c>
      <c r="AC2" t="str" cm="1">
        <f t="array" ref="AC2">_xlfn.SWITCH(Opportunities[[#This Row],[Probability]],"High","↖","Medium","←","Low","↙")&amp;" " &amp;Opportunities[[#This Row],[Probability]]</f>
        <v>↙ Low</v>
      </c>
      <c r="AD2" t="b">
        <f>Opportunities[[#This Row],[WinProbDisplay]]="↖ High"</f>
        <v>0</v>
      </c>
    </row>
    <row r="3" spans="1:30" x14ac:dyDescent="0.25">
      <c r="A3">
        <v>2</v>
      </c>
      <c r="B3" t="s">
        <v>94</v>
      </c>
      <c r="C3" t="s">
        <v>19</v>
      </c>
      <c r="D3" t="s">
        <v>23</v>
      </c>
      <c r="E3">
        <v>1781938</v>
      </c>
      <c r="F3" t="s">
        <v>82</v>
      </c>
      <c r="G3" s="36">
        <v>45975</v>
      </c>
      <c r="H3" s="36">
        <v>45904</v>
      </c>
      <c r="I3" t="s">
        <v>153</v>
      </c>
      <c r="J3">
        <v>10</v>
      </c>
      <c r="L3" t="s">
        <v>157</v>
      </c>
      <c r="M3" t="s">
        <v>804</v>
      </c>
      <c r="N3" cm="1">
        <f t="array" aca="1" ref="N3" ca="1">_xlfn.SWITCH(Opportunities[[#This Row],[RecurringRevenueModel]],"Annually",RANDBETWEEN(2,8),"Semi-Annually",RANDBETWEEN(6,12),"Quarterly",RANDBETWEEN(8,20),"Monthly",RANDBETWEEN(24,60),"One-time",1)</f>
        <v>40</v>
      </c>
      <c r="O3" s="36">
        <v>46008</v>
      </c>
      <c r="P3" t="str">
        <f>" FY"&amp;RIGHT(IF(MONTH(Opportunities[[#This Row],[Close]])&gt;=7,YEAR(Opportunities[[#This Row],[Close]])+1,YEAR(Opportunities[[#This Row],[Close]])),2)&amp;"-Q"&amp;IF(MONTH(Opportunities[[#This Row],[Close]])&gt;=7,CEILING((MONTH(Opportunities[[#This Row],[Close]])-6)/3,1),CEILING((MONTH(Opportunities[[#This Row],[Close]])+6)/3,1))</f>
        <v xml:space="preserve"> FY26-Q2</v>
      </c>
      <c r="Q3" t="str">
        <f>"CY"&amp;RIGHT(YEAR(Opportunities[[#This Row],[Close]]),2)&amp;"-Q"&amp;ROUNDUP(MONTH(Opportunities[[#This Row],[Close]])/3, 0)</f>
        <v>CY25-Q4</v>
      </c>
      <c r="R3" t="str">
        <f>siteUrl&amp;"/Lists/"&amp;oppList&amp;"/DispForm.aspx?ID="&amp;Opportunities[[#This Row],[ID]]</f>
        <v>https://cleansheet5.sharepoint.com/sites/SalesFunnel//Lists/auto12Opportunities/DispForm.aspx?ID=2</v>
      </c>
      <c r="S3">
        <f>_xlfn.XLOOKUP(Opportunities[[#This Row],[Stage]],stage[Stage Name],stage[Index],"")</f>
        <v>2</v>
      </c>
      <c r="T3" t="str">
        <f>_xlfn.XLOOKUP(Opportunities[[#This Row],[StageNumber]],stage[Index],stage[Display])</f>
        <v>➁ - Nurturing</v>
      </c>
      <c r="U3">
        <f>Opportunities[[#This Row],[Amount]]*_xlfn.XLOOKUP(Opportunities[[#This Row],[Probability]],prob[Win Probability],prob[Value])</f>
        <v>712775.20000000007</v>
      </c>
      <c r="V3" t="str" cm="1">
        <f t="array" ref="V3">_xlfn.SWITCH(Opportunities[[#This Row],[Status]],"At Risk","⚠","Active","✓","⮾")</f>
        <v>✓</v>
      </c>
      <c r="W3" t="str">
        <f>_xlfn.XLOOKUP(Opportunities[[#This Row],[CustomerId]],Customers[Id],Customers[Customer Name])</f>
        <v>Education First</v>
      </c>
      <c r="X3" t="str">
        <f>_xlfn.XLOOKUP(Opportunities[[#This Row],[CustomerId]],Customers[Id],Customers[CustomerRecordUrl])</f>
        <v>https://cleansheet5.sharepoint.com/sites/SalesFunnel//Lists/auto12Customers/DispForm.aspx?ID=10</v>
      </c>
      <c r="Y3">
        <f>_xlfn.XLOOKUP(Opportunities[[#This Row],[ID]],View[ID],View[Visible])</f>
        <v>1</v>
      </c>
      <c r="Z3" t="str">
        <f>Opportunities[[#This Row],[status symbol]]&amp;" "&amp; Opportunities[[#This Row],[Customer Name]] &amp;CHAR(10)&amp;"("&amp;Opportunities[[#This Row],[OpportunityName]] &amp; ")"&amp;CHAR(10)&amp;" $"&amp;TEXT(Opportunities[[#This Row],[Amount]]/1000000,"#,0.0")&amp;"m • "&amp; Opportunities[[#This Row],[Stage]]&amp; " • Owner: " &amp; Opportunities[[#This Row],[OpportunityOwner]]</f>
        <v>✓ Education First
(Cloud Migration Initiative)
 $1.8m • Nurturing • Owner: Robert Analyst</v>
      </c>
      <c r="AA3" t="str">
        <f>IF(calendarType="FQ","FY"&amp;RIGHT(TEXT(IF(MONTH(Opportunities[[#This Row],[Close]])&gt;MONTH(fqStart),YEAR(Opportunities[[#This Row],[Close]])+1,IF(MONTH(Opportunities[[#This Row],[Close]])&lt;MONTH(fqStart),YEAR(Opportunities[[#This Row],[Close]]),IF(DAY(Opportunities[[#This Row],[Close]])&gt;=DAY(fqStart),YEAR(Opportunities[[#This Row],[Close]])+1,YEAR(Opportunities[[#This Row],[Close]])))),"0"),2)&amp;"-Q"&amp;ROUNDUP((MONTH(Opportunities[[#This Row],[Close]])-MONTH(fqStart)+IF(DAY(Opportunities[[#This Row],[Close]])&lt;DAY(fqStart),0,1)+IF(MONTH(Opportunities[[#This Row],[Close]])&lt;MONTH(fqStart),12,0))/3,0),_xlfn.XLOOKUP(Opportunities[[#This Row],[ID]],Opportunities[ID],Opportunities[CQ]))</f>
        <v>FY26-Q2</v>
      </c>
      <c r="AC3" t="str" cm="1">
        <f t="array" ref="AC3">_xlfn.SWITCH(Opportunities[[#This Row],[Probability]],"High","↖","Medium","←","Low","↙")&amp;" " &amp;Opportunities[[#This Row],[Probability]]</f>
        <v>← Medium</v>
      </c>
      <c r="AD3" t="b">
        <f>Opportunities[[#This Row],[WinProbDisplay]]="↖ High"</f>
        <v>0</v>
      </c>
    </row>
    <row r="4" spans="1:30" x14ac:dyDescent="0.25">
      <c r="A4">
        <v>3</v>
      </c>
      <c r="B4" t="s">
        <v>97</v>
      </c>
      <c r="C4" t="s">
        <v>19</v>
      </c>
      <c r="D4" t="s">
        <v>23</v>
      </c>
      <c r="E4">
        <v>1153725</v>
      </c>
      <c r="F4" t="s">
        <v>82</v>
      </c>
      <c r="G4" s="36">
        <v>45918</v>
      </c>
      <c r="H4" s="36">
        <v>45925</v>
      </c>
      <c r="I4" t="s">
        <v>93</v>
      </c>
      <c r="J4">
        <v>16</v>
      </c>
      <c r="L4" t="s">
        <v>166</v>
      </c>
      <c r="M4" t="s">
        <v>805</v>
      </c>
      <c r="N4" cm="1">
        <f t="array" aca="1" ref="N4" ca="1">_xlfn.SWITCH(Opportunities[[#This Row],[RecurringRevenueModel]],"Annually",RANDBETWEEN(2,8),"Semi-Annually",RANDBETWEEN(6,12),"Quarterly",RANDBETWEEN(8,20),"Monthly",RANDBETWEEN(24,60),"One-time",1)</f>
        <v>1</v>
      </c>
      <c r="O4" s="36">
        <v>45925</v>
      </c>
      <c r="P4" t="str">
        <f>" FY"&amp;RIGHT(IF(MONTH(Opportunities[[#This Row],[Close]])&gt;=7,YEAR(Opportunities[[#This Row],[Close]])+1,YEAR(Opportunities[[#This Row],[Close]])),2)&amp;"-Q"&amp;IF(MONTH(Opportunities[[#This Row],[Close]])&gt;=7,CEILING((MONTH(Opportunities[[#This Row],[Close]])-6)/3,1),CEILING((MONTH(Opportunities[[#This Row],[Close]])+6)/3,1))</f>
        <v xml:space="preserve"> FY26-Q1</v>
      </c>
      <c r="Q4" t="str">
        <f>"CY"&amp;RIGHT(YEAR(Opportunities[[#This Row],[Close]]),2)&amp;"-Q"&amp;ROUNDUP(MONTH(Opportunities[[#This Row],[Close]])/3, 0)</f>
        <v>CY25-Q3</v>
      </c>
      <c r="R4" t="str">
        <f>siteUrl&amp;"/Lists/"&amp;oppList&amp;"/DispForm.aspx?ID="&amp;Opportunities[[#This Row],[ID]]</f>
        <v>https://cleansheet5.sharepoint.com/sites/SalesFunnel//Lists/auto12Opportunities/DispForm.aspx?ID=3</v>
      </c>
      <c r="S4">
        <f>_xlfn.XLOOKUP(Opportunities[[#This Row],[Stage]],stage[Stage Name],stage[Index],"")</f>
        <v>2</v>
      </c>
      <c r="T4" t="str">
        <f>_xlfn.XLOOKUP(Opportunities[[#This Row],[StageNumber]],stage[Index],stage[Display])</f>
        <v>➁ - Nurturing</v>
      </c>
      <c r="U4">
        <f>Opportunities[[#This Row],[Amount]]*_xlfn.XLOOKUP(Opportunities[[#This Row],[Probability]],prob[Win Probability],prob[Value])</f>
        <v>461490</v>
      </c>
      <c r="V4" t="str" cm="1">
        <f t="array" ref="V4">_xlfn.SWITCH(Opportunities[[#This Row],[Status]],"At Risk","⚠","Active","✓","⮾")</f>
        <v>✓</v>
      </c>
      <c r="W4" t="str">
        <f>_xlfn.XLOOKUP(Opportunities[[#This Row],[CustomerId]],Customers[Id],Customers[Customer Name])</f>
        <v>Real Estate Ventures</v>
      </c>
      <c r="X4" t="str">
        <f>_xlfn.XLOOKUP(Opportunities[[#This Row],[CustomerId]],Customers[Id],Customers[CustomerRecordUrl])</f>
        <v>https://cleansheet5.sharepoint.com/sites/SalesFunnel//Lists/auto12Customers/DispForm.aspx?ID=16</v>
      </c>
      <c r="Y4">
        <f>_xlfn.XLOOKUP(Opportunities[[#This Row],[ID]],View[ID],View[Visible])</f>
        <v>1</v>
      </c>
      <c r="Z4" t="str">
        <f>Opportunities[[#This Row],[status symbol]]&amp;" "&amp; Opportunities[[#This Row],[Customer Name]] &amp;CHAR(10)&amp;"("&amp;Opportunities[[#This Row],[OpportunityName]] &amp; ")"&amp;CHAR(10)&amp;" $"&amp;TEXT(Opportunities[[#This Row],[Amount]]/1000000,"#,0.0")&amp;"m • "&amp; Opportunities[[#This Row],[Stage]]&amp; " • Owner: " &amp; Opportunities[[#This Row],[OpportunityOwner]]</f>
        <v>✓ Real Estate Ventures
(Security Assessment &amp; Audit)
 $1.2m • Nurturing • Owner: David Specialist</v>
      </c>
      <c r="AA4" t="str">
        <f>IF(calendarType="FQ","FY"&amp;RIGHT(TEXT(IF(MONTH(Opportunities[[#This Row],[Close]])&gt;MONTH(fqStart),YEAR(Opportunities[[#This Row],[Close]])+1,IF(MONTH(Opportunities[[#This Row],[Close]])&lt;MONTH(fqStart),YEAR(Opportunities[[#This Row],[Close]]),IF(DAY(Opportunities[[#This Row],[Close]])&gt;=DAY(fqStart),YEAR(Opportunities[[#This Row],[Close]])+1,YEAR(Opportunities[[#This Row],[Close]])))),"0"),2)&amp;"-Q"&amp;ROUNDUP((MONTH(Opportunities[[#This Row],[Close]])-MONTH(fqStart)+IF(DAY(Opportunities[[#This Row],[Close]])&lt;DAY(fqStart),0,1)+IF(MONTH(Opportunities[[#This Row],[Close]])&lt;MONTH(fqStart),12,0))/3,0),_xlfn.XLOOKUP(Opportunities[[#This Row],[ID]],Opportunities[ID],Opportunities[CQ]))</f>
        <v>FY26-Q1</v>
      </c>
      <c r="AC4" t="str" cm="1">
        <f t="array" ref="AC4">_xlfn.SWITCH(Opportunities[[#This Row],[Probability]],"High","↖","Medium","←","Low","↙")&amp;" " &amp;Opportunities[[#This Row],[Probability]]</f>
        <v>← Medium</v>
      </c>
      <c r="AD4" t="b">
        <f>Opportunities[[#This Row],[WinProbDisplay]]="↖ High"</f>
        <v>0</v>
      </c>
    </row>
    <row r="5" spans="1:30" x14ac:dyDescent="0.25">
      <c r="A5">
        <v>4</v>
      </c>
      <c r="B5" t="s">
        <v>100</v>
      </c>
      <c r="C5" t="s">
        <v>19</v>
      </c>
      <c r="D5" t="s">
        <v>24</v>
      </c>
      <c r="E5">
        <v>744799</v>
      </c>
      <c r="F5" t="s">
        <v>82</v>
      </c>
      <c r="G5" s="36">
        <v>46009</v>
      </c>
      <c r="H5" s="36">
        <v>45894</v>
      </c>
      <c r="I5" t="s">
        <v>146</v>
      </c>
      <c r="J5">
        <v>12</v>
      </c>
      <c r="L5" t="s">
        <v>157</v>
      </c>
      <c r="M5" t="s">
        <v>803</v>
      </c>
      <c r="N5" cm="1">
        <f t="array" aca="1" ref="N5" ca="1">_xlfn.SWITCH(Opportunities[[#This Row],[RecurringRevenueModel]],"Annually",RANDBETWEEN(2,8),"Semi-Annually",RANDBETWEEN(6,12),"Quarterly",RANDBETWEEN(8,20),"Monthly",RANDBETWEEN(24,60),"One-time",1)</f>
        <v>4</v>
      </c>
      <c r="O5" s="36">
        <v>46096</v>
      </c>
      <c r="P5" t="str">
        <f>" FY"&amp;RIGHT(IF(MONTH(Opportunities[[#This Row],[Close]])&gt;=7,YEAR(Opportunities[[#This Row],[Close]])+1,YEAR(Opportunities[[#This Row],[Close]])),2)&amp;"-Q"&amp;IF(MONTH(Opportunities[[#This Row],[Close]])&gt;=7,CEILING((MONTH(Opportunities[[#This Row],[Close]])-6)/3,1),CEILING((MONTH(Opportunities[[#This Row],[Close]])+6)/3,1))</f>
        <v xml:space="preserve"> FY26-Q2</v>
      </c>
      <c r="Q5" t="str">
        <f>"CY"&amp;RIGHT(YEAR(Opportunities[[#This Row],[Close]]),2)&amp;"-Q"&amp;ROUNDUP(MONTH(Opportunities[[#This Row],[Close]])/3, 0)</f>
        <v>CY25-Q4</v>
      </c>
      <c r="R5" t="str">
        <f>siteUrl&amp;"/Lists/"&amp;oppList&amp;"/DispForm.aspx?ID="&amp;Opportunities[[#This Row],[ID]]</f>
        <v>https://cleansheet5.sharepoint.com/sites/SalesFunnel//Lists/auto12Opportunities/DispForm.aspx?ID=4</v>
      </c>
      <c r="S5">
        <f>_xlfn.XLOOKUP(Opportunities[[#This Row],[Stage]],stage[Stage Name],stage[Index],"")</f>
        <v>6</v>
      </c>
      <c r="T5" t="str">
        <f>_xlfn.XLOOKUP(Opportunities[[#This Row],[StageNumber]],stage[Index],stage[Display])</f>
        <v>➅ - Closeout</v>
      </c>
      <c r="U5">
        <f>Opportunities[[#This Row],[Amount]]*_xlfn.XLOOKUP(Opportunities[[#This Row],[Probability]],prob[Win Probability],prob[Value])</f>
        <v>297919.60000000003</v>
      </c>
      <c r="V5" t="str" cm="1">
        <f t="array" ref="V5">_xlfn.SWITCH(Opportunities[[#This Row],[Status]],"At Risk","⚠","Active","✓","⮾")</f>
        <v>✓</v>
      </c>
      <c r="W5" t="str">
        <f>_xlfn.XLOOKUP(Opportunities[[#This Row],[CustomerId]],Customers[Id],Customers[Customer Name])</f>
        <v>Food Service Partners</v>
      </c>
      <c r="X5" t="str">
        <f>_xlfn.XLOOKUP(Opportunities[[#This Row],[CustomerId]],Customers[Id],Customers[CustomerRecordUrl])</f>
        <v>https://cleansheet5.sharepoint.com/sites/SalesFunnel//Lists/auto12Customers/DispForm.aspx?ID=12</v>
      </c>
      <c r="Y5">
        <f>_xlfn.XLOOKUP(Opportunities[[#This Row],[ID]],View[ID],View[Visible])</f>
        <v>1</v>
      </c>
      <c r="Z5" t="str">
        <f>Opportunities[[#This Row],[status symbol]]&amp;" "&amp; Opportunities[[#This Row],[Customer Name]] &amp;CHAR(10)&amp;"("&amp;Opportunities[[#This Row],[OpportunityName]] &amp; ")"&amp;CHAR(10)&amp;" $"&amp;TEXT(Opportunities[[#This Row],[Amount]]/1000000,"#,0.0")&amp;"m • "&amp; Opportunities[[#This Row],[Stage]]&amp; " • Owner: " &amp; Opportunities[[#This Row],[OpportunityOwner]]</f>
        <v>✓ Food Service Partners
(Manufacturing Automation System)
 $0.7m • Closeout • Owner: Robert Analyst</v>
      </c>
      <c r="AA5" t="str">
        <f>IF(calendarType="FQ","FY"&amp;RIGHT(TEXT(IF(MONTH(Opportunities[[#This Row],[Close]])&gt;MONTH(fqStart),YEAR(Opportunities[[#This Row],[Close]])+1,IF(MONTH(Opportunities[[#This Row],[Close]])&lt;MONTH(fqStart),YEAR(Opportunities[[#This Row],[Close]]),IF(DAY(Opportunities[[#This Row],[Close]])&gt;=DAY(fqStart),YEAR(Opportunities[[#This Row],[Close]])+1,YEAR(Opportunities[[#This Row],[Close]])))),"0"),2)&amp;"-Q"&amp;ROUNDUP((MONTH(Opportunities[[#This Row],[Close]])-MONTH(fqStart)+IF(DAY(Opportunities[[#This Row],[Close]])&lt;DAY(fqStart),0,1)+IF(MONTH(Opportunities[[#This Row],[Close]])&lt;MONTH(fqStart),12,0))/3,0),_xlfn.XLOOKUP(Opportunities[[#This Row],[ID]],Opportunities[ID],Opportunities[CQ]))</f>
        <v>FY26-Q2</v>
      </c>
      <c r="AC5" t="str" cm="1">
        <f t="array" ref="AC5">_xlfn.SWITCH(Opportunities[[#This Row],[Probability]],"High","↖","Medium","←","Low","↙")&amp;" " &amp;Opportunities[[#This Row],[Probability]]</f>
        <v>← Medium</v>
      </c>
      <c r="AD5" t="b">
        <f>Opportunities[[#This Row],[WinProbDisplay]]="↖ High"</f>
        <v>0</v>
      </c>
    </row>
    <row r="6" spans="1:30" x14ac:dyDescent="0.25">
      <c r="A6">
        <v>5</v>
      </c>
      <c r="B6" t="s">
        <v>103</v>
      </c>
      <c r="C6" t="s">
        <v>19</v>
      </c>
      <c r="D6" t="s">
        <v>22</v>
      </c>
      <c r="E6">
        <v>1248522</v>
      </c>
      <c r="F6" t="s">
        <v>82</v>
      </c>
      <c r="G6" s="36">
        <v>46352</v>
      </c>
      <c r="H6" s="36">
        <v>45895</v>
      </c>
      <c r="I6" t="s">
        <v>153</v>
      </c>
      <c r="J6">
        <v>12</v>
      </c>
      <c r="L6" t="s">
        <v>393</v>
      </c>
      <c r="M6" t="s">
        <v>806</v>
      </c>
      <c r="N6" cm="1">
        <f t="array" aca="1" ref="N6" ca="1">_xlfn.SWITCH(Opportunities[[#This Row],[RecurringRevenueModel]],"Annually",RANDBETWEEN(2,8),"Semi-Annually",RANDBETWEEN(6,12),"Quarterly",RANDBETWEEN(8,20),"Monthly",RANDBETWEEN(24,60),"One-time",1)</f>
        <v>7</v>
      </c>
      <c r="O6" s="36">
        <v>46441</v>
      </c>
      <c r="P6" t="str">
        <f>" FY"&amp;RIGHT(IF(MONTH(Opportunities[[#This Row],[Close]])&gt;=7,YEAR(Opportunities[[#This Row],[Close]])+1,YEAR(Opportunities[[#This Row],[Close]])),2)&amp;"-Q"&amp;IF(MONTH(Opportunities[[#This Row],[Close]])&gt;=7,CEILING((MONTH(Opportunities[[#This Row],[Close]])-6)/3,1),CEILING((MONTH(Opportunities[[#This Row],[Close]])+6)/3,1))</f>
        <v xml:space="preserve"> FY27-Q2</v>
      </c>
      <c r="Q6" t="str">
        <f>"CY"&amp;RIGHT(YEAR(Opportunities[[#This Row],[Close]]),2)&amp;"-Q"&amp;ROUNDUP(MONTH(Opportunities[[#This Row],[Close]])/3, 0)</f>
        <v>CY26-Q4</v>
      </c>
      <c r="R6" t="str">
        <f>siteUrl&amp;"/Lists/"&amp;oppList&amp;"/DispForm.aspx?ID="&amp;Opportunities[[#This Row],[ID]]</f>
        <v>https://cleansheet5.sharepoint.com/sites/SalesFunnel//Lists/auto12Opportunities/DispForm.aspx?ID=5</v>
      </c>
      <c r="S6">
        <f>_xlfn.XLOOKUP(Opportunities[[#This Row],[Stage]],stage[Stage Name],stage[Index],"")</f>
        <v>3</v>
      </c>
      <c r="T6" t="str">
        <f>_xlfn.XLOOKUP(Opportunities[[#This Row],[StageNumber]],stage[Index],stage[Display])</f>
        <v>➂ - Proposal</v>
      </c>
      <c r="U6">
        <f>Opportunities[[#This Row],[Amount]]*_xlfn.XLOOKUP(Opportunities[[#This Row],[Probability]],prob[Win Probability],prob[Value])</f>
        <v>499408.80000000005</v>
      </c>
      <c r="V6" t="str" cm="1">
        <f t="array" ref="V6">_xlfn.SWITCH(Opportunities[[#This Row],[Status]],"At Risk","⚠","Active","✓","⮾")</f>
        <v>✓</v>
      </c>
      <c r="W6" t="str">
        <f>_xlfn.XLOOKUP(Opportunities[[#This Row],[CustomerId]],Customers[Id],Customers[Customer Name])</f>
        <v>Food Service Partners</v>
      </c>
      <c r="X6" t="str">
        <f>_xlfn.XLOOKUP(Opportunities[[#This Row],[CustomerId]],Customers[Id],Customers[CustomerRecordUrl])</f>
        <v>https://cleansheet5.sharepoint.com/sites/SalesFunnel//Lists/auto12Customers/DispForm.aspx?ID=12</v>
      </c>
      <c r="Y6">
        <f>_xlfn.XLOOKUP(Opportunities[[#This Row],[ID]],View[ID],View[Visible])</f>
        <v>1</v>
      </c>
      <c r="Z6" t="str">
        <f>Opportunities[[#This Row],[status symbol]]&amp;" "&amp; Opportunities[[#This Row],[Customer Name]] &amp;CHAR(10)&amp;"("&amp;Opportunities[[#This Row],[OpportunityName]] &amp; ")"&amp;CHAR(10)&amp;" $"&amp;TEXT(Opportunities[[#This Row],[Amount]]/1000000,"#,0.0")&amp;"m • "&amp; Opportunities[[#This Row],[Stage]]&amp; " • Owner: " &amp; Opportunities[[#This Row],[OpportunityOwner]]</f>
        <v>✓ Food Service Partners
(Healthcare Data Analytics Platform)
 $1.2m • Proposal • Owner: Amanda Sales</v>
      </c>
      <c r="AA6" t="str">
        <f>IF(calendarType="FQ","FY"&amp;RIGHT(TEXT(IF(MONTH(Opportunities[[#This Row],[Close]])&gt;MONTH(fqStart),YEAR(Opportunities[[#This Row],[Close]])+1,IF(MONTH(Opportunities[[#This Row],[Close]])&lt;MONTH(fqStart),YEAR(Opportunities[[#This Row],[Close]]),IF(DAY(Opportunities[[#This Row],[Close]])&gt;=DAY(fqStart),YEAR(Opportunities[[#This Row],[Close]])+1,YEAR(Opportunities[[#This Row],[Close]])))),"0"),2)&amp;"-Q"&amp;ROUNDUP((MONTH(Opportunities[[#This Row],[Close]])-MONTH(fqStart)+IF(DAY(Opportunities[[#This Row],[Close]])&lt;DAY(fqStart),0,1)+IF(MONTH(Opportunities[[#This Row],[Close]])&lt;MONTH(fqStart),12,0))/3,0),_xlfn.XLOOKUP(Opportunities[[#This Row],[ID]],Opportunities[ID],Opportunities[CQ]))</f>
        <v>FY27-Q2</v>
      </c>
      <c r="AC6" t="str" cm="1">
        <f t="array" ref="AC6">_xlfn.SWITCH(Opportunities[[#This Row],[Probability]],"High","↖","Medium","←","Low","↙")&amp;" " &amp;Opportunities[[#This Row],[Probability]]</f>
        <v>← Medium</v>
      </c>
      <c r="AD6" t="b">
        <f>Opportunities[[#This Row],[WinProbDisplay]]="↖ High"</f>
        <v>0</v>
      </c>
    </row>
    <row r="7" spans="1:30" x14ac:dyDescent="0.25">
      <c r="A7">
        <v>6</v>
      </c>
      <c r="B7" t="s">
        <v>147</v>
      </c>
      <c r="C7" t="s">
        <v>19</v>
      </c>
      <c r="D7" t="s">
        <v>21</v>
      </c>
      <c r="E7">
        <v>826105</v>
      </c>
      <c r="F7" t="s">
        <v>82</v>
      </c>
      <c r="G7" s="36">
        <v>46140</v>
      </c>
      <c r="H7" s="36">
        <v>45898</v>
      </c>
      <c r="I7" t="s">
        <v>159</v>
      </c>
      <c r="J7">
        <v>13</v>
      </c>
      <c r="L7" t="s">
        <v>157</v>
      </c>
      <c r="M7" t="s">
        <v>806</v>
      </c>
      <c r="N7" cm="1">
        <f t="array" aca="1" ref="N7" ca="1">_xlfn.SWITCH(Opportunities[[#This Row],[RecurringRevenueModel]],"Annually",RANDBETWEEN(2,8),"Semi-Annually",RANDBETWEEN(6,12),"Quarterly",RANDBETWEEN(8,20),"Monthly",RANDBETWEEN(24,60),"One-time",1)</f>
        <v>7</v>
      </c>
      <c r="O7" s="36">
        <v>46199</v>
      </c>
      <c r="P7" t="str">
        <f>" FY"&amp;RIGHT(IF(MONTH(Opportunities[[#This Row],[Close]])&gt;=7,YEAR(Opportunities[[#This Row],[Close]])+1,YEAR(Opportunities[[#This Row],[Close]])),2)&amp;"-Q"&amp;IF(MONTH(Opportunities[[#This Row],[Close]])&gt;=7,CEILING((MONTH(Opportunities[[#This Row],[Close]])-6)/3,1),CEILING((MONTH(Opportunities[[#This Row],[Close]])+6)/3,1))</f>
        <v xml:space="preserve"> FY26-Q4</v>
      </c>
      <c r="Q7" t="str">
        <f>"CY"&amp;RIGHT(YEAR(Opportunities[[#This Row],[Close]]),2)&amp;"-Q"&amp;ROUNDUP(MONTH(Opportunities[[#This Row],[Close]])/3, 0)</f>
        <v>CY26-Q2</v>
      </c>
      <c r="R7" t="str">
        <f>siteUrl&amp;"/Lists/"&amp;oppList&amp;"/DispForm.aspx?ID="&amp;Opportunities[[#This Row],[ID]]</f>
        <v>https://cleansheet5.sharepoint.com/sites/SalesFunnel//Lists/auto12Opportunities/DispForm.aspx?ID=6</v>
      </c>
      <c r="S7">
        <f>_xlfn.XLOOKUP(Opportunities[[#This Row],[Stage]],stage[Stage Name],stage[Index],"")</f>
        <v>5</v>
      </c>
      <c r="T7" t="str">
        <f>_xlfn.XLOOKUP(Opportunities[[#This Row],[StageNumber]],stage[Index],stage[Display])</f>
        <v>➄ - Project Execution</v>
      </c>
      <c r="U7">
        <f>Opportunities[[#This Row],[Amount]]*_xlfn.XLOOKUP(Opportunities[[#This Row],[Probability]],prob[Win Probability],prob[Value])</f>
        <v>330442</v>
      </c>
      <c r="V7" t="str" cm="1">
        <f t="array" ref="V7">_xlfn.SWITCH(Opportunities[[#This Row],[Status]],"At Risk","⚠","Active","✓","⮾")</f>
        <v>✓</v>
      </c>
      <c r="W7" t="str">
        <f>_xlfn.XLOOKUP(Opportunities[[#This Row],[CustomerId]],Customers[Id],Customers[Customer Name])</f>
        <v>Professional Services Group</v>
      </c>
      <c r="X7" t="str">
        <f>_xlfn.XLOOKUP(Opportunities[[#This Row],[CustomerId]],Customers[Id],Customers[CustomerRecordUrl])</f>
        <v>https://cleansheet5.sharepoint.com/sites/SalesFunnel//Lists/auto12Customers/DispForm.aspx?ID=13</v>
      </c>
      <c r="Y7">
        <f>_xlfn.XLOOKUP(Opportunities[[#This Row],[ID]],View[ID],View[Visible])</f>
        <v>1</v>
      </c>
      <c r="Z7" t="str">
        <f>Opportunities[[#This Row],[status symbol]]&amp;" "&amp; Opportunities[[#This Row],[Customer Name]] &amp;CHAR(10)&amp;"("&amp;Opportunities[[#This Row],[OpportunityName]] &amp; ")"&amp;CHAR(10)&amp;" $"&amp;TEXT(Opportunities[[#This Row],[Amount]]/1000000,"#,0.0")&amp;"m • "&amp; Opportunities[[#This Row],[Stage]]&amp; " • Owner: " &amp; Opportunities[[#This Row],[OpportunityOwner]]</f>
        <v>✓ Professional Services Group
(Digital Transformation Project)
 $0.8m • Project Execution • Owner: Robert Analyst</v>
      </c>
      <c r="AA7" t="str">
        <f>IF(calendarType="FQ","FY"&amp;RIGHT(TEXT(IF(MONTH(Opportunities[[#This Row],[Close]])&gt;MONTH(fqStart),YEAR(Opportunities[[#This Row],[Close]])+1,IF(MONTH(Opportunities[[#This Row],[Close]])&lt;MONTH(fqStart),YEAR(Opportunities[[#This Row],[Close]]),IF(DAY(Opportunities[[#This Row],[Close]])&gt;=DAY(fqStart),YEAR(Opportunities[[#This Row],[Close]])+1,YEAR(Opportunities[[#This Row],[Close]])))),"0"),2)&amp;"-Q"&amp;ROUNDUP((MONTH(Opportunities[[#This Row],[Close]])-MONTH(fqStart)+IF(DAY(Opportunities[[#This Row],[Close]])&lt;DAY(fqStart),0,1)+IF(MONTH(Opportunities[[#This Row],[Close]])&lt;MONTH(fqStart),12,0))/3,0),_xlfn.XLOOKUP(Opportunities[[#This Row],[ID]],Opportunities[ID],Opportunities[CQ]))</f>
        <v>FY26-Q4</v>
      </c>
      <c r="AC7" t="str" cm="1">
        <f t="array" ref="AC7">_xlfn.SWITCH(Opportunities[[#This Row],[Probability]],"High","↖","Medium","←","Low","↙")&amp;" " &amp;Opportunities[[#This Row],[Probability]]</f>
        <v>← Medium</v>
      </c>
      <c r="AD7" t="b">
        <f>Opportunities[[#This Row],[WinProbDisplay]]="↖ High"</f>
        <v>0</v>
      </c>
    </row>
    <row r="8" spans="1:30" x14ac:dyDescent="0.25">
      <c r="A8">
        <v>7</v>
      </c>
      <c r="B8" t="s">
        <v>149</v>
      </c>
      <c r="C8" t="s">
        <v>19</v>
      </c>
      <c r="D8" t="s">
        <v>21</v>
      </c>
      <c r="E8">
        <v>1002514</v>
      </c>
      <c r="F8" t="s">
        <v>82</v>
      </c>
      <c r="G8" s="36">
        <v>46330</v>
      </c>
      <c r="H8" s="36">
        <v>45888</v>
      </c>
      <c r="I8" t="s">
        <v>153</v>
      </c>
      <c r="J8">
        <v>14</v>
      </c>
      <c r="L8" t="s">
        <v>104</v>
      </c>
      <c r="M8" t="s">
        <v>807</v>
      </c>
      <c r="N8" cm="1">
        <f t="array" aca="1" ref="N8" ca="1">_xlfn.SWITCH(Opportunities[[#This Row],[RecurringRevenueModel]],"Annually",RANDBETWEEN(2,8),"Semi-Annually",RANDBETWEEN(6,12),"Quarterly",RANDBETWEEN(8,20),"Monthly",RANDBETWEEN(24,60),"One-time",1)</f>
        <v>16</v>
      </c>
      <c r="O8" s="36">
        <v>46413</v>
      </c>
      <c r="P8" t="str">
        <f>" FY"&amp;RIGHT(IF(MONTH(Opportunities[[#This Row],[Close]])&gt;=7,YEAR(Opportunities[[#This Row],[Close]])+1,YEAR(Opportunities[[#This Row],[Close]])),2)&amp;"-Q"&amp;IF(MONTH(Opportunities[[#This Row],[Close]])&gt;=7,CEILING((MONTH(Opportunities[[#This Row],[Close]])-6)/3,1),CEILING((MONTH(Opportunities[[#This Row],[Close]])+6)/3,1))</f>
        <v xml:space="preserve"> FY27-Q2</v>
      </c>
      <c r="Q8" t="str">
        <f>"CY"&amp;RIGHT(YEAR(Opportunities[[#This Row],[Close]]),2)&amp;"-Q"&amp;ROUNDUP(MONTH(Opportunities[[#This Row],[Close]])/3, 0)</f>
        <v>CY26-Q4</v>
      </c>
      <c r="R8" t="str">
        <f>siteUrl&amp;"/Lists/"&amp;oppList&amp;"/DispForm.aspx?ID="&amp;Opportunities[[#This Row],[ID]]</f>
        <v>https://cleansheet5.sharepoint.com/sites/SalesFunnel//Lists/auto12Opportunities/DispForm.aspx?ID=7</v>
      </c>
      <c r="S8">
        <f>_xlfn.XLOOKUP(Opportunities[[#This Row],[Stage]],stage[Stage Name],stage[Index],"")</f>
        <v>5</v>
      </c>
      <c r="T8" t="str">
        <f>_xlfn.XLOOKUP(Opportunities[[#This Row],[StageNumber]],stage[Index],stage[Display])</f>
        <v>➄ - Project Execution</v>
      </c>
      <c r="U8">
        <f>Opportunities[[#This Row],[Amount]]*_xlfn.XLOOKUP(Opportunities[[#This Row],[Probability]],prob[Win Probability],prob[Value])</f>
        <v>401005.60000000003</v>
      </c>
      <c r="V8" t="str" cm="1">
        <f t="array" ref="V8">_xlfn.SWITCH(Opportunities[[#This Row],[Status]],"At Risk","⚠","Active","✓","⮾")</f>
        <v>✓</v>
      </c>
      <c r="W8" t="str">
        <f>_xlfn.XLOOKUP(Opportunities[[#This Row],[CustomerId]],Customers[Id],Customers[Customer Name])</f>
        <v>Media Communications</v>
      </c>
      <c r="X8" t="str">
        <f>_xlfn.XLOOKUP(Opportunities[[#This Row],[CustomerId]],Customers[Id],Customers[CustomerRecordUrl])</f>
        <v>https://cleansheet5.sharepoint.com/sites/SalesFunnel//Lists/auto12Customers/DispForm.aspx?ID=14</v>
      </c>
      <c r="Y8">
        <f>_xlfn.XLOOKUP(Opportunities[[#This Row],[ID]],View[ID],View[Visible])</f>
        <v>1</v>
      </c>
      <c r="Z8" t="str">
        <f>Opportunities[[#This Row],[status symbol]]&amp;" "&amp; Opportunities[[#This Row],[Customer Name]] &amp;CHAR(10)&amp;"("&amp;Opportunities[[#This Row],[OpportunityName]] &amp; ")"&amp;CHAR(10)&amp;" $"&amp;TEXT(Opportunities[[#This Row],[Amount]]/1000000,"#,0.0")&amp;"m • "&amp; Opportunities[[#This Row],[Stage]]&amp; " • Owner: " &amp; Opportunities[[#This Row],[OpportunityOwner]]</f>
        <v>✓ Media Communications
(Network Infrastructure Upgrade)
 $1.0m • Project Execution • Owner: Dr. Tech Advisor</v>
      </c>
      <c r="AA8" t="str">
        <f>IF(calendarType="FQ","FY"&amp;RIGHT(TEXT(IF(MONTH(Opportunities[[#This Row],[Close]])&gt;MONTH(fqStart),YEAR(Opportunities[[#This Row],[Close]])+1,IF(MONTH(Opportunities[[#This Row],[Close]])&lt;MONTH(fqStart),YEAR(Opportunities[[#This Row],[Close]]),IF(DAY(Opportunities[[#This Row],[Close]])&gt;=DAY(fqStart),YEAR(Opportunities[[#This Row],[Close]])+1,YEAR(Opportunities[[#This Row],[Close]])))),"0"),2)&amp;"-Q"&amp;ROUNDUP((MONTH(Opportunities[[#This Row],[Close]])-MONTH(fqStart)+IF(DAY(Opportunities[[#This Row],[Close]])&lt;DAY(fqStart),0,1)+IF(MONTH(Opportunities[[#This Row],[Close]])&lt;MONTH(fqStart),12,0))/3,0),_xlfn.XLOOKUP(Opportunities[[#This Row],[ID]],Opportunities[ID],Opportunities[CQ]))</f>
        <v>FY27-Q2</v>
      </c>
      <c r="AC8" t="str" cm="1">
        <f t="array" ref="AC8">_xlfn.SWITCH(Opportunities[[#This Row],[Probability]],"High","↖","Medium","←","Low","↙")&amp;" " &amp;Opportunities[[#This Row],[Probability]]</f>
        <v>← Medium</v>
      </c>
      <c r="AD8" t="b">
        <f>Opportunities[[#This Row],[WinProbDisplay]]="↖ High"</f>
        <v>0</v>
      </c>
    </row>
    <row r="9" spans="1:30" x14ac:dyDescent="0.25">
      <c r="A9">
        <v>8</v>
      </c>
      <c r="B9" t="s">
        <v>152</v>
      </c>
      <c r="C9" t="s">
        <v>19</v>
      </c>
      <c r="D9" t="s">
        <v>24</v>
      </c>
      <c r="E9">
        <v>1003602</v>
      </c>
      <c r="F9" t="s">
        <v>82</v>
      </c>
      <c r="G9" s="36">
        <v>45937</v>
      </c>
      <c r="H9" s="36">
        <v>45897</v>
      </c>
      <c r="I9" t="s">
        <v>93</v>
      </c>
      <c r="J9">
        <v>13</v>
      </c>
      <c r="L9" t="s">
        <v>95</v>
      </c>
      <c r="M9" t="s">
        <v>806</v>
      </c>
      <c r="N9" cm="1">
        <f t="array" aca="1" ref="N9" ca="1">_xlfn.SWITCH(Opportunities[[#This Row],[RecurringRevenueModel]],"Annually",RANDBETWEEN(2,8),"Semi-Annually",RANDBETWEEN(6,12),"Quarterly",RANDBETWEEN(8,20),"Monthly",RANDBETWEEN(24,60),"One-time",1)</f>
        <v>12</v>
      </c>
      <c r="O9" s="36">
        <v>46027</v>
      </c>
      <c r="P9" t="str">
        <f>" FY"&amp;RIGHT(IF(MONTH(Opportunities[[#This Row],[Close]])&gt;=7,YEAR(Opportunities[[#This Row],[Close]])+1,YEAR(Opportunities[[#This Row],[Close]])),2)&amp;"-Q"&amp;IF(MONTH(Opportunities[[#This Row],[Close]])&gt;=7,CEILING((MONTH(Opportunities[[#This Row],[Close]])-6)/3,1),CEILING((MONTH(Opportunities[[#This Row],[Close]])+6)/3,1))</f>
        <v xml:space="preserve"> FY26-Q2</v>
      </c>
      <c r="Q9" t="str">
        <f>"CY"&amp;RIGHT(YEAR(Opportunities[[#This Row],[Close]]),2)&amp;"-Q"&amp;ROUNDUP(MONTH(Opportunities[[#This Row],[Close]])/3, 0)</f>
        <v>CY25-Q4</v>
      </c>
      <c r="R9" t="str">
        <f>siteUrl&amp;"/Lists/"&amp;oppList&amp;"/DispForm.aspx?ID="&amp;Opportunities[[#This Row],[ID]]</f>
        <v>https://cleansheet5.sharepoint.com/sites/SalesFunnel//Lists/auto12Opportunities/DispForm.aspx?ID=8</v>
      </c>
      <c r="S9">
        <f>_xlfn.XLOOKUP(Opportunities[[#This Row],[Stage]],stage[Stage Name],stage[Index],"")</f>
        <v>6</v>
      </c>
      <c r="T9" t="str">
        <f>_xlfn.XLOOKUP(Opportunities[[#This Row],[StageNumber]],stage[Index],stage[Display])</f>
        <v>➅ - Closeout</v>
      </c>
      <c r="U9">
        <f>Opportunities[[#This Row],[Amount]]*_xlfn.XLOOKUP(Opportunities[[#This Row],[Probability]],prob[Win Probability],prob[Value])</f>
        <v>401440.80000000005</v>
      </c>
      <c r="V9" t="str" cm="1">
        <f t="array" ref="V9">_xlfn.SWITCH(Opportunities[[#This Row],[Status]],"At Risk","⚠","Active","✓","⮾")</f>
        <v>✓</v>
      </c>
      <c r="W9" t="str">
        <f>_xlfn.XLOOKUP(Opportunities[[#This Row],[CustomerId]],Customers[Id],Customers[Customer Name])</f>
        <v>Professional Services Group</v>
      </c>
      <c r="X9" t="str">
        <f>_xlfn.XLOOKUP(Opportunities[[#This Row],[CustomerId]],Customers[Id],Customers[CustomerRecordUrl])</f>
        <v>https://cleansheet5.sharepoint.com/sites/SalesFunnel//Lists/auto12Customers/DispForm.aspx?ID=13</v>
      </c>
      <c r="Y9">
        <f>_xlfn.XLOOKUP(Opportunities[[#This Row],[ID]],View[ID],View[Visible])</f>
        <v>1</v>
      </c>
      <c r="Z9" t="str">
        <f>Opportunities[[#This Row],[status symbol]]&amp;" "&amp; Opportunities[[#This Row],[Customer Name]] &amp;CHAR(10)&amp;"("&amp;Opportunities[[#This Row],[OpportunityName]] &amp; ")"&amp;CHAR(10)&amp;" $"&amp;TEXT(Opportunities[[#This Row],[Amount]]/1000000,"#,0.0")&amp;"m • "&amp; Opportunities[[#This Row],[Stage]]&amp; " • Owner: " &amp; Opportunities[[#This Row],[OpportunityOwner]]</f>
        <v>✓ Professional Services Group
(Business Intelligence Solution)
 $1.0m • Closeout • Owner: Sarah Director</v>
      </c>
      <c r="AA9" t="str">
        <f>IF(calendarType="FQ","FY"&amp;RIGHT(TEXT(IF(MONTH(Opportunities[[#This Row],[Close]])&gt;MONTH(fqStart),YEAR(Opportunities[[#This Row],[Close]])+1,IF(MONTH(Opportunities[[#This Row],[Close]])&lt;MONTH(fqStart),YEAR(Opportunities[[#This Row],[Close]]),IF(DAY(Opportunities[[#This Row],[Close]])&gt;=DAY(fqStart),YEAR(Opportunities[[#This Row],[Close]])+1,YEAR(Opportunities[[#This Row],[Close]])))),"0"),2)&amp;"-Q"&amp;ROUNDUP((MONTH(Opportunities[[#This Row],[Close]])-MONTH(fqStart)+IF(DAY(Opportunities[[#This Row],[Close]])&lt;DAY(fqStart),0,1)+IF(MONTH(Opportunities[[#This Row],[Close]])&lt;MONTH(fqStart),12,0))/3,0),_xlfn.XLOOKUP(Opportunities[[#This Row],[ID]],Opportunities[ID],Opportunities[CQ]))</f>
        <v>FY26-Q2</v>
      </c>
      <c r="AC9" t="str" cm="1">
        <f t="array" ref="AC9">_xlfn.SWITCH(Opportunities[[#This Row],[Probability]],"High","↖","Medium","←","Low","↙")&amp;" " &amp;Opportunities[[#This Row],[Probability]]</f>
        <v>← Medium</v>
      </c>
      <c r="AD9" t="b">
        <f>Opportunities[[#This Row],[WinProbDisplay]]="↖ High"</f>
        <v>0</v>
      </c>
    </row>
    <row r="10" spans="1:30" x14ac:dyDescent="0.25">
      <c r="A10">
        <v>9</v>
      </c>
      <c r="B10" t="s">
        <v>154</v>
      </c>
      <c r="C10" t="s">
        <v>17</v>
      </c>
      <c r="D10" t="s">
        <v>20</v>
      </c>
      <c r="E10">
        <v>1310673</v>
      </c>
      <c r="F10" t="s">
        <v>84</v>
      </c>
      <c r="G10" s="36">
        <v>46139</v>
      </c>
      <c r="H10" s="36">
        <v>45931</v>
      </c>
      <c r="I10" t="s">
        <v>99</v>
      </c>
      <c r="J10">
        <v>26</v>
      </c>
      <c r="L10" t="s">
        <v>101</v>
      </c>
      <c r="M10" t="s">
        <v>803</v>
      </c>
      <c r="N10" cm="1">
        <f t="array" aca="1" ref="N10" ca="1">_xlfn.SWITCH(Opportunities[[#This Row],[RecurringRevenueModel]],"Annually",RANDBETWEEN(2,8),"Semi-Annually",RANDBETWEEN(6,12),"Quarterly",RANDBETWEEN(8,20),"Monthly",RANDBETWEEN(24,60),"One-time",1)</f>
        <v>6</v>
      </c>
      <c r="O10" s="36">
        <v>46222</v>
      </c>
      <c r="P10" t="str">
        <f>" FY"&amp;RIGHT(IF(MONTH(Opportunities[[#This Row],[Close]])&gt;=7,YEAR(Opportunities[[#This Row],[Close]])+1,YEAR(Opportunities[[#This Row],[Close]])),2)&amp;"-Q"&amp;IF(MONTH(Opportunities[[#This Row],[Close]])&gt;=7,CEILING((MONTH(Opportunities[[#This Row],[Close]])-6)/3,1),CEILING((MONTH(Opportunities[[#This Row],[Close]])+6)/3,1))</f>
        <v xml:space="preserve"> FY26-Q4</v>
      </c>
      <c r="Q10" t="str">
        <f>"CY"&amp;RIGHT(YEAR(Opportunities[[#This Row],[Close]]),2)&amp;"-Q"&amp;ROUNDUP(MONTH(Opportunities[[#This Row],[Close]])/3, 0)</f>
        <v>CY26-Q2</v>
      </c>
      <c r="R10" t="str">
        <f>siteUrl&amp;"/Lists/"&amp;oppList&amp;"/DispForm.aspx?ID="&amp;Opportunities[[#This Row],[ID]]</f>
        <v>https://cleansheet5.sharepoint.com/sites/SalesFunnel//Lists/auto12Opportunities/DispForm.aspx?ID=9</v>
      </c>
      <c r="S10">
        <f>_xlfn.XLOOKUP(Opportunities[[#This Row],[Stage]],stage[Stage Name],stage[Index],"")</f>
        <v>1</v>
      </c>
      <c r="T10" t="str">
        <f>_xlfn.XLOOKUP(Opportunities[[#This Row],[StageNumber]],stage[Index],stage[Display])</f>
        <v>➀ - Lead Qualification</v>
      </c>
      <c r="U10">
        <f>Opportunities[[#This Row],[Amount]]*_xlfn.XLOOKUP(Opportunities[[#This Row],[Probability]],prob[Win Probability],prob[Value])</f>
        <v>262134.6</v>
      </c>
      <c r="V10" t="str" cm="1">
        <f t="array" ref="V10">_xlfn.SWITCH(Opportunities[[#This Row],[Status]],"At Risk","⚠","Active","✓","⮾")</f>
        <v>⚠</v>
      </c>
      <c r="W10" t="str">
        <f>_xlfn.XLOOKUP(Opportunities[[#This Row],[CustomerId]],Customers[Id],Customers[Customer Name])</f>
        <v>Publishing House</v>
      </c>
      <c r="X10" t="str">
        <f>_xlfn.XLOOKUP(Opportunities[[#This Row],[CustomerId]],Customers[Id],Customers[CustomerRecordUrl])</f>
        <v>https://cleansheet5.sharepoint.com/sites/SalesFunnel//Lists/auto12Customers/DispForm.aspx?ID=26</v>
      </c>
      <c r="Y10">
        <f>_xlfn.XLOOKUP(Opportunities[[#This Row],[ID]],View[ID],View[Visible])</f>
        <v>1</v>
      </c>
      <c r="Z10" t="str">
        <f>Opportunities[[#This Row],[status symbol]]&amp;" "&amp; Opportunities[[#This Row],[Customer Name]] &amp;CHAR(10)&amp;"("&amp;Opportunities[[#This Row],[OpportunityName]] &amp; ")"&amp;CHAR(10)&amp;" $"&amp;TEXT(Opportunities[[#This Row],[Amount]]/1000000,"#,0.0")&amp;"m • "&amp; Opportunities[[#This Row],[Stage]]&amp; " • Owner: " &amp; Opportunities[[#This Row],[OpportunityOwner]]</f>
        <v>⚠ Publishing House
(Customer Portal Development)
 $1.3m • Lead Qualification • Owner: Lisa Engineer</v>
      </c>
      <c r="AA10" t="str">
        <f>IF(calendarType="FQ","FY"&amp;RIGHT(TEXT(IF(MONTH(Opportunities[[#This Row],[Close]])&gt;MONTH(fqStart),YEAR(Opportunities[[#This Row],[Close]])+1,IF(MONTH(Opportunities[[#This Row],[Close]])&lt;MONTH(fqStart),YEAR(Opportunities[[#This Row],[Close]]),IF(DAY(Opportunities[[#This Row],[Close]])&gt;=DAY(fqStart),YEAR(Opportunities[[#This Row],[Close]])+1,YEAR(Opportunities[[#This Row],[Close]])))),"0"),2)&amp;"-Q"&amp;ROUNDUP((MONTH(Opportunities[[#This Row],[Close]])-MONTH(fqStart)+IF(DAY(Opportunities[[#This Row],[Close]])&lt;DAY(fqStart),0,1)+IF(MONTH(Opportunities[[#This Row],[Close]])&lt;MONTH(fqStart),12,0))/3,0),_xlfn.XLOOKUP(Opportunities[[#This Row],[ID]],Opportunities[ID],Opportunities[CQ]))</f>
        <v>FY26-Q4</v>
      </c>
      <c r="AC10" t="str" cm="1">
        <f t="array" ref="AC10">_xlfn.SWITCH(Opportunities[[#This Row],[Probability]],"High","↖","Medium","←","Low","↙")&amp;" " &amp;Opportunities[[#This Row],[Probability]]</f>
        <v>↙ Low</v>
      </c>
      <c r="AD10" t="b">
        <f>Opportunities[[#This Row],[WinProbDisplay]]="↖ High"</f>
        <v>0</v>
      </c>
    </row>
    <row r="11" spans="1:30" x14ac:dyDescent="0.25">
      <c r="A11">
        <v>10</v>
      </c>
      <c r="B11" t="s">
        <v>155</v>
      </c>
      <c r="C11" t="s">
        <v>19</v>
      </c>
      <c r="D11" t="s">
        <v>18</v>
      </c>
      <c r="E11">
        <v>1085176</v>
      </c>
      <c r="F11" t="s">
        <v>82</v>
      </c>
      <c r="G11" s="36">
        <v>46063</v>
      </c>
      <c r="H11" s="36">
        <v>45928</v>
      </c>
      <c r="I11" t="s">
        <v>99</v>
      </c>
      <c r="J11">
        <v>30</v>
      </c>
      <c r="L11" t="s">
        <v>393</v>
      </c>
      <c r="M11" t="s">
        <v>805</v>
      </c>
      <c r="N11" cm="1">
        <f t="array" aca="1" ref="N11" ca="1">_xlfn.SWITCH(Opportunities[[#This Row],[RecurringRevenueModel]],"Annually",RANDBETWEEN(2,8),"Semi-Annually",RANDBETWEEN(6,12),"Quarterly",RANDBETWEEN(8,20),"Monthly",RANDBETWEEN(24,60),"One-time",1)</f>
        <v>1</v>
      </c>
      <c r="O11" s="36">
        <v>46150</v>
      </c>
      <c r="P11" t="str">
        <f>" FY"&amp;RIGHT(IF(MONTH(Opportunities[[#This Row],[Close]])&gt;=7,YEAR(Opportunities[[#This Row],[Close]])+1,YEAR(Opportunities[[#This Row],[Close]])),2)&amp;"-Q"&amp;IF(MONTH(Opportunities[[#This Row],[Close]])&gt;=7,CEILING((MONTH(Opportunities[[#This Row],[Close]])-6)/3,1),CEILING((MONTH(Opportunities[[#This Row],[Close]])+6)/3,1))</f>
        <v xml:space="preserve"> FY26-Q3</v>
      </c>
      <c r="Q11" t="str">
        <f>"CY"&amp;RIGHT(YEAR(Opportunities[[#This Row],[Close]]),2)&amp;"-Q"&amp;ROUNDUP(MONTH(Opportunities[[#This Row],[Close]])/3, 0)</f>
        <v>CY26-Q1</v>
      </c>
      <c r="R11" t="str">
        <f>siteUrl&amp;"/Lists/"&amp;oppList&amp;"/DispForm.aspx?ID="&amp;Opportunities[[#This Row],[ID]]</f>
        <v>https://cleansheet5.sharepoint.com/sites/SalesFunnel//Lists/auto12Opportunities/DispForm.aspx?ID=10</v>
      </c>
      <c r="S11">
        <f>_xlfn.XLOOKUP(Opportunities[[#This Row],[Stage]],stage[Stage Name],stage[Index],"")</f>
        <v>4</v>
      </c>
      <c r="T11" t="str">
        <f>_xlfn.XLOOKUP(Opportunities[[#This Row],[StageNumber]],stage[Index],stage[Display])</f>
        <v>➃ - Negotiation</v>
      </c>
      <c r="U11">
        <f>Opportunities[[#This Row],[Amount]]*_xlfn.XLOOKUP(Opportunities[[#This Row],[Probability]],prob[Win Probability],prob[Value])</f>
        <v>434070.4</v>
      </c>
      <c r="V11" t="str" cm="1">
        <f t="array" ref="V11">_xlfn.SWITCH(Opportunities[[#This Row],[Status]],"At Risk","⚠","Active","✓","⮾")</f>
        <v>✓</v>
      </c>
      <c r="W11" t="str">
        <f>_xlfn.XLOOKUP(Opportunities[[#This Row],[CustomerId]],Customers[Id],Customers[Customer Name])</f>
        <v>Consulting Experts</v>
      </c>
      <c r="X11" t="str">
        <f>_xlfn.XLOOKUP(Opportunities[[#This Row],[CustomerId]],Customers[Id],Customers[CustomerRecordUrl])</f>
        <v>https://cleansheet5.sharepoint.com/sites/SalesFunnel//Lists/auto12Customers/DispForm.aspx?ID=30</v>
      </c>
      <c r="Y11">
        <f>_xlfn.XLOOKUP(Opportunities[[#This Row],[ID]],View[ID],View[Visible])</f>
        <v>1</v>
      </c>
      <c r="Z11" t="str">
        <f>Opportunities[[#This Row],[status symbol]]&amp;" "&amp; Opportunities[[#This Row],[Customer Name]] &amp;CHAR(10)&amp;"("&amp;Opportunities[[#This Row],[OpportunityName]] &amp; ")"&amp;CHAR(10)&amp;" $"&amp;TEXT(Opportunities[[#This Row],[Amount]]/1000000,"#,0.0")&amp;"m • "&amp; Opportunities[[#This Row],[Stage]]&amp; " • Owner: " &amp; Opportunities[[#This Row],[OpportunityOwner]]</f>
        <v>✓ Consulting Experts
(Mobile Application Development)
 $1.1m • Negotiation • Owner: Amanda Sales</v>
      </c>
      <c r="AA11" t="str">
        <f>IF(calendarType="FQ","FY"&amp;RIGHT(TEXT(IF(MONTH(Opportunities[[#This Row],[Close]])&gt;MONTH(fqStart),YEAR(Opportunities[[#This Row],[Close]])+1,IF(MONTH(Opportunities[[#This Row],[Close]])&lt;MONTH(fqStart),YEAR(Opportunities[[#This Row],[Close]]),IF(DAY(Opportunities[[#This Row],[Close]])&gt;=DAY(fqStart),YEAR(Opportunities[[#This Row],[Close]])+1,YEAR(Opportunities[[#This Row],[Close]])))),"0"),2)&amp;"-Q"&amp;ROUNDUP((MONTH(Opportunities[[#This Row],[Close]])-MONTH(fqStart)+IF(DAY(Opportunities[[#This Row],[Close]])&lt;DAY(fqStart),0,1)+IF(MONTH(Opportunities[[#This Row],[Close]])&lt;MONTH(fqStart),12,0))/3,0),_xlfn.XLOOKUP(Opportunities[[#This Row],[ID]],Opportunities[ID],Opportunities[CQ]))</f>
        <v>FY26-Q3</v>
      </c>
      <c r="AC11" t="str" cm="1">
        <f t="array" ref="AC11">_xlfn.SWITCH(Opportunities[[#This Row],[Probability]],"High","↖","Medium","←","Low","↙")&amp;" " &amp;Opportunities[[#This Row],[Probability]]</f>
        <v>← Medium</v>
      </c>
      <c r="AD11" t="b">
        <f>Opportunities[[#This Row],[WinProbDisplay]]="↖ High"</f>
        <v>0</v>
      </c>
    </row>
    <row r="12" spans="1:30" x14ac:dyDescent="0.25">
      <c r="A12">
        <v>11</v>
      </c>
      <c r="B12" t="s">
        <v>156</v>
      </c>
      <c r="C12" t="s">
        <v>17</v>
      </c>
      <c r="D12" t="s">
        <v>18</v>
      </c>
      <c r="E12">
        <v>2017080</v>
      </c>
      <c r="F12" t="s">
        <v>83</v>
      </c>
      <c r="G12" s="36">
        <v>46318</v>
      </c>
      <c r="H12" s="36">
        <v>45923</v>
      </c>
      <c r="I12" t="s">
        <v>99</v>
      </c>
      <c r="J12">
        <v>3</v>
      </c>
      <c r="L12" t="s">
        <v>166</v>
      </c>
      <c r="M12" t="s">
        <v>807</v>
      </c>
      <c r="N12" cm="1">
        <f t="array" aca="1" ref="N12" ca="1">_xlfn.SWITCH(Opportunities[[#This Row],[RecurringRevenueModel]],"Annually",RANDBETWEEN(2,8),"Semi-Annually",RANDBETWEEN(6,12),"Quarterly",RANDBETWEEN(8,20),"Monthly",RANDBETWEEN(24,60),"One-time",1)</f>
        <v>18</v>
      </c>
      <c r="O12" s="36">
        <v>46400</v>
      </c>
      <c r="P12" t="str">
        <f>" FY"&amp;RIGHT(IF(MONTH(Opportunities[[#This Row],[Close]])&gt;=7,YEAR(Opportunities[[#This Row],[Close]])+1,YEAR(Opportunities[[#This Row],[Close]])),2)&amp;"-Q"&amp;IF(MONTH(Opportunities[[#This Row],[Close]])&gt;=7,CEILING((MONTH(Opportunities[[#This Row],[Close]])-6)/3,1),CEILING((MONTH(Opportunities[[#This Row],[Close]])+6)/3,1))</f>
        <v xml:space="preserve"> FY27-Q2</v>
      </c>
      <c r="Q12" t="str">
        <f>"CY"&amp;RIGHT(YEAR(Opportunities[[#This Row],[Close]]),2)&amp;"-Q"&amp;ROUNDUP(MONTH(Opportunities[[#This Row],[Close]])/3, 0)</f>
        <v>CY26-Q4</v>
      </c>
      <c r="R12" t="str">
        <f>siteUrl&amp;"/Lists/"&amp;oppList&amp;"/DispForm.aspx?ID="&amp;Opportunities[[#This Row],[ID]]</f>
        <v>https://cleansheet5.sharepoint.com/sites/SalesFunnel//Lists/auto12Opportunities/DispForm.aspx?ID=11</v>
      </c>
      <c r="S12">
        <f>_xlfn.XLOOKUP(Opportunities[[#This Row],[Stage]],stage[Stage Name],stage[Index],"")</f>
        <v>4</v>
      </c>
      <c r="T12" t="str">
        <f>_xlfn.XLOOKUP(Opportunities[[#This Row],[StageNumber]],stage[Index],stage[Display])</f>
        <v>➃ - Negotiation</v>
      </c>
      <c r="U12">
        <f>Opportunities[[#This Row],[Amount]]*_xlfn.XLOOKUP(Opportunities[[#This Row],[Probability]],prob[Win Probability],prob[Value])</f>
        <v>1815372</v>
      </c>
      <c r="V12" t="str" cm="1">
        <f t="array" ref="V12">_xlfn.SWITCH(Opportunities[[#This Row],[Status]],"At Risk","⚠","Active","✓","⮾")</f>
        <v>⚠</v>
      </c>
      <c r="W12" t="str">
        <f>_xlfn.XLOOKUP(Opportunities[[#This Row],[CustomerId]],Customers[Id],Customers[Customer Name])</f>
        <v>Tech Solutions Inc</v>
      </c>
      <c r="X12" t="str">
        <f>_xlfn.XLOOKUP(Opportunities[[#This Row],[CustomerId]],Customers[Id],Customers[CustomerRecordUrl])</f>
        <v>https://cleansheet5.sharepoint.com/sites/SalesFunnel//Lists/auto12Customers/DispForm.aspx?ID=3</v>
      </c>
      <c r="Y12">
        <f>_xlfn.XLOOKUP(Opportunities[[#This Row],[ID]],View[ID],View[Visible])</f>
        <v>1</v>
      </c>
      <c r="Z12" t="str">
        <f>Opportunities[[#This Row],[status symbol]]&amp;" "&amp; Opportunities[[#This Row],[Customer Name]] &amp;CHAR(10)&amp;"("&amp;Opportunities[[#This Row],[OpportunityName]] &amp; ")"&amp;CHAR(10)&amp;" $"&amp;TEXT(Opportunities[[#This Row],[Amount]]/1000000,"#,0.0")&amp;"m • "&amp; Opportunities[[#This Row],[Stage]]&amp; " • Owner: " &amp; Opportunities[[#This Row],[OpportunityOwner]]</f>
        <v>⚠ Tech Solutions Inc
(Data Center Consolidation)
 $2.0m • Negotiation • Owner: David Specialist</v>
      </c>
      <c r="AA12" t="str">
        <f>IF(calendarType="FQ","FY"&amp;RIGHT(TEXT(IF(MONTH(Opportunities[[#This Row],[Close]])&gt;MONTH(fqStart),YEAR(Opportunities[[#This Row],[Close]])+1,IF(MONTH(Opportunities[[#This Row],[Close]])&lt;MONTH(fqStart),YEAR(Opportunities[[#This Row],[Close]]),IF(DAY(Opportunities[[#This Row],[Close]])&gt;=DAY(fqStart),YEAR(Opportunities[[#This Row],[Close]])+1,YEAR(Opportunities[[#This Row],[Close]])))),"0"),2)&amp;"-Q"&amp;ROUNDUP((MONTH(Opportunities[[#This Row],[Close]])-MONTH(fqStart)+IF(DAY(Opportunities[[#This Row],[Close]])&lt;DAY(fqStart),0,1)+IF(MONTH(Opportunities[[#This Row],[Close]])&lt;MONTH(fqStart),12,0))/3,0),_xlfn.XLOOKUP(Opportunities[[#This Row],[ID]],Opportunities[ID],Opportunities[CQ]))</f>
        <v>FY27-Q2</v>
      </c>
      <c r="AC12" t="str" cm="1">
        <f t="array" ref="AC12">_xlfn.SWITCH(Opportunities[[#This Row],[Probability]],"High","↖","Medium","←","Low","↙")&amp;" " &amp;Opportunities[[#This Row],[Probability]]</f>
        <v>↖ High</v>
      </c>
      <c r="AD12" t="b">
        <f>Opportunities[[#This Row],[WinProbDisplay]]="↖ High"</f>
        <v>1</v>
      </c>
    </row>
    <row r="13" spans="1:30" x14ac:dyDescent="0.25">
      <c r="A13">
        <v>12</v>
      </c>
      <c r="B13" t="s">
        <v>158</v>
      </c>
      <c r="C13" t="s">
        <v>19</v>
      </c>
      <c r="D13" t="s">
        <v>21</v>
      </c>
      <c r="E13">
        <v>1087125</v>
      </c>
      <c r="F13" t="s">
        <v>82</v>
      </c>
      <c r="G13" s="36">
        <v>46226</v>
      </c>
      <c r="H13" s="36">
        <v>45910</v>
      </c>
      <c r="I13" t="s">
        <v>146</v>
      </c>
      <c r="J13">
        <v>17</v>
      </c>
      <c r="L13" t="s">
        <v>104</v>
      </c>
      <c r="M13" t="s">
        <v>803</v>
      </c>
      <c r="N13" cm="1">
        <f t="array" aca="1" ref="N13" ca="1">_xlfn.SWITCH(Opportunities[[#This Row],[RecurringRevenueModel]],"Annually",RANDBETWEEN(2,8),"Semi-Annually",RANDBETWEEN(6,12),"Quarterly",RANDBETWEEN(8,20),"Monthly",RANDBETWEEN(24,60),"One-time",1)</f>
        <v>8</v>
      </c>
      <c r="O13" s="36">
        <v>46313</v>
      </c>
      <c r="P13" t="str">
        <f>" FY"&amp;RIGHT(IF(MONTH(Opportunities[[#This Row],[Close]])&gt;=7,YEAR(Opportunities[[#This Row],[Close]])+1,YEAR(Opportunities[[#This Row],[Close]])),2)&amp;"-Q"&amp;IF(MONTH(Opportunities[[#This Row],[Close]])&gt;=7,CEILING((MONTH(Opportunities[[#This Row],[Close]])-6)/3,1),CEILING((MONTH(Opportunities[[#This Row],[Close]])+6)/3,1))</f>
        <v xml:space="preserve"> FY27-Q1</v>
      </c>
      <c r="Q13" t="str">
        <f>"CY"&amp;RIGHT(YEAR(Opportunities[[#This Row],[Close]]),2)&amp;"-Q"&amp;ROUNDUP(MONTH(Opportunities[[#This Row],[Close]])/3, 0)</f>
        <v>CY26-Q3</v>
      </c>
      <c r="R13" t="str">
        <f>siteUrl&amp;"/Lists/"&amp;oppList&amp;"/DispForm.aspx?ID="&amp;Opportunities[[#This Row],[ID]]</f>
        <v>https://cleansheet5.sharepoint.com/sites/SalesFunnel//Lists/auto12Opportunities/DispForm.aspx?ID=12</v>
      </c>
      <c r="S13">
        <f>_xlfn.XLOOKUP(Opportunities[[#This Row],[Stage]],stage[Stage Name],stage[Index],"")</f>
        <v>5</v>
      </c>
      <c r="T13" t="str">
        <f>_xlfn.XLOOKUP(Opportunities[[#This Row],[StageNumber]],stage[Index],stage[Display])</f>
        <v>➄ - Project Execution</v>
      </c>
      <c r="U13">
        <f>Opportunities[[#This Row],[Amount]]*_xlfn.XLOOKUP(Opportunities[[#This Row],[Probability]],prob[Win Probability],prob[Value])</f>
        <v>434850</v>
      </c>
      <c r="V13" t="str" cm="1">
        <f t="array" ref="V13">_xlfn.SWITCH(Opportunities[[#This Row],[Status]],"At Risk","⚠","Active","✓","⮾")</f>
        <v>✓</v>
      </c>
      <c r="W13" t="str">
        <f>_xlfn.XLOOKUP(Opportunities[[#This Row],[CustomerId]],Customers[Id],Customers[Customer Name])</f>
        <v>Insurance Specialists</v>
      </c>
      <c r="X13" t="str">
        <f>_xlfn.XLOOKUP(Opportunities[[#This Row],[CustomerId]],Customers[Id],Customers[CustomerRecordUrl])</f>
        <v>https://cleansheet5.sharepoint.com/sites/SalesFunnel//Lists/auto12Customers/DispForm.aspx?ID=17</v>
      </c>
      <c r="Y13">
        <f>_xlfn.XLOOKUP(Opportunities[[#This Row],[ID]],View[ID],View[Visible])</f>
        <v>1</v>
      </c>
      <c r="Z13" t="str">
        <f>Opportunities[[#This Row],[status symbol]]&amp;" "&amp; Opportunities[[#This Row],[Customer Name]] &amp;CHAR(10)&amp;"("&amp;Opportunities[[#This Row],[OpportunityName]] &amp; ")"&amp;CHAR(10)&amp;" $"&amp;TEXT(Opportunities[[#This Row],[Amount]]/1000000,"#,0.0")&amp;"m • "&amp; Opportunities[[#This Row],[Stage]]&amp; " • Owner: " &amp; Opportunities[[#This Row],[OpportunityOwner]]</f>
        <v>✓ Insurance Specialists
(Cybersecurity Enhancement)
 $1.1m • Project Execution • Owner: Dr. Tech Advisor</v>
      </c>
      <c r="AA13" t="str">
        <f>IF(calendarType="FQ","FY"&amp;RIGHT(TEXT(IF(MONTH(Opportunities[[#This Row],[Close]])&gt;MONTH(fqStart),YEAR(Opportunities[[#This Row],[Close]])+1,IF(MONTH(Opportunities[[#This Row],[Close]])&lt;MONTH(fqStart),YEAR(Opportunities[[#This Row],[Close]]),IF(DAY(Opportunities[[#This Row],[Close]])&gt;=DAY(fqStart),YEAR(Opportunities[[#This Row],[Close]])+1,YEAR(Opportunities[[#This Row],[Close]])))),"0"),2)&amp;"-Q"&amp;ROUNDUP((MONTH(Opportunities[[#This Row],[Close]])-MONTH(fqStart)+IF(DAY(Opportunities[[#This Row],[Close]])&lt;DAY(fqStart),0,1)+IF(MONTH(Opportunities[[#This Row],[Close]])&lt;MONTH(fqStart),12,0))/3,0),_xlfn.XLOOKUP(Opportunities[[#This Row],[ID]],Opportunities[ID],Opportunities[CQ]))</f>
        <v>FY27-Q1</v>
      </c>
      <c r="AC13" t="str" cm="1">
        <f t="array" ref="AC13">_xlfn.SWITCH(Opportunities[[#This Row],[Probability]],"High","↖","Medium","←","Low","↙")&amp;" " &amp;Opportunities[[#This Row],[Probability]]</f>
        <v>← Medium</v>
      </c>
      <c r="AD13" t="b">
        <f>Opportunities[[#This Row],[WinProbDisplay]]="↖ High"</f>
        <v>0</v>
      </c>
    </row>
    <row r="14" spans="1:30" x14ac:dyDescent="0.25">
      <c r="A14">
        <v>13</v>
      </c>
      <c r="B14" t="s">
        <v>160</v>
      </c>
      <c r="C14" t="s">
        <v>19</v>
      </c>
      <c r="D14" t="s">
        <v>18</v>
      </c>
      <c r="E14">
        <v>1236637</v>
      </c>
      <c r="F14" t="s">
        <v>82</v>
      </c>
      <c r="G14" s="36">
        <v>46246</v>
      </c>
      <c r="H14" s="36">
        <v>45939</v>
      </c>
      <c r="I14" t="s">
        <v>148</v>
      </c>
      <c r="J14">
        <v>2</v>
      </c>
      <c r="L14" t="s">
        <v>101</v>
      </c>
      <c r="M14" t="s">
        <v>808</v>
      </c>
      <c r="N14" cm="1">
        <f t="array" aca="1" ref="N14" ca="1">_xlfn.SWITCH(Opportunities[[#This Row],[RecurringRevenueModel]],"Annually",RANDBETWEEN(2,8),"Semi-Annually",RANDBETWEEN(6,12),"Quarterly",RANDBETWEEN(8,20),"Monthly",RANDBETWEEN(24,60),"One-time",1,"Usage-based",RANDBETWEEN(24,60))</f>
        <v>53</v>
      </c>
      <c r="O14" s="36">
        <v>46317</v>
      </c>
      <c r="P14" t="str">
        <f>" FY"&amp;RIGHT(IF(MONTH(Opportunities[[#This Row],[Close]])&gt;=7,YEAR(Opportunities[[#This Row],[Close]])+1,YEAR(Opportunities[[#This Row],[Close]])),2)&amp;"-Q"&amp;IF(MONTH(Opportunities[[#This Row],[Close]])&gt;=7,CEILING((MONTH(Opportunities[[#This Row],[Close]])-6)/3,1),CEILING((MONTH(Opportunities[[#This Row],[Close]])+6)/3,1))</f>
        <v xml:space="preserve"> FY27-Q1</v>
      </c>
      <c r="Q14" t="str">
        <f>"CY"&amp;RIGHT(YEAR(Opportunities[[#This Row],[Close]]),2)&amp;"-Q"&amp;ROUNDUP(MONTH(Opportunities[[#This Row],[Close]])/3, 0)</f>
        <v>CY26-Q3</v>
      </c>
      <c r="R14" t="str">
        <f>siteUrl&amp;"/Lists/"&amp;oppList&amp;"/DispForm.aspx?ID="&amp;Opportunities[[#This Row],[ID]]</f>
        <v>https://cleansheet5.sharepoint.com/sites/SalesFunnel//Lists/auto12Opportunities/DispForm.aspx?ID=13</v>
      </c>
      <c r="S14">
        <f>_xlfn.XLOOKUP(Opportunities[[#This Row],[Stage]],stage[Stage Name],stage[Index],"")</f>
        <v>4</v>
      </c>
      <c r="T14" t="str">
        <f>_xlfn.XLOOKUP(Opportunities[[#This Row],[StageNumber]],stage[Index],stage[Display])</f>
        <v>➃ - Negotiation</v>
      </c>
      <c r="U14">
        <f>Opportunities[[#This Row],[Amount]]*_xlfn.XLOOKUP(Opportunities[[#This Row],[Probability]],prob[Win Probability],prob[Value])</f>
        <v>494654.80000000005</v>
      </c>
      <c r="V14" t="str" cm="1">
        <f t="array" ref="V14">_xlfn.SWITCH(Opportunities[[#This Row],[Status]],"At Risk","⚠","Active","✓","⮾")</f>
        <v>✓</v>
      </c>
      <c r="W14" t="str">
        <f>_xlfn.XLOOKUP(Opportunities[[#This Row],[CustomerId]],Customers[Id],Customers[Customer Name])</f>
        <v>Global Industries</v>
      </c>
      <c r="X14" t="str">
        <f>_xlfn.XLOOKUP(Opportunities[[#This Row],[CustomerId]],Customers[Id],Customers[CustomerRecordUrl])</f>
        <v>https://cleansheet5.sharepoint.com/sites/SalesFunnel//Lists/auto12Customers/DispForm.aspx?ID=2</v>
      </c>
      <c r="Y14">
        <f>_xlfn.XLOOKUP(Opportunities[[#This Row],[ID]],View[ID],View[Visible])</f>
        <v>1</v>
      </c>
      <c r="Z14" t="str">
        <f>Opportunities[[#This Row],[status symbol]]&amp;" "&amp; Opportunities[[#This Row],[Customer Name]] &amp;CHAR(10)&amp;"("&amp;Opportunities[[#This Row],[OpportunityName]] &amp; ")"&amp;CHAR(10)&amp;" $"&amp;TEXT(Opportunities[[#This Row],[Amount]]/1000000,"#,0.0")&amp;"m • "&amp; Opportunities[[#This Row],[Stage]]&amp; " • Owner: " &amp; Opportunities[[#This Row],[OpportunityOwner]]</f>
        <v>✓ Global Industries
(E-commerce Platform)
 $1.2m • Negotiation • Owner: Lisa Engineer</v>
      </c>
      <c r="AA14" t="str">
        <f>IF(calendarType="FQ","FY"&amp;RIGHT(TEXT(IF(MONTH(Opportunities[[#This Row],[Close]])&gt;MONTH(fqStart),YEAR(Opportunities[[#This Row],[Close]])+1,IF(MONTH(Opportunities[[#This Row],[Close]])&lt;MONTH(fqStart),YEAR(Opportunities[[#This Row],[Close]]),IF(DAY(Opportunities[[#This Row],[Close]])&gt;=DAY(fqStart),YEAR(Opportunities[[#This Row],[Close]])+1,YEAR(Opportunities[[#This Row],[Close]])))),"0"),2)&amp;"-Q"&amp;ROUNDUP((MONTH(Opportunities[[#This Row],[Close]])-MONTH(fqStart)+IF(DAY(Opportunities[[#This Row],[Close]])&lt;DAY(fqStart),0,1)+IF(MONTH(Opportunities[[#This Row],[Close]])&lt;MONTH(fqStart),12,0))/3,0),_xlfn.XLOOKUP(Opportunities[[#This Row],[ID]],Opportunities[ID],Opportunities[CQ]))</f>
        <v>FY27-Q1</v>
      </c>
      <c r="AC14" t="str" cm="1">
        <f t="array" ref="AC14">_xlfn.SWITCH(Opportunities[[#This Row],[Probability]],"High","↖","Medium","←","Low","↙")&amp;" " &amp;Opportunities[[#This Row],[Probability]]</f>
        <v>← Medium</v>
      </c>
      <c r="AD14" t="b">
        <f>Opportunities[[#This Row],[WinProbDisplay]]="↖ High"</f>
        <v>0</v>
      </c>
    </row>
    <row r="15" spans="1:30" x14ac:dyDescent="0.25">
      <c r="A15">
        <v>14</v>
      </c>
      <c r="B15" t="s">
        <v>161</v>
      </c>
      <c r="C15" t="s">
        <v>19</v>
      </c>
      <c r="D15" t="s">
        <v>20</v>
      </c>
      <c r="E15">
        <v>1061325</v>
      </c>
      <c r="F15" t="s">
        <v>82</v>
      </c>
      <c r="G15" s="36">
        <v>46204</v>
      </c>
      <c r="H15" s="36">
        <v>45892</v>
      </c>
      <c r="I15" t="s">
        <v>148</v>
      </c>
      <c r="J15">
        <v>2</v>
      </c>
      <c r="L15" t="s">
        <v>92</v>
      </c>
      <c r="M15" t="s">
        <v>803</v>
      </c>
      <c r="N15" cm="1">
        <f t="array" aca="1" ref="N15" ca="1">_xlfn.SWITCH(Opportunities[[#This Row],[RecurringRevenueModel]],"Annually",RANDBETWEEN(2,8),"Semi-Annually",RANDBETWEEN(6,12),"Quarterly",RANDBETWEEN(8,20),"Monthly",RANDBETWEEN(24,60),"One-time",1,"Usage-based",RANDBETWEEN(24,60))</f>
        <v>7</v>
      </c>
      <c r="O15" s="36">
        <v>46235</v>
      </c>
      <c r="P15" t="str">
        <f>" FY"&amp;RIGHT(IF(MONTH(Opportunities[[#This Row],[Close]])&gt;=7,YEAR(Opportunities[[#This Row],[Close]])+1,YEAR(Opportunities[[#This Row],[Close]])),2)&amp;"-Q"&amp;IF(MONTH(Opportunities[[#This Row],[Close]])&gt;=7,CEILING((MONTH(Opportunities[[#This Row],[Close]])-6)/3,1),CEILING((MONTH(Opportunities[[#This Row],[Close]])+6)/3,1))</f>
        <v xml:space="preserve"> FY27-Q1</v>
      </c>
      <c r="Q15" t="str">
        <f>"CY"&amp;RIGHT(YEAR(Opportunities[[#This Row],[Close]]),2)&amp;"-Q"&amp;ROUNDUP(MONTH(Opportunities[[#This Row],[Close]])/3, 0)</f>
        <v>CY26-Q3</v>
      </c>
      <c r="R15" t="str">
        <f>siteUrl&amp;"/Lists/"&amp;oppList&amp;"/DispForm.aspx?ID="&amp;Opportunities[[#This Row],[ID]]</f>
        <v>https://cleansheet5.sharepoint.com/sites/SalesFunnel//Lists/auto12Opportunities/DispForm.aspx?ID=14</v>
      </c>
      <c r="S15">
        <f>_xlfn.XLOOKUP(Opportunities[[#This Row],[Stage]],stage[Stage Name],stage[Index],"")</f>
        <v>1</v>
      </c>
      <c r="T15" t="str">
        <f>_xlfn.XLOOKUP(Opportunities[[#This Row],[StageNumber]],stage[Index],stage[Display])</f>
        <v>➀ - Lead Qualification</v>
      </c>
      <c r="U15">
        <f>Opportunities[[#This Row],[Amount]]*_xlfn.XLOOKUP(Opportunities[[#This Row],[Probability]],prob[Win Probability],prob[Value])</f>
        <v>424530</v>
      </c>
      <c r="V15" t="str" cm="1">
        <f t="array" ref="V15">_xlfn.SWITCH(Opportunities[[#This Row],[Status]],"At Risk","⚠","Active","✓","⮾")</f>
        <v>✓</v>
      </c>
      <c r="W15" t="str">
        <f>_xlfn.XLOOKUP(Opportunities[[#This Row],[CustomerId]],Customers[Id],Customers[Customer Name])</f>
        <v>Global Industries</v>
      </c>
      <c r="X15" t="str">
        <f>_xlfn.XLOOKUP(Opportunities[[#This Row],[CustomerId]],Customers[Id],Customers[CustomerRecordUrl])</f>
        <v>https://cleansheet5.sharepoint.com/sites/SalesFunnel//Lists/auto12Customers/DispForm.aspx?ID=2</v>
      </c>
      <c r="Y15">
        <f>_xlfn.XLOOKUP(Opportunities[[#This Row],[ID]],View[ID],View[Visible])</f>
        <v>1</v>
      </c>
      <c r="Z15" t="str">
        <f>Opportunities[[#This Row],[status symbol]]&amp;" "&amp; Opportunities[[#This Row],[Customer Name]] &amp;CHAR(10)&amp;"("&amp;Opportunities[[#This Row],[OpportunityName]] &amp; ")"&amp;CHAR(10)&amp;" $"&amp;TEXT(Opportunities[[#This Row],[Amount]]/1000000,"#,0.0")&amp;"m • "&amp; Opportunities[[#This Row],[Stage]]&amp; " • Owner: " &amp; Opportunities[[#This Row],[OpportunityOwner]]</f>
        <v>✓ Global Industries
(Document Management System)
 $1.1m • Lead Qualification • Owner: John Manager</v>
      </c>
      <c r="AA15" t="str">
        <f>IF(calendarType="FQ","FY"&amp;RIGHT(TEXT(IF(MONTH(Opportunities[[#This Row],[Close]])&gt;MONTH(fqStart),YEAR(Opportunities[[#This Row],[Close]])+1,IF(MONTH(Opportunities[[#This Row],[Close]])&lt;MONTH(fqStart),YEAR(Opportunities[[#This Row],[Close]]),IF(DAY(Opportunities[[#This Row],[Close]])&gt;=DAY(fqStart),YEAR(Opportunities[[#This Row],[Close]])+1,YEAR(Opportunities[[#This Row],[Close]])))),"0"),2)&amp;"-Q"&amp;ROUNDUP((MONTH(Opportunities[[#This Row],[Close]])-MONTH(fqStart)+IF(DAY(Opportunities[[#This Row],[Close]])&lt;DAY(fqStart),0,1)+IF(MONTH(Opportunities[[#This Row],[Close]])&lt;MONTH(fqStart),12,0))/3,0),_xlfn.XLOOKUP(Opportunities[[#This Row],[ID]],Opportunities[ID],Opportunities[CQ]))</f>
        <v>FY27-Q1</v>
      </c>
      <c r="AC15" t="str" cm="1">
        <f t="array" ref="AC15">_xlfn.SWITCH(Opportunities[[#This Row],[Probability]],"High","↖","Medium","←","Low","↙")&amp;" " &amp;Opportunities[[#This Row],[Probability]]</f>
        <v>← Medium</v>
      </c>
      <c r="AD15" t="b">
        <f>Opportunities[[#This Row],[WinProbDisplay]]="↖ High"</f>
        <v>0</v>
      </c>
    </row>
    <row r="16" spans="1:30" x14ac:dyDescent="0.25">
      <c r="A16">
        <v>15</v>
      </c>
      <c r="B16" t="s">
        <v>162</v>
      </c>
      <c r="C16" t="s">
        <v>19</v>
      </c>
      <c r="D16" t="s">
        <v>21</v>
      </c>
      <c r="E16">
        <v>1525787</v>
      </c>
      <c r="F16" t="s">
        <v>83</v>
      </c>
      <c r="G16" s="36">
        <v>46377</v>
      </c>
      <c r="H16" s="36">
        <v>45913</v>
      </c>
      <c r="I16" t="s">
        <v>153</v>
      </c>
      <c r="J16">
        <v>24</v>
      </c>
      <c r="L16" t="s">
        <v>95</v>
      </c>
      <c r="M16" t="s">
        <v>808</v>
      </c>
      <c r="N16" cm="1">
        <f t="array" aca="1" ref="N16" ca="1">_xlfn.SWITCH(Opportunities[[#This Row],[RecurringRevenueModel]],"Annually",RANDBETWEEN(2,8),"Semi-Annually",RANDBETWEEN(6,12),"Quarterly",RANDBETWEEN(8,20),"Monthly",RANDBETWEEN(24,60),"One-time",1,"Usage-based",RANDBETWEEN(24,60))</f>
        <v>51</v>
      </c>
      <c r="O16" s="36">
        <v>46394</v>
      </c>
      <c r="P16" t="str">
        <f>" FY"&amp;RIGHT(IF(MONTH(Opportunities[[#This Row],[Close]])&gt;=7,YEAR(Opportunities[[#This Row],[Close]])+1,YEAR(Opportunities[[#This Row],[Close]])),2)&amp;"-Q"&amp;IF(MONTH(Opportunities[[#This Row],[Close]])&gt;=7,CEILING((MONTH(Opportunities[[#This Row],[Close]])-6)/3,1),CEILING((MONTH(Opportunities[[#This Row],[Close]])+6)/3,1))</f>
        <v xml:space="preserve"> FY27-Q2</v>
      </c>
      <c r="Q16" t="str">
        <f>"CY"&amp;RIGHT(YEAR(Opportunities[[#This Row],[Close]]),2)&amp;"-Q"&amp;ROUNDUP(MONTH(Opportunities[[#This Row],[Close]])/3, 0)</f>
        <v>CY26-Q4</v>
      </c>
      <c r="R16" t="str">
        <f>siteUrl&amp;"/Lists/"&amp;oppList&amp;"/DispForm.aspx?ID="&amp;Opportunities[[#This Row],[ID]]</f>
        <v>https://cleansheet5.sharepoint.com/sites/SalesFunnel//Lists/auto12Opportunities/DispForm.aspx?ID=15</v>
      </c>
      <c r="S16">
        <f>_xlfn.XLOOKUP(Opportunities[[#This Row],[Stage]],stage[Stage Name],stage[Index],"")</f>
        <v>5</v>
      </c>
      <c r="T16" t="str">
        <f>_xlfn.XLOOKUP(Opportunities[[#This Row],[StageNumber]],stage[Index],stage[Display])</f>
        <v>➄ - Project Execution</v>
      </c>
      <c r="U16">
        <f>Opportunities[[#This Row],[Amount]]*_xlfn.XLOOKUP(Opportunities[[#This Row],[Probability]],prob[Win Probability],prob[Value])</f>
        <v>1373208.3</v>
      </c>
      <c r="V16" t="str" cm="1">
        <f t="array" ref="V16">_xlfn.SWITCH(Opportunities[[#This Row],[Status]],"At Risk","⚠","Active","✓","⮾")</f>
        <v>✓</v>
      </c>
      <c r="W16" t="str">
        <f>_xlfn.XLOOKUP(Opportunities[[#This Row],[CustomerId]],Customers[Id],Customers[Customer Name])</f>
        <v>Security Solutions</v>
      </c>
      <c r="X16" t="str">
        <f>_xlfn.XLOOKUP(Opportunities[[#This Row],[CustomerId]],Customers[Id],Customers[CustomerRecordUrl])</f>
        <v>https://cleansheet5.sharepoint.com/sites/SalesFunnel//Lists/auto12Customers/DispForm.aspx?ID=24</v>
      </c>
      <c r="Y16">
        <f>_xlfn.XLOOKUP(Opportunities[[#This Row],[ID]],View[ID],View[Visible])</f>
        <v>1</v>
      </c>
      <c r="Z16" t="str">
        <f>Opportunities[[#This Row],[status symbol]]&amp;" "&amp; Opportunities[[#This Row],[Customer Name]] &amp;CHAR(10)&amp;"("&amp;Opportunities[[#This Row],[OpportunityName]] &amp; ")"&amp;CHAR(10)&amp;" $"&amp;TEXT(Opportunities[[#This Row],[Amount]]/1000000,"#,0.0")&amp;"m • "&amp; Opportunities[[#This Row],[Stage]]&amp; " • Owner: " &amp; Opportunities[[#This Row],[OpportunityOwner]]</f>
        <v>✓ Security Solutions
(Training &amp; Development Program)
 $1.5m • Project Execution • Owner: Sarah Director</v>
      </c>
      <c r="AA16" t="str">
        <f>IF(calendarType="FQ","FY"&amp;RIGHT(TEXT(IF(MONTH(Opportunities[[#This Row],[Close]])&gt;MONTH(fqStart),YEAR(Opportunities[[#This Row],[Close]])+1,IF(MONTH(Opportunities[[#This Row],[Close]])&lt;MONTH(fqStart),YEAR(Opportunities[[#This Row],[Close]]),IF(DAY(Opportunities[[#This Row],[Close]])&gt;=DAY(fqStart),YEAR(Opportunities[[#This Row],[Close]])+1,YEAR(Opportunities[[#This Row],[Close]])))),"0"),2)&amp;"-Q"&amp;ROUNDUP((MONTH(Opportunities[[#This Row],[Close]])-MONTH(fqStart)+IF(DAY(Opportunities[[#This Row],[Close]])&lt;DAY(fqStart),0,1)+IF(MONTH(Opportunities[[#This Row],[Close]])&lt;MONTH(fqStart),12,0))/3,0),_xlfn.XLOOKUP(Opportunities[[#This Row],[ID]],Opportunities[ID],Opportunities[CQ]))</f>
        <v>FY27-Q2</v>
      </c>
      <c r="AC16" t="str" cm="1">
        <f t="array" ref="AC16">_xlfn.SWITCH(Opportunities[[#This Row],[Probability]],"High","↖","Medium","←","Low","↙")&amp;" " &amp;Opportunities[[#This Row],[Probability]]</f>
        <v>↖ High</v>
      </c>
      <c r="AD16" t="b">
        <f>Opportunities[[#This Row],[WinProbDisplay]]="↖ High"</f>
        <v>1</v>
      </c>
    </row>
    <row r="17" spans="1:30" x14ac:dyDescent="0.25">
      <c r="A17">
        <v>16</v>
      </c>
      <c r="B17" t="s">
        <v>163</v>
      </c>
      <c r="C17" t="s">
        <v>17</v>
      </c>
      <c r="D17" t="s">
        <v>22</v>
      </c>
      <c r="E17">
        <v>945284</v>
      </c>
      <c r="F17" t="s">
        <v>82</v>
      </c>
      <c r="G17" s="36">
        <v>46059</v>
      </c>
      <c r="H17" s="36">
        <v>45933</v>
      </c>
      <c r="I17" t="s">
        <v>102</v>
      </c>
      <c r="J17">
        <v>22</v>
      </c>
      <c r="L17" t="s">
        <v>92</v>
      </c>
      <c r="M17" t="s">
        <v>807</v>
      </c>
      <c r="N17" cm="1">
        <f t="array" aca="1" ref="N17" ca="1">_xlfn.SWITCH(Opportunities[[#This Row],[RecurringRevenueModel]],"Annually",RANDBETWEEN(2,8),"Semi-Annually",RANDBETWEEN(6,12),"Quarterly",RANDBETWEEN(8,20),"Monthly",RANDBETWEEN(24,60),"One-time",1,"Usage-based",RANDBETWEEN(24,60))</f>
        <v>10</v>
      </c>
      <c r="O17" s="36">
        <v>46123</v>
      </c>
      <c r="P17" t="str">
        <f>" FY"&amp;RIGHT(IF(MONTH(Opportunities[[#This Row],[Close]])&gt;=7,YEAR(Opportunities[[#This Row],[Close]])+1,YEAR(Opportunities[[#This Row],[Close]])),2)&amp;"-Q"&amp;IF(MONTH(Opportunities[[#This Row],[Close]])&gt;=7,CEILING((MONTH(Opportunities[[#This Row],[Close]])-6)/3,1),CEILING((MONTH(Opportunities[[#This Row],[Close]])+6)/3,1))</f>
        <v xml:space="preserve"> FY26-Q3</v>
      </c>
      <c r="Q17" t="str">
        <f>"CY"&amp;RIGHT(YEAR(Opportunities[[#This Row],[Close]]),2)&amp;"-Q"&amp;ROUNDUP(MONTH(Opportunities[[#This Row],[Close]])/3, 0)</f>
        <v>CY26-Q1</v>
      </c>
      <c r="R17" t="str">
        <f>siteUrl&amp;"/Lists/"&amp;oppList&amp;"/DispForm.aspx?ID="&amp;Opportunities[[#This Row],[ID]]</f>
        <v>https://cleansheet5.sharepoint.com/sites/SalesFunnel//Lists/auto12Opportunities/DispForm.aspx?ID=16</v>
      </c>
      <c r="S17">
        <f>_xlfn.XLOOKUP(Opportunities[[#This Row],[Stage]],stage[Stage Name],stage[Index],"")</f>
        <v>3</v>
      </c>
      <c r="T17" t="str">
        <f>_xlfn.XLOOKUP(Opportunities[[#This Row],[StageNumber]],stage[Index],stage[Display])</f>
        <v>➂ - Proposal</v>
      </c>
      <c r="U17">
        <f>Opportunities[[#This Row],[Amount]]*_xlfn.XLOOKUP(Opportunities[[#This Row],[Probability]],prob[Win Probability],prob[Value])</f>
        <v>378113.60000000003</v>
      </c>
      <c r="V17" t="str" cm="1">
        <f t="array" ref="V17">_xlfn.SWITCH(Opportunities[[#This Row],[Status]],"At Risk","⚠","Active","✓","⮾")</f>
        <v>⚠</v>
      </c>
      <c r="W17" t="str">
        <f>_xlfn.XLOOKUP(Opportunities[[#This Row],[CustomerId]],Customers[Id],Customers[Customer Name])</f>
        <v>Environmental Services</v>
      </c>
      <c r="X17" t="str">
        <f>_xlfn.XLOOKUP(Opportunities[[#This Row],[CustomerId]],Customers[Id],Customers[CustomerRecordUrl])</f>
        <v>https://cleansheet5.sharepoint.com/sites/SalesFunnel//Lists/auto12Customers/DispForm.aspx?ID=22</v>
      </c>
      <c r="Y17">
        <f>_xlfn.XLOOKUP(Opportunities[[#This Row],[ID]],View[ID],View[Visible])</f>
        <v>1</v>
      </c>
      <c r="Z17" t="str">
        <f>Opportunities[[#This Row],[status symbol]]&amp;" "&amp; Opportunities[[#This Row],[Customer Name]] &amp;CHAR(10)&amp;"("&amp;Opportunities[[#This Row],[OpportunityName]] &amp; ")"&amp;CHAR(10)&amp;" $"&amp;TEXT(Opportunities[[#This Row],[Amount]]/1000000,"#,0.0")&amp;"m • "&amp; Opportunities[[#This Row],[Stage]]&amp; " • Owner: " &amp; Opportunities[[#This Row],[OpportunityOwner]]</f>
        <v>⚠ Environmental Services
(Quality Management System)
 $0.9m • Proposal • Owner: John Manager</v>
      </c>
      <c r="AA17" t="str">
        <f>IF(calendarType="FQ","FY"&amp;RIGHT(TEXT(IF(MONTH(Opportunities[[#This Row],[Close]])&gt;MONTH(fqStart),YEAR(Opportunities[[#This Row],[Close]])+1,IF(MONTH(Opportunities[[#This Row],[Close]])&lt;MONTH(fqStart),YEAR(Opportunities[[#This Row],[Close]]),IF(DAY(Opportunities[[#This Row],[Close]])&gt;=DAY(fqStart),YEAR(Opportunities[[#This Row],[Close]])+1,YEAR(Opportunities[[#This Row],[Close]])))),"0"),2)&amp;"-Q"&amp;ROUNDUP((MONTH(Opportunities[[#This Row],[Close]])-MONTH(fqStart)+IF(DAY(Opportunities[[#This Row],[Close]])&lt;DAY(fqStart),0,1)+IF(MONTH(Opportunities[[#This Row],[Close]])&lt;MONTH(fqStart),12,0))/3,0),_xlfn.XLOOKUP(Opportunities[[#This Row],[ID]],Opportunities[ID],Opportunities[CQ]))</f>
        <v>FY26-Q3</v>
      </c>
      <c r="AC17" t="str" cm="1">
        <f t="array" ref="AC17">_xlfn.SWITCH(Opportunities[[#This Row],[Probability]],"High","↖","Medium","←","Low","↙")&amp;" " &amp;Opportunities[[#This Row],[Probability]]</f>
        <v>← Medium</v>
      </c>
      <c r="AD17" t="b">
        <f>Opportunities[[#This Row],[WinProbDisplay]]="↖ High"</f>
        <v>0</v>
      </c>
    </row>
    <row r="18" spans="1:30" x14ac:dyDescent="0.25">
      <c r="A18">
        <v>17</v>
      </c>
      <c r="B18" t="s">
        <v>164</v>
      </c>
      <c r="C18" t="s">
        <v>19</v>
      </c>
      <c r="D18" t="s">
        <v>18</v>
      </c>
      <c r="E18">
        <v>1668102</v>
      </c>
      <c r="F18" t="s">
        <v>84</v>
      </c>
      <c r="G18" s="36">
        <v>46287</v>
      </c>
      <c r="H18" s="36">
        <v>45925</v>
      </c>
      <c r="I18" t="s">
        <v>93</v>
      </c>
      <c r="J18">
        <v>19</v>
      </c>
      <c r="L18" t="s">
        <v>145</v>
      </c>
      <c r="M18" t="s">
        <v>805</v>
      </c>
      <c r="N18" cm="1">
        <f t="array" aca="1" ref="N18" ca="1">_xlfn.SWITCH(Opportunities[[#This Row],[RecurringRevenueModel]],"Annually",RANDBETWEEN(2,8),"Semi-Annually",RANDBETWEEN(6,12),"Quarterly",RANDBETWEEN(8,20),"Monthly",RANDBETWEEN(24,60),"One-time",1,"Usage-based",RANDBETWEEN(24,60))</f>
        <v>1</v>
      </c>
      <c r="O18" s="36">
        <v>46329</v>
      </c>
      <c r="P18" t="str">
        <f>" FY"&amp;RIGHT(IF(MONTH(Opportunities[[#This Row],[Close]])&gt;=7,YEAR(Opportunities[[#This Row],[Close]])+1,YEAR(Opportunities[[#This Row],[Close]])),2)&amp;"-Q"&amp;IF(MONTH(Opportunities[[#This Row],[Close]])&gt;=7,CEILING((MONTH(Opportunities[[#This Row],[Close]])-6)/3,1),CEILING((MONTH(Opportunities[[#This Row],[Close]])+6)/3,1))</f>
        <v xml:space="preserve"> FY27-Q1</v>
      </c>
      <c r="Q18" t="str">
        <f>"CY"&amp;RIGHT(YEAR(Opportunities[[#This Row],[Close]]),2)&amp;"-Q"&amp;ROUNDUP(MONTH(Opportunities[[#This Row],[Close]])/3, 0)</f>
        <v>CY26-Q3</v>
      </c>
      <c r="R18" t="str">
        <f>siteUrl&amp;"/Lists/"&amp;oppList&amp;"/DispForm.aspx?ID="&amp;Opportunities[[#This Row],[ID]]</f>
        <v>https://cleansheet5.sharepoint.com/sites/SalesFunnel//Lists/auto12Opportunities/DispForm.aspx?ID=17</v>
      </c>
      <c r="S18">
        <f>_xlfn.XLOOKUP(Opportunities[[#This Row],[Stage]],stage[Stage Name],stage[Index],"")</f>
        <v>4</v>
      </c>
      <c r="T18" t="str">
        <f>_xlfn.XLOOKUP(Opportunities[[#This Row],[StageNumber]],stage[Index],stage[Display])</f>
        <v>➃ - Negotiation</v>
      </c>
      <c r="U18">
        <f>Opportunities[[#This Row],[Amount]]*_xlfn.XLOOKUP(Opportunities[[#This Row],[Probability]],prob[Win Probability],prob[Value])</f>
        <v>333620.40000000002</v>
      </c>
      <c r="V18" t="str" cm="1">
        <f t="array" ref="V18">_xlfn.SWITCH(Opportunities[[#This Row],[Status]],"At Risk","⚠","Active","✓","⮾")</f>
        <v>✓</v>
      </c>
      <c r="W18" t="str">
        <f>_xlfn.XLOOKUP(Opportunities[[#This Row],[CustomerId]],Customers[Id],Customers[Customer Name])</f>
        <v>Hotel Management Group</v>
      </c>
      <c r="X18" t="str">
        <f>_xlfn.XLOOKUP(Opportunities[[#This Row],[CustomerId]],Customers[Id],Customers[CustomerRecordUrl])</f>
        <v>https://cleansheet5.sharepoint.com/sites/SalesFunnel//Lists/auto12Customers/DispForm.aspx?ID=19</v>
      </c>
      <c r="Y18">
        <f>_xlfn.XLOOKUP(Opportunities[[#This Row],[ID]],View[ID],View[Visible])</f>
        <v>1</v>
      </c>
      <c r="Z18" t="str">
        <f>Opportunities[[#This Row],[status symbol]]&amp;" "&amp; Opportunities[[#This Row],[Customer Name]] &amp;CHAR(10)&amp;"("&amp;Opportunities[[#This Row],[OpportunityName]] &amp; ")"&amp;CHAR(10)&amp;" $"&amp;TEXT(Opportunities[[#This Row],[Amount]]/1000000,"#,0.0")&amp;"m • "&amp; Opportunities[[#This Row],[Stage]]&amp; " • Owner: " &amp; Opportunities[[#This Row],[OpportunityOwner]]</f>
        <v>✓ Hotel Management Group
(Supply Chain Optimization)
 $1.7m • Negotiation • Owner: Jennifer PM</v>
      </c>
      <c r="AA18" t="str">
        <f>IF(calendarType="FQ","FY"&amp;RIGHT(TEXT(IF(MONTH(Opportunities[[#This Row],[Close]])&gt;MONTH(fqStart),YEAR(Opportunities[[#This Row],[Close]])+1,IF(MONTH(Opportunities[[#This Row],[Close]])&lt;MONTH(fqStart),YEAR(Opportunities[[#This Row],[Close]]),IF(DAY(Opportunities[[#This Row],[Close]])&gt;=DAY(fqStart),YEAR(Opportunities[[#This Row],[Close]])+1,YEAR(Opportunities[[#This Row],[Close]])))),"0"),2)&amp;"-Q"&amp;ROUNDUP((MONTH(Opportunities[[#This Row],[Close]])-MONTH(fqStart)+IF(DAY(Opportunities[[#This Row],[Close]])&lt;DAY(fqStart),0,1)+IF(MONTH(Opportunities[[#This Row],[Close]])&lt;MONTH(fqStart),12,0))/3,0),_xlfn.XLOOKUP(Opportunities[[#This Row],[ID]],Opportunities[ID],Opportunities[CQ]))</f>
        <v>FY27-Q1</v>
      </c>
      <c r="AC18" t="str" cm="1">
        <f t="array" ref="AC18">_xlfn.SWITCH(Opportunities[[#This Row],[Probability]],"High","↖","Medium","←","Low","↙")&amp;" " &amp;Opportunities[[#This Row],[Probability]]</f>
        <v>↙ Low</v>
      </c>
      <c r="AD18" t="b">
        <f>Opportunities[[#This Row],[WinProbDisplay]]="↖ High"</f>
        <v>0</v>
      </c>
    </row>
    <row r="19" spans="1:30" x14ac:dyDescent="0.25">
      <c r="A19">
        <v>18</v>
      </c>
      <c r="B19" t="s">
        <v>165</v>
      </c>
      <c r="C19" t="s">
        <v>19</v>
      </c>
      <c r="D19" t="s">
        <v>20</v>
      </c>
      <c r="E19">
        <v>2218128</v>
      </c>
      <c r="F19" t="s">
        <v>82</v>
      </c>
      <c r="G19" s="36">
        <v>46153</v>
      </c>
      <c r="H19" s="36">
        <v>45926</v>
      </c>
      <c r="I19" t="s">
        <v>105</v>
      </c>
      <c r="J19">
        <v>9</v>
      </c>
      <c r="L19" t="s">
        <v>104</v>
      </c>
      <c r="M19" t="s">
        <v>806</v>
      </c>
      <c r="N19" cm="1">
        <f t="array" aca="1" ref="N19" ca="1">_xlfn.SWITCH(Opportunities[[#This Row],[RecurringRevenueModel]],"Annually",RANDBETWEEN(2,8),"Semi-Annually",RANDBETWEEN(6,12),"Quarterly",RANDBETWEEN(8,20),"Monthly",RANDBETWEEN(24,60),"One-time",1,"Usage-based",RANDBETWEEN(24,60))</f>
        <v>12</v>
      </c>
      <c r="O19" s="36">
        <v>46231</v>
      </c>
      <c r="P19" t="str">
        <f>" FY"&amp;RIGHT(IF(MONTH(Opportunities[[#This Row],[Close]])&gt;=7,YEAR(Opportunities[[#This Row],[Close]])+1,YEAR(Opportunities[[#This Row],[Close]])),2)&amp;"-Q"&amp;IF(MONTH(Opportunities[[#This Row],[Close]])&gt;=7,CEILING((MONTH(Opportunities[[#This Row],[Close]])-6)/3,1),CEILING((MONTH(Opportunities[[#This Row],[Close]])+6)/3,1))</f>
        <v xml:space="preserve"> FY26-Q4</v>
      </c>
      <c r="Q19" t="str">
        <f>"CY"&amp;RIGHT(YEAR(Opportunities[[#This Row],[Close]]),2)&amp;"-Q"&amp;ROUNDUP(MONTH(Opportunities[[#This Row],[Close]])/3, 0)</f>
        <v>CY26-Q2</v>
      </c>
      <c r="R19" t="str">
        <f>siteUrl&amp;"/Lists/"&amp;oppList&amp;"/DispForm.aspx?ID="&amp;Opportunities[[#This Row],[ID]]</f>
        <v>https://cleansheet5.sharepoint.com/sites/SalesFunnel//Lists/auto12Opportunities/DispForm.aspx?ID=18</v>
      </c>
      <c r="S19">
        <f>_xlfn.XLOOKUP(Opportunities[[#This Row],[Stage]],stage[Stage Name],stage[Index],"")</f>
        <v>1</v>
      </c>
      <c r="T19" t="str">
        <f>_xlfn.XLOOKUP(Opportunities[[#This Row],[StageNumber]],stage[Index],stage[Display])</f>
        <v>➀ - Lead Qualification</v>
      </c>
      <c r="U19">
        <f>Opportunities[[#This Row],[Amount]]*_xlfn.XLOOKUP(Opportunities[[#This Row],[Probability]],prob[Win Probability],prob[Value])</f>
        <v>887251.20000000007</v>
      </c>
      <c r="V19" t="str" cm="1">
        <f t="array" ref="V19">_xlfn.SWITCH(Opportunities[[#This Row],[Status]],"At Risk","⚠","Active","✓","⮾")</f>
        <v>✓</v>
      </c>
      <c r="W19" t="str">
        <f>_xlfn.XLOOKUP(Opportunities[[#This Row],[CustomerId]],Customers[Id],Customers[Customer Name])</f>
        <v>Construction Dynamics</v>
      </c>
      <c r="X19" t="str">
        <f>_xlfn.XLOOKUP(Opportunities[[#This Row],[CustomerId]],Customers[Id],Customers[CustomerRecordUrl])</f>
        <v>https://cleansheet5.sharepoint.com/sites/SalesFunnel//Lists/auto12Customers/DispForm.aspx?ID=9</v>
      </c>
      <c r="Y19">
        <f>_xlfn.XLOOKUP(Opportunities[[#This Row],[ID]],View[ID],View[Visible])</f>
        <v>1</v>
      </c>
      <c r="Z19" t="str">
        <f>Opportunities[[#This Row],[status symbol]]&amp;" "&amp; Opportunities[[#This Row],[Customer Name]] &amp;CHAR(10)&amp;"("&amp;Opportunities[[#This Row],[OpportunityName]] &amp; ")"&amp;CHAR(10)&amp;" $"&amp;TEXT(Opportunities[[#This Row],[Amount]]/1000000,"#,0.0")&amp;"m • "&amp; Opportunities[[#This Row],[Stage]]&amp; " • Owner: " &amp; Opportunities[[#This Row],[OpportunityOwner]]</f>
        <v>✓ Construction Dynamics
(Financial Planning Software)
 $2.2m • Lead Qualification • Owner: Dr. Tech Advisor</v>
      </c>
      <c r="AA19" t="str">
        <f>IF(calendarType="FQ","FY"&amp;RIGHT(TEXT(IF(MONTH(Opportunities[[#This Row],[Close]])&gt;MONTH(fqStart),YEAR(Opportunities[[#This Row],[Close]])+1,IF(MONTH(Opportunities[[#This Row],[Close]])&lt;MONTH(fqStart),YEAR(Opportunities[[#This Row],[Close]]),IF(DAY(Opportunities[[#This Row],[Close]])&gt;=DAY(fqStart),YEAR(Opportunities[[#This Row],[Close]])+1,YEAR(Opportunities[[#This Row],[Close]])))),"0"),2)&amp;"-Q"&amp;ROUNDUP((MONTH(Opportunities[[#This Row],[Close]])-MONTH(fqStart)+IF(DAY(Opportunities[[#This Row],[Close]])&lt;DAY(fqStart),0,1)+IF(MONTH(Opportunities[[#This Row],[Close]])&lt;MONTH(fqStart),12,0))/3,0),_xlfn.XLOOKUP(Opportunities[[#This Row],[ID]],Opportunities[ID],Opportunities[CQ]))</f>
        <v>FY26-Q4</v>
      </c>
      <c r="AC19" t="str" cm="1">
        <f t="array" ref="AC19">_xlfn.SWITCH(Opportunities[[#This Row],[Probability]],"High","↖","Medium","←","Low","↙")&amp;" " &amp;Opportunities[[#This Row],[Probability]]</f>
        <v>← Medium</v>
      </c>
      <c r="AD19" t="b">
        <f>Opportunities[[#This Row],[WinProbDisplay]]="↖ High"</f>
        <v>0</v>
      </c>
    </row>
    <row r="20" spans="1:30" x14ac:dyDescent="0.25">
      <c r="A20">
        <v>19</v>
      </c>
      <c r="B20" t="s">
        <v>167</v>
      </c>
      <c r="C20" t="s">
        <v>19</v>
      </c>
      <c r="D20" t="s">
        <v>18</v>
      </c>
      <c r="E20">
        <v>890632</v>
      </c>
      <c r="F20" t="s">
        <v>84</v>
      </c>
      <c r="G20" s="36">
        <v>45943</v>
      </c>
      <c r="H20" s="36">
        <v>45886</v>
      </c>
      <c r="I20" t="s">
        <v>159</v>
      </c>
      <c r="J20">
        <v>23</v>
      </c>
      <c r="L20" t="s">
        <v>150</v>
      </c>
      <c r="M20" t="s">
        <v>805</v>
      </c>
      <c r="N20" cm="1">
        <f t="array" aca="1" ref="N20" ca="1">_xlfn.SWITCH(Opportunities[[#This Row],[RecurringRevenueModel]],"Annually",RANDBETWEEN(2,8),"Semi-Annually",RANDBETWEEN(6,12),"Quarterly",RANDBETWEEN(8,20),"Monthly",RANDBETWEEN(24,60),"One-time",1,"Usage-based",RANDBETWEEN(24,60))</f>
        <v>1</v>
      </c>
      <c r="O20" s="36">
        <v>46023</v>
      </c>
      <c r="P20" t="str">
        <f>" FY"&amp;RIGHT(IF(MONTH(Opportunities[[#This Row],[Close]])&gt;=7,YEAR(Opportunities[[#This Row],[Close]])+1,YEAR(Opportunities[[#This Row],[Close]])),2)&amp;"-Q"&amp;IF(MONTH(Opportunities[[#This Row],[Close]])&gt;=7,CEILING((MONTH(Opportunities[[#This Row],[Close]])-6)/3,1),CEILING((MONTH(Opportunities[[#This Row],[Close]])+6)/3,1))</f>
        <v xml:space="preserve"> FY26-Q2</v>
      </c>
      <c r="Q20" t="str">
        <f>"CY"&amp;RIGHT(YEAR(Opportunities[[#This Row],[Close]]),2)&amp;"-Q"&amp;ROUNDUP(MONTH(Opportunities[[#This Row],[Close]])/3, 0)</f>
        <v>CY25-Q4</v>
      </c>
      <c r="R20" t="str">
        <f>siteUrl&amp;"/Lists/"&amp;oppList&amp;"/DispForm.aspx?ID="&amp;Opportunities[[#This Row],[ID]]</f>
        <v>https://cleansheet5.sharepoint.com/sites/SalesFunnel//Lists/auto12Opportunities/DispForm.aspx?ID=19</v>
      </c>
      <c r="S20">
        <f>_xlfn.XLOOKUP(Opportunities[[#This Row],[Stage]],stage[Stage Name],stage[Index],"")</f>
        <v>4</v>
      </c>
      <c r="T20" t="str">
        <f>_xlfn.XLOOKUP(Opportunities[[#This Row],[StageNumber]],stage[Index],stage[Display])</f>
        <v>➃ - Negotiation</v>
      </c>
      <c r="U20">
        <f>Opportunities[[#This Row],[Amount]]*_xlfn.XLOOKUP(Opportunities[[#This Row],[Probability]],prob[Win Probability],prob[Value])</f>
        <v>178126.40000000002</v>
      </c>
      <c r="V20" t="str" cm="1">
        <f t="array" ref="V20">_xlfn.SWITCH(Opportunities[[#This Row],[Status]],"At Risk","⚠","Active","✓","⮾")</f>
        <v>✓</v>
      </c>
      <c r="W20" t="str">
        <f>_xlfn.XLOOKUP(Opportunities[[#This Row],[CustomerId]],Customers[Id],Customers[Customer Name])</f>
        <v>Sports &amp; Recreation</v>
      </c>
      <c r="X20" t="str">
        <f>_xlfn.XLOOKUP(Opportunities[[#This Row],[CustomerId]],Customers[Id],Customers[CustomerRecordUrl])</f>
        <v>https://cleansheet5.sharepoint.com/sites/SalesFunnel//Lists/auto12Customers/DispForm.aspx?ID=23</v>
      </c>
      <c r="Y20">
        <f>_xlfn.XLOOKUP(Opportunities[[#This Row],[ID]],View[ID],View[Visible])</f>
        <v>1</v>
      </c>
      <c r="Z20" t="str">
        <f>Opportunities[[#This Row],[status symbol]]&amp;" "&amp; Opportunities[[#This Row],[Customer Name]] &amp;CHAR(10)&amp;"("&amp;Opportunities[[#This Row],[OpportunityName]] &amp; ")"&amp;CHAR(10)&amp;" $"&amp;TEXT(Opportunities[[#This Row],[Amount]]/1000000,"#,0.0")&amp;"m • "&amp; Opportunities[[#This Row],[Stage]]&amp; " • Owner: " &amp; Opportunities[[#This Row],[OpportunityOwner]]</f>
        <v>✓ Sports &amp; Recreation
(HR Management System)
 $0.9m • Negotiation • Owner: Maria Coordinator</v>
      </c>
      <c r="AA20" t="str">
        <f>IF(calendarType="FQ","FY"&amp;RIGHT(TEXT(IF(MONTH(Opportunities[[#This Row],[Close]])&gt;MONTH(fqStart),YEAR(Opportunities[[#This Row],[Close]])+1,IF(MONTH(Opportunities[[#This Row],[Close]])&lt;MONTH(fqStart),YEAR(Opportunities[[#This Row],[Close]]),IF(DAY(Opportunities[[#This Row],[Close]])&gt;=DAY(fqStart),YEAR(Opportunities[[#This Row],[Close]])+1,YEAR(Opportunities[[#This Row],[Close]])))),"0"),2)&amp;"-Q"&amp;ROUNDUP((MONTH(Opportunities[[#This Row],[Close]])-MONTH(fqStart)+IF(DAY(Opportunities[[#This Row],[Close]])&lt;DAY(fqStart),0,1)+IF(MONTH(Opportunities[[#This Row],[Close]])&lt;MONTH(fqStart),12,0))/3,0),_xlfn.XLOOKUP(Opportunities[[#This Row],[ID]],Opportunities[ID],Opportunities[CQ]))</f>
        <v>FY26-Q2</v>
      </c>
      <c r="AC20" t="str" cm="1">
        <f t="array" ref="AC20">_xlfn.SWITCH(Opportunities[[#This Row],[Probability]],"High","↖","Medium","←","Low","↙")&amp;" " &amp;Opportunities[[#This Row],[Probability]]</f>
        <v>↙ Low</v>
      </c>
      <c r="AD20" t="b">
        <f>Opportunities[[#This Row],[WinProbDisplay]]="↖ High"</f>
        <v>0</v>
      </c>
    </row>
    <row r="21" spans="1:30" x14ac:dyDescent="0.25">
      <c r="A21">
        <v>20</v>
      </c>
      <c r="B21" t="s">
        <v>168</v>
      </c>
      <c r="C21" t="s">
        <v>25</v>
      </c>
      <c r="D21" t="s">
        <v>22</v>
      </c>
      <c r="E21">
        <v>1161426</v>
      </c>
      <c r="F21" t="s">
        <v>82</v>
      </c>
      <c r="G21" s="36">
        <v>46016</v>
      </c>
      <c r="H21" s="36">
        <v>45890</v>
      </c>
      <c r="I21" t="s">
        <v>159</v>
      </c>
      <c r="J21">
        <v>28</v>
      </c>
      <c r="L21" t="s">
        <v>393</v>
      </c>
      <c r="M21" t="s">
        <v>803</v>
      </c>
      <c r="N21" cm="1">
        <f t="array" aca="1" ref="N21" ca="1">_xlfn.SWITCH(Opportunities[[#This Row],[RecurringRevenueModel]],"Annually",RANDBETWEEN(2,8),"Semi-Annually",RANDBETWEEN(6,12),"Quarterly",RANDBETWEEN(8,20),"Monthly",RANDBETWEEN(24,60),"One-time",1,"Usage-based",RANDBETWEEN(24,60))</f>
        <v>6</v>
      </c>
      <c r="O21" s="36">
        <v>46106</v>
      </c>
      <c r="P21" t="str">
        <f>" FY"&amp;RIGHT(IF(MONTH(Opportunities[[#This Row],[Close]])&gt;=7,YEAR(Opportunities[[#This Row],[Close]])+1,YEAR(Opportunities[[#This Row],[Close]])),2)&amp;"-Q"&amp;IF(MONTH(Opportunities[[#This Row],[Close]])&gt;=7,CEILING((MONTH(Opportunities[[#This Row],[Close]])-6)/3,1),CEILING((MONTH(Opportunities[[#This Row],[Close]])+6)/3,1))</f>
        <v xml:space="preserve"> FY26-Q2</v>
      </c>
      <c r="Q21" t="str">
        <f>"CY"&amp;RIGHT(YEAR(Opportunities[[#This Row],[Close]]),2)&amp;"-Q"&amp;ROUNDUP(MONTH(Opportunities[[#This Row],[Close]])/3, 0)</f>
        <v>CY25-Q4</v>
      </c>
      <c r="R21" t="str">
        <f>siteUrl&amp;"/Lists/"&amp;oppList&amp;"/DispForm.aspx?ID="&amp;Opportunities[[#This Row],[ID]]</f>
        <v>https://cleansheet5.sharepoint.com/sites/SalesFunnel//Lists/auto12Opportunities/DispForm.aspx?ID=20</v>
      </c>
      <c r="S21">
        <f>_xlfn.XLOOKUP(Opportunities[[#This Row],[Stage]],stage[Stage Name],stage[Index],"")</f>
        <v>3</v>
      </c>
      <c r="T21" t="str">
        <f>_xlfn.XLOOKUP(Opportunities[[#This Row],[StageNumber]],stage[Index],stage[Display])</f>
        <v>➂ - Proposal</v>
      </c>
      <c r="U21">
        <f>Opportunities[[#This Row],[Amount]]*_xlfn.XLOOKUP(Opportunities[[#This Row],[Probability]],prob[Win Probability],prob[Value])</f>
        <v>464570.4</v>
      </c>
      <c r="V21" t="str" cm="1">
        <f t="array" ref="V21">_xlfn.SWITCH(Opportunities[[#This Row],[Status]],"At Risk","⚠","Active","✓","⮾")</f>
        <v>⮾</v>
      </c>
      <c r="W21" t="str">
        <f>_xlfn.XLOOKUP(Opportunities[[#This Row],[CustomerId]],Customers[Id],Customers[Customer Name])</f>
        <v>Telecommunications Inc</v>
      </c>
      <c r="X21" t="str">
        <f>_xlfn.XLOOKUP(Opportunities[[#This Row],[CustomerId]],Customers[Id],Customers[CustomerRecordUrl])</f>
        <v>https://cleansheet5.sharepoint.com/sites/SalesFunnel//Lists/auto12Customers/DispForm.aspx?ID=28</v>
      </c>
      <c r="Y21">
        <f>_xlfn.XLOOKUP(Opportunities[[#This Row],[ID]],View[ID],View[Visible])</f>
        <v>1</v>
      </c>
      <c r="Z21" t="str">
        <f>Opportunities[[#This Row],[status symbol]]&amp;" "&amp; Opportunities[[#This Row],[Customer Name]] &amp;CHAR(10)&amp;"("&amp;Opportunities[[#This Row],[OpportunityName]] &amp; ")"&amp;CHAR(10)&amp;" $"&amp;TEXT(Opportunities[[#This Row],[Amount]]/1000000,"#,0.0")&amp;"m • "&amp; Opportunities[[#This Row],[Stage]]&amp; " • Owner: " &amp; Opportunities[[#This Row],[OpportunityOwner]]</f>
        <v>⮾ Telecommunications Inc
(Marketing Automation Platform)
 $1.2m • Proposal • Owner: Amanda Sales</v>
      </c>
      <c r="AA21" t="str">
        <f>IF(calendarType="FQ","FY"&amp;RIGHT(TEXT(IF(MONTH(Opportunities[[#This Row],[Close]])&gt;MONTH(fqStart),YEAR(Opportunities[[#This Row],[Close]])+1,IF(MONTH(Opportunities[[#This Row],[Close]])&lt;MONTH(fqStart),YEAR(Opportunities[[#This Row],[Close]]),IF(DAY(Opportunities[[#This Row],[Close]])&gt;=DAY(fqStart),YEAR(Opportunities[[#This Row],[Close]])+1,YEAR(Opportunities[[#This Row],[Close]])))),"0"),2)&amp;"-Q"&amp;ROUNDUP((MONTH(Opportunities[[#This Row],[Close]])-MONTH(fqStart)+IF(DAY(Opportunities[[#This Row],[Close]])&lt;DAY(fqStart),0,1)+IF(MONTH(Opportunities[[#This Row],[Close]])&lt;MONTH(fqStart),12,0))/3,0),_xlfn.XLOOKUP(Opportunities[[#This Row],[ID]],Opportunities[ID],Opportunities[CQ]))</f>
        <v>FY26-Q2</v>
      </c>
      <c r="AC21" t="str" cm="1">
        <f t="array" ref="AC21">_xlfn.SWITCH(Opportunities[[#This Row],[Probability]],"High","↖","Medium","←","Low","↙")&amp;" " &amp;Opportunities[[#This Row],[Probability]]</f>
        <v>← Medium</v>
      </c>
      <c r="AD21" t="b">
        <f>Opportunities[[#This Row],[WinProbDisplay]]="↖ High"</f>
        <v>0</v>
      </c>
    </row>
    <row r="22" spans="1:30" x14ac:dyDescent="0.25">
      <c r="A22">
        <v>21</v>
      </c>
      <c r="B22" t="s">
        <v>169</v>
      </c>
      <c r="C22" t="s">
        <v>19</v>
      </c>
      <c r="D22" t="s">
        <v>24</v>
      </c>
      <c r="E22">
        <v>1002288</v>
      </c>
      <c r="F22" t="s">
        <v>84</v>
      </c>
      <c r="G22" s="36">
        <v>46013</v>
      </c>
      <c r="H22" s="36">
        <v>45939</v>
      </c>
      <c r="I22" t="s">
        <v>151</v>
      </c>
      <c r="J22">
        <v>1</v>
      </c>
      <c r="L22" t="s">
        <v>145</v>
      </c>
      <c r="M22" t="s">
        <v>806</v>
      </c>
      <c r="N22" cm="1">
        <f t="array" aca="1" ref="N22" ca="1">_xlfn.SWITCH(Opportunities[[#This Row],[RecurringRevenueModel]],"Annually",RANDBETWEEN(2,8),"Semi-Annually",RANDBETWEEN(6,12),"Quarterly",RANDBETWEEN(8,20),"Monthly",RANDBETWEEN(24,60),"One-time",1,"Usage-based",RANDBETWEEN(24,60))</f>
        <v>12</v>
      </c>
      <c r="O22" s="36">
        <v>46095</v>
      </c>
      <c r="P22" t="str">
        <f>" FY"&amp;RIGHT(IF(MONTH(Opportunities[[#This Row],[Close]])&gt;=7,YEAR(Opportunities[[#This Row],[Close]])+1,YEAR(Opportunities[[#This Row],[Close]])),2)&amp;"-Q"&amp;IF(MONTH(Opportunities[[#This Row],[Close]])&gt;=7,CEILING((MONTH(Opportunities[[#This Row],[Close]])-6)/3,1),CEILING((MONTH(Opportunities[[#This Row],[Close]])+6)/3,1))</f>
        <v xml:space="preserve"> FY26-Q2</v>
      </c>
      <c r="Q22" t="str">
        <f>"CY"&amp;RIGHT(YEAR(Opportunities[[#This Row],[Close]]),2)&amp;"-Q"&amp;ROUNDUP(MONTH(Opportunities[[#This Row],[Close]])/3, 0)</f>
        <v>CY25-Q4</v>
      </c>
      <c r="R22" t="str">
        <f>siteUrl&amp;"/Lists/"&amp;oppList&amp;"/DispForm.aspx?ID="&amp;Opportunities[[#This Row],[ID]]</f>
        <v>https://cleansheet5.sharepoint.com/sites/SalesFunnel//Lists/auto12Opportunities/DispForm.aspx?ID=21</v>
      </c>
      <c r="S22">
        <f>_xlfn.XLOOKUP(Opportunities[[#This Row],[Stage]],stage[Stage Name],stage[Index],"")</f>
        <v>6</v>
      </c>
      <c r="T22" t="str">
        <f>_xlfn.XLOOKUP(Opportunities[[#This Row],[StageNumber]],stage[Index],stage[Display])</f>
        <v>➅ - Closeout</v>
      </c>
      <c r="U22">
        <f>Opportunities[[#This Row],[Amount]]*_xlfn.XLOOKUP(Opportunities[[#This Row],[Probability]],prob[Win Probability],prob[Value])</f>
        <v>200457.60000000001</v>
      </c>
      <c r="V22" t="str" cm="1">
        <f t="array" ref="V22">_xlfn.SWITCH(Opportunities[[#This Row],[Status]],"At Risk","⚠","Active","✓","⮾")</f>
        <v>✓</v>
      </c>
      <c r="W22" t="str">
        <f>_xlfn.XLOOKUP(Opportunities[[#This Row],[CustomerId]],Customers[Id],Customers[Customer Name])</f>
        <v>ACME Corporation</v>
      </c>
      <c r="X22" t="str">
        <f>_xlfn.XLOOKUP(Opportunities[[#This Row],[CustomerId]],Customers[Id],Customers[CustomerRecordUrl])</f>
        <v>https://cleansheet5.sharepoint.com/sites/SalesFunnel//Lists/auto12Customers/DispForm.aspx?ID=1</v>
      </c>
      <c r="Y22">
        <f>_xlfn.XLOOKUP(Opportunities[[#This Row],[ID]],View[ID],View[Visible])</f>
        <v>1</v>
      </c>
      <c r="Z22" t="str">
        <f>Opportunities[[#This Row],[status symbol]]&amp;" "&amp; Opportunities[[#This Row],[Customer Name]] &amp;CHAR(10)&amp;"("&amp;Opportunities[[#This Row],[OpportunityName]] &amp; ")"&amp;CHAR(10)&amp;" $"&amp;TEXT(Opportunities[[#This Row],[Amount]]/1000000,"#,0.0")&amp;"m • "&amp; Opportunities[[#This Row],[Stage]]&amp; " • Owner: " &amp; Opportunities[[#This Row],[OpportunityOwner]]</f>
        <v>✓ ACME Corporation
(CRM System Upgrade)
 $1.0m • Closeout • Owner: Jennifer PM</v>
      </c>
      <c r="AA22" t="str">
        <f>IF(calendarType="FQ","FY"&amp;RIGHT(TEXT(IF(MONTH(Opportunities[[#This Row],[Close]])&gt;MONTH(fqStart),YEAR(Opportunities[[#This Row],[Close]])+1,IF(MONTH(Opportunities[[#This Row],[Close]])&lt;MONTH(fqStart),YEAR(Opportunities[[#This Row],[Close]]),IF(DAY(Opportunities[[#This Row],[Close]])&gt;=DAY(fqStart),YEAR(Opportunities[[#This Row],[Close]])+1,YEAR(Opportunities[[#This Row],[Close]])))),"0"),2)&amp;"-Q"&amp;ROUNDUP((MONTH(Opportunities[[#This Row],[Close]])-MONTH(fqStart)+IF(DAY(Opportunities[[#This Row],[Close]])&lt;DAY(fqStart),0,1)+IF(MONTH(Opportunities[[#This Row],[Close]])&lt;MONTH(fqStart),12,0))/3,0),_xlfn.XLOOKUP(Opportunities[[#This Row],[ID]],Opportunities[ID],Opportunities[CQ]))</f>
        <v>FY26-Q2</v>
      </c>
      <c r="AC22" t="str" cm="1">
        <f t="array" ref="AC22">_xlfn.SWITCH(Opportunities[[#This Row],[Probability]],"High","↖","Medium","←","Low","↙")&amp;" " &amp;Opportunities[[#This Row],[Probability]]</f>
        <v>↙ Low</v>
      </c>
      <c r="AD22" t="b">
        <f>Opportunities[[#This Row],[WinProbDisplay]]="↖ High"</f>
        <v>0</v>
      </c>
    </row>
    <row r="23" spans="1:30" x14ac:dyDescent="0.25">
      <c r="A23">
        <v>22</v>
      </c>
      <c r="B23" t="s">
        <v>170</v>
      </c>
      <c r="C23" t="s">
        <v>19</v>
      </c>
      <c r="D23" t="s">
        <v>22</v>
      </c>
      <c r="E23">
        <v>1524787</v>
      </c>
      <c r="F23" t="s">
        <v>83</v>
      </c>
      <c r="G23" s="36">
        <v>46167</v>
      </c>
      <c r="H23" s="36">
        <v>45928</v>
      </c>
      <c r="I23" t="s">
        <v>102</v>
      </c>
      <c r="J23">
        <v>11</v>
      </c>
      <c r="L23" t="s">
        <v>95</v>
      </c>
      <c r="M23" t="s">
        <v>804</v>
      </c>
      <c r="N23" cm="1">
        <f t="array" aca="1" ref="N23" ca="1">_xlfn.SWITCH(Opportunities[[#This Row],[RecurringRevenueModel]],"Annually",RANDBETWEEN(2,8),"Semi-Annually",RANDBETWEEN(6,12),"Quarterly",RANDBETWEEN(8,20),"Monthly",RANDBETWEEN(24,60),"One-time",1,"Usage-based",RANDBETWEEN(24,60))</f>
        <v>59</v>
      </c>
      <c r="O23" s="36">
        <v>46245</v>
      </c>
      <c r="P23" t="str">
        <f>" FY"&amp;RIGHT(IF(MONTH(Opportunities[[#This Row],[Close]])&gt;=7,YEAR(Opportunities[[#This Row],[Close]])+1,YEAR(Opportunities[[#This Row],[Close]])),2)&amp;"-Q"&amp;IF(MONTH(Opportunities[[#This Row],[Close]])&gt;=7,CEILING((MONTH(Opportunities[[#This Row],[Close]])-6)/3,1),CEILING((MONTH(Opportunities[[#This Row],[Close]])+6)/3,1))</f>
        <v xml:space="preserve"> FY26-Q4</v>
      </c>
      <c r="Q23" t="str">
        <f>"CY"&amp;RIGHT(YEAR(Opportunities[[#This Row],[Close]]),2)&amp;"-Q"&amp;ROUNDUP(MONTH(Opportunities[[#This Row],[Close]])/3, 0)</f>
        <v>CY26-Q2</v>
      </c>
      <c r="R23" t="str">
        <f>siteUrl&amp;"/Lists/"&amp;oppList&amp;"/DispForm.aspx?ID="&amp;Opportunities[[#This Row],[ID]]</f>
        <v>https://cleansheet5.sharepoint.com/sites/SalesFunnel//Lists/auto12Opportunities/DispForm.aspx?ID=22</v>
      </c>
      <c r="S23">
        <f>_xlfn.XLOOKUP(Opportunities[[#This Row],[Stage]],stage[Stage Name],stage[Index],"")</f>
        <v>3</v>
      </c>
      <c r="T23" t="str">
        <f>_xlfn.XLOOKUP(Opportunities[[#This Row],[StageNumber]],stage[Index],stage[Display])</f>
        <v>➂ - Proposal</v>
      </c>
      <c r="U23">
        <f>Opportunities[[#This Row],[Amount]]*_xlfn.XLOOKUP(Opportunities[[#This Row],[Probability]],prob[Win Probability],prob[Value])</f>
        <v>1372308.3</v>
      </c>
      <c r="V23" t="str" cm="1">
        <f t="array" ref="V23">_xlfn.SWITCH(Opportunities[[#This Row],[Status]],"At Risk","⚠","Active","✓","⮾")</f>
        <v>✓</v>
      </c>
      <c r="W23" t="str">
        <f>_xlfn.XLOOKUP(Opportunities[[#This Row],[CustomerId]],Customers[Id],Customers[Customer Name])</f>
        <v>Transport Logistics</v>
      </c>
      <c r="X23" t="str">
        <f>_xlfn.XLOOKUP(Opportunities[[#This Row],[CustomerId]],Customers[Id],Customers[CustomerRecordUrl])</f>
        <v>https://cleansheet5.sharepoint.com/sites/SalesFunnel//Lists/auto12Customers/DispForm.aspx?ID=11</v>
      </c>
      <c r="Y23">
        <f>_xlfn.XLOOKUP(Opportunities[[#This Row],[ID]],View[ID],View[Visible])</f>
        <v>1</v>
      </c>
      <c r="Z23" t="str">
        <f>Opportunities[[#This Row],[status symbol]]&amp;" "&amp; Opportunities[[#This Row],[Customer Name]] &amp;CHAR(10)&amp;"("&amp;Opportunities[[#This Row],[OpportunityName]] &amp; ")"&amp;CHAR(10)&amp;" $"&amp;TEXT(Opportunities[[#This Row],[Amount]]/1000000,"#,0.0")&amp;"m • "&amp; Opportunities[[#This Row],[Stage]]&amp; " • Owner: " &amp; Opportunities[[#This Row],[OpportunityOwner]]</f>
        <v>✓ Transport Logistics
(Inventory Management Solution)
 $1.5m • Proposal • Owner: Sarah Director</v>
      </c>
      <c r="AA23" t="str">
        <f>IF(calendarType="FQ","FY"&amp;RIGHT(TEXT(IF(MONTH(Opportunities[[#This Row],[Close]])&gt;MONTH(fqStart),YEAR(Opportunities[[#This Row],[Close]])+1,IF(MONTH(Opportunities[[#This Row],[Close]])&lt;MONTH(fqStart),YEAR(Opportunities[[#This Row],[Close]]),IF(DAY(Opportunities[[#This Row],[Close]])&gt;=DAY(fqStart),YEAR(Opportunities[[#This Row],[Close]])+1,YEAR(Opportunities[[#This Row],[Close]])))),"0"),2)&amp;"-Q"&amp;ROUNDUP((MONTH(Opportunities[[#This Row],[Close]])-MONTH(fqStart)+IF(DAY(Opportunities[[#This Row],[Close]])&lt;DAY(fqStart),0,1)+IF(MONTH(Opportunities[[#This Row],[Close]])&lt;MONTH(fqStart),12,0))/3,0),_xlfn.XLOOKUP(Opportunities[[#This Row],[ID]],Opportunities[ID],Opportunities[CQ]))</f>
        <v>FY26-Q4</v>
      </c>
      <c r="AC23" t="str" cm="1">
        <f t="array" ref="AC23">_xlfn.SWITCH(Opportunities[[#This Row],[Probability]],"High","↖","Medium","←","Low","↙")&amp;" " &amp;Opportunities[[#This Row],[Probability]]</f>
        <v>↖ High</v>
      </c>
      <c r="AD23" t="b">
        <f>Opportunities[[#This Row],[WinProbDisplay]]="↖ High"</f>
        <v>1</v>
      </c>
    </row>
    <row r="24" spans="1:30" x14ac:dyDescent="0.25">
      <c r="A24">
        <v>23</v>
      </c>
      <c r="B24" t="s">
        <v>171</v>
      </c>
      <c r="C24" t="s">
        <v>19</v>
      </c>
      <c r="D24" t="s">
        <v>18</v>
      </c>
      <c r="E24">
        <v>1136222</v>
      </c>
      <c r="F24" t="s">
        <v>84</v>
      </c>
      <c r="G24" s="36">
        <v>45909</v>
      </c>
      <c r="H24" s="36">
        <v>45923</v>
      </c>
      <c r="I24" t="s">
        <v>99</v>
      </c>
      <c r="J24">
        <v>11</v>
      </c>
      <c r="L24" t="s">
        <v>166</v>
      </c>
      <c r="M24" t="s">
        <v>806</v>
      </c>
      <c r="N24" cm="1">
        <f t="array" aca="1" ref="N24" ca="1">_xlfn.SWITCH(Opportunities[[#This Row],[RecurringRevenueModel]],"Annually",RANDBETWEEN(2,8),"Semi-Annually",RANDBETWEEN(6,12),"Quarterly",RANDBETWEEN(8,20),"Monthly",RANDBETWEEN(24,60),"One-time",1,"Usage-based",RANDBETWEEN(24,60))</f>
        <v>8</v>
      </c>
      <c r="O24" s="36">
        <v>45981</v>
      </c>
      <c r="P24" t="str">
        <f>" FY"&amp;RIGHT(IF(MONTH(Opportunities[[#This Row],[Close]])&gt;=7,YEAR(Opportunities[[#This Row],[Close]])+1,YEAR(Opportunities[[#This Row],[Close]])),2)&amp;"-Q"&amp;IF(MONTH(Opportunities[[#This Row],[Close]])&gt;=7,CEILING((MONTH(Opportunities[[#This Row],[Close]])-6)/3,1),CEILING((MONTH(Opportunities[[#This Row],[Close]])+6)/3,1))</f>
        <v xml:space="preserve"> FY26-Q1</v>
      </c>
      <c r="Q24" t="str">
        <f>"CY"&amp;RIGHT(YEAR(Opportunities[[#This Row],[Close]]),2)&amp;"-Q"&amp;ROUNDUP(MONTH(Opportunities[[#This Row],[Close]])/3, 0)</f>
        <v>CY25-Q3</v>
      </c>
      <c r="R24" t="str">
        <f>siteUrl&amp;"/Lists/"&amp;oppList&amp;"/DispForm.aspx?ID="&amp;Opportunities[[#This Row],[ID]]</f>
        <v>https://cleansheet5.sharepoint.com/sites/SalesFunnel//Lists/auto12Opportunities/DispForm.aspx?ID=23</v>
      </c>
      <c r="S24">
        <f>_xlfn.XLOOKUP(Opportunities[[#This Row],[Stage]],stage[Stage Name],stage[Index],"")</f>
        <v>4</v>
      </c>
      <c r="T24" t="str">
        <f>_xlfn.XLOOKUP(Opportunities[[#This Row],[StageNumber]],stage[Index],stage[Display])</f>
        <v>➃ - Negotiation</v>
      </c>
      <c r="U24">
        <f>Opportunities[[#This Row],[Amount]]*_xlfn.XLOOKUP(Opportunities[[#This Row],[Probability]],prob[Win Probability],prob[Value])</f>
        <v>227244.40000000002</v>
      </c>
      <c r="V24" t="str" cm="1">
        <f t="array" ref="V24">_xlfn.SWITCH(Opportunities[[#This Row],[Status]],"At Risk","⚠","Active","✓","⮾")</f>
        <v>✓</v>
      </c>
      <c r="W24" t="str">
        <f>_xlfn.XLOOKUP(Opportunities[[#This Row],[CustomerId]],Customers[Id],Customers[Customer Name])</f>
        <v>Transport Logistics</v>
      </c>
      <c r="X24" t="str">
        <f>_xlfn.XLOOKUP(Opportunities[[#This Row],[CustomerId]],Customers[Id],Customers[CustomerRecordUrl])</f>
        <v>https://cleansheet5.sharepoint.com/sites/SalesFunnel//Lists/auto12Customers/DispForm.aspx?ID=11</v>
      </c>
      <c r="Y24">
        <f>_xlfn.XLOOKUP(Opportunities[[#This Row],[ID]],View[ID],View[Visible])</f>
        <v>1</v>
      </c>
      <c r="Z24" t="str">
        <f>Opportunities[[#This Row],[status symbol]]&amp;" "&amp; Opportunities[[#This Row],[Customer Name]] &amp;CHAR(10)&amp;"("&amp;Opportunities[[#This Row],[OpportunityName]] &amp; ")"&amp;CHAR(10)&amp;" $"&amp;TEXT(Opportunities[[#This Row],[Amount]]/1000000,"#,0.0")&amp;"m • "&amp; Opportunities[[#This Row],[Stage]]&amp; " • Owner: " &amp; Opportunities[[#This Row],[OpportunityOwner]]</f>
        <v>✓ Transport Logistics
(Point of Sale System)
 $1.1m • Negotiation • Owner: David Specialist</v>
      </c>
      <c r="AA24" t="str">
        <f>IF(calendarType="FQ","FY"&amp;RIGHT(TEXT(IF(MONTH(Opportunities[[#This Row],[Close]])&gt;MONTH(fqStart),YEAR(Opportunities[[#This Row],[Close]])+1,IF(MONTH(Opportunities[[#This Row],[Close]])&lt;MONTH(fqStart),YEAR(Opportunities[[#This Row],[Close]]),IF(DAY(Opportunities[[#This Row],[Close]])&gt;=DAY(fqStart),YEAR(Opportunities[[#This Row],[Close]])+1,YEAR(Opportunities[[#This Row],[Close]])))),"0"),2)&amp;"-Q"&amp;ROUNDUP((MONTH(Opportunities[[#This Row],[Close]])-MONTH(fqStart)+IF(DAY(Opportunities[[#This Row],[Close]])&lt;DAY(fqStart),0,1)+IF(MONTH(Opportunities[[#This Row],[Close]])&lt;MONTH(fqStart),12,0))/3,0),_xlfn.XLOOKUP(Opportunities[[#This Row],[ID]],Opportunities[ID],Opportunities[CQ]))</f>
        <v>FY26-Q1</v>
      </c>
      <c r="AC24" t="str" cm="1">
        <f t="array" ref="AC24">_xlfn.SWITCH(Opportunities[[#This Row],[Probability]],"High","↖","Medium","←","Low","↙")&amp;" " &amp;Opportunities[[#This Row],[Probability]]</f>
        <v>↙ Low</v>
      </c>
      <c r="AD24" t="b">
        <f>Opportunities[[#This Row],[WinProbDisplay]]="↖ High"</f>
        <v>0</v>
      </c>
    </row>
    <row r="25" spans="1:30" x14ac:dyDescent="0.25">
      <c r="A25">
        <v>24</v>
      </c>
      <c r="B25" t="s">
        <v>172</v>
      </c>
      <c r="C25" t="s">
        <v>19</v>
      </c>
      <c r="D25" t="s">
        <v>23</v>
      </c>
      <c r="E25">
        <v>994882</v>
      </c>
      <c r="F25" t="s">
        <v>84</v>
      </c>
      <c r="G25" s="36">
        <v>46031</v>
      </c>
      <c r="H25" s="36">
        <v>45907</v>
      </c>
      <c r="I25" t="s">
        <v>96</v>
      </c>
      <c r="J25">
        <v>27</v>
      </c>
      <c r="L25" t="s">
        <v>104</v>
      </c>
      <c r="M25" t="s">
        <v>803</v>
      </c>
      <c r="N25" cm="1">
        <f t="array" aca="1" ref="N25" ca="1">_xlfn.SWITCH(Opportunities[[#This Row],[RecurringRevenueModel]],"Annually",RANDBETWEEN(2,8),"Semi-Annually",RANDBETWEEN(6,12),"Quarterly",RANDBETWEEN(8,20),"Monthly",RANDBETWEEN(24,60),"One-time",1,"Usage-based",RANDBETWEEN(24,60))</f>
        <v>5</v>
      </c>
      <c r="O25" s="36">
        <v>46087</v>
      </c>
      <c r="P25" t="str">
        <f>" FY"&amp;RIGHT(IF(MONTH(Opportunities[[#This Row],[Close]])&gt;=7,YEAR(Opportunities[[#This Row],[Close]])+1,YEAR(Opportunities[[#This Row],[Close]])),2)&amp;"-Q"&amp;IF(MONTH(Opportunities[[#This Row],[Close]])&gt;=7,CEILING((MONTH(Opportunities[[#This Row],[Close]])-6)/3,1),CEILING((MONTH(Opportunities[[#This Row],[Close]])+6)/3,1))</f>
        <v xml:space="preserve"> FY26-Q3</v>
      </c>
      <c r="Q25" t="str">
        <f>"CY"&amp;RIGHT(YEAR(Opportunities[[#This Row],[Close]]),2)&amp;"-Q"&amp;ROUNDUP(MONTH(Opportunities[[#This Row],[Close]])/3, 0)</f>
        <v>CY26-Q1</v>
      </c>
      <c r="R25" t="str">
        <f>siteUrl&amp;"/Lists/"&amp;oppList&amp;"/DispForm.aspx?ID="&amp;Opportunities[[#This Row],[ID]]</f>
        <v>https://cleansheet5.sharepoint.com/sites/SalesFunnel//Lists/auto12Opportunities/DispForm.aspx?ID=24</v>
      </c>
      <c r="S25">
        <f>_xlfn.XLOOKUP(Opportunities[[#This Row],[Stage]],stage[Stage Name],stage[Index],"")</f>
        <v>2</v>
      </c>
      <c r="T25" t="str">
        <f>_xlfn.XLOOKUP(Opportunities[[#This Row],[StageNumber]],stage[Index],stage[Display])</f>
        <v>➁ - Nurturing</v>
      </c>
      <c r="U25">
        <f>Opportunities[[#This Row],[Amount]]*_xlfn.XLOOKUP(Opportunities[[#This Row],[Probability]],prob[Win Probability],prob[Value])</f>
        <v>198976.40000000002</v>
      </c>
      <c r="V25" t="str" cm="1">
        <f t="array" ref="V25">_xlfn.SWITCH(Opportunities[[#This Row],[Status]],"At Risk","⚠","Active","✓","⮾")</f>
        <v>✓</v>
      </c>
      <c r="W25" t="str">
        <f>_xlfn.XLOOKUP(Opportunities[[#This Row],[CustomerId]],Customers[Id],Customers[Customer Name])</f>
        <v>Mining Operations</v>
      </c>
      <c r="X25" t="str">
        <f>_xlfn.XLOOKUP(Opportunities[[#This Row],[CustomerId]],Customers[Id],Customers[CustomerRecordUrl])</f>
        <v>https://cleansheet5.sharepoint.com/sites/SalesFunnel//Lists/auto12Customers/DispForm.aspx?ID=27</v>
      </c>
      <c r="Y25">
        <f>_xlfn.XLOOKUP(Opportunities[[#This Row],[ID]],View[ID],View[Visible])</f>
        <v>1</v>
      </c>
      <c r="Z25" t="str">
        <f>Opportunities[[#This Row],[status symbol]]&amp;" "&amp; Opportunities[[#This Row],[Customer Name]] &amp;CHAR(10)&amp;"("&amp;Opportunities[[#This Row],[OpportunityName]] &amp; ")"&amp;CHAR(10)&amp;" $"&amp;TEXT(Opportunities[[#This Row],[Amount]]/1000000,"#,0.0")&amp;"m • "&amp; Opportunities[[#This Row],[Stage]]&amp; " • Owner: " &amp; Opportunities[[#This Row],[OpportunityOwner]]</f>
        <v>✓ Mining Operations
(Compliance Management Tool)
 $1.0m • Nurturing • Owner: Dr. Tech Advisor</v>
      </c>
      <c r="AA25" t="str">
        <f>IF(calendarType="FQ","FY"&amp;RIGHT(TEXT(IF(MONTH(Opportunities[[#This Row],[Close]])&gt;MONTH(fqStart),YEAR(Opportunities[[#This Row],[Close]])+1,IF(MONTH(Opportunities[[#This Row],[Close]])&lt;MONTH(fqStart),YEAR(Opportunities[[#This Row],[Close]]),IF(DAY(Opportunities[[#This Row],[Close]])&gt;=DAY(fqStart),YEAR(Opportunities[[#This Row],[Close]])+1,YEAR(Opportunities[[#This Row],[Close]])))),"0"),2)&amp;"-Q"&amp;ROUNDUP((MONTH(Opportunities[[#This Row],[Close]])-MONTH(fqStart)+IF(DAY(Opportunities[[#This Row],[Close]])&lt;DAY(fqStart),0,1)+IF(MONTH(Opportunities[[#This Row],[Close]])&lt;MONTH(fqStart),12,0))/3,0),_xlfn.XLOOKUP(Opportunities[[#This Row],[ID]],Opportunities[ID],Opportunities[CQ]))</f>
        <v>FY26-Q3</v>
      </c>
      <c r="AC25" t="str" cm="1">
        <f t="array" ref="AC25">_xlfn.SWITCH(Opportunities[[#This Row],[Probability]],"High","↖","Medium","←","Low","↙")&amp;" " &amp;Opportunities[[#This Row],[Probability]]</f>
        <v>↙ Low</v>
      </c>
      <c r="AD25" t="b">
        <f>Opportunities[[#This Row],[WinProbDisplay]]="↖ High"</f>
        <v>0</v>
      </c>
    </row>
    <row r="26" spans="1:30" x14ac:dyDescent="0.25">
      <c r="A26">
        <v>25</v>
      </c>
      <c r="B26" t="s">
        <v>173</v>
      </c>
      <c r="C26" t="s">
        <v>19</v>
      </c>
      <c r="D26" t="s">
        <v>24</v>
      </c>
      <c r="E26">
        <v>1052288</v>
      </c>
      <c r="F26" t="s">
        <v>82</v>
      </c>
      <c r="G26" s="36">
        <v>46380</v>
      </c>
      <c r="H26" s="36">
        <v>45919</v>
      </c>
      <c r="I26" t="s">
        <v>153</v>
      </c>
      <c r="J26">
        <v>14</v>
      </c>
      <c r="L26" t="s">
        <v>393</v>
      </c>
      <c r="M26" t="s">
        <v>807</v>
      </c>
      <c r="N26" cm="1">
        <f t="array" aca="1" ref="N26" ca="1">_xlfn.SWITCH(Opportunities[[#This Row],[RecurringRevenueModel]],"Annually",RANDBETWEEN(2,8),"Semi-Annually",RANDBETWEEN(6,12),"Quarterly",RANDBETWEEN(8,20),"Monthly",RANDBETWEEN(24,60),"One-time",1,"Usage-based",RANDBETWEEN(24,60))</f>
        <v>8</v>
      </c>
      <c r="O26" s="36">
        <v>46427</v>
      </c>
      <c r="P26" t="str">
        <f>" FY"&amp;RIGHT(IF(MONTH(Opportunities[[#This Row],[Close]])&gt;=7,YEAR(Opportunities[[#This Row],[Close]])+1,YEAR(Opportunities[[#This Row],[Close]])),2)&amp;"-Q"&amp;IF(MONTH(Opportunities[[#This Row],[Close]])&gt;=7,CEILING((MONTH(Opportunities[[#This Row],[Close]])-6)/3,1),CEILING((MONTH(Opportunities[[#This Row],[Close]])+6)/3,1))</f>
        <v xml:space="preserve"> FY27-Q2</v>
      </c>
      <c r="Q26" t="str">
        <f>"CY"&amp;RIGHT(YEAR(Opportunities[[#This Row],[Close]]),2)&amp;"-Q"&amp;ROUNDUP(MONTH(Opportunities[[#This Row],[Close]])/3, 0)</f>
        <v>CY26-Q4</v>
      </c>
      <c r="R26" t="str">
        <f>siteUrl&amp;"/Lists/"&amp;oppList&amp;"/DispForm.aspx?ID="&amp;Opportunities[[#This Row],[ID]]</f>
        <v>https://cleansheet5.sharepoint.com/sites/SalesFunnel//Lists/auto12Opportunities/DispForm.aspx?ID=25</v>
      </c>
      <c r="S26">
        <f>_xlfn.XLOOKUP(Opportunities[[#This Row],[Stage]],stage[Stage Name],stage[Index],"")</f>
        <v>6</v>
      </c>
      <c r="T26" t="str">
        <f>_xlfn.XLOOKUP(Opportunities[[#This Row],[StageNumber]],stage[Index],stage[Display])</f>
        <v>➅ - Closeout</v>
      </c>
      <c r="U26">
        <f>Opportunities[[#This Row],[Amount]]*_xlfn.XLOOKUP(Opportunities[[#This Row],[Probability]],prob[Win Probability],prob[Value])</f>
        <v>420915.20000000001</v>
      </c>
      <c r="V26" t="str" cm="1">
        <f t="array" ref="V26">_xlfn.SWITCH(Opportunities[[#This Row],[Status]],"At Risk","⚠","Active","✓","⮾")</f>
        <v>✓</v>
      </c>
      <c r="W26" t="str">
        <f>_xlfn.XLOOKUP(Opportunities[[#This Row],[CustomerId]],Customers[Id],Customers[Customer Name])</f>
        <v>Media Communications</v>
      </c>
      <c r="X26" t="str">
        <f>_xlfn.XLOOKUP(Opportunities[[#This Row],[CustomerId]],Customers[Id],Customers[CustomerRecordUrl])</f>
        <v>https://cleansheet5.sharepoint.com/sites/SalesFunnel//Lists/auto12Customers/DispForm.aspx?ID=14</v>
      </c>
      <c r="Y26">
        <f>_xlfn.XLOOKUP(Opportunities[[#This Row],[ID]],View[ID],View[Visible])</f>
        <v>1</v>
      </c>
      <c r="Z26" t="str">
        <f>Opportunities[[#This Row],[status symbol]]&amp;" "&amp; Opportunities[[#This Row],[Customer Name]] &amp;CHAR(10)&amp;"("&amp;Opportunities[[#This Row],[OpportunityName]] &amp; ")"&amp;CHAR(10)&amp;" $"&amp;TEXT(Opportunities[[#This Row],[Amount]]/1000000,"#,0.0")&amp;"m • "&amp; Opportunities[[#This Row],[Stage]]&amp; " • Owner: " &amp; Opportunities[[#This Row],[OpportunityOwner]]</f>
        <v>✓ Media Communications
(Project Management Software)
 $1.1m • Closeout • Owner: Amanda Sales</v>
      </c>
      <c r="AA26" t="str">
        <f>IF(calendarType="FQ","FY"&amp;RIGHT(TEXT(IF(MONTH(Opportunities[[#This Row],[Close]])&gt;MONTH(fqStart),YEAR(Opportunities[[#This Row],[Close]])+1,IF(MONTH(Opportunities[[#This Row],[Close]])&lt;MONTH(fqStart),YEAR(Opportunities[[#This Row],[Close]]),IF(DAY(Opportunities[[#This Row],[Close]])&gt;=DAY(fqStart),YEAR(Opportunities[[#This Row],[Close]])+1,YEAR(Opportunities[[#This Row],[Close]])))),"0"),2)&amp;"-Q"&amp;ROUNDUP((MONTH(Opportunities[[#This Row],[Close]])-MONTH(fqStart)+IF(DAY(Opportunities[[#This Row],[Close]])&lt;DAY(fqStart),0,1)+IF(MONTH(Opportunities[[#This Row],[Close]])&lt;MONTH(fqStart),12,0))/3,0),_xlfn.XLOOKUP(Opportunities[[#This Row],[ID]],Opportunities[ID],Opportunities[CQ]))</f>
        <v>FY27-Q2</v>
      </c>
      <c r="AC26" t="str" cm="1">
        <f t="array" ref="AC26">_xlfn.SWITCH(Opportunities[[#This Row],[Probability]],"High","↖","Medium","←","Low","↙")&amp;" " &amp;Opportunities[[#This Row],[Probability]]</f>
        <v>← Medium</v>
      </c>
      <c r="AD26" t="b">
        <f>Opportunities[[#This Row],[WinProbDisplay]]="↖ High"</f>
        <v>0</v>
      </c>
    </row>
    <row r="27" spans="1:30" x14ac:dyDescent="0.25">
      <c r="A27">
        <v>26</v>
      </c>
      <c r="B27" t="s">
        <v>174</v>
      </c>
      <c r="C27" t="s">
        <v>19</v>
      </c>
      <c r="D27" t="s">
        <v>20</v>
      </c>
      <c r="E27">
        <v>816454</v>
      </c>
      <c r="F27" t="s">
        <v>82</v>
      </c>
      <c r="G27" s="36">
        <v>45895</v>
      </c>
      <c r="H27" s="36">
        <v>45933</v>
      </c>
      <c r="I27" t="s">
        <v>105</v>
      </c>
      <c r="J27">
        <v>1</v>
      </c>
      <c r="L27" t="s">
        <v>98</v>
      </c>
      <c r="M27" t="s">
        <v>804</v>
      </c>
      <c r="N27" cm="1">
        <f t="array" aca="1" ref="N27" ca="1">_xlfn.SWITCH(Opportunities[[#This Row],[RecurringRevenueModel]],"Annually",RANDBETWEEN(2,8),"Semi-Annually",RANDBETWEEN(6,12),"Quarterly",RANDBETWEEN(8,20),"Monthly",RANDBETWEEN(24,60),"One-time",1,"Usage-based",RANDBETWEEN(24,60))</f>
        <v>29</v>
      </c>
      <c r="O27" s="36">
        <v>45933</v>
      </c>
      <c r="P27" t="str">
        <f>" FY"&amp;RIGHT(IF(MONTH(Opportunities[[#This Row],[Close]])&gt;=7,YEAR(Opportunities[[#This Row],[Close]])+1,YEAR(Opportunities[[#This Row],[Close]])),2)&amp;"-Q"&amp;IF(MONTH(Opportunities[[#This Row],[Close]])&gt;=7,CEILING((MONTH(Opportunities[[#This Row],[Close]])-6)/3,1),CEILING((MONTH(Opportunities[[#This Row],[Close]])+6)/3,1))</f>
        <v xml:space="preserve"> FY26-Q1</v>
      </c>
      <c r="Q27" t="str">
        <f>"CY"&amp;RIGHT(YEAR(Opportunities[[#This Row],[Close]]),2)&amp;"-Q"&amp;ROUNDUP(MONTH(Opportunities[[#This Row],[Close]])/3, 0)</f>
        <v>CY25-Q3</v>
      </c>
      <c r="R27" t="str">
        <f>siteUrl&amp;"/Lists/"&amp;oppList&amp;"/DispForm.aspx?ID="&amp;Opportunities[[#This Row],[ID]]</f>
        <v>https://cleansheet5.sharepoint.com/sites/SalesFunnel//Lists/auto12Opportunities/DispForm.aspx?ID=26</v>
      </c>
      <c r="S27">
        <f>_xlfn.XLOOKUP(Opportunities[[#This Row],[Stage]],stage[Stage Name],stage[Index],"")</f>
        <v>1</v>
      </c>
      <c r="T27" t="str">
        <f>_xlfn.XLOOKUP(Opportunities[[#This Row],[StageNumber]],stage[Index],stage[Display])</f>
        <v>➀ - Lead Qualification</v>
      </c>
      <c r="U27">
        <f>Opportunities[[#This Row],[Amount]]*_xlfn.XLOOKUP(Opportunities[[#This Row],[Probability]],prob[Win Probability],prob[Value])</f>
        <v>326581.60000000003</v>
      </c>
      <c r="V27" t="str" cm="1">
        <f t="array" ref="V27">_xlfn.SWITCH(Opportunities[[#This Row],[Status]],"At Risk","⚠","Active","✓","⮾")</f>
        <v>✓</v>
      </c>
      <c r="W27" t="str">
        <f>_xlfn.XLOOKUP(Opportunities[[#This Row],[CustomerId]],Customers[Id],Customers[Customer Name])</f>
        <v>ACME Corporation</v>
      </c>
      <c r="X27" t="str">
        <f>_xlfn.XLOOKUP(Opportunities[[#This Row],[CustomerId]],Customers[Id],Customers[CustomerRecordUrl])</f>
        <v>https://cleansheet5.sharepoint.com/sites/SalesFunnel//Lists/auto12Customers/DispForm.aspx?ID=1</v>
      </c>
      <c r="Y27">
        <f>_xlfn.XLOOKUP(Opportunities[[#This Row],[ID]],View[ID],View[Visible])</f>
        <v>1</v>
      </c>
      <c r="Z27" t="str">
        <f>Opportunities[[#This Row],[status symbol]]&amp;" "&amp; Opportunities[[#This Row],[Customer Name]] &amp;CHAR(10)&amp;"("&amp;Opportunities[[#This Row],[OpportunityName]] &amp; ")"&amp;CHAR(10)&amp;" $"&amp;TEXT(Opportunities[[#This Row],[Amount]]/1000000,"#,0.0")&amp;"m • "&amp; Opportunities[[#This Row],[Stage]]&amp; " • Owner: " &amp; Opportunities[[#This Row],[OpportunityOwner]]</f>
        <v>✓ ACME Corporation
(Video Conferencing Solution)
 $0.8m • Lead Qualification • Owner: Mike Consultant</v>
      </c>
      <c r="AA27" t="str">
        <f>IF(calendarType="FQ","FY"&amp;RIGHT(TEXT(IF(MONTH(Opportunities[[#This Row],[Close]])&gt;MONTH(fqStart),YEAR(Opportunities[[#This Row],[Close]])+1,IF(MONTH(Opportunities[[#This Row],[Close]])&lt;MONTH(fqStart),YEAR(Opportunities[[#This Row],[Close]]),IF(DAY(Opportunities[[#This Row],[Close]])&gt;=DAY(fqStart),YEAR(Opportunities[[#This Row],[Close]])+1,YEAR(Opportunities[[#This Row],[Close]])))),"0"),2)&amp;"-Q"&amp;ROUNDUP((MONTH(Opportunities[[#This Row],[Close]])-MONTH(fqStart)+IF(DAY(Opportunities[[#This Row],[Close]])&lt;DAY(fqStart),0,1)+IF(MONTH(Opportunities[[#This Row],[Close]])&lt;MONTH(fqStart),12,0))/3,0),_xlfn.XLOOKUP(Opportunities[[#This Row],[ID]],Opportunities[ID],Opportunities[CQ]))</f>
        <v>FY26-Q1</v>
      </c>
      <c r="AC27" t="str" cm="1">
        <f t="array" ref="AC27">_xlfn.SWITCH(Opportunities[[#This Row],[Probability]],"High","↖","Medium","←","Low","↙")&amp;" " &amp;Opportunities[[#This Row],[Probability]]</f>
        <v>← Medium</v>
      </c>
      <c r="AD27" t="b">
        <f>Opportunities[[#This Row],[WinProbDisplay]]="↖ High"</f>
        <v>0</v>
      </c>
    </row>
    <row r="28" spans="1:30" x14ac:dyDescent="0.25">
      <c r="A28">
        <v>27</v>
      </c>
      <c r="B28" t="s">
        <v>175</v>
      </c>
      <c r="C28" t="s">
        <v>19</v>
      </c>
      <c r="D28" t="s">
        <v>20</v>
      </c>
      <c r="E28">
        <v>1666344</v>
      </c>
      <c r="F28" t="s">
        <v>82</v>
      </c>
      <c r="G28" s="36">
        <v>46185</v>
      </c>
      <c r="H28" s="36">
        <v>45904</v>
      </c>
      <c r="I28" t="s">
        <v>146</v>
      </c>
      <c r="J28">
        <v>2</v>
      </c>
      <c r="L28" t="s">
        <v>393</v>
      </c>
      <c r="M28" t="s">
        <v>807</v>
      </c>
      <c r="N28" cm="1">
        <f t="array" aca="1" ref="N28" ca="1">_xlfn.SWITCH(Opportunities[[#This Row],[RecurringRevenueModel]],"Annually",RANDBETWEEN(2,8),"Semi-Annually",RANDBETWEEN(6,12),"Quarterly",RANDBETWEEN(8,20),"Monthly",RANDBETWEEN(24,60),"One-time",1,"Usage-based",RANDBETWEEN(24,60))</f>
        <v>9</v>
      </c>
      <c r="O28" s="36">
        <v>46251</v>
      </c>
      <c r="P28" t="str">
        <f>" FY"&amp;RIGHT(IF(MONTH(Opportunities[[#This Row],[Close]])&gt;=7,YEAR(Opportunities[[#This Row],[Close]])+1,YEAR(Opportunities[[#This Row],[Close]])),2)&amp;"-Q"&amp;IF(MONTH(Opportunities[[#This Row],[Close]])&gt;=7,CEILING((MONTH(Opportunities[[#This Row],[Close]])-6)/3,1),CEILING((MONTH(Opportunities[[#This Row],[Close]])+6)/3,1))</f>
        <v xml:space="preserve"> FY26-Q4</v>
      </c>
      <c r="Q28" t="str">
        <f>"CY"&amp;RIGHT(YEAR(Opportunities[[#This Row],[Close]]),2)&amp;"-Q"&amp;ROUNDUP(MONTH(Opportunities[[#This Row],[Close]])/3, 0)</f>
        <v>CY26-Q2</v>
      </c>
      <c r="R28" t="str">
        <f>siteUrl&amp;"/Lists/"&amp;oppList&amp;"/DispForm.aspx?ID="&amp;Opportunities[[#This Row],[ID]]</f>
        <v>https://cleansheet5.sharepoint.com/sites/SalesFunnel//Lists/auto12Opportunities/DispForm.aspx?ID=27</v>
      </c>
      <c r="S28">
        <f>_xlfn.XLOOKUP(Opportunities[[#This Row],[Stage]],stage[Stage Name],stage[Index],"")</f>
        <v>1</v>
      </c>
      <c r="T28" t="str">
        <f>_xlfn.XLOOKUP(Opportunities[[#This Row],[StageNumber]],stage[Index],stage[Display])</f>
        <v>➀ - Lead Qualification</v>
      </c>
      <c r="U28">
        <f>Opportunities[[#This Row],[Amount]]*_xlfn.XLOOKUP(Opportunities[[#This Row],[Probability]],prob[Win Probability],prob[Value])</f>
        <v>666537.60000000009</v>
      </c>
      <c r="V28" t="str" cm="1">
        <f t="array" ref="V28">_xlfn.SWITCH(Opportunities[[#This Row],[Status]],"At Risk","⚠","Active","✓","⮾")</f>
        <v>✓</v>
      </c>
      <c r="W28" t="str">
        <f>_xlfn.XLOOKUP(Opportunities[[#This Row],[CustomerId]],Customers[Id],Customers[Customer Name])</f>
        <v>Global Industries</v>
      </c>
      <c r="X28" t="str">
        <f>_xlfn.XLOOKUP(Opportunities[[#This Row],[CustomerId]],Customers[Id],Customers[CustomerRecordUrl])</f>
        <v>https://cleansheet5.sharepoint.com/sites/SalesFunnel//Lists/auto12Customers/DispForm.aspx?ID=2</v>
      </c>
      <c r="Y28">
        <f>_xlfn.XLOOKUP(Opportunities[[#This Row],[ID]],View[ID],View[Visible])</f>
        <v>1</v>
      </c>
      <c r="Z28" t="str">
        <f>Opportunities[[#This Row],[status symbol]]&amp;" "&amp; Opportunities[[#This Row],[Customer Name]] &amp;CHAR(10)&amp;"("&amp;Opportunities[[#This Row],[OpportunityName]] &amp; ")"&amp;CHAR(10)&amp;" $"&amp;TEXT(Opportunities[[#This Row],[Amount]]/1000000,"#,0.0")&amp;"m • "&amp; Opportunities[[#This Row],[Stage]]&amp; " • Owner: " &amp; Opportunities[[#This Row],[OpportunityOwner]]</f>
        <v>✓ Global Industries
(Backup &amp; Recovery System)
 $1.7m • Lead Qualification • Owner: Amanda Sales</v>
      </c>
      <c r="AA28" t="str">
        <f>IF(calendarType="FQ","FY"&amp;RIGHT(TEXT(IF(MONTH(Opportunities[[#This Row],[Close]])&gt;MONTH(fqStart),YEAR(Opportunities[[#This Row],[Close]])+1,IF(MONTH(Opportunities[[#This Row],[Close]])&lt;MONTH(fqStart),YEAR(Opportunities[[#This Row],[Close]]),IF(DAY(Opportunities[[#This Row],[Close]])&gt;=DAY(fqStart),YEAR(Opportunities[[#This Row],[Close]])+1,YEAR(Opportunities[[#This Row],[Close]])))),"0"),2)&amp;"-Q"&amp;ROUNDUP((MONTH(Opportunities[[#This Row],[Close]])-MONTH(fqStart)+IF(DAY(Opportunities[[#This Row],[Close]])&lt;DAY(fqStart),0,1)+IF(MONTH(Opportunities[[#This Row],[Close]])&lt;MONTH(fqStart),12,0))/3,0),_xlfn.XLOOKUP(Opportunities[[#This Row],[ID]],Opportunities[ID],Opportunities[CQ]))</f>
        <v>FY26-Q4</v>
      </c>
      <c r="AC28" t="str" cm="1">
        <f t="array" ref="AC28">_xlfn.SWITCH(Opportunities[[#This Row],[Probability]],"High","↖","Medium","←","Low","↙")&amp;" " &amp;Opportunities[[#This Row],[Probability]]</f>
        <v>← Medium</v>
      </c>
      <c r="AD28" t="b">
        <f>Opportunities[[#This Row],[WinProbDisplay]]="↖ High"</f>
        <v>0</v>
      </c>
    </row>
    <row r="29" spans="1:30" x14ac:dyDescent="0.25">
      <c r="A29">
        <v>28</v>
      </c>
      <c r="B29" t="s">
        <v>176</v>
      </c>
      <c r="C29" t="s">
        <v>19</v>
      </c>
      <c r="D29" t="s">
        <v>20</v>
      </c>
      <c r="E29">
        <v>1213430</v>
      </c>
      <c r="F29" t="s">
        <v>82</v>
      </c>
      <c r="G29" s="36">
        <v>46325</v>
      </c>
      <c r="H29" s="36">
        <v>45897</v>
      </c>
      <c r="I29" t="s">
        <v>99</v>
      </c>
      <c r="J29">
        <v>1</v>
      </c>
      <c r="L29" t="s">
        <v>101</v>
      </c>
      <c r="M29" t="s">
        <v>807</v>
      </c>
      <c r="N29" cm="1">
        <f t="array" aca="1" ref="N29" ca="1">_xlfn.SWITCH(Opportunities[[#This Row],[RecurringRevenueModel]],"Annually",RANDBETWEEN(2,8),"Semi-Annually",RANDBETWEEN(6,12),"Quarterly",RANDBETWEEN(8,20),"Monthly",RANDBETWEEN(24,60),"One-time",1,"Usage-based",RANDBETWEEN(24,60))</f>
        <v>16</v>
      </c>
      <c r="O29" s="36">
        <v>46342</v>
      </c>
      <c r="P29" t="str">
        <f>" FY"&amp;RIGHT(IF(MONTH(Opportunities[[#This Row],[Close]])&gt;=7,YEAR(Opportunities[[#This Row],[Close]])+1,YEAR(Opportunities[[#This Row],[Close]])),2)&amp;"-Q"&amp;IF(MONTH(Opportunities[[#This Row],[Close]])&gt;=7,CEILING((MONTH(Opportunities[[#This Row],[Close]])-6)/3,1),CEILING((MONTH(Opportunities[[#This Row],[Close]])+6)/3,1))</f>
        <v xml:space="preserve"> FY27-Q2</v>
      </c>
      <c r="Q29" t="str">
        <f>"CY"&amp;RIGHT(YEAR(Opportunities[[#This Row],[Close]]),2)&amp;"-Q"&amp;ROUNDUP(MONTH(Opportunities[[#This Row],[Close]])/3, 0)</f>
        <v>CY26-Q4</v>
      </c>
      <c r="R29" t="str">
        <f>siteUrl&amp;"/Lists/"&amp;oppList&amp;"/DispForm.aspx?ID="&amp;Opportunities[[#This Row],[ID]]</f>
        <v>https://cleansheet5.sharepoint.com/sites/SalesFunnel//Lists/auto12Opportunities/DispForm.aspx?ID=28</v>
      </c>
      <c r="S29">
        <f>_xlfn.XLOOKUP(Opportunities[[#This Row],[Stage]],stage[Stage Name],stage[Index],"")</f>
        <v>1</v>
      </c>
      <c r="T29" t="str">
        <f>_xlfn.XLOOKUP(Opportunities[[#This Row],[StageNumber]],stage[Index],stage[Display])</f>
        <v>➀ - Lead Qualification</v>
      </c>
      <c r="U29">
        <f>Opportunities[[#This Row],[Amount]]*_xlfn.XLOOKUP(Opportunities[[#This Row],[Probability]],prob[Win Probability],prob[Value])</f>
        <v>485372</v>
      </c>
      <c r="V29" t="str" cm="1">
        <f t="array" ref="V29">_xlfn.SWITCH(Opportunities[[#This Row],[Status]],"At Risk","⚠","Active","✓","⮾")</f>
        <v>✓</v>
      </c>
      <c r="W29" t="str">
        <f>_xlfn.XLOOKUP(Opportunities[[#This Row],[CustomerId]],Customers[Id],Customers[Customer Name])</f>
        <v>ACME Corporation</v>
      </c>
      <c r="X29" t="str">
        <f>_xlfn.XLOOKUP(Opportunities[[#This Row],[CustomerId]],Customers[Id],Customers[CustomerRecordUrl])</f>
        <v>https://cleansheet5.sharepoint.com/sites/SalesFunnel//Lists/auto12Customers/DispForm.aspx?ID=1</v>
      </c>
      <c r="Y29">
        <f>_xlfn.XLOOKUP(Opportunities[[#This Row],[ID]],View[ID],View[Visible])</f>
        <v>1</v>
      </c>
      <c r="Z29" t="str">
        <f>Opportunities[[#This Row],[status symbol]]&amp;" "&amp; Opportunities[[#This Row],[Customer Name]] &amp;CHAR(10)&amp;"("&amp;Opportunities[[#This Row],[OpportunityName]] &amp; ")"&amp;CHAR(10)&amp;" $"&amp;TEXT(Opportunities[[#This Row],[Amount]]/1000000,"#,0.0")&amp;"m • "&amp; Opportunities[[#This Row],[Stage]]&amp; " • Owner: " &amp; Opportunities[[#This Row],[OpportunityOwner]]</f>
        <v>✓ ACME Corporation
(Website Redesign Project)
 $1.2m • Lead Qualification • Owner: Lisa Engineer</v>
      </c>
      <c r="AA29" t="str">
        <f>IF(calendarType="FQ","FY"&amp;RIGHT(TEXT(IF(MONTH(Opportunities[[#This Row],[Close]])&gt;MONTH(fqStart),YEAR(Opportunities[[#This Row],[Close]])+1,IF(MONTH(Opportunities[[#This Row],[Close]])&lt;MONTH(fqStart),YEAR(Opportunities[[#This Row],[Close]]),IF(DAY(Opportunities[[#This Row],[Close]])&gt;=DAY(fqStart),YEAR(Opportunities[[#This Row],[Close]])+1,YEAR(Opportunities[[#This Row],[Close]])))),"0"),2)&amp;"-Q"&amp;ROUNDUP((MONTH(Opportunities[[#This Row],[Close]])-MONTH(fqStart)+IF(DAY(Opportunities[[#This Row],[Close]])&lt;DAY(fqStart),0,1)+IF(MONTH(Opportunities[[#This Row],[Close]])&lt;MONTH(fqStart),12,0))/3,0),_xlfn.XLOOKUP(Opportunities[[#This Row],[ID]],Opportunities[ID],Opportunities[CQ]))</f>
        <v>FY27-Q2</v>
      </c>
      <c r="AC29" t="str" cm="1">
        <f t="array" ref="AC29">_xlfn.SWITCH(Opportunities[[#This Row],[Probability]],"High","↖","Medium","←","Low","↙")&amp;" " &amp;Opportunities[[#This Row],[Probability]]</f>
        <v>← Medium</v>
      </c>
      <c r="AD29" t="b">
        <f>Opportunities[[#This Row],[WinProbDisplay]]="↖ High"</f>
        <v>0</v>
      </c>
    </row>
    <row r="30" spans="1:30" x14ac:dyDescent="0.25">
      <c r="A30">
        <v>29</v>
      </c>
      <c r="B30" t="s">
        <v>177</v>
      </c>
      <c r="C30" t="s">
        <v>19</v>
      </c>
      <c r="D30" t="s">
        <v>24</v>
      </c>
      <c r="E30">
        <v>1805761</v>
      </c>
      <c r="F30" t="s">
        <v>82</v>
      </c>
      <c r="G30" s="36">
        <v>46107</v>
      </c>
      <c r="H30" s="36">
        <v>45908</v>
      </c>
      <c r="I30" t="s">
        <v>159</v>
      </c>
      <c r="J30">
        <v>10</v>
      </c>
      <c r="L30" t="s">
        <v>150</v>
      </c>
      <c r="M30" t="s">
        <v>806</v>
      </c>
      <c r="N30" cm="1">
        <f t="array" aca="1" ref="N30" ca="1">_xlfn.SWITCH(Opportunities[[#This Row],[RecurringRevenueModel]],"Annually",RANDBETWEEN(2,8),"Semi-Annually",RANDBETWEEN(6,12),"Quarterly",RANDBETWEEN(8,20),"Monthly",RANDBETWEEN(24,60),"One-time",1,"Usage-based",RANDBETWEEN(24,60))</f>
        <v>9</v>
      </c>
      <c r="O30" s="36">
        <v>46150</v>
      </c>
      <c r="P30" t="str">
        <f>" FY"&amp;RIGHT(IF(MONTH(Opportunities[[#This Row],[Close]])&gt;=7,YEAR(Opportunities[[#This Row],[Close]])+1,YEAR(Opportunities[[#This Row],[Close]])),2)&amp;"-Q"&amp;IF(MONTH(Opportunities[[#This Row],[Close]])&gt;=7,CEILING((MONTH(Opportunities[[#This Row],[Close]])-6)/3,1),CEILING((MONTH(Opportunities[[#This Row],[Close]])+6)/3,1))</f>
        <v xml:space="preserve"> FY26-Q3</v>
      </c>
      <c r="Q30" t="str">
        <f>"CY"&amp;RIGHT(YEAR(Opportunities[[#This Row],[Close]]),2)&amp;"-Q"&amp;ROUNDUP(MONTH(Opportunities[[#This Row],[Close]])/3, 0)</f>
        <v>CY26-Q1</v>
      </c>
      <c r="R30" t="str">
        <f>siteUrl&amp;"/Lists/"&amp;oppList&amp;"/DispForm.aspx?ID="&amp;Opportunities[[#This Row],[ID]]</f>
        <v>https://cleansheet5.sharepoint.com/sites/SalesFunnel//Lists/auto12Opportunities/DispForm.aspx?ID=29</v>
      </c>
      <c r="S30">
        <f>_xlfn.XLOOKUP(Opportunities[[#This Row],[Stage]],stage[Stage Name],stage[Index],"")</f>
        <v>6</v>
      </c>
      <c r="T30" t="str">
        <f>_xlfn.XLOOKUP(Opportunities[[#This Row],[StageNumber]],stage[Index],stage[Display])</f>
        <v>➅ - Closeout</v>
      </c>
      <c r="U30">
        <f>Opportunities[[#This Row],[Amount]]*_xlfn.XLOOKUP(Opportunities[[#This Row],[Probability]],prob[Win Probability],prob[Value])</f>
        <v>722304.4</v>
      </c>
      <c r="V30" t="str" cm="1">
        <f t="array" ref="V30">_xlfn.SWITCH(Opportunities[[#This Row],[Status]],"At Risk","⚠","Active","✓","⮾")</f>
        <v>✓</v>
      </c>
      <c r="W30" t="str">
        <f>_xlfn.XLOOKUP(Opportunities[[#This Row],[CustomerId]],Customers[Id],Customers[Customer Name])</f>
        <v>Education First</v>
      </c>
      <c r="X30" t="str">
        <f>_xlfn.XLOOKUP(Opportunities[[#This Row],[CustomerId]],Customers[Id],Customers[CustomerRecordUrl])</f>
        <v>https://cleansheet5.sharepoint.com/sites/SalesFunnel//Lists/auto12Customers/DispForm.aspx?ID=10</v>
      </c>
      <c r="Y30">
        <f>_xlfn.XLOOKUP(Opportunities[[#This Row],[ID]],View[ID],View[Visible])</f>
        <v>1</v>
      </c>
      <c r="Z30" t="str">
        <f>Opportunities[[#This Row],[status symbol]]&amp;" "&amp; Opportunities[[#This Row],[Customer Name]] &amp;CHAR(10)&amp;"("&amp;Opportunities[[#This Row],[OpportunityName]] &amp; ")"&amp;CHAR(10)&amp;" $"&amp;TEXT(Opportunities[[#This Row],[Amount]]/1000000,"#,0.0")&amp;"m • "&amp; Opportunities[[#This Row],[Stage]]&amp; " • Owner: " &amp; Opportunities[[#This Row],[OpportunityOwner]]</f>
        <v>✓ Education First
(Social Media Management Tool)
 $1.8m • Closeout • Owner: Maria Coordinator</v>
      </c>
      <c r="AA30" t="str">
        <f>IF(calendarType="FQ","FY"&amp;RIGHT(TEXT(IF(MONTH(Opportunities[[#This Row],[Close]])&gt;MONTH(fqStart),YEAR(Opportunities[[#This Row],[Close]])+1,IF(MONTH(Opportunities[[#This Row],[Close]])&lt;MONTH(fqStart),YEAR(Opportunities[[#This Row],[Close]]),IF(DAY(Opportunities[[#This Row],[Close]])&gt;=DAY(fqStart),YEAR(Opportunities[[#This Row],[Close]])+1,YEAR(Opportunities[[#This Row],[Close]])))),"0"),2)&amp;"-Q"&amp;ROUNDUP((MONTH(Opportunities[[#This Row],[Close]])-MONTH(fqStart)+IF(DAY(Opportunities[[#This Row],[Close]])&lt;DAY(fqStart),0,1)+IF(MONTH(Opportunities[[#This Row],[Close]])&lt;MONTH(fqStart),12,0))/3,0),_xlfn.XLOOKUP(Opportunities[[#This Row],[ID]],Opportunities[ID],Opportunities[CQ]))</f>
        <v>FY26-Q3</v>
      </c>
      <c r="AC30" t="str" cm="1">
        <f t="array" ref="AC30">_xlfn.SWITCH(Opportunities[[#This Row],[Probability]],"High","↖","Medium","←","Low","↙")&amp;" " &amp;Opportunities[[#This Row],[Probability]]</f>
        <v>← Medium</v>
      </c>
      <c r="AD30" t="b">
        <f>Opportunities[[#This Row],[WinProbDisplay]]="↖ High"</f>
        <v>0</v>
      </c>
    </row>
    <row r="31" spans="1:30" x14ac:dyDescent="0.25">
      <c r="A31">
        <v>30</v>
      </c>
      <c r="B31" t="s">
        <v>178</v>
      </c>
      <c r="C31" t="s">
        <v>19</v>
      </c>
      <c r="D31" t="s">
        <v>23</v>
      </c>
      <c r="E31">
        <v>1172164</v>
      </c>
      <c r="F31" t="s">
        <v>82</v>
      </c>
      <c r="G31" s="36">
        <v>46233</v>
      </c>
      <c r="H31" s="36">
        <v>45917</v>
      </c>
      <c r="I31" t="s">
        <v>93</v>
      </c>
      <c r="J31">
        <v>1</v>
      </c>
      <c r="L31" t="s">
        <v>150</v>
      </c>
      <c r="M31" t="s">
        <v>803</v>
      </c>
      <c r="N31" cm="1">
        <f t="array" aca="1" ref="N31" ca="1">_xlfn.SWITCH(Opportunities[[#This Row],[RecurringRevenueModel]],"Annually",RANDBETWEEN(2,8),"Semi-Annually",RANDBETWEEN(6,12),"Quarterly",RANDBETWEEN(8,20),"Monthly",RANDBETWEEN(24,60),"One-time",1,"Usage-based",RANDBETWEEN(24,60))</f>
        <v>2</v>
      </c>
      <c r="O31" s="36">
        <v>46316</v>
      </c>
      <c r="P31" t="str">
        <f>" FY"&amp;RIGHT(IF(MONTH(Opportunities[[#This Row],[Close]])&gt;=7,YEAR(Opportunities[[#This Row],[Close]])+1,YEAR(Opportunities[[#This Row],[Close]])),2)&amp;"-Q"&amp;IF(MONTH(Opportunities[[#This Row],[Close]])&gt;=7,CEILING((MONTH(Opportunities[[#This Row],[Close]])-6)/3,1),CEILING((MONTH(Opportunities[[#This Row],[Close]])+6)/3,1))</f>
        <v xml:space="preserve"> FY27-Q1</v>
      </c>
      <c r="Q31" t="str">
        <f>"CY"&amp;RIGHT(YEAR(Opportunities[[#This Row],[Close]]),2)&amp;"-Q"&amp;ROUNDUP(MONTH(Opportunities[[#This Row],[Close]])/3, 0)</f>
        <v>CY26-Q3</v>
      </c>
      <c r="R31" t="str">
        <f>siteUrl&amp;"/Lists/"&amp;oppList&amp;"/DispForm.aspx?ID="&amp;Opportunities[[#This Row],[ID]]</f>
        <v>https://cleansheet5.sharepoint.com/sites/SalesFunnel//Lists/auto12Opportunities/DispForm.aspx?ID=30</v>
      </c>
      <c r="S31">
        <f>_xlfn.XLOOKUP(Opportunities[[#This Row],[Stage]],stage[Stage Name],stage[Index],"")</f>
        <v>2</v>
      </c>
      <c r="T31" t="str">
        <f>_xlfn.XLOOKUP(Opportunities[[#This Row],[StageNumber]],stage[Index],stage[Display])</f>
        <v>➁ - Nurturing</v>
      </c>
      <c r="U31">
        <f>Opportunities[[#This Row],[Amount]]*_xlfn.XLOOKUP(Opportunities[[#This Row],[Probability]],prob[Win Probability],prob[Value])</f>
        <v>468865.60000000003</v>
      </c>
      <c r="V31" t="str" cm="1">
        <f t="array" ref="V31">_xlfn.SWITCH(Opportunities[[#This Row],[Status]],"At Risk","⚠","Active","✓","⮾")</f>
        <v>✓</v>
      </c>
      <c r="W31" t="str">
        <f>_xlfn.XLOOKUP(Opportunities[[#This Row],[CustomerId]],Customers[Id],Customers[Customer Name])</f>
        <v>ACME Corporation</v>
      </c>
      <c r="X31" t="str">
        <f>_xlfn.XLOOKUP(Opportunities[[#This Row],[CustomerId]],Customers[Id],Customers[CustomerRecordUrl])</f>
        <v>https://cleansheet5.sharepoint.com/sites/SalesFunnel//Lists/auto12Customers/DispForm.aspx?ID=1</v>
      </c>
      <c r="Y31">
        <f>_xlfn.XLOOKUP(Opportunities[[#This Row],[ID]],View[ID],View[Visible])</f>
        <v>1</v>
      </c>
      <c r="Z31" t="str">
        <f>Opportunities[[#This Row],[status symbol]]&amp;" "&amp; Opportunities[[#This Row],[Customer Name]] &amp;CHAR(10)&amp;"("&amp;Opportunities[[#This Row],[OpportunityName]] &amp; ")"&amp;CHAR(10)&amp;" $"&amp;TEXT(Opportunities[[#This Row],[Amount]]/1000000,"#,0.0")&amp;"m • "&amp; Opportunities[[#This Row],[Stage]]&amp; " • Owner: " &amp; Opportunities[[#This Row],[OpportunityOwner]]</f>
        <v>✓ ACME Corporation
(Customer Service Platform)
 $1.2m • Nurturing • Owner: Maria Coordinator</v>
      </c>
      <c r="AA31" t="str">
        <f>IF(calendarType="FQ","FY"&amp;RIGHT(TEXT(IF(MONTH(Opportunities[[#This Row],[Close]])&gt;MONTH(fqStart),YEAR(Opportunities[[#This Row],[Close]])+1,IF(MONTH(Opportunities[[#This Row],[Close]])&lt;MONTH(fqStart),YEAR(Opportunities[[#This Row],[Close]]),IF(DAY(Opportunities[[#This Row],[Close]])&gt;=DAY(fqStart),YEAR(Opportunities[[#This Row],[Close]])+1,YEAR(Opportunities[[#This Row],[Close]])))),"0"),2)&amp;"-Q"&amp;ROUNDUP((MONTH(Opportunities[[#This Row],[Close]])-MONTH(fqStart)+IF(DAY(Opportunities[[#This Row],[Close]])&lt;DAY(fqStart),0,1)+IF(MONTH(Opportunities[[#This Row],[Close]])&lt;MONTH(fqStart),12,0))/3,0),_xlfn.XLOOKUP(Opportunities[[#This Row],[ID]],Opportunities[ID],Opportunities[CQ]))</f>
        <v>FY27-Q1</v>
      </c>
      <c r="AC31" t="str" cm="1">
        <f t="array" ref="AC31">_xlfn.SWITCH(Opportunities[[#This Row],[Probability]],"High","↖","Medium","←","Low","↙")&amp;" " &amp;Opportunities[[#This Row],[Probability]]</f>
        <v>← Medium</v>
      </c>
      <c r="AD31" t="b">
        <f>Opportunities[[#This Row],[WinProbDisplay]]="↖ High"</f>
        <v>0</v>
      </c>
    </row>
    <row r="32" spans="1:30" x14ac:dyDescent="0.25">
      <c r="A32">
        <v>31</v>
      </c>
      <c r="B32" t="s">
        <v>179</v>
      </c>
      <c r="C32" t="s">
        <v>17</v>
      </c>
      <c r="D32" t="s">
        <v>18</v>
      </c>
      <c r="E32">
        <v>768865</v>
      </c>
      <c r="F32" t="s">
        <v>84</v>
      </c>
      <c r="G32" s="36">
        <v>46099</v>
      </c>
      <c r="H32" s="36">
        <v>45923</v>
      </c>
      <c r="I32" t="s">
        <v>99</v>
      </c>
      <c r="J32">
        <v>15</v>
      </c>
      <c r="L32" t="s">
        <v>393</v>
      </c>
      <c r="M32" t="s">
        <v>806</v>
      </c>
      <c r="N32" cm="1">
        <f t="array" aca="1" ref="N32" ca="1">_xlfn.SWITCH(Opportunities[[#This Row],[RecurringRevenueModel]],"Annually",RANDBETWEEN(2,8),"Semi-Annually",RANDBETWEEN(6,12),"Quarterly",RANDBETWEEN(8,20),"Monthly",RANDBETWEEN(24,60),"One-time",1,"Usage-based",RANDBETWEEN(24,60))</f>
        <v>9</v>
      </c>
      <c r="O32" s="36">
        <v>46164</v>
      </c>
      <c r="P32" t="str">
        <f>" FY"&amp;RIGHT(IF(MONTH(Opportunities[[#This Row],[Close]])&gt;=7,YEAR(Opportunities[[#This Row],[Close]])+1,YEAR(Opportunities[[#This Row],[Close]])),2)&amp;"-Q"&amp;IF(MONTH(Opportunities[[#This Row],[Close]])&gt;=7,CEILING((MONTH(Opportunities[[#This Row],[Close]])-6)/3,1),CEILING((MONTH(Opportunities[[#This Row],[Close]])+6)/3,1))</f>
        <v xml:space="preserve"> FY26-Q3</v>
      </c>
      <c r="Q32" t="str">
        <f>"CY"&amp;RIGHT(YEAR(Opportunities[[#This Row],[Close]]),2)&amp;"-Q"&amp;ROUNDUP(MONTH(Opportunities[[#This Row],[Close]])/3, 0)</f>
        <v>CY26-Q1</v>
      </c>
      <c r="R32" t="str">
        <f>siteUrl&amp;"/Lists/"&amp;oppList&amp;"/DispForm.aspx?ID="&amp;Opportunities[[#This Row],[ID]]</f>
        <v>https://cleansheet5.sharepoint.com/sites/SalesFunnel//Lists/auto12Opportunities/DispForm.aspx?ID=31</v>
      </c>
      <c r="S32">
        <f>_xlfn.XLOOKUP(Opportunities[[#This Row],[Stage]],stage[Stage Name],stage[Index],"")</f>
        <v>4</v>
      </c>
      <c r="T32" t="str">
        <f>_xlfn.XLOOKUP(Opportunities[[#This Row],[StageNumber]],stage[Index],stage[Display])</f>
        <v>➃ - Negotiation</v>
      </c>
      <c r="U32">
        <f>Opportunities[[#This Row],[Amount]]*_xlfn.XLOOKUP(Opportunities[[#This Row],[Probability]],prob[Win Probability],prob[Value])</f>
        <v>153773</v>
      </c>
      <c r="V32" t="str" cm="1">
        <f t="array" ref="V32">_xlfn.SWITCH(Opportunities[[#This Row],[Status]],"At Risk","⚠","Active","✓","⮾")</f>
        <v>⚠</v>
      </c>
      <c r="W32" t="str">
        <f>_xlfn.XLOOKUP(Opportunities[[#This Row],[CustomerId]],Customers[Id],Customers[Customer Name])</f>
        <v>Pharmaceutical Research</v>
      </c>
      <c r="X32" t="str">
        <f>_xlfn.XLOOKUP(Opportunities[[#This Row],[CustomerId]],Customers[Id],Customers[CustomerRecordUrl])</f>
        <v>https://cleansheet5.sharepoint.com/sites/SalesFunnel//Lists/auto12Customers/DispForm.aspx?ID=15</v>
      </c>
      <c r="Y32">
        <f>_xlfn.XLOOKUP(Opportunities[[#This Row],[ID]],View[ID],View[Visible])</f>
        <v>1</v>
      </c>
      <c r="Z32" t="str">
        <f>Opportunities[[#This Row],[status symbol]]&amp;" "&amp; Opportunities[[#This Row],[Customer Name]] &amp;CHAR(10)&amp;"("&amp;Opportunities[[#This Row],[OpportunityName]] &amp; ")"&amp;CHAR(10)&amp;" $"&amp;TEXT(Opportunities[[#This Row],[Amount]]/1000000,"#,0.0")&amp;"m • "&amp; Opportunities[[#This Row],[Stage]]&amp; " • Owner: " &amp; Opportunities[[#This Row],[OpportunityOwner]]</f>
        <v>⚠ Pharmaceutical Research
(Fleet Management System)
 $0.8m • Negotiation • Owner: Amanda Sales</v>
      </c>
      <c r="AA32" t="str">
        <f>IF(calendarType="FQ","FY"&amp;RIGHT(TEXT(IF(MONTH(Opportunities[[#This Row],[Close]])&gt;MONTH(fqStart),YEAR(Opportunities[[#This Row],[Close]])+1,IF(MONTH(Opportunities[[#This Row],[Close]])&lt;MONTH(fqStart),YEAR(Opportunities[[#This Row],[Close]]),IF(DAY(Opportunities[[#This Row],[Close]])&gt;=DAY(fqStart),YEAR(Opportunities[[#This Row],[Close]])+1,YEAR(Opportunities[[#This Row],[Close]])))),"0"),2)&amp;"-Q"&amp;ROUNDUP((MONTH(Opportunities[[#This Row],[Close]])-MONTH(fqStart)+IF(DAY(Opportunities[[#This Row],[Close]])&lt;DAY(fqStart),0,1)+IF(MONTH(Opportunities[[#This Row],[Close]])&lt;MONTH(fqStart),12,0))/3,0),_xlfn.XLOOKUP(Opportunities[[#This Row],[ID]],Opportunities[ID],Opportunities[CQ]))</f>
        <v>FY26-Q3</v>
      </c>
      <c r="AC32" t="str" cm="1">
        <f t="array" ref="AC32">_xlfn.SWITCH(Opportunities[[#This Row],[Probability]],"High","↖","Medium","←","Low","↙")&amp;" " &amp;Opportunities[[#This Row],[Probability]]</f>
        <v>↙ Low</v>
      </c>
      <c r="AD32" t="b">
        <f>Opportunities[[#This Row],[WinProbDisplay]]="↖ High"</f>
        <v>0</v>
      </c>
    </row>
    <row r="33" spans="1:30" x14ac:dyDescent="0.25">
      <c r="A33">
        <v>32</v>
      </c>
      <c r="B33" t="s">
        <v>180</v>
      </c>
      <c r="C33" t="s">
        <v>19</v>
      </c>
      <c r="D33" t="s">
        <v>23</v>
      </c>
      <c r="E33">
        <v>695461</v>
      </c>
      <c r="F33" t="s">
        <v>84</v>
      </c>
      <c r="G33" s="36">
        <v>45904</v>
      </c>
      <c r="H33" s="36">
        <v>45935</v>
      </c>
      <c r="I33" t="s">
        <v>99</v>
      </c>
      <c r="J33">
        <v>29</v>
      </c>
      <c r="L33" t="s">
        <v>145</v>
      </c>
      <c r="M33" t="s">
        <v>803</v>
      </c>
      <c r="N33" cm="1">
        <f t="array" aca="1" ref="N33" ca="1">_xlfn.SWITCH(Opportunities[[#This Row],[RecurringRevenueModel]],"Annually",RANDBETWEEN(2,8),"Semi-Annually",RANDBETWEEN(6,12),"Quarterly",RANDBETWEEN(8,20),"Monthly",RANDBETWEEN(24,60),"One-time",1,"Usage-based",RANDBETWEEN(24,60))</f>
        <v>8</v>
      </c>
      <c r="O33" s="36">
        <v>45953</v>
      </c>
      <c r="P33" t="str">
        <f>" FY"&amp;RIGHT(IF(MONTH(Opportunities[[#This Row],[Close]])&gt;=7,YEAR(Opportunities[[#This Row],[Close]])+1,YEAR(Opportunities[[#This Row],[Close]])),2)&amp;"-Q"&amp;IF(MONTH(Opportunities[[#This Row],[Close]])&gt;=7,CEILING((MONTH(Opportunities[[#This Row],[Close]])-6)/3,1),CEILING((MONTH(Opportunities[[#This Row],[Close]])+6)/3,1))</f>
        <v xml:space="preserve"> FY26-Q1</v>
      </c>
      <c r="Q33" t="str">
        <f>"CY"&amp;RIGHT(YEAR(Opportunities[[#This Row],[Close]]),2)&amp;"-Q"&amp;ROUNDUP(MONTH(Opportunities[[#This Row],[Close]])/3, 0)</f>
        <v>CY25-Q3</v>
      </c>
      <c r="R33" t="str">
        <f>siteUrl&amp;"/Lists/"&amp;oppList&amp;"/DispForm.aspx?ID="&amp;Opportunities[[#This Row],[ID]]</f>
        <v>https://cleansheet5.sharepoint.com/sites/SalesFunnel//Lists/auto12Opportunities/DispForm.aspx?ID=32</v>
      </c>
      <c r="S33">
        <f>_xlfn.XLOOKUP(Opportunities[[#This Row],[Stage]],stage[Stage Name],stage[Index],"")</f>
        <v>2</v>
      </c>
      <c r="T33" t="str">
        <f>_xlfn.XLOOKUP(Opportunities[[#This Row],[StageNumber]],stage[Index],stage[Display])</f>
        <v>➁ - Nurturing</v>
      </c>
      <c r="U33">
        <f>Opportunities[[#This Row],[Amount]]*_xlfn.XLOOKUP(Opportunities[[#This Row],[Probability]],prob[Win Probability],prob[Value])</f>
        <v>139092.20000000001</v>
      </c>
      <c r="V33" t="str" cm="1">
        <f t="array" ref="V33">_xlfn.SWITCH(Opportunities[[#This Row],[Status]],"At Risk","⚠","Active","✓","⮾")</f>
        <v>✓</v>
      </c>
      <c r="W33" t="str">
        <f>_xlfn.XLOOKUP(Opportunities[[#This Row],[CustomerId]],Customers[Id],Customers[Customer Name])</f>
        <v>Waste Management Co</v>
      </c>
      <c r="X33" t="str">
        <f>_xlfn.XLOOKUP(Opportunities[[#This Row],[CustomerId]],Customers[Id],Customers[CustomerRecordUrl])</f>
        <v>https://cleansheet5.sharepoint.com/sites/SalesFunnel//Lists/auto12Customers/DispForm.aspx?ID=29</v>
      </c>
      <c r="Y33">
        <f>_xlfn.XLOOKUP(Opportunities[[#This Row],[ID]],View[ID],View[Visible])</f>
        <v>1</v>
      </c>
      <c r="Z33" t="str">
        <f>Opportunities[[#This Row],[status symbol]]&amp;" "&amp; Opportunities[[#This Row],[Customer Name]] &amp;CHAR(10)&amp;"("&amp;Opportunities[[#This Row],[OpportunityName]] &amp; ")"&amp;CHAR(10)&amp;" $"&amp;TEXT(Opportunities[[#This Row],[Amount]]/1000000,"#,0.0")&amp;"m • "&amp; Opportunities[[#This Row],[Stage]]&amp; " • Owner: " &amp; Opportunities[[#This Row],[OpportunityOwner]]</f>
        <v>✓ Waste Management Co
(Environmental Monitoring Solution)
 $0.7m • Nurturing • Owner: Jennifer PM</v>
      </c>
      <c r="AA33" t="str">
        <f>IF(calendarType="FQ","FY"&amp;RIGHT(TEXT(IF(MONTH(Opportunities[[#This Row],[Close]])&gt;MONTH(fqStart),YEAR(Opportunities[[#This Row],[Close]])+1,IF(MONTH(Opportunities[[#This Row],[Close]])&lt;MONTH(fqStart),YEAR(Opportunities[[#This Row],[Close]]),IF(DAY(Opportunities[[#This Row],[Close]])&gt;=DAY(fqStart),YEAR(Opportunities[[#This Row],[Close]])+1,YEAR(Opportunities[[#This Row],[Close]])))),"0"),2)&amp;"-Q"&amp;ROUNDUP((MONTH(Opportunities[[#This Row],[Close]])-MONTH(fqStart)+IF(DAY(Opportunities[[#This Row],[Close]])&lt;DAY(fqStart),0,1)+IF(MONTH(Opportunities[[#This Row],[Close]])&lt;MONTH(fqStart),12,0))/3,0),_xlfn.XLOOKUP(Opportunities[[#This Row],[ID]],Opportunities[ID],Opportunities[CQ]))</f>
        <v>FY26-Q1</v>
      </c>
      <c r="AC33" t="str" cm="1">
        <f t="array" ref="AC33">_xlfn.SWITCH(Opportunities[[#This Row],[Probability]],"High","↖","Medium","←","Low","↙")&amp;" " &amp;Opportunities[[#This Row],[Probability]]</f>
        <v>↙ Low</v>
      </c>
      <c r="AD33" t="b">
        <f>Opportunities[[#This Row],[WinProbDisplay]]="↖ High"</f>
        <v>0</v>
      </c>
    </row>
    <row r="34" spans="1:30" x14ac:dyDescent="0.25">
      <c r="A34">
        <v>33</v>
      </c>
      <c r="B34" t="s">
        <v>181</v>
      </c>
      <c r="C34" t="s">
        <v>19</v>
      </c>
      <c r="D34" t="s">
        <v>22</v>
      </c>
      <c r="E34">
        <v>1958261</v>
      </c>
      <c r="F34" t="s">
        <v>82</v>
      </c>
      <c r="G34" s="36">
        <v>45954</v>
      </c>
      <c r="H34" s="36">
        <v>45888</v>
      </c>
      <c r="I34" t="s">
        <v>153</v>
      </c>
      <c r="J34">
        <v>3</v>
      </c>
      <c r="L34" t="s">
        <v>104</v>
      </c>
      <c r="M34" t="s">
        <v>803</v>
      </c>
      <c r="N34" cm="1">
        <f t="array" aca="1" ref="N34" ca="1">_xlfn.SWITCH(Opportunities[[#This Row],[RecurringRevenueModel]],"Annually",RANDBETWEEN(2,8),"Semi-Annually",RANDBETWEEN(6,12),"Quarterly",RANDBETWEEN(8,20),"Monthly",RANDBETWEEN(24,60),"One-time",1,"Usage-based",RANDBETWEEN(24,60))</f>
        <v>6</v>
      </c>
      <c r="O34" s="36">
        <v>46013</v>
      </c>
      <c r="P34" t="str">
        <f>" FY"&amp;RIGHT(IF(MONTH(Opportunities[[#This Row],[Close]])&gt;=7,YEAR(Opportunities[[#This Row],[Close]])+1,YEAR(Opportunities[[#This Row],[Close]])),2)&amp;"-Q"&amp;IF(MONTH(Opportunities[[#This Row],[Close]])&gt;=7,CEILING((MONTH(Opportunities[[#This Row],[Close]])-6)/3,1),CEILING((MONTH(Opportunities[[#This Row],[Close]])+6)/3,1))</f>
        <v xml:space="preserve"> FY26-Q2</v>
      </c>
      <c r="Q34" t="str">
        <f>"CY"&amp;RIGHT(YEAR(Opportunities[[#This Row],[Close]]),2)&amp;"-Q"&amp;ROUNDUP(MONTH(Opportunities[[#This Row],[Close]])/3, 0)</f>
        <v>CY25-Q4</v>
      </c>
      <c r="R34" t="str">
        <f>siteUrl&amp;"/Lists/"&amp;oppList&amp;"/DispForm.aspx?ID="&amp;Opportunities[[#This Row],[ID]]</f>
        <v>https://cleansheet5.sharepoint.com/sites/SalesFunnel//Lists/auto12Opportunities/DispForm.aspx?ID=33</v>
      </c>
      <c r="S34">
        <f>_xlfn.XLOOKUP(Opportunities[[#This Row],[Stage]],stage[Stage Name],stage[Index],"")</f>
        <v>3</v>
      </c>
      <c r="T34" t="str">
        <f>_xlfn.XLOOKUP(Opportunities[[#This Row],[StageNumber]],stage[Index],stage[Display])</f>
        <v>➂ - Proposal</v>
      </c>
      <c r="U34">
        <f>Opportunities[[#This Row],[Amount]]*_xlfn.XLOOKUP(Opportunities[[#This Row],[Probability]],prob[Win Probability],prob[Value])</f>
        <v>783304.4</v>
      </c>
      <c r="V34" t="str" cm="1">
        <f t="array" ref="V34">_xlfn.SWITCH(Opportunities[[#This Row],[Status]],"At Risk","⚠","Active","✓","⮾")</f>
        <v>✓</v>
      </c>
      <c r="W34" t="str">
        <f>_xlfn.XLOOKUP(Opportunities[[#This Row],[CustomerId]],Customers[Id],Customers[Customer Name])</f>
        <v>Tech Solutions Inc</v>
      </c>
      <c r="X34" t="str">
        <f>_xlfn.XLOOKUP(Opportunities[[#This Row],[CustomerId]],Customers[Id],Customers[CustomerRecordUrl])</f>
        <v>https://cleansheet5.sharepoint.com/sites/SalesFunnel//Lists/auto12Customers/DispForm.aspx?ID=3</v>
      </c>
      <c r="Y34">
        <f>_xlfn.XLOOKUP(Opportunities[[#This Row],[ID]],View[ID],View[Visible])</f>
        <v>1</v>
      </c>
      <c r="Z34" t="str">
        <f>Opportunities[[#This Row],[status symbol]]&amp;" "&amp; Opportunities[[#This Row],[Customer Name]] &amp;CHAR(10)&amp;"("&amp;Opportunities[[#This Row],[OpportunityName]] &amp; ")"&amp;CHAR(10)&amp;" $"&amp;TEXT(Opportunities[[#This Row],[Amount]]/1000000,"#,0.0")&amp;"m • "&amp; Opportunities[[#This Row],[Stage]]&amp; " • Owner: " &amp; Opportunities[[#This Row],[OpportunityOwner]]</f>
        <v>✓ Tech Solutions Inc
(Safety Management System)
 $2.0m • Proposal • Owner: Dr. Tech Advisor</v>
      </c>
      <c r="AA34" t="str">
        <f>IF(calendarType="FQ","FY"&amp;RIGHT(TEXT(IF(MONTH(Opportunities[[#This Row],[Close]])&gt;MONTH(fqStart),YEAR(Opportunities[[#This Row],[Close]])+1,IF(MONTH(Opportunities[[#This Row],[Close]])&lt;MONTH(fqStart),YEAR(Opportunities[[#This Row],[Close]]),IF(DAY(Opportunities[[#This Row],[Close]])&gt;=DAY(fqStart),YEAR(Opportunities[[#This Row],[Close]])+1,YEAR(Opportunities[[#This Row],[Close]])))),"0"),2)&amp;"-Q"&amp;ROUNDUP((MONTH(Opportunities[[#This Row],[Close]])-MONTH(fqStart)+IF(DAY(Opportunities[[#This Row],[Close]])&lt;DAY(fqStart),0,1)+IF(MONTH(Opportunities[[#This Row],[Close]])&lt;MONTH(fqStart),12,0))/3,0),_xlfn.XLOOKUP(Opportunities[[#This Row],[ID]],Opportunities[ID],Opportunities[CQ]))</f>
        <v>FY26-Q2</v>
      </c>
      <c r="AC34" t="str" cm="1">
        <f t="array" ref="AC34">_xlfn.SWITCH(Opportunities[[#This Row],[Probability]],"High","↖","Medium","←","Low","↙")&amp;" " &amp;Opportunities[[#This Row],[Probability]]</f>
        <v>← Medium</v>
      </c>
      <c r="AD34" t="b">
        <f>Opportunities[[#This Row],[WinProbDisplay]]="↖ High"</f>
        <v>0</v>
      </c>
    </row>
    <row r="35" spans="1:30" x14ac:dyDescent="0.25">
      <c r="A35">
        <v>34</v>
      </c>
      <c r="B35" t="s">
        <v>182</v>
      </c>
      <c r="C35" t="s">
        <v>19</v>
      </c>
      <c r="D35" t="s">
        <v>23</v>
      </c>
      <c r="E35">
        <v>800336</v>
      </c>
      <c r="F35" t="s">
        <v>83</v>
      </c>
      <c r="G35" s="36">
        <v>46192</v>
      </c>
      <c r="H35" s="36">
        <v>45923</v>
      </c>
      <c r="I35" t="s">
        <v>148</v>
      </c>
      <c r="J35">
        <v>25</v>
      </c>
      <c r="L35" t="s">
        <v>150</v>
      </c>
      <c r="M35" t="s">
        <v>805</v>
      </c>
      <c r="N35" cm="1">
        <f t="array" aca="1" ref="N35" ca="1">_xlfn.SWITCH(Opportunities[[#This Row],[RecurringRevenueModel]],"Annually",RANDBETWEEN(2,8),"Semi-Annually",RANDBETWEEN(6,12),"Quarterly",RANDBETWEEN(8,20),"Monthly",RANDBETWEEN(24,60),"One-time",1,"Usage-based",RANDBETWEEN(24,60))</f>
        <v>1</v>
      </c>
      <c r="O35" s="36">
        <v>46266</v>
      </c>
      <c r="P35" t="str">
        <f>" FY"&amp;RIGHT(IF(MONTH(Opportunities[[#This Row],[Close]])&gt;=7,YEAR(Opportunities[[#This Row],[Close]])+1,YEAR(Opportunities[[#This Row],[Close]])),2)&amp;"-Q"&amp;IF(MONTH(Opportunities[[#This Row],[Close]])&gt;=7,CEILING((MONTH(Opportunities[[#This Row],[Close]])-6)/3,1),CEILING((MONTH(Opportunities[[#This Row],[Close]])+6)/3,1))</f>
        <v xml:space="preserve"> FY26-Q4</v>
      </c>
      <c r="Q35" t="str">
        <f>"CY"&amp;RIGHT(YEAR(Opportunities[[#This Row],[Close]]),2)&amp;"-Q"&amp;ROUNDUP(MONTH(Opportunities[[#This Row],[Close]])/3, 0)</f>
        <v>CY26-Q2</v>
      </c>
      <c r="R35" t="str">
        <f>siteUrl&amp;"/Lists/"&amp;oppList&amp;"/DispForm.aspx?ID="&amp;Opportunities[[#This Row],[ID]]</f>
        <v>https://cleansheet5.sharepoint.com/sites/SalesFunnel//Lists/auto12Opportunities/DispForm.aspx?ID=34</v>
      </c>
      <c r="S35">
        <f>_xlfn.XLOOKUP(Opportunities[[#This Row],[Stage]],stage[Stage Name],stage[Index],"")</f>
        <v>2</v>
      </c>
      <c r="T35" t="str">
        <f>_xlfn.XLOOKUP(Opportunities[[#This Row],[StageNumber]],stage[Index],stage[Display])</f>
        <v>➁ - Nurturing</v>
      </c>
      <c r="U35">
        <f>Opportunities[[#This Row],[Amount]]*_xlfn.XLOOKUP(Opportunities[[#This Row],[Probability]],prob[Win Probability],prob[Value])</f>
        <v>720302.4</v>
      </c>
      <c r="V35" t="str" cm="1">
        <f t="array" ref="V35">_xlfn.SWITCH(Opportunities[[#This Row],[Status]],"At Risk","⚠","Active","✓","⮾")</f>
        <v>✓</v>
      </c>
      <c r="W35" t="str">
        <f>_xlfn.XLOOKUP(Opportunities[[#This Row],[CustomerId]],Customers[Id],Customers[Customer Name])</f>
        <v>Chemical Processing</v>
      </c>
      <c r="X35" t="str">
        <f>_xlfn.XLOOKUP(Opportunities[[#This Row],[CustomerId]],Customers[Id],Customers[CustomerRecordUrl])</f>
        <v>https://cleansheet5.sharepoint.com/sites/SalesFunnel//Lists/auto12Customers/DispForm.aspx?ID=25</v>
      </c>
      <c r="Y35">
        <f>_xlfn.XLOOKUP(Opportunities[[#This Row],[ID]],View[ID],View[Visible])</f>
        <v>1</v>
      </c>
      <c r="Z35" t="str">
        <f>Opportunities[[#This Row],[status symbol]]&amp;" "&amp; Opportunities[[#This Row],[Customer Name]] &amp;CHAR(10)&amp;"("&amp;Opportunities[[#This Row],[OpportunityName]] &amp; ")"&amp;CHAR(10)&amp;" $"&amp;TEXT(Opportunities[[#This Row],[Amount]]/1000000,"#,0.0")&amp;"m • "&amp; Opportunities[[#This Row],[Stage]]&amp; " • Owner: " &amp; Opportunities[[#This Row],[OpportunityOwner]]</f>
        <v>✓ Chemical Processing
(Performance Analytics Dashboard)
 $0.8m • Nurturing • Owner: Maria Coordinator</v>
      </c>
      <c r="AA35" t="str">
        <f>IF(calendarType="FQ","FY"&amp;RIGHT(TEXT(IF(MONTH(Opportunities[[#This Row],[Close]])&gt;MONTH(fqStart),YEAR(Opportunities[[#This Row],[Close]])+1,IF(MONTH(Opportunities[[#This Row],[Close]])&lt;MONTH(fqStart),YEAR(Opportunities[[#This Row],[Close]]),IF(DAY(Opportunities[[#This Row],[Close]])&gt;=DAY(fqStart),YEAR(Opportunities[[#This Row],[Close]])+1,YEAR(Opportunities[[#This Row],[Close]])))),"0"),2)&amp;"-Q"&amp;ROUNDUP((MONTH(Opportunities[[#This Row],[Close]])-MONTH(fqStart)+IF(DAY(Opportunities[[#This Row],[Close]])&lt;DAY(fqStart),0,1)+IF(MONTH(Opportunities[[#This Row],[Close]])&lt;MONTH(fqStart),12,0))/3,0),_xlfn.XLOOKUP(Opportunities[[#This Row],[ID]],Opportunities[ID],Opportunities[CQ]))</f>
        <v>FY26-Q4</v>
      </c>
      <c r="AC35" t="str" cm="1">
        <f t="array" ref="AC35">_xlfn.SWITCH(Opportunities[[#This Row],[Probability]],"High","↖","Medium","←","Low","↙")&amp;" " &amp;Opportunities[[#This Row],[Probability]]</f>
        <v>↖ High</v>
      </c>
      <c r="AD35" t="b">
        <f>Opportunities[[#This Row],[WinProbDisplay]]="↖ High"</f>
        <v>1</v>
      </c>
    </row>
    <row r="36" spans="1:30" x14ac:dyDescent="0.25">
      <c r="A36">
        <v>35</v>
      </c>
      <c r="B36" t="s">
        <v>183</v>
      </c>
      <c r="C36" t="s">
        <v>19</v>
      </c>
      <c r="D36" t="s">
        <v>23</v>
      </c>
      <c r="E36">
        <v>1834664</v>
      </c>
      <c r="F36" t="s">
        <v>84</v>
      </c>
      <c r="G36" s="36">
        <v>46392</v>
      </c>
      <c r="H36" s="36">
        <v>45896</v>
      </c>
      <c r="I36" t="s">
        <v>102</v>
      </c>
      <c r="J36">
        <v>9</v>
      </c>
      <c r="L36" t="s">
        <v>393</v>
      </c>
      <c r="M36" t="s">
        <v>805</v>
      </c>
      <c r="N36" cm="1">
        <f t="array" aca="1" ref="N36" ca="1">_xlfn.SWITCH(Opportunities[[#This Row],[RecurringRevenueModel]],"Annually",RANDBETWEEN(2,8),"Semi-Annually",RANDBETWEEN(6,12),"Quarterly",RANDBETWEEN(8,20),"Monthly",RANDBETWEEN(24,60),"One-time",1,"Usage-based",RANDBETWEEN(24,60))</f>
        <v>1</v>
      </c>
      <c r="O36" s="36">
        <v>46412</v>
      </c>
      <c r="P36" t="str">
        <f>" FY"&amp;RIGHT(IF(MONTH(Opportunities[[#This Row],[Close]])&gt;=7,YEAR(Opportunities[[#This Row],[Close]])+1,YEAR(Opportunities[[#This Row],[Close]])),2)&amp;"-Q"&amp;IF(MONTH(Opportunities[[#This Row],[Close]])&gt;=7,CEILING((MONTH(Opportunities[[#This Row],[Close]])-6)/3,1),CEILING((MONTH(Opportunities[[#This Row],[Close]])+6)/3,1))</f>
        <v xml:space="preserve"> FY27-Q3</v>
      </c>
      <c r="Q36" t="str">
        <f>"CY"&amp;RIGHT(YEAR(Opportunities[[#This Row],[Close]]),2)&amp;"-Q"&amp;ROUNDUP(MONTH(Opportunities[[#This Row],[Close]])/3, 0)</f>
        <v>CY27-Q1</v>
      </c>
      <c r="R36" t="str">
        <f>siteUrl&amp;"/Lists/"&amp;oppList&amp;"/DispForm.aspx?ID="&amp;Opportunities[[#This Row],[ID]]</f>
        <v>https://cleansheet5.sharepoint.com/sites/SalesFunnel//Lists/auto12Opportunities/DispForm.aspx?ID=35</v>
      </c>
      <c r="S36">
        <f>_xlfn.XLOOKUP(Opportunities[[#This Row],[Stage]],stage[Stage Name],stage[Index],"")</f>
        <v>2</v>
      </c>
      <c r="T36" t="str">
        <f>_xlfn.XLOOKUP(Opportunities[[#This Row],[StageNumber]],stage[Index],stage[Display])</f>
        <v>➁ - Nurturing</v>
      </c>
      <c r="U36">
        <f>Opportunities[[#This Row],[Amount]]*_xlfn.XLOOKUP(Opportunities[[#This Row],[Probability]],prob[Win Probability],prob[Value])</f>
        <v>366932.80000000005</v>
      </c>
      <c r="V36" t="str" cm="1">
        <f t="array" ref="V36">_xlfn.SWITCH(Opportunities[[#This Row],[Status]],"At Risk","⚠","Active","✓","⮾")</f>
        <v>✓</v>
      </c>
      <c r="W36" t="str">
        <f>_xlfn.XLOOKUP(Opportunities[[#This Row],[CustomerId]],Customers[Id],Customers[Customer Name])</f>
        <v>Construction Dynamics</v>
      </c>
      <c r="X36" t="str">
        <f>_xlfn.XLOOKUP(Opportunities[[#This Row],[CustomerId]],Customers[Id],Customers[CustomerRecordUrl])</f>
        <v>https://cleansheet5.sharepoint.com/sites/SalesFunnel//Lists/auto12Customers/DispForm.aspx?ID=9</v>
      </c>
      <c r="Y36">
        <f>_xlfn.XLOOKUP(Opportunities[[#This Row],[ID]],View[ID],View[Visible])</f>
        <v>1</v>
      </c>
      <c r="Z36" t="str">
        <f>Opportunities[[#This Row],[status symbol]]&amp;" "&amp; Opportunities[[#This Row],[Customer Name]] &amp;CHAR(10)&amp;"("&amp;Opportunities[[#This Row],[OpportunityName]] &amp; ")"&amp;CHAR(10)&amp;" $"&amp;TEXT(Opportunities[[#This Row],[Amount]]/1000000,"#,0.0")&amp;"m • "&amp; Opportunities[[#This Row],[Stage]]&amp; " • Owner: " &amp; Opportunities[[#This Row],[OpportunityOwner]]</f>
        <v>✓ Construction Dynamics
(Workflow Automation Tool)
 $1.8m • Nurturing • Owner: Amanda Sales</v>
      </c>
      <c r="AA36" t="str">
        <f>IF(calendarType="FQ","FY"&amp;RIGHT(TEXT(IF(MONTH(Opportunities[[#This Row],[Close]])&gt;MONTH(fqStart),YEAR(Opportunities[[#This Row],[Close]])+1,IF(MONTH(Opportunities[[#This Row],[Close]])&lt;MONTH(fqStart),YEAR(Opportunities[[#This Row],[Close]]),IF(DAY(Opportunities[[#This Row],[Close]])&gt;=DAY(fqStart),YEAR(Opportunities[[#This Row],[Close]])+1,YEAR(Opportunities[[#This Row],[Close]])))),"0"),2)&amp;"-Q"&amp;ROUNDUP((MONTH(Opportunities[[#This Row],[Close]])-MONTH(fqStart)+IF(DAY(Opportunities[[#This Row],[Close]])&lt;DAY(fqStart),0,1)+IF(MONTH(Opportunities[[#This Row],[Close]])&lt;MONTH(fqStart),12,0))/3,0),_xlfn.XLOOKUP(Opportunities[[#This Row],[ID]],Opportunities[ID],Opportunities[CQ]))</f>
        <v>FY27-Q3</v>
      </c>
      <c r="AC36" t="str" cm="1">
        <f t="array" ref="AC36">_xlfn.SWITCH(Opportunities[[#This Row],[Probability]],"High","↖","Medium","←","Low","↙")&amp;" " &amp;Opportunities[[#This Row],[Probability]]</f>
        <v>↙ Low</v>
      </c>
      <c r="AD36" t="b">
        <f>Opportunities[[#This Row],[WinProbDisplay]]="↖ High"</f>
        <v>0</v>
      </c>
    </row>
    <row r="37" spans="1:30" x14ac:dyDescent="0.25">
      <c r="A37">
        <v>36</v>
      </c>
      <c r="B37" t="s">
        <v>184</v>
      </c>
      <c r="C37" t="s">
        <v>19</v>
      </c>
      <c r="D37" t="s">
        <v>21</v>
      </c>
      <c r="E37">
        <v>1199227</v>
      </c>
      <c r="F37" t="s">
        <v>82</v>
      </c>
      <c r="G37" s="36">
        <v>46367</v>
      </c>
      <c r="H37" s="36">
        <v>45929</v>
      </c>
      <c r="I37" t="s">
        <v>159</v>
      </c>
      <c r="J37">
        <v>1</v>
      </c>
      <c r="L37" t="s">
        <v>393</v>
      </c>
      <c r="M37" t="s">
        <v>808</v>
      </c>
      <c r="N37" cm="1">
        <f t="array" aca="1" ref="N37" ca="1">_xlfn.SWITCH(Opportunities[[#This Row],[RecurringRevenueModel]],"Annually",RANDBETWEEN(2,8),"Semi-Annually",RANDBETWEEN(6,12),"Quarterly",RANDBETWEEN(8,20),"Monthly",RANDBETWEEN(24,60),"One-time",1,"Usage-based",RANDBETWEEN(24,60))</f>
        <v>37</v>
      </c>
      <c r="O37" s="36">
        <v>46452</v>
      </c>
      <c r="P37" t="str">
        <f>" FY"&amp;RIGHT(IF(MONTH(Opportunities[[#This Row],[Close]])&gt;=7,YEAR(Opportunities[[#This Row],[Close]])+1,YEAR(Opportunities[[#This Row],[Close]])),2)&amp;"-Q"&amp;IF(MONTH(Opportunities[[#This Row],[Close]])&gt;=7,CEILING((MONTH(Opportunities[[#This Row],[Close]])-6)/3,1),CEILING((MONTH(Opportunities[[#This Row],[Close]])+6)/3,1))</f>
        <v xml:space="preserve"> FY27-Q2</v>
      </c>
      <c r="Q37" t="str">
        <f>"CY"&amp;RIGHT(YEAR(Opportunities[[#This Row],[Close]]),2)&amp;"-Q"&amp;ROUNDUP(MONTH(Opportunities[[#This Row],[Close]])/3, 0)</f>
        <v>CY26-Q4</v>
      </c>
      <c r="R37" t="str">
        <f>siteUrl&amp;"/Lists/"&amp;oppList&amp;"/DispForm.aspx?ID="&amp;Opportunities[[#This Row],[ID]]</f>
        <v>https://cleansheet5.sharepoint.com/sites/SalesFunnel//Lists/auto12Opportunities/DispForm.aspx?ID=36</v>
      </c>
      <c r="S37">
        <f>_xlfn.XLOOKUP(Opportunities[[#This Row],[Stage]],stage[Stage Name],stage[Index],"")</f>
        <v>5</v>
      </c>
      <c r="T37" t="str">
        <f>_xlfn.XLOOKUP(Opportunities[[#This Row],[StageNumber]],stage[Index],stage[Display])</f>
        <v>➄ - Project Execution</v>
      </c>
      <c r="U37">
        <f>Opportunities[[#This Row],[Amount]]*_xlfn.XLOOKUP(Opportunities[[#This Row],[Probability]],prob[Win Probability],prob[Value])</f>
        <v>479690.80000000005</v>
      </c>
      <c r="V37" t="str" cm="1">
        <f t="array" ref="V37">_xlfn.SWITCH(Opportunities[[#This Row],[Status]],"At Risk","⚠","Active","✓","⮾")</f>
        <v>✓</v>
      </c>
      <c r="W37" t="str">
        <f>_xlfn.XLOOKUP(Opportunities[[#This Row],[CustomerId]],Customers[Id],Customers[Customer Name])</f>
        <v>ACME Corporation</v>
      </c>
      <c r="X37" t="str">
        <f>_xlfn.XLOOKUP(Opportunities[[#This Row],[CustomerId]],Customers[Id],Customers[CustomerRecordUrl])</f>
        <v>https://cleansheet5.sharepoint.com/sites/SalesFunnel//Lists/auto12Customers/DispForm.aspx?ID=1</v>
      </c>
      <c r="Y37">
        <f>_xlfn.XLOOKUP(Opportunities[[#This Row],[ID]],View[ID],View[Visible])</f>
        <v>1</v>
      </c>
      <c r="Z37" t="str">
        <f>Opportunities[[#This Row],[status symbol]]&amp;" "&amp; Opportunities[[#This Row],[Customer Name]] &amp;CHAR(10)&amp;"("&amp;Opportunities[[#This Row],[OpportunityName]] &amp; ")"&amp;CHAR(10)&amp;" $"&amp;TEXT(Opportunities[[#This Row],[Amount]]/1000000,"#,0.0")&amp;"m • "&amp; Opportunities[[#This Row],[Stage]]&amp; " • Owner: " &amp; Opportunities[[#This Row],[OpportunityOwner]]</f>
        <v>✓ ACME Corporation
(Integration Services Project)
 $1.2m • Project Execution • Owner: Amanda Sales</v>
      </c>
      <c r="AA37" t="str">
        <f>IF(calendarType="FQ","FY"&amp;RIGHT(TEXT(IF(MONTH(Opportunities[[#This Row],[Close]])&gt;MONTH(fqStart),YEAR(Opportunities[[#This Row],[Close]])+1,IF(MONTH(Opportunities[[#This Row],[Close]])&lt;MONTH(fqStart),YEAR(Opportunities[[#This Row],[Close]]),IF(DAY(Opportunities[[#This Row],[Close]])&gt;=DAY(fqStart),YEAR(Opportunities[[#This Row],[Close]])+1,YEAR(Opportunities[[#This Row],[Close]])))),"0"),2)&amp;"-Q"&amp;ROUNDUP((MONTH(Opportunities[[#This Row],[Close]])-MONTH(fqStart)+IF(DAY(Opportunities[[#This Row],[Close]])&lt;DAY(fqStart),0,1)+IF(MONTH(Opportunities[[#This Row],[Close]])&lt;MONTH(fqStart),12,0))/3,0),_xlfn.XLOOKUP(Opportunities[[#This Row],[ID]],Opportunities[ID],Opportunities[CQ]))</f>
        <v>FY27-Q2</v>
      </c>
      <c r="AC37" t="str" cm="1">
        <f t="array" ref="AC37">_xlfn.SWITCH(Opportunities[[#This Row],[Probability]],"High","↖","Medium","←","Low","↙")&amp;" " &amp;Opportunities[[#This Row],[Probability]]</f>
        <v>← Medium</v>
      </c>
      <c r="AD37" t="b">
        <f>Opportunities[[#This Row],[WinProbDisplay]]="↖ High"</f>
        <v>0</v>
      </c>
    </row>
    <row r="38" spans="1:30" x14ac:dyDescent="0.25">
      <c r="A38">
        <v>37</v>
      </c>
      <c r="B38" t="s">
        <v>185</v>
      </c>
      <c r="C38" t="s">
        <v>19</v>
      </c>
      <c r="D38" t="s">
        <v>24</v>
      </c>
      <c r="E38">
        <v>1236123</v>
      </c>
      <c r="F38" t="s">
        <v>82</v>
      </c>
      <c r="G38" s="36">
        <v>45943</v>
      </c>
      <c r="H38" s="36">
        <v>45891</v>
      </c>
      <c r="I38" t="s">
        <v>148</v>
      </c>
      <c r="J38">
        <v>20</v>
      </c>
      <c r="L38" t="s">
        <v>101</v>
      </c>
      <c r="M38" t="s">
        <v>806</v>
      </c>
      <c r="N38" cm="1">
        <f t="array" aca="1" ref="N38" ca="1">_xlfn.SWITCH(Opportunities[[#This Row],[RecurringRevenueModel]],"Annually",RANDBETWEEN(2,8),"Semi-Annually",RANDBETWEEN(6,12),"Quarterly",RANDBETWEEN(8,20),"Monthly",RANDBETWEEN(24,60),"One-time",1,"Usage-based",RANDBETWEEN(24,60))</f>
        <v>11</v>
      </c>
      <c r="O38" s="36">
        <v>45979</v>
      </c>
      <c r="P38" t="str">
        <f>" FY"&amp;RIGHT(IF(MONTH(Opportunities[[#This Row],[Close]])&gt;=7,YEAR(Opportunities[[#This Row],[Close]])+1,YEAR(Opportunities[[#This Row],[Close]])),2)&amp;"-Q"&amp;IF(MONTH(Opportunities[[#This Row],[Close]])&gt;=7,CEILING((MONTH(Opportunities[[#This Row],[Close]])-6)/3,1),CEILING((MONTH(Opportunities[[#This Row],[Close]])+6)/3,1))</f>
        <v xml:space="preserve"> FY26-Q2</v>
      </c>
      <c r="Q38" t="str">
        <f>"CY"&amp;RIGHT(YEAR(Opportunities[[#This Row],[Close]]),2)&amp;"-Q"&amp;ROUNDUP(MONTH(Opportunities[[#This Row],[Close]])/3, 0)</f>
        <v>CY25-Q4</v>
      </c>
      <c r="R38" t="str">
        <f>siteUrl&amp;"/Lists/"&amp;oppList&amp;"/DispForm.aspx?ID="&amp;Opportunities[[#This Row],[ID]]</f>
        <v>https://cleansheet5.sharepoint.com/sites/SalesFunnel//Lists/auto12Opportunities/DispForm.aspx?ID=37</v>
      </c>
      <c r="S38">
        <f>_xlfn.XLOOKUP(Opportunities[[#This Row],[Stage]],stage[Stage Name],stage[Index],"")</f>
        <v>6</v>
      </c>
      <c r="T38" t="str">
        <f>_xlfn.XLOOKUP(Opportunities[[#This Row],[StageNumber]],stage[Index],stage[Display])</f>
        <v>➅ - Closeout</v>
      </c>
      <c r="U38">
        <f>Opportunities[[#This Row],[Amount]]*_xlfn.XLOOKUP(Opportunities[[#This Row],[Probability]],prob[Win Probability],prob[Value])</f>
        <v>494449.2</v>
      </c>
      <c r="V38" t="str" cm="1">
        <f t="array" ref="V38">_xlfn.SWITCH(Opportunities[[#This Row],[Status]],"At Risk","⚠","Active","✓","⮾")</f>
        <v>✓</v>
      </c>
      <c r="W38" t="str">
        <f>_xlfn.XLOOKUP(Opportunities[[#This Row],[CustomerId]],Customers[Id],Customers[Customer Name])</f>
        <v>Automotive Parts Plus</v>
      </c>
      <c r="X38" t="str">
        <f>_xlfn.XLOOKUP(Opportunities[[#This Row],[CustomerId]],Customers[Id],Customers[CustomerRecordUrl])</f>
        <v>https://cleansheet5.sharepoint.com/sites/SalesFunnel//Lists/auto12Customers/DispForm.aspx?ID=20</v>
      </c>
      <c r="Y38">
        <f>_xlfn.XLOOKUP(Opportunities[[#This Row],[ID]],View[ID],View[Visible])</f>
        <v>1</v>
      </c>
      <c r="Z38" t="str">
        <f>Opportunities[[#This Row],[status symbol]]&amp;" "&amp; Opportunities[[#This Row],[Customer Name]] &amp;CHAR(10)&amp;"("&amp;Opportunities[[#This Row],[OpportunityName]] &amp; ")"&amp;CHAR(10)&amp;" $"&amp;TEXT(Opportunities[[#This Row],[Amount]]/1000000,"#,0.0")&amp;"m • "&amp; Opportunities[[#This Row],[Stage]]&amp; " • Owner: " &amp; Opportunities[[#This Row],[OpportunityOwner]]</f>
        <v>✓ Automotive Parts Plus
(Database Migration Project)
 $1.2m • Closeout • Owner: Lisa Engineer</v>
      </c>
      <c r="AA38" t="str">
        <f>IF(calendarType="FQ","FY"&amp;RIGHT(TEXT(IF(MONTH(Opportunities[[#This Row],[Close]])&gt;MONTH(fqStart),YEAR(Opportunities[[#This Row],[Close]])+1,IF(MONTH(Opportunities[[#This Row],[Close]])&lt;MONTH(fqStart),YEAR(Opportunities[[#This Row],[Close]]),IF(DAY(Opportunities[[#This Row],[Close]])&gt;=DAY(fqStart),YEAR(Opportunities[[#This Row],[Close]])+1,YEAR(Opportunities[[#This Row],[Close]])))),"0"),2)&amp;"-Q"&amp;ROUNDUP((MONTH(Opportunities[[#This Row],[Close]])-MONTH(fqStart)+IF(DAY(Opportunities[[#This Row],[Close]])&lt;DAY(fqStart),0,1)+IF(MONTH(Opportunities[[#This Row],[Close]])&lt;MONTH(fqStart),12,0))/3,0),_xlfn.XLOOKUP(Opportunities[[#This Row],[ID]],Opportunities[ID],Opportunities[CQ]))</f>
        <v>FY26-Q2</v>
      </c>
      <c r="AC38" t="str" cm="1">
        <f t="array" ref="AC38">_xlfn.SWITCH(Opportunities[[#This Row],[Probability]],"High","↖","Medium","←","Low","↙")&amp;" " &amp;Opportunities[[#This Row],[Probability]]</f>
        <v>← Medium</v>
      </c>
      <c r="AD38" t="b">
        <f>Opportunities[[#This Row],[WinProbDisplay]]="↖ High"</f>
        <v>0</v>
      </c>
    </row>
    <row r="39" spans="1:30" x14ac:dyDescent="0.25">
      <c r="A39">
        <v>38</v>
      </c>
      <c r="B39" t="s">
        <v>186</v>
      </c>
      <c r="C39" t="s">
        <v>19</v>
      </c>
      <c r="D39" t="s">
        <v>22</v>
      </c>
      <c r="E39">
        <v>914805</v>
      </c>
      <c r="F39" t="s">
        <v>82</v>
      </c>
      <c r="G39" s="36">
        <v>46339</v>
      </c>
      <c r="H39" s="36">
        <v>45934</v>
      </c>
      <c r="I39" t="s">
        <v>102</v>
      </c>
      <c r="J39">
        <v>21</v>
      </c>
      <c r="L39" t="s">
        <v>101</v>
      </c>
      <c r="M39" t="s">
        <v>806</v>
      </c>
      <c r="N39" cm="1">
        <f t="array" aca="1" ref="N39" ca="1">_xlfn.SWITCH(Opportunities[[#This Row],[RecurringRevenueModel]],"Annually",RANDBETWEEN(2,8),"Semi-Annually",RANDBETWEEN(6,12),"Quarterly",RANDBETWEEN(8,20),"Monthly",RANDBETWEEN(24,60),"One-time",1,"Usage-based",RANDBETWEEN(24,60))</f>
        <v>7</v>
      </c>
      <c r="O39" s="36">
        <v>46386</v>
      </c>
      <c r="P39" t="str">
        <f>" FY"&amp;RIGHT(IF(MONTH(Opportunities[[#This Row],[Close]])&gt;=7,YEAR(Opportunities[[#This Row],[Close]])+1,YEAR(Opportunities[[#This Row],[Close]])),2)&amp;"-Q"&amp;IF(MONTH(Opportunities[[#This Row],[Close]])&gt;=7,CEILING((MONTH(Opportunities[[#This Row],[Close]])-6)/3,1),CEILING((MONTH(Opportunities[[#This Row],[Close]])+6)/3,1))</f>
        <v xml:space="preserve"> FY27-Q2</v>
      </c>
      <c r="Q39" t="str">
        <f>"CY"&amp;RIGHT(YEAR(Opportunities[[#This Row],[Close]]),2)&amp;"-Q"&amp;ROUNDUP(MONTH(Opportunities[[#This Row],[Close]])/3, 0)</f>
        <v>CY26-Q4</v>
      </c>
      <c r="R39" t="str">
        <f>siteUrl&amp;"/Lists/"&amp;oppList&amp;"/DispForm.aspx?ID="&amp;Opportunities[[#This Row],[ID]]</f>
        <v>https://cleansheet5.sharepoint.com/sites/SalesFunnel//Lists/auto12Opportunities/DispForm.aspx?ID=38</v>
      </c>
      <c r="S39">
        <f>_xlfn.XLOOKUP(Opportunities[[#This Row],[Stage]],stage[Stage Name],stage[Index],"")</f>
        <v>3</v>
      </c>
      <c r="T39" t="str">
        <f>_xlfn.XLOOKUP(Opportunities[[#This Row],[StageNumber]],stage[Index],stage[Display])</f>
        <v>➂ - Proposal</v>
      </c>
      <c r="U39">
        <f>Opportunities[[#This Row],[Amount]]*_xlfn.XLOOKUP(Opportunities[[#This Row],[Probability]],prob[Win Probability],prob[Value])</f>
        <v>365922</v>
      </c>
      <c r="V39" t="str" cm="1">
        <f t="array" ref="V39">_xlfn.SWITCH(Opportunities[[#This Row],[Status]],"At Risk","⚠","Active","✓","⮾")</f>
        <v>✓</v>
      </c>
      <c r="W39" t="str">
        <f>_xlfn.XLOOKUP(Opportunities[[#This Row],[CustomerId]],Customers[Id],Customers[Customer Name])</f>
        <v>Textile Manufacturing</v>
      </c>
      <c r="X39" t="str">
        <f>_xlfn.XLOOKUP(Opportunities[[#This Row],[CustomerId]],Customers[Id],Customers[CustomerRecordUrl])</f>
        <v>https://cleansheet5.sharepoint.com/sites/SalesFunnel//Lists/auto12Customers/DispForm.aspx?ID=21</v>
      </c>
      <c r="Y39">
        <f>_xlfn.XLOOKUP(Opportunities[[#This Row],[ID]],View[ID],View[Visible])</f>
        <v>1</v>
      </c>
      <c r="Z39" t="str">
        <f>Opportunities[[#This Row],[status symbol]]&amp;" "&amp; Opportunities[[#This Row],[Customer Name]] &amp;CHAR(10)&amp;"("&amp;Opportunities[[#This Row],[OpportunityName]] &amp; ")"&amp;CHAR(10)&amp;" $"&amp;TEXT(Opportunities[[#This Row],[Amount]]/1000000,"#,0.0")&amp;"m • "&amp; Opportunities[[#This Row],[Stage]]&amp; " • Owner: " &amp; Opportunities[[#This Row],[OpportunityOwner]]</f>
        <v>✓ Textile Manufacturing
(Legacy System Modernization)
 $0.9m • Proposal • Owner: Lisa Engineer</v>
      </c>
      <c r="AA39" t="str">
        <f>IF(calendarType="FQ","FY"&amp;RIGHT(TEXT(IF(MONTH(Opportunities[[#This Row],[Close]])&gt;MONTH(fqStart),YEAR(Opportunities[[#This Row],[Close]])+1,IF(MONTH(Opportunities[[#This Row],[Close]])&lt;MONTH(fqStart),YEAR(Opportunities[[#This Row],[Close]]),IF(DAY(Opportunities[[#This Row],[Close]])&gt;=DAY(fqStart),YEAR(Opportunities[[#This Row],[Close]])+1,YEAR(Opportunities[[#This Row],[Close]])))),"0"),2)&amp;"-Q"&amp;ROUNDUP((MONTH(Opportunities[[#This Row],[Close]])-MONTH(fqStart)+IF(DAY(Opportunities[[#This Row],[Close]])&lt;DAY(fqStart),0,1)+IF(MONTH(Opportunities[[#This Row],[Close]])&lt;MONTH(fqStart),12,0))/3,0),_xlfn.XLOOKUP(Opportunities[[#This Row],[ID]],Opportunities[ID],Opportunities[CQ]))</f>
        <v>FY27-Q2</v>
      </c>
      <c r="AC39" t="str" cm="1">
        <f t="array" ref="AC39">_xlfn.SWITCH(Opportunities[[#This Row],[Probability]],"High","↖","Medium","←","Low","↙")&amp;" " &amp;Opportunities[[#This Row],[Probability]]</f>
        <v>← Medium</v>
      </c>
      <c r="AD39" t="b">
        <f>Opportunities[[#This Row],[WinProbDisplay]]="↖ High"</f>
        <v>0</v>
      </c>
    </row>
    <row r="40" spans="1:30" x14ac:dyDescent="0.25">
      <c r="A40">
        <v>39</v>
      </c>
      <c r="B40" t="s">
        <v>187</v>
      </c>
      <c r="C40" t="s">
        <v>19</v>
      </c>
      <c r="D40" t="s">
        <v>21</v>
      </c>
      <c r="E40">
        <v>2176632</v>
      </c>
      <c r="F40" t="s">
        <v>82</v>
      </c>
      <c r="G40" s="36">
        <v>46253</v>
      </c>
      <c r="H40" s="36">
        <v>45908</v>
      </c>
      <c r="I40" t="s">
        <v>102</v>
      </c>
      <c r="J40">
        <v>3</v>
      </c>
      <c r="L40" t="s">
        <v>145</v>
      </c>
      <c r="M40" t="s">
        <v>808</v>
      </c>
      <c r="N40" cm="1">
        <f t="array" aca="1" ref="N40" ca="1">_xlfn.SWITCH(Opportunities[[#This Row],[RecurringRevenueModel]],"Annually",RANDBETWEEN(2,8),"Semi-Annually",RANDBETWEEN(6,12),"Quarterly",RANDBETWEEN(8,20),"Monthly",RANDBETWEEN(24,60),"One-time",1,"Usage-based",RANDBETWEEN(24,60))</f>
        <v>46</v>
      </c>
      <c r="O40" s="36">
        <v>46268</v>
      </c>
      <c r="P40" t="str">
        <f>" FY"&amp;RIGHT(IF(MONTH(Opportunities[[#This Row],[Close]])&gt;=7,YEAR(Opportunities[[#This Row],[Close]])+1,YEAR(Opportunities[[#This Row],[Close]])),2)&amp;"-Q"&amp;IF(MONTH(Opportunities[[#This Row],[Close]])&gt;=7,CEILING((MONTH(Opportunities[[#This Row],[Close]])-6)/3,1),CEILING((MONTH(Opportunities[[#This Row],[Close]])+6)/3,1))</f>
        <v xml:space="preserve"> FY27-Q1</v>
      </c>
      <c r="Q40" t="str">
        <f>"CY"&amp;RIGHT(YEAR(Opportunities[[#This Row],[Close]]),2)&amp;"-Q"&amp;ROUNDUP(MONTH(Opportunities[[#This Row],[Close]])/3, 0)</f>
        <v>CY26-Q3</v>
      </c>
      <c r="R40" t="str">
        <f>siteUrl&amp;"/Lists/"&amp;oppList&amp;"/DispForm.aspx?ID="&amp;Opportunities[[#This Row],[ID]]</f>
        <v>https://cleansheet5.sharepoint.com/sites/SalesFunnel//Lists/auto12Opportunities/DispForm.aspx?ID=39</v>
      </c>
      <c r="S40">
        <f>_xlfn.XLOOKUP(Opportunities[[#This Row],[Stage]],stage[Stage Name],stage[Index],"")</f>
        <v>5</v>
      </c>
      <c r="T40" t="str">
        <f>_xlfn.XLOOKUP(Opportunities[[#This Row],[StageNumber]],stage[Index],stage[Display])</f>
        <v>➄ - Project Execution</v>
      </c>
      <c r="U40">
        <f>Opportunities[[#This Row],[Amount]]*_xlfn.XLOOKUP(Opportunities[[#This Row],[Probability]],prob[Win Probability],prob[Value])</f>
        <v>870652.8</v>
      </c>
      <c r="V40" t="str" cm="1">
        <f t="array" ref="V40">_xlfn.SWITCH(Opportunities[[#This Row],[Status]],"At Risk","⚠","Active","✓","⮾")</f>
        <v>✓</v>
      </c>
      <c r="W40" t="str">
        <f>_xlfn.XLOOKUP(Opportunities[[#This Row],[CustomerId]],Customers[Id],Customers[Customer Name])</f>
        <v>Tech Solutions Inc</v>
      </c>
      <c r="X40" t="str">
        <f>_xlfn.XLOOKUP(Opportunities[[#This Row],[CustomerId]],Customers[Id],Customers[CustomerRecordUrl])</f>
        <v>https://cleansheet5.sharepoint.com/sites/SalesFunnel//Lists/auto12Customers/DispForm.aspx?ID=3</v>
      </c>
      <c r="Y40">
        <f>_xlfn.XLOOKUP(Opportunities[[#This Row],[ID]],View[ID],View[Visible])</f>
        <v>1</v>
      </c>
      <c r="Z40" t="str">
        <f>Opportunities[[#This Row],[status symbol]]&amp;" "&amp; Opportunities[[#This Row],[Customer Name]] &amp;CHAR(10)&amp;"("&amp;Opportunities[[#This Row],[OpportunityName]] &amp; ")"&amp;CHAR(10)&amp;" $"&amp;TEXT(Opportunities[[#This Row],[Amount]]/1000000,"#,0.0")&amp;"m • "&amp; Opportunities[[#This Row],[Stage]]&amp; " • Owner: " &amp; Opportunities[[#This Row],[OpportunityOwner]]</f>
        <v>✓ Tech Solutions Inc
(API Development Project)
 $2.2m • Project Execution • Owner: Jennifer PM</v>
      </c>
      <c r="AA40" t="str">
        <f>IF(calendarType="FQ","FY"&amp;RIGHT(TEXT(IF(MONTH(Opportunities[[#This Row],[Close]])&gt;MONTH(fqStart),YEAR(Opportunities[[#This Row],[Close]])+1,IF(MONTH(Opportunities[[#This Row],[Close]])&lt;MONTH(fqStart),YEAR(Opportunities[[#This Row],[Close]]),IF(DAY(Opportunities[[#This Row],[Close]])&gt;=DAY(fqStart),YEAR(Opportunities[[#This Row],[Close]])+1,YEAR(Opportunities[[#This Row],[Close]])))),"0"),2)&amp;"-Q"&amp;ROUNDUP((MONTH(Opportunities[[#This Row],[Close]])-MONTH(fqStart)+IF(DAY(Opportunities[[#This Row],[Close]])&lt;DAY(fqStart),0,1)+IF(MONTH(Opportunities[[#This Row],[Close]])&lt;MONTH(fqStart),12,0))/3,0),_xlfn.XLOOKUP(Opportunities[[#This Row],[ID]],Opportunities[ID],Opportunities[CQ]))</f>
        <v>FY27-Q1</v>
      </c>
      <c r="AC40" t="str" cm="1">
        <f t="array" ref="AC40">_xlfn.SWITCH(Opportunities[[#This Row],[Probability]],"High","↖","Medium","←","Low","↙")&amp;" " &amp;Opportunities[[#This Row],[Probability]]</f>
        <v>← Medium</v>
      </c>
      <c r="AD40" t="b">
        <f>Opportunities[[#This Row],[WinProbDisplay]]="↖ High"</f>
        <v>0</v>
      </c>
    </row>
    <row r="41" spans="1:30" x14ac:dyDescent="0.25">
      <c r="A41">
        <v>40</v>
      </c>
      <c r="B41" t="s">
        <v>188</v>
      </c>
      <c r="C41" t="s">
        <v>19</v>
      </c>
      <c r="D41" t="s">
        <v>22</v>
      </c>
      <c r="E41">
        <v>481926</v>
      </c>
      <c r="F41" t="s">
        <v>83</v>
      </c>
      <c r="G41" s="36">
        <v>46338</v>
      </c>
      <c r="H41" s="36">
        <v>45897</v>
      </c>
      <c r="I41" t="s">
        <v>96</v>
      </c>
      <c r="J41">
        <v>15</v>
      </c>
      <c r="L41" t="s">
        <v>98</v>
      </c>
      <c r="M41" t="s">
        <v>806</v>
      </c>
      <c r="N41" cm="1">
        <f t="array" aca="1" ref="N41" ca="1">_xlfn.SWITCH(Opportunities[[#This Row],[RecurringRevenueModel]],"Annually",RANDBETWEEN(2,8),"Semi-Annually",RANDBETWEEN(6,12),"Quarterly",RANDBETWEEN(8,20),"Monthly",RANDBETWEEN(24,60),"One-time",1,"Usage-based",RANDBETWEEN(24,60))</f>
        <v>11</v>
      </c>
      <c r="O41" s="36">
        <v>46406</v>
      </c>
      <c r="P41" t="str">
        <f>" FY"&amp;RIGHT(IF(MONTH(Opportunities[[#This Row],[Close]])&gt;=7,YEAR(Opportunities[[#This Row],[Close]])+1,YEAR(Opportunities[[#This Row],[Close]])),2)&amp;"-Q"&amp;IF(MONTH(Opportunities[[#This Row],[Close]])&gt;=7,CEILING((MONTH(Opportunities[[#This Row],[Close]])-6)/3,1),CEILING((MONTH(Opportunities[[#This Row],[Close]])+6)/3,1))</f>
        <v xml:space="preserve"> FY27-Q2</v>
      </c>
      <c r="Q41" t="str">
        <f>"CY"&amp;RIGHT(YEAR(Opportunities[[#This Row],[Close]]),2)&amp;"-Q"&amp;ROUNDUP(MONTH(Opportunities[[#This Row],[Close]])/3, 0)</f>
        <v>CY26-Q4</v>
      </c>
      <c r="R41" t="str">
        <f>siteUrl&amp;"/Lists/"&amp;oppList&amp;"/DispForm.aspx?ID="&amp;Opportunities[[#This Row],[ID]]</f>
        <v>https://cleansheet5.sharepoint.com/sites/SalesFunnel//Lists/auto12Opportunities/DispForm.aspx?ID=40</v>
      </c>
      <c r="S41">
        <f>_xlfn.XLOOKUP(Opportunities[[#This Row],[Stage]],stage[Stage Name],stage[Index],"")</f>
        <v>3</v>
      </c>
      <c r="T41" t="str">
        <f>_xlfn.XLOOKUP(Opportunities[[#This Row],[StageNumber]],stage[Index],stage[Display])</f>
        <v>➂ - Proposal</v>
      </c>
      <c r="U41">
        <f>Opportunities[[#This Row],[Amount]]*_xlfn.XLOOKUP(Opportunities[[#This Row],[Probability]],prob[Win Probability],prob[Value])</f>
        <v>433733.4</v>
      </c>
      <c r="V41" t="str" cm="1">
        <f t="array" ref="V41">_xlfn.SWITCH(Opportunities[[#This Row],[Status]],"At Risk","⚠","Active","✓","⮾")</f>
        <v>✓</v>
      </c>
      <c r="W41" t="str">
        <f>_xlfn.XLOOKUP(Opportunities[[#This Row],[CustomerId]],Customers[Id],Customers[Customer Name])</f>
        <v>Pharmaceutical Research</v>
      </c>
      <c r="X41" t="str">
        <f>_xlfn.XLOOKUP(Opportunities[[#This Row],[CustomerId]],Customers[Id],Customers[CustomerRecordUrl])</f>
        <v>https://cleansheet5.sharepoint.com/sites/SalesFunnel//Lists/auto12Customers/DispForm.aspx?ID=15</v>
      </c>
      <c r="Y41">
        <f>_xlfn.XLOOKUP(Opportunities[[#This Row],[ID]],View[ID],View[Visible])</f>
        <v>1</v>
      </c>
      <c r="Z41" t="str">
        <f>Opportunities[[#This Row],[status symbol]]&amp;" "&amp; Opportunities[[#This Row],[Customer Name]] &amp;CHAR(10)&amp;"("&amp;Opportunities[[#This Row],[OpportunityName]] &amp; ")"&amp;CHAR(10)&amp;" $"&amp;TEXT(Opportunities[[#This Row],[Amount]]/1000000,"#,0.0")&amp;"m • "&amp; Opportunities[[#This Row],[Stage]]&amp; " • Owner: " &amp; Opportunities[[#This Row],[OpportunityOwner]]</f>
        <v>✓ Pharmaceutical Research
(Machine Learning Implementation)
 $0.5m • Proposal • Owner: Mike Consultant</v>
      </c>
      <c r="AA41" t="str">
        <f>IF(calendarType="FQ","FY"&amp;RIGHT(TEXT(IF(MONTH(Opportunities[[#This Row],[Close]])&gt;MONTH(fqStart),YEAR(Opportunities[[#This Row],[Close]])+1,IF(MONTH(Opportunities[[#This Row],[Close]])&lt;MONTH(fqStart),YEAR(Opportunities[[#This Row],[Close]]),IF(DAY(Opportunities[[#This Row],[Close]])&gt;=DAY(fqStart),YEAR(Opportunities[[#This Row],[Close]])+1,YEAR(Opportunities[[#This Row],[Close]])))),"0"),2)&amp;"-Q"&amp;ROUNDUP((MONTH(Opportunities[[#This Row],[Close]])-MONTH(fqStart)+IF(DAY(Opportunities[[#This Row],[Close]])&lt;DAY(fqStart),0,1)+IF(MONTH(Opportunities[[#This Row],[Close]])&lt;MONTH(fqStart),12,0))/3,0),_xlfn.XLOOKUP(Opportunities[[#This Row],[ID]],Opportunities[ID],Opportunities[CQ]))</f>
        <v>FY27-Q2</v>
      </c>
      <c r="AC41" t="str" cm="1">
        <f t="array" ref="AC41">_xlfn.SWITCH(Opportunities[[#This Row],[Probability]],"High","↖","Medium","←","Low","↙")&amp;" " &amp;Opportunities[[#This Row],[Probability]]</f>
        <v>↖ High</v>
      </c>
      <c r="AD41" t="b">
        <f>Opportunities[[#This Row],[WinProbDisplay]]="↖ High"</f>
        <v>1</v>
      </c>
    </row>
  </sheetData>
  <phoneticPr fontId="4" type="noConversion"/>
  <pageMargins left="0.7" right="0.7" top="0.75" bottom="0.75" header="0.3" footer="0.3"/>
  <tableParts count="1">
    <tablePart r:id="rId1"/>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5A1103-E317-4C75-997F-1C8C8DF88B18}">
  <sheetPr codeName="Sheet4"/>
  <dimension ref="A1:AN32"/>
  <sheetViews>
    <sheetView topLeftCell="H1" workbookViewId="0">
      <selection activeCell="AA6" sqref="AA6"/>
    </sheetView>
  </sheetViews>
  <sheetFormatPr defaultRowHeight="15" x14ac:dyDescent="0.25"/>
  <cols>
    <col min="1" max="1" width="5" bestFit="1" customWidth="1"/>
    <col min="2" max="2" width="26.140625" bestFit="1" customWidth="1"/>
    <col min="3" max="3" width="17.7109375" bestFit="1" customWidth="1"/>
    <col min="4" max="4" width="22.140625" bestFit="1" customWidth="1"/>
    <col min="5" max="5" width="18.85546875" bestFit="1" customWidth="1"/>
    <col min="6" max="6" width="23" bestFit="1" customWidth="1"/>
    <col min="7" max="7" width="20" bestFit="1" customWidth="1"/>
    <col min="8" max="8" width="24.5703125" bestFit="1" customWidth="1"/>
    <col min="9" max="9" width="33.140625" bestFit="1" customWidth="1"/>
    <col min="10" max="11" width="19.85546875" bestFit="1" customWidth="1"/>
    <col min="12" max="12" width="81.140625" bestFit="1" customWidth="1"/>
    <col min="13" max="13" width="19.140625" bestFit="1" customWidth="1"/>
    <col min="14" max="16" width="81.140625" bestFit="1" customWidth="1"/>
    <col min="17" max="17" width="26.140625" bestFit="1" customWidth="1"/>
    <col min="18" max="18" width="81.140625" bestFit="1" customWidth="1"/>
    <col min="19" max="19" width="21.7109375" bestFit="1" customWidth="1"/>
    <col min="20" max="20" width="5.85546875" bestFit="1" customWidth="1"/>
    <col min="21" max="22" width="12.42578125" bestFit="1" customWidth="1"/>
    <col min="23" max="23" width="81.140625" bestFit="1" customWidth="1"/>
    <col min="24" max="24" width="20" bestFit="1" customWidth="1"/>
    <col min="25" max="25" width="24.140625" bestFit="1" customWidth="1"/>
    <col min="26" max="26" width="5.85546875" bestFit="1" customWidth="1"/>
    <col min="27" max="28" width="12.42578125" bestFit="1" customWidth="1"/>
    <col min="29" max="29" width="81.140625" bestFit="1" customWidth="1"/>
    <col min="30" max="30" width="25" bestFit="1" customWidth="1"/>
    <col min="31" max="31" width="14.7109375" bestFit="1" customWidth="1"/>
    <col min="32" max="32" width="38" bestFit="1" customWidth="1"/>
    <col min="33" max="33" width="19.28515625" bestFit="1" customWidth="1"/>
    <col min="34" max="34" width="19" bestFit="1" customWidth="1"/>
    <col min="35" max="35" width="18.7109375" bestFit="1" customWidth="1"/>
    <col min="36" max="36" width="18.42578125" bestFit="1" customWidth="1"/>
    <col min="37" max="37" width="81.140625" bestFit="1" customWidth="1"/>
    <col min="40" max="40" width="40.5703125" bestFit="1" customWidth="1"/>
  </cols>
  <sheetData>
    <row r="1" spans="1:22" x14ac:dyDescent="0.25">
      <c r="A1" t="s">
        <v>0</v>
      </c>
      <c r="B1" t="s">
        <v>85</v>
      </c>
      <c r="C1" t="s">
        <v>3</v>
      </c>
      <c r="D1" t="s">
        <v>4</v>
      </c>
      <c r="E1" t="s">
        <v>5</v>
      </c>
      <c r="F1" t="s">
        <v>6</v>
      </c>
      <c r="G1" t="s">
        <v>7</v>
      </c>
      <c r="H1" t="s">
        <v>8</v>
      </c>
      <c r="I1" t="s">
        <v>72</v>
      </c>
      <c r="J1" t="s">
        <v>2</v>
      </c>
      <c r="K1" t="s">
        <v>1</v>
      </c>
      <c r="L1" t="s">
        <v>73</v>
      </c>
      <c r="M1" t="s">
        <v>386</v>
      </c>
      <c r="N1" t="s">
        <v>141</v>
      </c>
      <c r="O1" t="s">
        <v>51</v>
      </c>
    </row>
    <row r="2" spans="1:22" x14ac:dyDescent="0.25">
      <c r="A2">
        <v>1</v>
      </c>
      <c r="B2" t="s">
        <v>106</v>
      </c>
      <c r="C2" t="s">
        <v>108</v>
      </c>
      <c r="D2" t="s">
        <v>9</v>
      </c>
      <c r="E2" t="s">
        <v>109</v>
      </c>
      <c r="F2" t="s">
        <v>110</v>
      </c>
      <c r="G2" t="s">
        <v>111</v>
      </c>
      <c r="H2" t="s">
        <v>10</v>
      </c>
      <c r="I2" t="s">
        <v>107</v>
      </c>
      <c r="J2" t="s">
        <v>770</v>
      </c>
      <c r="K2" t="s">
        <v>770</v>
      </c>
      <c r="L2" t="str">
        <f>siteUrl&amp;"/Lists/"&amp;custList&amp;"/DispForm.aspx?ID="&amp;Customers[[#This Row],[Id]]</f>
        <v>https://cleansheet5.sharepoint.com/sites/SalesFunnel//Lists/auto12Customers/DispForm.aspx?ID=1</v>
      </c>
      <c r="M2" t="e">
        <f>_xlfn.XLOOKUP(Customers[[#This Row],[Id]],Customers[Id],#REF!)</f>
        <v>#REF!</v>
      </c>
      <c r="N2" t="str">
        <f>_xlfn.XLOOKUP(Customers[[#This Row],[Id]],Customers[Id],Customers[url2])</f>
        <v>https://cleansheet5.sharepoint.com/sites/SalesFunnel//Lists/auto12Customers/DispForm.aspx?ID=1</v>
      </c>
      <c r="O2" t="s">
        <v>52</v>
      </c>
    </row>
    <row r="3" spans="1:22" x14ac:dyDescent="0.25">
      <c r="A3">
        <v>2</v>
      </c>
      <c r="B3" t="s">
        <v>88</v>
      </c>
      <c r="C3" t="s">
        <v>113</v>
      </c>
      <c r="D3" t="s">
        <v>114</v>
      </c>
      <c r="E3" t="s">
        <v>115</v>
      </c>
      <c r="F3" t="s">
        <v>116</v>
      </c>
      <c r="G3" t="s">
        <v>117</v>
      </c>
      <c r="H3" t="s">
        <v>118</v>
      </c>
      <c r="I3" t="s">
        <v>112</v>
      </c>
      <c r="J3" t="s">
        <v>771</v>
      </c>
      <c r="K3" t="s">
        <v>771</v>
      </c>
      <c r="L3" t="str">
        <f>siteUrl&amp;"/Lists/"&amp;custList&amp;"/DispForm.aspx?ID="&amp;Customers[[#This Row],[Id]]</f>
        <v>https://cleansheet5.sharepoint.com/sites/SalesFunnel//Lists/auto12Customers/DispForm.aspx?ID=2</v>
      </c>
      <c r="M3" t="e">
        <f>_xlfn.XLOOKUP(Customers[[#This Row],[Id]],Customers[Id],#REF!)</f>
        <v>#REF!</v>
      </c>
      <c r="N3" t="str">
        <f>_xlfn.XLOOKUP(Customers[[#This Row],[Id]],Customers[Id],Customers[url2])</f>
        <v>https://cleansheet5.sharepoint.com/sites/SalesFunnel//Lists/auto12Customers/DispForm.aspx?ID=2</v>
      </c>
      <c r="V3" t="s">
        <v>53</v>
      </c>
    </row>
    <row r="4" spans="1:22" x14ac:dyDescent="0.25">
      <c r="A4">
        <v>3</v>
      </c>
      <c r="B4" t="s">
        <v>119</v>
      </c>
      <c r="C4" t="s">
        <v>12</v>
      </c>
      <c r="D4" t="s">
        <v>121</v>
      </c>
      <c r="E4" t="s">
        <v>122</v>
      </c>
      <c r="F4" t="s">
        <v>123</v>
      </c>
      <c r="G4" t="s">
        <v>124</v>
      </c>
      <c r="H4" t="s">
        <v>125</v>
      </c>
      <c r="I4" t="s">
        <v>120</v>
      </c>
      <c r="J4" t="s">
        <v>772</v>
      </c>
      <c r="K4" t="s">
        <v>772</v>
      </c>
      <c r="L4" t="str">
        <f>siteUrl&amp;"/Lists/"&amp;custList&amp;"/DispForm.aspx?ID="&amp;Customers[[#This Row],[Id]]</f>
        <v>https://cleansheet5.sharepoint.com/sites/SalesFunnel//Lists/auto12Customers/DispForm.aspx?ID=3</v>
      </c>
      <c r="M4" t="e">
        <f>_xlfn.XLOOKUP(Customers[[#This Row],[Id]],Customers[Id],#REF!)</f>
        <v>#REF!</v>
      </c>
      <c r="N4" t="str">
        <f>_xlfn.XLOOKUP(Customers[[#This Row],[Id]],Customers[Id],Customers[url2])</f>
        <v>https://cleansheet5.sharepoint.com/sites/SalesFunnel//Lists/auto12Customers/DispForm.aspx?ID=3</v>
      </c>
      <c r="V4" t="s">
        <v>61</v>
      </c>
    </row>
    <row r="5" spans="1:22" x14ac:dyDescent="0.25">
      <c r="A5">
        <v>4</v>
      </c>
      <c r="B5" t="s">
        <v>126</v>
      </c>
      <c r="C5" t="s">
        <v>128</v>
      </c>
      <c r="D5" t="s">
        <v>129</v>
      </c>
      <c r="E5" t="s">
        <v>130</v>
      </c>
      <c r="F5" t="s">
        <v>131</v>
      </c>
      <c r="G5" t="s">
        <v>132</v>
      </c>
      <c r="H5" t="s">
        <v>133</v>
      </c>
      <c r="I5" t="s">
        <v>127</v>
      </c>
      <c r="J5" t="s">
        <v>773</v>
      </c>
      <c r="K5" t="s">
        <v>773</v>
      </c>
      <c r="L5" t="str">
        <f>siteUrl&amp;"/Lists/"&amp;custList&amp;"/DispForm.aspx?ID="&amp;Customers[[#This Row],[Id]]</f>
        <v>https://cleansheet5.sharepoint.com/sites/SalesFunnel//Lists/auto12Customers/DispForm.aspx?ID=4</v>
      </c>
      <c r="M5" t="e">
        <f>_xlfn.XLOOKUP(Customers[[#This Row],[Id]],Customers[Id],#REF!)</f>
        <v>#REF!</v>
      </c>
      <c r="N5" t="str">
        <f>_xlfn.XLOOKUP(Customers[[#This Row],[Id]],Customers[Id],Customers[url2])</f>
        <v>https://cleansheet5.sharepoint.com/sites/SalesFunnel//Lists/auto12Customers/DispForm.aspx?ID=4</v>
      </c>
      <c r="V5" t="s">
        <v>54</v>
      </c>
    </row>
    <row r="6" spans="1:22" x14ac:dyDescent="0.25">
      <c r="A6">
        <v>5</v>
      </c>
      <c r="B6" t="s">
        <v>134</v>
      </c>
      <c r="C6" t="s">
        <v>136</v>
      </c>
      <c r="D6" t="s">
        <v>11</v>
      </c>
      <c r="E6" t="s">
        <v>137</v>
      </c>
      <c r="F6" t="s">
        <v>138</v>
      </c>
      <c r="G6" t="s">
        <v>139</v>
      </c>
      <c r="H6" t="s">
        <v>140</v>
      </c>
      <c r="I6" t="s">
        <v>135</v>
      </c>
      <c r="J6" t="s">
        <v>774</v>
      </c>
      <c r="K6" t="s">
        <v>774</v>
      </c>
      <c r="L6" t="str">
        <f>siteUrl&amp;"/Lists/"&amp;custList&amp;"/DispForm.aspx?ID="&amp;Customers[[#This Row],[Id]]</f>
        <v>https://cleansheet5.sharepoint.com/sites/SalesFunnel//Lists/auto12Customers/DispForm.aspx?ID=5</v>
      </c>
      <c r="M6" t="e">
        <f>_xlfn.XLOOKUP(Customers[[#This Row],[Id]],Customers[Id],#REF!)</f>
        <v>#REF!</v>
      </c>
      <c r="N6" t="str">
        <f>_xlfn.XLOOKUP(Customers[[#This Row],[Id]],Customers[Id],Customers[url2])</f>
        <v>https://cleansheet5.sharepoint.com/sites/SalesFunnel//Lists/auto12Customers/DispForm.aspx?ID=5</v>
      </c>
      <c r="V6" t="s">
        <v>55</v>
      </c>
    </row>
    <row r="7" spans="1:22" x14ac:dyDescent="0.25">
      <c r="A7">
        <v>6</v>
      </c>
      <c r="B7" t="s">
        <v>274</v>
      </c>
      <c r="C7" t="s">
        <v>276</v>
      </c>
      <c r="D7" t="s">
        <v>277</v>
      </c>
      <c r="E7" t="s">
        <v>278</v>
      </c>
      <c r="F7" t="s">
        <v>279</v>
      </c>
      <c r="G7" t="s">
        <v>280</v>
      </c>
      <c r="H7" t="s">
        <v>125</v>
      </c>
      <c r="I7" t="s">
        <v>275</v>
      </c>
      <c r="J7" t="s">
        <v>775</v>
      </c>
      <c r="K7" t="s">
        <v>775</v>
      </c>
      <c r="L7" t="str">
        <f>siteUrl&amp;"/Lists/"&amp;custList&amp;"/DispForm.aspx?ID="&amp;Customers[[#This Row],[Id]]</f>
        <v>https://cleansheet5.sharepoint.com/sites/SalesFunnel//Lists/auto12Customers/DispForm.aspx?ID=6</v>
      </c>
      <c r="M7" t="e">
        <f>_xlfn.XLOOKUP(Customers[[#This Row],[Id]],Customers[Id],#REF!)</f>
        <v>#REF!</v>
      </c>
      <c r="N7" t="str">
        <f>_xlfn.XLOOKUP(Customers[[#This Row],[Id]],Customers[Id],Customers[url2])</f>
        <v>https://cleansheet5.sharepoint.com/sites/SalesFunnel//Lists/auto12Customers/DispForm.aspx?ID=6</v>
      </c>
      <c r="V7" t="s">
        <v>62</v>
      </c>
    </row>
    <row r="8" spans="1:22" x14ac:dyDescent="0.25">
      <c r="A8">
        <v>7</v>
      </c>
      <c r="B8" t="s">
        <v>281</v>
      </c>
      <c r="C8" t="s">
        <v>283</v>
      </c>
      <c r="D8" t="s">
        <v>192</v>
      </c>
      <c r="E8" t="s">
        <v>284</v>
      </c>
      <c r="F8" t="s">
        <v>285</v>
      </c>
      <c r="G8" t="s">
        <v>286</v>
      </c>
      <c r="H8" t="s">
        <v>287</v>
      </c>
      <c r="I8" t="s">
        <v>282</v>
      </c>
      <c r="J8" t="s">
        <v>776</v>
      </c>
      <c r="K8" t="s">
        <v>776</v>
      </c>
      <c r="L8" t="str">
        <f>siteUrl&amp;"/Lists/"&amp;custList&amp;"/DispForm.aspx?ID="&amp;Customers[[#This Row],[Id]]</f>
        <v>https://cleansheet5.sharepoint.com/sites/SalesFunnel//Lists/auto12Customers/DispForm.aspx?ID=7</v>
      </c>
      <c r="M8" t="e">
        <f>_xlfn.XLOOKUP(Customers[[#This Row],[Id]],Customers[Id],#REF!)</f>
        <v>#REF!</v>
      </c>
      <c r="N8" t="str">
        <f>_xlfn.XLOOKUP(Customers[[#This Row],[Id]],Customers[Id],Customers[url2])</f>
        <v>https://cleansheet5.sharepoint.com/sites/SalesFunnel//Lists/auto12Customers/DispForm.aspx?ID=7</v>
      </c>
      <c r="V8" t="s">
        <v>56</v>
      </c>
    </row>
    <row r="9" spans="1:22" x14ac:dyDescent="0.25">
      <c r="A9">
        <v>8</v>
      </c>
      <c r="B9" t="s">
        <v>288</v>
      </c>
      <c r="C9" t="s">
        <v>290</v>
      </c>
      <c r="D9" t="s">
        <v>291</v>
      </c>
      <c r="E9" t="s">
        <v>292</v>
      </c>
      <c r="F9" t="s">
        <v>271</v>
      </c>
      <c r="G9" t="s">
        <v>293</v>
      </c>
      <c r="H9" t="s">
        <v>248</v>
      </c>
      <c r="I9" t="s">
        <v>289</v>
      </c>
      <c r="J9" t="s">
        <v>777</v>
      </c>
      <c r="K9" t="s">
        <v>777</v>
      </c>
      <c r="L9" t="str">
        <f>siteUrl&amp;"/Lists/"&amp;custList&amp;"/DispForm.aspx?ID="&amp;Customers[[#This Row],[Id]]</f>
        <v>https://cleansheet5.sharepoint.com/sites/SalesFunnel//Lists/auto12Customers/DispForm.aspx?ID=8</v>
      </c>
      <c r="M9" t="e">
        <f>_xlfn.XLOOKUP(Customers[[#This Row],[Id]],Customers[Id],#REF!)</f>
        <v>#REF!</v>
      </c>
      <c r="N9" t="str">
        <f>_xlfn.XLOOKUP(Customers[[#This Row],[Id]],Customers[Id],Customers[url2])</f>
        <v>https://cleansheet5.sharepoint.com/sites/SalesFunnel//Lists/auto12Customers/DispForm.aspx?ID=8</v>
      </c>
      <c r="V9" t="s">
        <v>57</v>
      </c>
    </row>
    <row r="10" spans="1:22" x14ac:dyDescent="0.25">
      <c r="A10">
        <v>9</v>
      </c>
      <c r="B10" t="s">
        <v>294</v>
      </c>
      <c r="C10" t="s">
        <v>296</v>
      </c>
      <c r="D10" t="s">
        <v>297</v>
      </c>
      <c r="E10" t="s">
        <v>298</v>
      </c>
      <c r="F10" t="s">
        <v>299</v>
      </c>
      <c r="G10" t="s">
        <v>300</v>
      </c>
      <c r="H10" t="s">
        <v>301</v>
      </c>
      <c r="I10" t="s">
        <v>295</v>
      </c>
      <c r="J10" t="s">
        <v>778</v>
      </c>
      <c r="K10" t="s">
        <v>778</v>
      </c>
      <c r="L10" t="str">
        <f>siteUrl&amp;"/Lists/"&amp;custList&amp;"/DispForm.aspx?ID="&amp;Customers[[#This Row],[Id]]</f>
        <v>https://cleansheet5.sharepoint.com/sites/SalesFunnel//Lists/auto12Customers/DispForm.aspx?ID=9</v>
      </c>
      <c r="M10" t="e">
        <f>_xlfn.XLOOKUP(Customers[[#This Row],[Id]],Customers[Id],#REF!)</f>
        <v>#REF!</v>
      </c>
      <c r="N10" t="str">
        <f>_xlfn.XLOOKUP(Customers[[#This Row],[Id]],Customers[Id],Customers[url2])</f>
        <v>https://cleansheet5.sharepoint.com/sites/SalesFunnel//Lists/auto12Customers/DispForm.aspx?ID=9</v>
      </c>
      <c r="V10" t="s">
        <v>53</v>
      </c>
    </row>
    <row r="11" spans="1:22" x14ac:dyDescent="0.25">
      <c r="A11">
        <v>10</v>
      </c>
      <c r="B11" t="s">
        <v>302</v>
      </c>
      <c r="C11" t="s">
        <v>304</v>
      </c>
      <c r="D11" t="s">
        <v>305</v>
      </c>
      <c r="E11" t="s">
        <v>306</v>
      </c>
      <c r="F11" t="s">
        <v>307</v>
      </c>
      <c r="G11" t="s">
        <v>308</v>
      </c>
      <c r="H11" t="s">
        <v>309</v>
      </c>
      <c r="I11" t="s">
        <v>303</v>
      </c>
      <c r="J11" t="s">
        <v>779</v>
      </c>
      <c r="K11" t="s">
        <v>779</v>
      </c>
      <c r="L11" t="str">
        <f>siteUrl&amp;"/Lists/"&amp;custList&amp;"/DispForm.aspx?ID="&amp;Customers[[#This Row],[Id]]</f>
        <v>https://cleansheet5.sharepoint.com/sites/SalesFunnel//Lists/auto12Customers/DispForm.aspx?ID=10</v>
      </c>
      <c r="M11" t="e">
        <f>_xlfn.XLOOKUP(Customers[[#This Row],[Id]],Customers[Id],#REF!)</f>
        <v>#REF!</v>
      </c>
      <c r="N11" t="str">
        <f>_xlfn.XLOOKUP(Customers[[#This Row],[Id]],Customers[Id],Customers[url2])</f>
        <v>https://cleansheet5.sharepoint.com/sites/SalesFunnel//Lists/auto12Customers/DispForm.aspx?ID=10</v>
      </c>
      <c r="V11" t="s">
        <v>63</v>
      </c>
    </row>
    <row r="12" spans="1:22" x14ac:dyDescent="0.25">
      <c r="A12">
        <v>11</v>
      </c>
      <c r="B12" t="s">
        <v>310</v>
      </c>
      <c r="C12" t="s">
        <v>312</v>
      </c>
      <c r="D12" t="s">
        <v>313</v>
      </c>
      <c r="E12" t="s">
        <v>314</v>
      </c>
      <c r="F12" t="s">
        <v>226</v>
      </c>
      <c r="G12" t="s">
        <v>315</v>
      </c>
      <c r="H12" t="s">
        <v>316</v>
      </c>
      <c r="I12" t="s">
        <v>311</v>
      </c>
      <c r="J12" t="s">
        <v>780</v>
      </c>
      <c r="K12" t="s">
        <v>780</v>
      </c>
      <c r="L12" t="str">
        <f>siteUrl&amp;"/Lists/"&amp;custList&amp;"/DispForm.aspx?ID="&amp;Customers[[#This Row],[Id]]</f>
        <v>https://cleansheet5.sharepoint.com/sites/SalesFunnel//Lists/auto12Customers/DispForm.aspx?ID=11</v>
      </c>
      <c r="M12" t="e">
        <f>_xlfn.XLOOKUP(Customers[[#This Row],[Id]],Customers[Id],#REF!)</f>
        <v>#REF!</v>
      </c>
      <c r="N12" t="str">
        <f>_xlfn.XLOOKUP(Customers[[#This Row],[Id]],Customers[Id],Customers[url2])</f>
        <v>https://cleansheet5.sharepoint.com/sites/SalesFunnel//Lists/auto12Customers/DispForm.aspx?ID=11</v>
      </c>
      <c r="V12" t="s">
        <v>54</v>
      </c>
    </row>
    <row r="13" spans="1:22" x14ac:dyDescent="0.25">
      <c r="A13">
        <v>12</v>
      </c>
      <c r="B13" t="s">
        <v>317</v>
      </c>
      <c r="C13" t="s">
        <v>319</v>
      </c>
      <c r="D13" t="s">
        <v>297</v>
      </c>
      <c r="E13" t="s">
        <v>320</v>
      </c>
      <c r="F13" t="s">
        <v>321</v>
      </c>
      <c r="G13" t="s">
        <v>322</v>
      </c>
      <c r="H13" t="s">
        <v>323</v>
      </c>
      <c r="I13" t="s">
        <v>318</v>
      </c>
      <c r="J13" t="s">
        <v>781</v>
      </c>
      <c r="K13" t="s">
        <v>781</v>
      </c>
      <c r="L13" t="str">
        <f>siteUrl&amp;"/Lists/"&amp;custList&amp;"/DispForm.aspx?ID="&amp;Customers[[#This Row],[Id]]</f>
        <v>https://cleansheet5.sharepoint.com/sites/SalesFunnel//Lists/auto12Customers/DispForm.aspx?ID=12</v>
      </c>
      <c r="M13" t="e">
        <f>_xlfn.XLOOKUP(Customers[[#This Row],[Id]],Customers[Id],#REF!)</f>
        <v>#REF!</v>
      </c>
      <c r="N13" t="str">
        <f>_xlfn.XLOOKUP(Customers[[#This Row],[Id]],Customers[Id],Customers[url2])</f>
        <v>https://cleansheet5.sharepoint.com/sites/SalesFunnel//Lists/auto12Customers/DispForm.aspx?ID=12</v>
      </c>
      <c r="V13" t="s">
        <v>64</v>
      </c>
    </row>
    <row r="14" spans="1:22" x14ac:dyDescent="0.25">
      <c r="A14">
        <v>13</v>
      </c>
      <c r="B14" t="s">
        <v>324</v>
      </c>
      <c r="C14" t="s">
        <v>326</v>
      </c>
      <c r="D14" t="s">
        <v>327</v>
      </c>
      <c r="E14" t="s">
        <v>328</v>
      </c>
      <c r="F14" t="s">
        <v>329</v>
      </c>
      <c r="G14" t="s">
        <v>330</v>
      </c>
      <c r="H14" t="s">
        <v>226</v>
      </c>
      <c r="I14" t="s">
        <v>325</v>
      </c>
      <c r="J14" t="s">
        <v>782</v>
      </c>
      <c r="K14" t="s">
        <v>782</v>
      </c>
      <c r="L14" t="str">
        <f>siteUrl&amp;"/Lists/"&amp;custList&amp;"/DispForm.aspx?ID="&amp;Customers[[#This Row],[Id]]</f>
        <v>https://cleansheet5.sharepoint.com/sites/SalesFunnel//Lists/auto12Customers/DispForm.aspx?ID=13</v>
      </c>
      <c r="M14" t="e">
        <f>_xlfn.XLOOKUP(Customers[[#This Row],[Id]],Customers[Id],#REF!)</f>
        <v>#REF!</v>
      </c>
      <c r="N14" t="str">
        <f>_xlfn.XLOOKUP(Customers[[#This Row],[Id]],Customers[Id],Customers[url2])</f>
        <v>https://cleansheet5.sharepoint.com/sites/SalesFunnel//Lists/auto12Customers/DispForm.aspx?ID=13</v>
      </c>
      <c r="V14" t="s">
        <v>65</v>
      </c>
    </row>
    <row r="15" spans="1:22" x14ac:dyDescent="0.25">
      <c r="A15">
        <v>14</v>
      </c>
      <c r="B15" t="s">
        <v>331</v>
      </c>
      <c r="C15" t="s">
        <v>333</v>
      </c>
      <c r="D15" t="s">
        <v>334</v>
      </c>
      <c r="E15" t="s">
        <v>335</v>
      </c>
      <c r="F15" t="s">
        <v>200</v>
      </c>
      <c r="G15" t="s">
        <v>336</v>
      </c>
      <c r="H15" t="s">
        <v>337</v>
      </c>
      <c r="I15" t="s">
        <v>332</v>
      </c>
      <c r="J15" t="s">
        <v>783</v>
      </c>
      <c r="K15" t="s">
        <v>783</v>
      </c>
      <c r="L15" t="str">
        <f>siteUrl&amp;"/Lists/"&amp;custList&amp;"/DispForm.aspx?ID="&amp;Customers[[#This Row],[Id]]</f>
        <v>https://cleansheet5.sharepoint.com/sites/SalesFunnel//Lists/auto12Customers/DispForm.aspx?ID=14</v>
      </c>
      <c r="M15" t="e">
        <f>_xlfn.XLOOKUP(Customers[[#This Row],[Id]],Customers[Id],#REF!)</f>
        <v>#REF!</v>
      </c>
      <c r="N15" t="str">
        <f>_xlfn.XLOOKUP(Customers[[#This Row],[Id]],Customers[Id],Customers[url2])</f>
        <v>https://cleansheet5.sharepoint.com/sites/SalesFunnel//Lists/auto12Customers/DispForm.aspx?ID=14</v>
      </c>
      <c r="V15" t="s">
        <v>56</v>
      </c>
    </row>
    <row r="16" spans="1:22" x14ac:dyDescent="0.25">
      <c r="A16">
        <v>15</v>
      </c>
      <c r="B16" t="s">
        <v>338</v>
      </c>
      <c r="C16" t="s">
        <v>340</v>
      </c>
      <c r="D16" t="s">
        <v>341</v>
      </c>
      <c r="E16" t="s">
        <v>342</v>
      </c>
      <c r="F16" t="s">
        <v>343</v>
      </c>
      <c r="G16" t="s">
        <v>344</v>
      </c>
      <c r="H16" t="s">
        <v>345</v>
      </c>
      <c r="I16" t="s">
        <v>339</v>
      </c>
      <c r="J16" t="s">
        <v>784</v>
      </c>
      <c r="K16" t="s">
        <v>784</v>
      </c>
      <c r="L16" t="str">
        <f>siteUrl&amp;"/Lists/"&amp;custList&amp;"/DispForm.aspx?ID="&amp;Customers[[#This Row],[Id]]</f>
        <v>https://cleansheet5.sharepoint.com/sites/SalesFunnel//Lists/auto12Customers/DispForm.aspx?ID=15</v>
      </c>
      <c r="M16" t="e">
        <f>_xlfn.XLOOKUP(Customers[[#This Row],[Id]],Customers[Id],#REF!)</f>
        <v>#REF!</v>
      </c>
      <c r="N16" t="str">
        <f>_xlfn.XLOOKUP(Customers[[#This Row],[Id]],Customers[Id],Customers[url2])</f>
        <v>https://cleansheet5.sharepoint.com/sites/SalesFunnel//Lists/auto12Customers/DispForm.aspx?ID=15</v>
      </c>
      <c r="V16" t="s">
        <v>57</v>
      </c>
    </row>
    <row r="17" spans="1:40" x14ac:dyDescent="0.25">
      <c r="A17">
        <v>16</v>
      </c>
      <c r="B17" t="s">
        <v>346</v>
      </c>
      <c r="C17" t="s">
        <v>348</v>
      </c>
      <c r="D17" t="s">
        <v>349</v>
      </c>
      <c r="E17" t="s">
        <v>350</v>
      </c>
      <c r="F17" t="s">
        <v>351</v>
      </c>
      <c r="G17" t="s">
        <v>352</v>
      </c>
      <c r="H17" t="s">
        <v>353</v>
      </c>
      <c r="I17" t="s">
        <v>347</v>
      </c>
      <c r="J17" t="s">
        <v>785</v>
      </c>
      <c r="K17" t="s">
        <v>785</v>
      </c>
      <c r="L17" t="str">
        <f>siteUrl&amp;"/Lists/"&amp;custList&amp;"/DispForm.aspx?ID="&amp;Customers[[#This Row],[Id]]</f>
        <v>https://cleansheet5.sharepoint.com/sites/SalesFunnel//Lists/auto12Customers/DispForm.aspx?ID=16</v>
      </c>
      <c r="M17" t="e">
        <f>_xlfn.XLOOKUP(Customers[[#This Row],[Id]],Customers[Id],#REF!)</f>
        <v>#REF!</v>
      </c>
      <c r="N17" t="str">
        <f>_xlfn.XLOOKUP(Customers[[#This Row],[Id]],Customers[Id],Customers[url2])</f>
        <v>https://cleansheet5.sharepoint.com/sites/SalesFunnel//Lists/auto12Customers/DispForm.aspx?ID=16</v>
      </c>
      <c r="V17" t="s">
        <v>53</v>
      </c>
    </row>
    <row r="18" spans="1:40" x14ac:dyDescent="0.25">
      <c r="A18">
        <v>17</v>
      </c>
      <c r="B18" t="s">
        <v>354</v>
      </c>
      <c r="C18" t="s">
        <v>356</v>
      </c>
      <c r="D18" t="s">
        <v>357</v>
      </c>
      <c r="E18" t="s">
        <v>358</v>
      </c>
      <c r="F18" t="s">
        <v>359</v>
      </c>
      <c r="G18" t="s">
        <v>360</v>
      </c>
      <c r="H18" t="s">
        <v>361</v>
      </c>
      <c r="I18" t="s">
        <v>355</v>
      </c>
      <c r="J18" t="s">
        <v>786</v>
      </c>
      <c r="K18" t="s">
        <v>786</v>
      </c>
      <c r="L18" t="str">
        <f>siteUrl&amp;"/Lists/"&amp;custList&amp;"/DispForm.aspx?ID="&amp;Customers[[#This Row],[Id]]</f>
        <v>https://cleansheet5.sharepoint.com/sites/SalesFunnel//Lists/auto12Customers/DispForm.aspx?ID=17</v>
      </c>
      <c r="M18" t="e">
        <f>_xlfn.XLOOKUP(Customers[[#This Row],[Id]],Customers[Id],#REF!)</f>
        <v>#REF!</v>
      </c>
      <c r="N18" t="str">
        <f>_xlfn.XLOOKUP(Customers[[#This Row],[Id]],Customers[Id],Customers[url2])</f>
        <v>https://cleansheet5.sharepoint.com/sites/SalesFunnel//Lists/auto12Customers/DispForm.aspx?ID=17</v>
      </c>
      <c r="V18" t="s">
        <v>66</v>
      </c>
    </row>
    <row r="19" spans="1:40" x14ac:dyDescent="0.25">
      <c r="A19">
        <v>18</v>
      </c>
      <c r="B19" t="s">
        <v>362</v>
      </c>
      <c r="C19" t="s">
        <v>364</v>
      </c>
      <c r="D19" t="s">
        <v>365</v>
      </c>
      <c r="E19" t="s">
        <v>366</v>
      </c>
      <c r="F19" t="s">
        <v>367</v>
      </c>
      <c r="G19" t="s">
        <v>368</v>
      </c>
      <c r="H19" t="s">
        <v>369</v>
      </c>
      <c r="I19" t="s">
        <v>363</v>
      </c>
      <c r="J19" t="s">
        <v>787</v>
      </c>
      <c r="K19" t="s">
        <v>787</v>
      </c>
      <c r="L19" t="str">
        <f>siteUrl&amp;"/Lists/"&amp;custList&amp;"/DispForm.aspx?ID="&amp;Customers[[#This Row],[Id]]</f>
        <v>https://cleansheet5.sharepoint.com/sites/SalesFunnel//Lists/auto12Customers/DispForm.aspx?ID=18</v>
      </c>
      <c r="M19" t="e">
        <f>_xlfn.XLOOKUP(Customers[[#This Row],[Id]],Customers[Id],#REF!)</f>
        <v>#REF!</v>
      </c>
      <c r="N19" t="str">
        <f>_xlfn.XLOOKUP(Customers[[#This Row],[Id]],Customers[Id],Customers[url2])</f>
        <v>https://cleansheet5.sharepoint.com/sites/SalesFunnel//Lists/auto12Customers/DispForm.aspx?ID=18</v>
      </c>
      <c r="V19" t="s">
        <v>54</v>
      </c>
    </row>
    <row r="20" spans="1:40" x14ac:dyDescent="0.25">
      <c r="A20">
        <v>19</v>
      </c>
      <c r="B20" t="s">
        <v>370</v>
      </c>
      <c r="C20" t="s">
        <v>372</v>
      </c>
      <c r="D20" t="s">
        <v>297</v>
      </c>
      <c r="E20" t="s">
        <v>373</v>
      </c>
      <c r="F20" t="s">
        <v>374</v>
      </c>
      <c r="G20" t="s">
        <v>375</v>
      </c>
      <c r="H20" t="s">
        <v>376</v>
      </c>
      <c r="I20" t="s">
        <v>371</v>
      </c>
      <c r="J20" t="s">
        <v>788</v>
      </c>
      <c r="K20" t="s">
        <v>788</v>
      </c>
      <c r="L20" t="str">
        <f>siteUrl&amp;"/Lists/"&amp;custList&amp;"/DispForm.aspx?ID="&amp;Customers[[#This Row],[Id]]</f>
        <v>https://cleansheet5.sharepoint.com/sites/SalesFunnel//Lists/auto12Customers/DispForm.aspx?ID=19</v>
      </c>
      <c r="M20" t="e">
        <f>_xlfn.XLOOKUP(Customers[[#This Row],[Id]],Customers[Id],#REF!)</f>
        <v>#REF!</v>
      </c>
      <c r="N20" t="str">
        <f>_xlfn.XLOOKUP(Customers[[#This Row],[Id]],Customers[Id],Customers[url2])</f>
        <v>https://cleansheet5.sharepoint.com/sites/SalesFunnel//Lists/auto12Customers/DispForm.aspx?ID=19</v>
      </c>
      <c r="V20" t="s">
        <v>67</v>
      </c>
    </row>
    <row r="21" spans="1:40" x14ac:dyDescent="0.25">
      <c r="A21">
        <v>20</v>
      </c>
      <c r="B21" t="s">
        <v>189</v>
      </c>
      <c r="C21" t="s">
        <v>191</v>
      </c>
      <c r="D21" t="s">
        <v>192</v>
      </c>
      <c r="E21" t="s">
        <v>193</v>
      </c>
      <c r="F21" t="s">
        <v>194</v>
      </c>
      <c r="G21" t="s">
        <v>195</v>
      </c>
      <c r="H21" t="s">
        <v>196</v>
      </c>
      <c r="I21" t="s">
        <v>190</v>
      </c>
      <c r="J21" t="s">
        <v>789</v>
      </c>
      <c r="K21" t="s">
        <v>789</v>
      </c>
      <c r="L21" t="str">
        <f>siteUrl&amp;"/Lists/"&amp;custList&amp;"/DispForm.aspx?ID="&amp;Customers[[#This Row],[Id]]</f>
        <v>https://cleansheet5.sharepoint.com/sites/SalesFunnel//Lists/auto12Customers/DispForm.aspx?ID=20</v>
      </c>
      <c r="M21" t="e">
        <f>_xlfn.XLOOKUP(Customers[[#This Row],[Id]],Customers[Id],#REF!)</f>
        <v>#REF!</v>
      </c>
      <c r="N21" t="str">
        <f>_xlfn.XLOOKUP(Customers[[#This Row],[Id]],Customers[Id],Customers[url2])</f>
        <v>https://cleansheet5.sharepoint.com/sites/SalesFunnel//Lists/auto12Customers/DispForm.aspx?ID=20</v>
      </c>
      <c r="V21" t="s">
        <v>68</v>
      </c>
    </row>
    <row r="22" spans="1:40" x14ac:dyDescent="0.25">
      <c r="A22">
        <v>21</v>
      </c>
      <c r="B22" t="s">
        <v>197</v>
      </c>
      <c r="C22" t="s">
        <v>199</v>
      </c>
      <c r="D22" t="s">
        <v>200</v>
      </c>
      <c r="E22" t="s">
        <v>201</v>
      </c>
      <c r="F22" t="s">
        <v>202</v>
      </c>
      <c r="G22" t="s">
        <v>203</v>
      </c>
      <c r="H22" t="s">
        <v>204</v>
      </c>
      <c r="I22" t="s">
        <v>198</v>
      </c>
      <c r="J22" t="s">
        <v>790</v>
      </c>
      <c r="K22" t="s">
        <v>790</v>
      </c>
      <c r="L22" t="str">
        <f>siteUrl&amp;"/Lists/"&amp;custList&amp;"/DispForm.aspx?ID="&amp;Customers[[#This Row],[Id]]</f>
        <v>https://cleansheet5.sharepoint.com/sites/SalesFunnel//Lists/auto12Customers/DispForm.aspx?ID=21</v>
      </c>
      <c r="M22" t="e">
        <f>_xlfn.XLOOKUP(Customers[[#This Row],[Id]],Customers[Id],#REF!)</f>
        <v>#REF!</v>
      </c>
      <c r="N22" t="str">
        <f>_xlfn.XLOOKUP(Customers[[#This Row],[Id]],Customers[Id],Customers[url2])</f>
        <v>https://cleansheet5.sharepoint.com/sites/SalesFunnel//Lists/auto12Customers/DispForm.aspx?ID=21</v>
      </c>
      <c r="V22" t="s">
        <v>56</v>
      </c>
    </row>
    <row r="23" spans="1:40" x14ac:dyDescent="0.25">
      <c r="A23">
        <v>22</v>
      </c>
      <c r="B23" t="s">
        <v>205</v>
      </c>
      <c r="C23" t="s">
        <v>207</v>
      </c>
      <c r="D23" t="s">
        <v>208</v>
      </c>
      <c r="E23" t="s">
        <v>209</v>
      </c>
      <c r="F23" t="s">
        <v>210</v>
      </c>
      <c r="G23" t="s">
        <v>211</v>
      </c>
      <c r="H23" t="s">
        <v>212</v>
      </c>
      <c r="I23" t="s">
        <v>206</v>
      </c>
      <c r="J23" t="s">
        <v>791</v>
      </c>
      <c r="K23" t="s">
        <v>791</v>
      </c>
      <c r="L23" t="str">
        <f>siteUrl&amp;"/Lists/"&amp;custList&amp;"/DispForm.aspx?ID="&amp;Customers[[#This Row],[Id]]</f>
        <v>https://cleansheet5.sharepoint.com/sites/SalesFunnel//Lists/auto12Customers/DispForm.aspx?ID=22</v>
      </c>
      <c r="M23" t="e">
        <f>_xlfn.XLOOKUP(Customers[[#This Row],[Id]],Customers[Id],#REF!)</f>
        <v>#REF!</v>
      </c>
      <c r="N23" t="str">
        <f>_xlfn.XLOOKUP(Customers[[#This Row],[Id]],Customers[Id],Customers[url2])</f>
        <v>https://cleansheet5.sharepoint.com/sites/SalesFunnel//Lists/auto12Customers/DispForm.aspx?ID=22</v>
      </c>
      <c r="V23" t="s">
        <v>57</v>
      </c>
    </row>
    <row r="24" spans="1:40" x14ac:dyDescent="0.25">
      <c r="A24">
        <v>23</v>
      </c>
      <c r="B24" t="s">
        <v>213</v>
      </c>
      <c r="C24" t="s">
        <v>215</v>
      </c>
      <c r="D24" t="s">
        <v>216</v>
      </c>
      <c r="E24" t="s">
        <v>217</v>
      </c>
      <c r="F24" t="s">
        <v>218</v>
      </c>
      <c r="G24" t="s">
        <v>219</v>
      </c>
      <c r="H24" t="s">
        <v>220</v>
      </c>
      <c r="I24" t="s">
        <v>214</v>
      </c>
      <c r="J24" t="s">
        <v>792</v>
      </c>
      <c r="K24" t="s">
        <v>792</v>
      </c>
      <c r="L24" t="str">
        <f>siteUrl&amp;"/Lists/"&amp;custList&amp;"/DispForm.aspx?ID="&amp;Customers[[#This Row],[Id]]</f>
        <v>https://cleansheet5.sharepoint.com/sites/SalesFunnel//Lists/auto12Customers/DispForm.aspx?ID=23</v>
      </c>
      <c r="M24" t="e">
        <f>_xlfn.XLOOKUP(Customers[[#This Row],[Id]],Customers[Id],#REF!)</f>
        <v>#REF!</v>
      </c>
      <c r="N24" t="str">
        <f>_xlfn.XLOOKUP(Customers[[#This Row],[Id]],Customers[Id],Customers[url2])</f>
        <v>https://cleansheet5.sharepoint.com/sites/SalesFunnel//Lists/auto12Customers/DispForm.aspx?ID=23</v>
      </c>
      <c r="V24" t="s">
        <v>53</v>
      </c>
    </row>
    <row r="25" spans="1:40" x14ac:dyDescent="0.25">
      <c r="A25">
        <v>24</v>
      </c>
      <c r="B25" t="s">
        <v>221</v>
      </c>
      <c r="C25" t="s">
        <v>223</v>
      </c>
      <c r="D25" t="s">
        <v>224</v>
      </c>
      <c r="E25" t="s">
        <v>225</v>
      </c>
      <c r="F25" t="s">
        <v>226</v>
      </c>
      <c r="G25" t="s">
        <v>227</v>
      </c>
      <c r="H25" t="s">
        <v>228</v>
      </c>
      <c r="I25" t="s">
        <v>222</v>
      </c>
      <c r="J25" t="s">
        <v>793</v>
      </c>
      <c r="K25" t="s">
        <v>793</v>
      </c>
      <c r="L25" t="str">
        <f>siteUrl&amp;"/Lists/"&amp;custList&amp;"/DispForm.aspx?ID="&amp;Customers[[#This Row],[Id]]</f>
        <v>https://cleansheet5.sharepoint.com/sites/SalesFunnel//Lists/auto12Customers/DispForm.aspx?ID=24</v>
      </c>
      <c r="M25" t="e">
        <f>_xlfn.XLOOKUP(Customers[[#This Row],[Id]],Customers[Id],#REF!)</f>
        <v>#REF!</v>
      </c>
      <c r="N25" t="str">
        <f>_xlfn.XLOOKUP(Customers[[#This Row],[Id]],Customers[Id],Customers[url2])</f>
        <v>https://cleansheet5.sharepoint.com/sites/SalesFunnel//Lists/auto12Customers/DispForm.aspx?ID=24</v>
      </c>
      <c r="V25" t="s">
        <v>69</v>
      </c>
    </row>
    <row r="26" spans="1:40" x14ac:dyDescent="0.25">
      <c r="A26">
        <v>25</v>
      </c>
      <c r="B26" t="s">
        <v>229</v>
      </c>
      <c r="C26" t="s">
        <v>231</v>
      </c>
      <c r="D26" t="s">
        <v>129</v>
      </c>
      <c r="E26" t="s">
        <v>232</v>
      </c>
      <c r="F26" t="s">
        <v>233</v>
      </c>
      <c r="G26" t="s">
        <v>234</v>
      </c>
      <c r="H26" t="s">
        <v>235</v>
      </c>
      <c r="I26" t="s">
        <v>230</v>
      </c>
      <c r="J26" t="s">
        <v>794</v>
      </c>
      <c r="K26" t="s">
        <v>794</v>
      </c>
      <c r="L26" t="str">
        <f>siteUrl&amp;"/Lists/"&amp;custList&amp;"/DispForm.aspx?ID="&amp;Customers[[#This Row],[Id]]</f>
        <v>https://cleansheet5.sharepoint.com/sites/SalesFunnel//Lists/auto12Customers/DispForm.aspx?ID=25</v>
      </c>
      <c r="M26" t="e">
        <f>_xlfn.XLOOKUP(Customers[[#This Row],[Id]],Customers[Id],#REF!)</f>
        <v>#REF!</v>
      </c>
      <c r="N26" t="str">
        <f>_xlfn.XLOOKUP(Customers[[#This Row],[Id]],Customers[Id],Customers[url2])</f>
        <v>https://cleansheet5.sharepoint.com/sites/SalesFunnel//Lists/auto12Customers/DispForm.aspx?ID=25</v>
      </c>
      <c r="V26" t="s">
        <v>54</v>
      </c>
    </row>
    <row r="27" spans="1:40" x14ac:dyDescent="0.25">
      <c r="A27">
        <v>26</v>
      </c>
      <c r="B27" t="s">
        <v>236</v>
      </c>
      <c r="C27" t="s">
        <v>238</v>
      </c>
      <c r="D27" t="s">
        <v>239</v>
      </c>
      <c r="E27" t="s">
        <v>240</v>
      </c>
      <c r="F27" t="s">
        <v>200</v>
      </c>
      <c r="G27" t="s">
        <v>241</v>
      </c>
      <c r="H27" t="s">
        <v>242</v>
      </c>
      <c r="I27" t="s">
        <v>237</v>
      </c>
      <c r="J27" t="s">
        <v>795</v>
      </c>
      <c r="K27" t="s">
        <v>795</v>
      </c>
      <c r="L27" t="str">
        <f>siteUrl&amp;"/Lists/"&amp;custList&amp;"/DispForm.aspx?ID="&amp;Customers[[#This Row],[Id]]</f>
        <v>https://cleansheet5.sharepoint.com/sites/SalesFunnel//Lists/auto12Customers/DispForm.aspx?ID=26</v>
      </c>
      <c r="M27" t="e">
        <f>_xlfn.XLOOKUP(Customers[[#This Row],[Id]],Customers[Id],#REF!)</f>
        <v>#REF!</v>
      </c>
      <c r="N27" t="str">
        <f>_xlfn.XLOOKUP(Customers[[#This Row],[Id]],Customers[Id],Customers[url2])</f>
        <v>https://cleansheet5.sharepoint.com/sites/SalesFunnel//Lists/auto12Customers/DispForm.aspx?ID=26</v>
      </c>
      <c r="V27" t="s">
        <v>70</v>
      </c>
    </row>
    <row r="28" spans="1:40" x14ac:dyDescent="0.25">
      <c r="A28">
        <v>27</v>
      </c>
      <c r="B28" t="s">
        <v>243</v>
      </c>
      <c r="C28" t="s">
        <v>245</v>
      </c>
      <c r="D28" t="s">
        <v>246</v>
      </c>
      <c r="E28" t="s">
        <v>247</v>
      </c>
      <c r="F28" t="s">
        <v>248</v>
      </c>
      <c r="G28" t="s">
        <v>249</v>
      </c>
      <c r="H28" t="s">
        <v>250</v>
      </c>
      <c r="I28" t="s">
        <v>244</v>
      </c>
      <c r="J28" t="s">
        <v>796</v>
      </c>
      <c r="K28" t="s">
        <v>796</v>
      </c>
      <c r="L28" t="str">
        <f>siteUrl&amp;"/Lists/"&amp;custList&amp;"/DispForm.aspx?ID="&amp;Customers[[#This Row],[Id]]</f>
        <v>https://cleansheet5.sharepoint.com/sites/SalesFunnel//Lists/auto12Customers/DispForm.aspx?ID=27</v>
      </c>
      <c r="M28" t="e">
        <f>_xlfn.XLOOKUP(Customers[[#This Row],[Id]],Customers[Id],#REF!)</f>
        <v>#REF!</v>
      </c>
      <c r="N28" t="str">
        <f>_xlfn.XLOOKUP(Customers[[#This Row],[Id]],Customers[Id],Customers[url2])</f>
        <v>https://cleansheet5.sharepoint.com/sites/SalesFunnel//Lists/auto12Customers/DispForm.aspx?ID=27</v>
      </c>
      <c r="V28" t="s">
        <v>71</v>
      </c>
    </row>
    <row r="29" spans="1:40" x14ac:dyDescent="0.25">
      <c r="A29">
        <v>28</v>
      </c>
      <c r="B29" t="s">
        <v>251</v>
      </c>
      <c r="C29" t="s">
        <v>253</v>
      </c>
      <c r="D29" t="s">
        <v>254</v>
      </c>
      <c r="E29" t="s">
        <v>255</v>
      </c>
      <c r="F29" t="s">
        <v>256</v>
      </c>
      <c r="G29" t="s">
        <v>257</v>
      </c>
      <c r="H29" t="s">
        <v>258</v>
      </c>
      <c r="I29" t="s">
        <v>252</v>
      </c>
      <c r="J29" t="s">
        <v>797</v>
      </c>
      <c r="K29" t="s">
        <v>797</v>
      </c>
      <c r="L29" t="str">
        <f>siteUrl&amp;"/Lists/"&amp;custList&amp;"/DispForm.aspx?ID="&amp;Customers[[#This Row],[Id]]</f>
        <v>https://cleansheet5.sharepoint.com/sites/SalesFunnel//Lists/auto12Customers/DispForm.aspx?ID=28</v>
      </c>
      <c r="M29" t="e">
        <f>_xlfn.XLOOKUP(Customers[[#This Row],[Id]],Customers[Id],#REF!)</f>
        <v>#REF!</v>
      </c>
      <c r="N29" t="str">
        <f>_xlfn.XLOOKUP(Customers[[#This Row],[Id]],Customers[Id],Customers[url2])</f>
        <v>https://cleansheet5.sharepoint.com/sites/SalesFunnel//Lists/auto12Customers/DispForm.aspx?ID=28</v>
      </c>
      <c r="V29" t="s">
        <v>56</v>
      </c>
    </row>
    <row r="30" spans="1:40" x14ac:dyDescent="0.25">
      <c r="A30">
        <v>29</v>
      </c>
      <c r="B30" t="s">
        <v>259</v>
      </c>
      <c r="C30" t="s">
        <v>261</v>
      </c>
      <c r="D30" t="s">
        <v>131</v>
      </c>
      <c r="E30" t="s">
        <v>262</v>
      </c>
      <c r="F30" t="s">
        <v>263</v>
      </c>
      <c r="G30" t="s">
        <v>264</v>
      </c>
      <c r="H30" t="s">
        <v>265</v>
      </c>
      <c r="I30" t="s">
        <v>260</v>
      </c>
      <c r="J30" t="s">
        <v>798</v>
      </c>
      <c r="K30" t="s">
        <v>798</v>
      </c>
      <c r="L30" t="str">
        <f>siteUrl&amp;"/Lists/"&amp;custList&amp;"/DispForm.aspx?ID="&amp;Customers[[#This Row],[Id]]</f>
        <v>https://cleansheet5.sharepoint.com/sites/SalesFunnel//Lists/auto12Customers/DispForm.aspx?ID=29</v>
      </c>
      <c r="M30" t="e">
        <f>_xlfn.XLOOKUP(Customers[[#This Row],[Id]],Customers[Id],#REF!)</f>
        <v>#REF!</v>
      </c>
      <c r="N30" t="str">
        <f>_xlfn.XLOOKUP(Customers[[#This Row],[Id]],Customers[Id],Customers[url2])</f>
        <v>https://cleansheet5.sharepoint.com/sites/SalesFunnel//Lists/auto12Customers/DispForm.aspx?ID=29</v>
      </c>
      <c r="V30" t="s">
        <v>58</v>
      </c>
    </row>
    <row r="31" spans="1:40" x14ac:dyDescent="0.25">
      <c r="A31">
        <v>30</v>
      </c>
      <c r="B31" t="s">
        <v>266</v>
      </c>
      <c r="C31" t="s">
        <v>268</v>
      </c>
      <c r="D31" t="s">
        <v>269</v>
      </c>
      <c r="E31" t="s">
        <v>270</v>
      </c>
      <c r="F31" t="s">
        <v>271</v>
      </c>
      <c r="G31" t="s">
        <v>272</v>
      </c>
      <c r="H31" t="s">
        <v>273</v>
      </c>
      <c r="I31" t="s">
        <v>267</v>
      </c>
      <c r="J31" t="s">
        <v>799</v>
      </c>
      <c r="K31" t="s">
        <v>799</v>
      </c>
      <c r="L31" t="str">
        <f>siteUrl&amp;"/Lists/"&amp;custList&amp;"/DispForm.aspx?ID="&amp;Customers[[#This Row],[Id]]</f>
        <v>https://cleansheet5.sharepoint.com/sites/SalesFunnel//Lists/auto12Customers/DispForm.aspx?ID=30</v>
      </c>
      <c r="M31" t="e">
        <f>_xlfn.XLOOKUP(Customers[[#This Row],[Id]],Customers[Id],#REF!)</f>
        <v>#REF!</v>
      </c>
      <c r="N31" t="str">
        <f>_xlfn.XLOOKUP(Customers[[#This Row],[Id]],Customers[Id],Customers[url2])</f>
        <v>https://cleansheet5.sharepoint.com/sites/SalesFunnel//Lists/auto12Customers/DispForm.aspx?ID=30</v>
      </c>
      <c r="V31" t="s">
        <v>59</v>
      </c>
    </row>
    <row r="32" spans="1:40" x14ac:dyDescent="0.25">
      <c r="AN32" t="s">
        <v>60</v>
      </c>
    </row>
  </sheetData>
  <phoneticPr fontId="4" type="noConversion"/>
  <pageMargins left="0.7" right="0.7" top="0.75" bottom="0.75" header="0.3" footer="0.3"/>
  <tableParts count="1">
    <tablePart r:id="rId1"/>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FE9A4D-4C0E-4BBD-A41C-5BA95E104431}">
  <sheetPr codeName="Sheet2"/>
  <dimension ref="A1:BA49"/>
  <sheetViews>
    <sheetView showGridLines="0" topLeftCell="J1" workbookViewId="0">
      <selection activeCell="AH2" sqref="AH2:AM4"/>
    </sheetView>
  </sheetViews>
  <sheetFormatPr defaultRowHeight="15" x14ac:dyDescent="0.25"/>
  <cols>
    <col min="1" max="1" width="26.85546875" bestFit="1" customWidth="1"/>
    <col min="2" max="5" width="26.28515625" customWidth="1"/>
    <col min="8" max="8" width="13.28515625" bestFit="1" customWidth="1"/>
    <col min="9" max="9" width="25.85546875" bestFit="1" customWidth="1"/>
    <col min="10" max="10" width="32.28515625" bestFit="1" customWidth="1"/>
    <col min="11" max="13" width="12.42578125" bestFit="1" customWidth="1"/>
    <col min="14" max="14" width="10.28515625" bestFit="1" customWidth="1"/>
    <col min="17" max="17" width="20" bestFit="1" customWidth="1"/>
    <col min="47" max="53" width="44.140625" customWidth="1"/>
    <col min="54" max="54" width="35" customWidth="1"/>
  </cols>
  <sheetData>
    <row r="1" spans="1:40" x14ac:dyDescent="0.25">
      <c r="I1" t="str" cm="1">
        <f t="array" ref="I1:O1">TRANSPOSE(_xlfn.UNIQUE(_xlfn._xlws.FILTER(_xlfn.SORTBY(View[Close Quarter],View[Close],1),View[Visible]=1)))</f>
        <v>FY26-Q1</v>
      </c>
      <c r="J1" t="str">
        <v>FY26-Q2</v>
      </c>
      <c r="K1" t="str">
        <v>FY26-Q3</v>
      </c>
      <c r="L1" t="str">
        <v>FY26-Q4</v>
      </c>
      <c r="M1" t="str">
        <v>FY27-Q1</v>
      </c>
      <c r="N1" t="str">
        <v>FY27-Q2</v>
      </c>
      <c r="O1" t="str">
        <v>FY27-Q3</v>
      </c>
      <c r="R1" t="str" cm="1">
        <f t="array" ref="R1:X1">TRANSPOSE(_xlfn.UNIQUE(_xlfn._xlws.FILTER(_xlfn.SORTBY(View[Close Quarter],View[Close],-1),View[Visible]=1)))</f>
        <v>FY27-Q3</v>
      </c>
      <c r="S1" t="str">
        <v>FY27-Q2</v>
      </c>
      <c r="T1" t="str">
        <v>FY27-Q1</v>
      </c>
      <c r="U1" t="str">
        <v>FY26-Q4</v>
      </c>
      <c r="V1" t="str">
        <v>FY26-Q3</v>
      </c>
      <c r="W1" t="str">
        <v>FY26-Q2</v>
      </c>
      <c r="X1" t="str">
        <v>FY26-Q1</v>
      </c>
      <c r="AH1" t="str" cm="1">
        <f t="array" ref="AH1:AN1">TRANSPOSE(_xlfn.UNIQUE(_xlfn.SORTBY(View[Close Quarter],(View[Close]),-1)))</f>
        <v>FY27-Q3</v>
      </c>
      <c r="AI1" t="str">
        <v>FY27-Q2</v>
      </c>
      <c r="AJ1" t="str">
        <v>FY27-Q1</v>
      </c>
      <c r="AK1" t="str">
        <v>FY26-Q4</v>
      </c>
      <c r="AL1" t="str">
        <v>FY26-Q3</v>
      </c>
      <c r="AM1" t="str">
        <v>FY26-Q2</v>
      </c>
      <c r="AN1" t="str">
        <v>FY26-Q1</v>
      </c>
    </row>
    <row r="2" spans="1:40" x14ac:dyDescent="0.25">
      <c r="B2" s="14">
        <f>SUBTOTAL(9, View[Unweighted])/1000</f>
        <v>49.907542999999976</v>
      </c>
      <c r="C2" s="15">
        <f>SUBTOTAL(3,View[[🔗Customer ]])</f>
        <v>40</v>
      </c>
      <c r="D2" s="16">
        <f>(B2-(SUBTOTAL(9,View[Estmated Revenue])/1000))/B2</f>
        <v>0.58362989738845672</v>
      </c>
      <c r="E2" s="18">
        <f>SUMIFS(Opportunities[Amount],Opportunities[High Probability],TRUE,View[Visible],1)/1000/1000</f>
        <v>6.3499160000000003</v>
      </c>
      <c r="H2" t="s">
        <v>48</v>
      </c>
      <c r="I2">
        <f>IF(I1="","",COUNTIFS(View[Visible],1,View[Close Quarter],graphics!I1))</f>
        <v>4</v>
      </c>
      <c r="J2">
        <f>IF(J1="","",COUNTIFS(View[Visible],1,View[Close Quarter],graphics!J1))</f>
        <v>8</v>
      </c>
      <c r="K2">
        <f>IF(K1="","",COUNTIFS(View[Visible],1,View[Close Quarter],graphics!K1))</f>
        <v>5</v>
      </c>
      <c r="L2">
        <f>IF(L1="","",COUNTIFS(View[Visible],1,View[Close Quarter],graphics!L1))</f>
        <v>7</v>
      </c>
      <c r="M2">
        <f>IF(M1="","",COUNTIFS(View[Visible],1,View[Close Quarter],graphics!M1))</f>
        <v>6</v>
      </c>
      <c r="N2">
        <f>IF(N1="","",COUNTIFS(View[Visible],1,View[Close Quarter],graphics!N1))</f>
        <v>9</v>
      </c>
      <c r="Q2" t="str" cm="1">
        <f t="array" ref="Q2:Q7">(_xlfn._xlws.SORT(_xlfn.UNIQUE(View[Stage])))</f>
        <v>➀ - Lead Qualification</v>
      </c>
      <c r="R2">
        <f>IF(R$1="","",SUMIFS(View[Unweighted],View[Close Quarter],R$1,View[Stage],$Q2,View[Visible],1)/1000)</f>
        <v>0</v>
      </c>
      <c r="S2">
        <f>IF(S$1="","",SUMIFS(View[Unweighted],View[Close Quarter],S$1,View[Stage],$Q2,View[Visible],1)/1000)</f>
        <v>1.21343</v>
      </c>
      <c r="T2">
        <f>IF(T$1="","",SUMIFS(View[Unweighted],View[Close Quarter],T$1,View[Stage],$Q2,View[Visible],1)/1000)</f>
        <v>1.0613250000000001</v>
      </c>
      <c r="U2">
        <f>IF(U$1="","",SUMIFS(View[Unweighted],View[Close Quarter],U$1,View[Stage],$Q2,View[Visible],1)/1000)</f>
        <v>6.6831880000000004</v>
      </c>
      <c r="V2">
        <f>IF(V$1="","",SUMIFS(View[Unweighted],View[Close Quarter],V$1,View[Stage],$Q2,View[Visible],1)/1000)</f>
        <v>0</v>
      </c>
      <c r="W2">
        <f>IF(W$1="","",SUMIFS(View[Unweighted],View[Close Quarter],W$1,View[Stage],$Q2,View[Visible],1)/1000)</f>
        <v>0</v>
      </c>
      <c r="AF2" t="s">
        <v>76</v>
      </c>
      <c r="AG2" t="s">
        <v>25</v>
      </c>
      <c r="AH2" s="26">
        <f>IF(AH$1="","",SUMIFS(View[Unweighted],View[Close Quarter],AH$1,View[Status],$AG2,View[Visible],1)/1000)</f>
        <v>0</v>
      </c>
      <c r="AI2" s="26">
        <f>IF(AI$1="","",SUMIFS(View[Unweighted],View[Close Quarter],AI$1,View[Status],$AG2,View[Visible],1)/1000)</f>
        <v>0</v>
      </c>
      <c r="AJ2" s="26">
        <f>IF(AJ$1="","",SUMIFS(View[Unweighted],View[Close Quarter],AJ$1,View[Status],$AG2,View[Visible],1)/1000)</f>
        <v>0</v>
      </c>
      <c r="AK2" s="26">
        <f>IF(AK$1="","",SUMIFS(View[Unweighted],View[Close Quarter],AK$1,View[Status],$AG2,View[Visible],1)/1000)</f>
        <v>0</v>
      </c>
      <c r="AL2" s="26">
        <f>IF(AL$1="","",SUMIFS(View[Unweighted],View[Close Quarter],AL$1,View[Status],$AG2,View[Visible],1)/1000)</f>
        <v>0</v>
      </c>
      <c r="AM2" s="26">
        <f>IF(AM$1="","",SUMIFS(View[Unweighted],View[Close Quarter],AM$1,View[Status],$AG2,View[Visible],1)/1000)</f>
        <v>1.1614259999999998</v>
      </c>
    </row>
    <row r="3" spans="1:40" x14ac:dyDescent="0.25">
      <c r="B3" s="13" t="s">
        <v>26</v>
      </c>
      <c r="C3" s="13" t="s">
        <v>48</v>
      </c>
      <c r="D3" s="13" t="s">
        <v>27</v>
      </c>
      <c r="E3" s="5" t="s">
        <v>28</v>
      </c>
      <c r="H3" t="s">
        <v>43</v>
      </c>
      <c r="I3" s="4">
        <f>IF(I1="","",SUMIFS(View[Unweighted],View[Visible],1,View[Close Quarter],graphics!I$1)/1000)</f>
        <v>3.8018620000000003</v>
      </c>
      <c r="J3" s="4">
        <f>IF(J1="","",SUMIFS(View[Unweighted],View[Visible],1,View[Close Quarter],graphics!J$1)/1000)</f>
        <v>9.7790689999999998</v>
      </c>
      <c r="K3" s="4">
        <f>IF(K1="","",SUMIFS(View[Unweighted],View[Visible],1,View[Close Quarter],graphics!K$1)/1000)</f>
        <v>5.5999679999999996</v>
      </c>
      <c r="L3" s="4">
        <f>IF(L1="","",SUMIFS(View[Unweighted],View[Visible],1,View[Close Quarter],graphics!L$1)/1000)</f>
        <v>9.8344160000000009</v>
      </c>
      <c r="M3" s="4">
        <f>IF(M1="","",SUMIFS(View[Unweighted],View[Visible],1,View[Close Quarter],graphics!M$1)/1000)</f>
        <v>8.4019849999999998</v>
      </c>
      <c r="N3" s="4">
        <f>IF(N1="","",SUMIFS(View[Unweighted],View[Visible],1,View[Close Quarter],graphics!N$1)/1000)</f>
        <v>10.655579000000001</v>
      </c>
      <c r="Q3" t="str">
        <v>➁ - Nurturing</v>
      </c>
      <c r="R3">
        <f>IF(R$1="","",SUMIFS(View[Unweighted],View[Close Quarter],R$1,View[Stage],$Q3,View[Visible],1)/1000)</f>
        <v>1.8346640000000001</v>
      </c>
      <c r="S3">
        <f>IF(S$1="","",SUMIFS(View[Unweighted],View[Close Quarter],S$1,View[Stage],$Q3,View[Visible],1)/1000)</f>
        <v>0</v>
      </c>
      <c r="T3">
        <f>IF(T$1="","",SUMIFS(View[Unweighted],View[Close Quarter],T$1,View[Stage],$Q3,View[Visible],1)/1000)</f>
        <v>1.172164</v>
      </c>
      <c r="U3">
        <f>IF(U$1="","",SUMIFS(View[Unweighted],View[Close Quarter],U$1,View[Stage],$Q3,View[Visible],1)/1000)</f>
        <v>0.80033600000000005</v>
      </c>
      <c r="V3">
        <f>IF(V$1="","",SUMIFS(View[Unweighted],View[Close Quarter],V$1,View[Stage],$Q3,View[Visible],1)/1000)</f>
        <v>0.99488199999999993</v>
      </c>
      <c r="W3">
        <f>IF(W$1="","",SUMIFS(View[Unweighted],View[Close Quarter],W$1,View[Stage],$Q3,View[Visible],1)/1000)</f>
        <v>1.781938</v>
      </c>
      <c r="AF3" t="s">
        <v>77</v>
      </c>
      <c r="AG3" t="s">
        <v>17</v>
      </c>
      <c r="AH3" s="26">
        <f>IF(AH$1="","",SUMIFS(View[Unweighted],View[Close Quarter],AH$1,View[Status],$AG3,View[Visible],1)/1000)</f>
        <v>0</v>
      </c>
      <c r="AI3" s="26">
        <f>IF(AI$1="","",SUMIFS(View[Unweighted],View[Close Quarter],AI$1,View[Status],$AG3,View[Visible],1)/1000)</f>
        <v>2.01708</v>
      </c>
      <c r="AJ3" s="26">
        <f>IF(AJ$1="","",SUMIFS(View[Unweighted],View[Close Quarter],AJ$1,View[Status],$AG3,View[Visible],1)/1000)</f>
        <v>0</v>
      </c>
      <c r="AK3" s="26">
        <f>IF(AK$1="","",SUMIFS(View[Unweighted],View[Close Quarter],AK$1,View[Status],$AG3,View[Visible],1)/1000)</f>
        <v>1.310673</v>
      </c>
      <c r="AL3" s="26">
        <f>IF(AL$1="","",SUMIFS(View[Unweighted],View[Close Quarter],AL$1,View[Status],$AG3,View[Visible],1)/1000)</f>
        <v>1.7141489999999999</v>
      </c>
      <c r="AM3" s="26">
        <f>IF(AM$1="","",SUMIFS(View[Unweighted],View[Close Quarter],AM$1,View[Status],$AG3,View[Visible],1)/1000)</f>
        <v>0</v>
      </c>
    </row>
    <row r="4" spans="1:40" x14ac:dyDescent="0.25">
      <c r="H4" t="s">
        <v>41</v>
      </c>
      <c r="I4" s="4">
        <f>IF(I1="","",SUMIFS(View[Estmated Revenue],View[Visible],1,View[Close Quarter],graphics!I$1)/1000)</f>
        <v>1.1544082</v>
      </c>
      <c r="J4" s="4">
        <f>IF(J1="","",SUMIFS(View[Estmated Revenue],View[Visible],1,View[Close Quarter],graphics!J$1)/1000)</f>
        <v>3.5330436000000005</v>
      </c>
      <c r="K4" s="4">
        <f>IF(K1="","",SUMIFS(View[Estmated Revenue],View[Visible],1,View[Close Quarter],graphics!K$1)/1000)</f>
        <v>1.8872377999999999</v>
      </c>
      <c r="L4" s="4">
        <f>IF(L1="","",SUMIFS(View[Estmated Revenue],View[Visible],1,View[Close Quarter],graphics!L$1)/1000)</f>
        <v>4.5365847000000006</v>
      </c>
      <c r="M4" s="4">
        <f>IF(M1="","",SUMIFS(View[Estmated Revenue],View[Visible],1,View[Close Quarter],graphics!M$1)/1000)</f>
        <v>3.0271736000000002</v>
      </c>
      <c r="N4" s="4">
        <f>IF(N1="","",SUMIFS(View[Estmated Revenue],View[Visible],1,View[Close Quarter],graphics!N$1)/1000)</f>
        <v>6.274628100000001</v>
      </c>
      <c r="Q4" t="str">
        <v>➂ - Proposal</v>
      </c>
      <c r="R4">
        <f>IF(R$1="","",SUMIFS(View[Unweighted],View[Close Quarter],R$1,View[Stage],$Q4,View[Visible],1)/1000)</f>
        <v>0</v>
      </c>
      <c r="S4">
        <f>IF(S$1="","",SUMIFS(View[Unweighted],View[Close Quarter],S$1,View[Stage],$Q4,View[Visible],1)/1000)</f>
        <v>2.6452529999999999</v>
      </c>
      <c r="T4">
        <f>IF(T$1="","",SUMIFS(View[Unweighted],View[Close Quarter],T$1,View[Stage],$Q4,View[Visible],1)/1000)</f>
        <v>0</v>
      </c>
      <c r="U4">
        <f>IF(U$1="","",SUMIFS(View[Unweighted],View[Close Quarter],U$1,View[Stage],$Q4,View[Visible],1)/1000)</f>
        <v>1.5247870000000001</v>
      </c>
      <c r="V4">
        <f>IF(V$1="","",SUMIFS(View[Unweighted],View[Close Quarter],V$1,View[Stage],$Q4,View[Visible],1)/1000)</f>
        <v>0.94528400000000001</v>
      </c>
      <c r="W4">
        <f>IF(W$1="","",SUMIFS(View[Unweighted],View[Close Quarter],W$1,View[Stage],$Q4,View[Visible],1)/1000)</f>
        <v>3.1196869999999999</v>
      </c>
      <c r="AF4" t="s">
        <v>78</v>
      </c>
      <c r="AG4" t="s">
        <v>19</v>
      </c>
      <c r="AH4" s="26">
        <f>IF(AH$1="","",SUMIFS(View[Unweighted],View[Close Quarter],AH$1,View[Status],$AG4,View[Visible],1)/1000)</f>
        <v>1.8346640000000001</v>
      </c>
      <c r="AI4" s="26">
        <f>IF(AI$1="","",SUMIFS(View[Unweighted],View[Close Quarter],AI$1,View[Status],$AG4,View[Visible],1)/1000)</f>
        <v>8.6384989999999995</v>
      </c>
      <c r="AJ4" s="26">
        <f>IF(AJ$1="","",SUMIFS(View[Unweighted],View[Close Quarter],AJ$1,View[Status],$AG4,View[Visible],1)/1000)</f>
        <v>8.4019849999999998</v>
      </c>
      <c r="AK4" s="26">
        <f>IF(AK$1="","",SUMIFS(View[Unweighted],View[Close Quarter],AK$1,View[Status],$AG4,View[Visible],1)/1000)</f>
        <v>8.5237429999999978</v>
      </c>
      <c r="AL4" s="26">
        <f>IF(AL$1="","",SUMIFS(View[Unweighted],View[Close Quarter],AL$1,View[Status],$AG4,View[Visible],1)/1000)</f>
        <v>3.8858190000000001</v>
      </c>
      <c r="AM4" s="26">
        <f>IF(AM$1="","",SUMIFS(View[Unweighted],View[Close Quarter],AM$1,View[Status],$AG4,View[Visible],1)/1000)</f>
        <v>8.6176429999999993</v>
      </c>
    </row>
    <row r="5" spans="1:40" x14ac:dyDescent="0.25">
      <c r="Q5" t="str">
        <v>➃ - Negotiation</v>
      </c>
      <c r="R5">
        <f>IF(R$1="","",SUMIFS(View[Unweighted],View[Close Quarter],R$1,View[Stage],$Q5,View[Visible],1)/1000)</f>
        <v>0</v>
      </c>
      <c r="S5">
        <f>IF(S$1="","",SUMIFS(View[Unweighted],View[Close Quarter],S$1,View[Stage],$Q5,View[Visible],1)/1000)</f>
        <v>2.01708</v>
      </c>
      <c r="T5">
        <f>IF(T$1="","",SUMIFS(View[Unweighted],View[Close Quarter],T$1,View[Stage],$Q5,View[Visible],1)/1000)</f>
        <v>2.9047390000000002</v>
      </c>
      <c r="U5">
        <f>IF(U$1="","",SUMIFS(View[Unweighted],View[Close Quarter],U$1,View[Stage],$Q5,View[Visible],1)/1000)</f>
        <v>0</v>
      </c>
      <c r="V5">
        <f>IF(V$1="","",SUMIFS(View[Unweighted],View[Close Quarter],V$1,View[Stage],$Q5,View[Visible],1)/1000)</f>
        <v>1.8540410000000001</v>
      </c>
      <c r="W5">
        <f>IF(W$1="","",SUMIFS(View[Unweighted],View[Close Quarter],W$1,View[Stage],$Q5,View[Visible],1)/1000)</f>
        <v>0.89063199999999998</v>
      </c>
    </row>
    <row r="6" spans="1:40" x14ac:dyDescent="0.25">
      <c r="Q6" t="str">
        <v>➄ - Project Execution</v>
      </c>
      <c r="R6">
        <f>IF(R$1="","",SUMIFS(View[Unweighted],View[Close Quarter],R$1,View[Stage],$Q6,View[Visible],1)/1000)</f>
        <v>0</v>
      </c>
      <c r="S6">
        <f>IF(S$1="","",SUMIFS(View[Unweighted],View[Close Quarter],S$1,View[Stage],$Q6,View[Visible],1)/1000)</f>
        <v>3.7275280000000004</v>
      </c>
      <c r="T6">
        <f>IF(T$1="","",SUMIFS(View[Unweighted],View[Close Quarter],T$1,View[Stage],$Q6,View[Visible],1)/1000)</f>
        <v>3.263757</v>
      </c>
      <c r="U6">
        <f>IF(U$1="","",SUMIFS(View[Unweighted],View[Close Quarter],U$1,View[Stage],$Q6,View[Visible],1)/1000)</f>
        <v>0.82610499999999998</v>
      </c>
      <c r="V6">
        <f>IF(V$1="","",SUMIFS(View[Unweighted],View[Close Quarter],V$1,View[Stage],$Q6,View[Visible],1)/1000)</f>
        <v>0</v>
      </c>
      <c r="W6">
        <f>IF(W$1="","",SUMIFS(View[Unweighted],View[Close Quarter],W$1,View[Stage],$Q6,View[Visible],1)/1000)</f>
        <v>0</v>
      </c>
    </row>
    <row r="7" spans="1:40" x14ac:dyDescent="0.25">
      <c r="Q7" t="str">
        <v>➅ - Closeout</v>
      </c>
      <c r="R7">
        <f>IF(R$1="","",SUMIFS(View[Unweighted],View[Close Quarter],R$1,View[Stage],$Q7,View[Visible],1)/1000)</f>
        <v>0</v>
      </c>
      <c r="S7">
        <f>IF(S$1="","",SUMIFS(View[Unweighted],View[Close Quarter],S$1,View[Stage],$Q7,View[Visible],1)/1000)</f>
        <v>1.0522880000000001</v>
      </c>
      <c r="T7">
        <f>IF(T$1="","",SUMIFS(View[Unweighted],View[Close Quarter],T$1,View[Stage],$Q7,View[Visible],1)/1000)</f>
        <v>0</v>
      </c>
      <c r="U7">
        <f>IF(U$1="","",SUMIFS(View[Unweighted],View[Close Quarter],U$1,View[Stage],$Q7,View[Visible],1)/1000)</f>
        <v>0</v>
      </c>
      <c r="V7">
        <f>IF(V$1="","",SUMIFS(View[Unweighted],View[Close Quarter],V$1,View[Stage],$Q7,View[Visible],1)/1000)</f>
        <v>1.8057609999999999</v>
      </c>
      <c r="W7">
        <f>IF(W$1="","",SUMIFS(View[Unweighted],View[Close Quarter],W$1,View[Stage],$Q7,View[Visible],1)/1000)</f>
        <v>3.986812</v>
      </c>
    </row>
    <row r="10" spans="1:40" x14ac:dyDescent="0.25">
      <c r="B10" t="s">
        <v>14</v>
      </c>
      <c r="C10" t="s">
        <v>48</v>
      </c>
      <c r="D10" t="s">
        <v>15</v>
      </c>
    </row>
    <row r="11" spans="1:40" x14ac:dyDescent="0.25">
      <c r="A11" t="str">
        <f>_xlfn.XLOOKUP(B11,stage[Display],stage[Stage Name])</f>
        <v>Lead Qualification</v>
      </c>
      <c r="B11" t="s">
        <v>378</v>
      </c>
      <c r="C11">
        <f>COUNTIFS(View[Stage],B11,View[Visible],1)</f>
        <v>7</v>
      </c>
      <c r="D11" s="21">
        <f>SUMIFS(View[Opp Value],View[Stage],B11,View[Visible],1)/1000</f>
        <v>9.7743970000000004</v>
      </c>
    </row>
    <row r="12" spans="1:40" x14ac:dyDescent="0.25">
      <c r="A12" t="str">
        <f>_xlfn.XLOOKUP(B12,stage[Display],stage[Stage Name])</f>
        <v>Nurturing</v>
      </c>
      <c r="B12" t="s">
        <v>379</v>
      </c>
      <c r="C12">
        <f>COUNTIF(View[Stage],B12)</f>
        <v>7</v>
      </c>
      <c r="D12" s="21">
        <f>SUMIFS(View[Opp Value],View[Stage],B12,View[Visible],1)/1000</f>
        <v>8.4331700000000005</v>
      </c>
    </row>
    <row r="13" spans="1:40" x14ac:dyDescent="0.25">
      <c r="A13" t="str">
        <f>_xlfn.XLOOKUP(B13,stage[Display],stage[Stage Name])</f>
        <v>Proposal</v>
      </c>
      <c r="B13" t="s">
        <v>380</v>
      </c>
      <c r="C13">
        <f>COUNTIF(View[Stage],B13)</f>
        <v>7</v>
      </c>
      <c r="D13" s="21">
        <f>SUMIFS(View[Opp Value],View[Stage],B13,View[Visible],1)/1000</f>
        <v>8.2350109999999983</v>
      </c>
    </row>
    <row r="14" spans="1:40" x14ac:dyDescent="0.25">
      <c r="A14" t="str">
        <f>_xlfn.XLOOKUP(B14,stage[Display],stage[Stage Name])</f>
        <v>Negotiation</v>
      </c>
      <c r="B14" t="s">
        <v>381</v>
      </c>
      <c r="C14">
        <f>COUNTIF(View[Stage],B14)</f>
        <v>7</v>
      </c>
      <c r="D14" s="21">
        <f>SUMIFS(View[Opp Value],View[Stage],B14,View[Visible],1)/1000</f>
        <v>8.8027139999999999</v>
      </c>
    </row>
    <row r="15" spans="1:40" x14ac:dyDescent="0.25">
      <c r="A15" t="str">
        <f>_xlfn.XLOOKUP(B15,stage[Display],stage[Stage Name])</f>
        <v>Project Execution</v>
      </c>
      <c r="B15" t="s">
        <v>382</v>
      </c>
      <c r="C15">
        <f>COUNTIF(View[Stage],B15)</f>
        <v>6</v>
      </c>
      <c r="D15" s="21">
        <f>SUMIFS(View[Opp Value],View[Stage],B15,View[Visible],1)/1000</f>
        <v>7.8173900000000014</v>
      </c>
    </row>
    <row r="16" spans="1:40" x14ac:dyDescent="0.25">
      <c r="A16" t="str">
        <f>_xlfn.XLOOKUP(B16,stage[Display],stage[Stage Name])</f>
        <v>Closeout</v>
      </c>
      <c r="B16" t="s">
        <v>383</v>
      </c>
      <c r="C16">
        <f>COUNTIF(View[Stage],B16)</f>
        <v>6</v>
      </c>
      <c r="D16" s="21">
        <f>SUMIFS(View[Opp Value],View[Stage],B16,View[Visible],1)/1000</f>
        <v>6.8448610000000008</v>
      </c>
    </row>
    <row r="37" spans="47:53" s="37" customFormat="1" ht="52.5" customHeight="1" x14ac:dyDescent="0.25"/>
    <row r="38" spans="47:53" s="37" customFormat="1" ht="52.5" customHeight="1" x14ac:dyDescent="0.25"/>
    <row r="39" spans="47:53" s="37" customFormat="1" ht="52.5" customHeight="1" x14ac:dyDescent="0.25"/>
    <row r="40" spans="47:53" s="37" customFormat="1" ht="52.5" customHeight="1" x14ac:dyDescent="0.25">
      <c r="AU40" s="38"/>
      <c r="AV40" s="38"/>
      <c r="AW40" s="38"/>
      <c r="AX40" s="38"/>
      <c r="AY40" s="38"/>
      <c r="AZ40" s="38"/>
      <c r="BA40" s="38"/>
    </row>
    <row r="41" spans="47:53" s="37" customFormat="1" ht="52.5" customHeight="1" x14ac:dyDescent="0.25">
      <c r="AU41" s="38"/>
      <c r="AV41" s="38"/>
      <c r="AW41" s="38"/>
      <c r="AX41" s="38"/>
      <c r="AY41" s="38"/>
      <c r="AZ41" s="38"/>
      <c r="BA41" s="38"/>
    </row>
    <row r="42" spans="47:53" s="37" customFormat="1" ht="52.5" customHeight="1" x14ac:dyDescent="0.25">
      <c r="AU42" s="38"/>
      <c r="AV42" s="38"/>
      <c r="AW42" s="38"/>
      <c r="AX42" s="38"/>
      <c r="AY42" s="38"/>
      <c r="AZ42" s="38"/>
      <c r="BA42" s="38"/>
    </row>
    <row r="43" spans="47:53" s="37" customFormat="1" ht="52.5" customHeight="1" x14ac:dyDescent="0.25">
      <c r="AU43" s="38"/>
      <c r="AV43" s="38"/>
      <c r="AW43" s="38"/>
      <c r="AX43" s="38"/>
      <c r="AY43" s="38"/>
      <c r="AZ43" s="38"/>
      <c r="BA43" s="38"/>
    </row>
    <row r="44" spans="47:53" s="37" customFormat="1" ht="52.5" customHeight="1" x14ac:dyDescent="0.25">
      <c r="AU44" s="38"/>
      <c r="AV44" s="38"/>
      <c r="AW44" s="38"/>
      <c r="AX44" s="38"/>
      <c r="AY44" s="38"/>
      <c r="AZ44" s="38"/>
      <c r="BA44" s="38"/>
    </row>
    <row r="45" spans="47:53" s="37" customFormat="1" ht="52.5" customHeight="1" x14ac:dyDescent="0.25">
      <c r="AU45" s="38"/>
      <c r="AV45" s="38"/>
      <c r="AW45" s="38"/>
      <c r="AX45" s="38"/>
      <c r="AY45" s="38"/>
      <c r="AZ45" s="38"/>
      <c r="BA45" s="38"/>
    </row>
    <row r="46" spans="47:53" s="37" customFormat="1" ht="52.5" customHeight="1" x14ac:dyDescent="0.25">
      <c r="AU46" s="38"/>
      <c r="AV46" s="38"/>
      <c r="AW46" s="38"/>
      <c r="AX46" s="38"/>
      <c r="AY46" s="38"/>
      <c r="AZ46" s="38"/>
      <c r="BA46" s="38"/>
    </row>
    <row r="47" spans="47:53" s="37" customFormat="1" ht="52.5" customHeight="1" x14ac:dyDescent="0.25">
      <c r="AU47" s="38"/>
      <c r="AV47" s="38"/>
      <c r="AW47" s="38"/>
      <c r="AX47" s="38"/>
      <c r="AY47" s="38"/>
      <c r="AZ47" s="38"/>
      <c r="BA47" s="38"/>
    </row>
    <row r="48" spans="47:53" s="37" customFormat="1" ht="52.5" customHeight="1" x14ac:dyDescent="0.25">
      <c r="AU48" s="38"/>
      <c r="AV48" s="38"/>
      <c r="AW48" s="38"/>
      <c r="AX48" s="38"/>
      <c r="AY48" s="38"/>
      <c r="AZ48" s="38"/>
      <c r="BA48" s="38"/>
    </row>
    <row r="49" spans="47:53" s="37" customFormat="1" ht="52.5" customHeight="1" x14ac:dyDescent="0.25">
      <c r="AU49" s="38"/>
      <c r="AV49" s="38"/>
      <c r="AW49" s="38"/>
      <c r="AX49" s="38"/>
      <c r="AY49" s="38"/>
      <c r="AZ49" s="38"/>
      <c r="BA49" s="38"/>
    </row>
  </sheetData>
  <pageMargins left="0.7" right="0.7" top="0.75" bottom="0.75" header="0.3" footer="0.3"/>
  <drawing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C19280-E024-4288-A877-088FE75A627E}">
  <dimension ref="A1:L12"/>
  <sheetViews>
    <sheetView workbookViewId="0"/>
  </sheetViews>
  <sheetFormatPr defaultRowHeight="15" x14ac:dyDescent="0.25"/>
  <cols>
    <col min="1" max="1" width="43.140625" style="39" bestFit="1" customWidth="1"/>
    <col min="6" max="12" width="53" style="38" customWidth="1"/>
  </cols>
  <sheetData>
    <row r="1" spans="1:12" x14ac:dyDescent="0.25">
      <c r="A1" s="39" t="str" cm="1">
        <f t="array" ref="A1:A8">_xlfn.VSTACK("Critical",_xlfn._xlws.FILTER(Opportunities[Display],Opportunities[Status]="Critical"),"","At Risk",_xlfn._xlws.FILTER(Opportunities[Display],Opportunities[Status]="At Risk"))</f>
        <v>Critical</v>
      </c>
      <c r="F1" s="40" t="str" cm="1">
        <f t="array" ref="F1:L1">TRANSPOSE(_xlfn.UNIQUE((_xlfn.SORTBY(View[Close Quarter],View[Close],1))))</f>
        <v>FY26-Q1</v>
      </c>
      <c r="G1" s="40" t="str">
        <v>FY26-Q2</v>
      </c>
      <c r="H1" s="40" t="str">
        <v>FY26-Q3</v>
      </c>
      <c r="I1" s="40" t="str">
        <v>FY26-Q4</v>
      </c>
      <c r="J1" s="40" t="str">
        <v>FY27-Q1</v>
      </c>
      <c r="K1" s="40" t="str">
        <v>FY27-Q2</v>
      </c>
      <c r="L1" s="40" t="str">
        <v>FY27-Q3</v>
      </c>
    </row>
    <row r="2" spans="1:12" ht="45" x14ac:dyDescent="0.25">
      <c r="A2" s="39" t="str">
        <v>⮾ Telecommunications Inc
(Marketing Automation Platform)
 $1.2m • Proposal • Owner: Amanda Sales</v>
      </c>
      <c r="F2" s="38" t="str" cm="1">
        <f t="array" ref="F2:F5">_xlfn._xlws.FILTER(Opportunities[Display],Opportunities[Close Quarter]=tables!F1)</f>
        <v>✓ Real Estate Ventures
(Security Assessment &amp; Audit)
 $1.2m • Nurturing • Owner: David Specialist</v>
      </c>
      <c r="G2" s="38" t="str" cm="1">
        <f t="array" ref="G2:G9">_xlfn._xlws.FILTER(Opportunities[Display],Opportunities[Close Quarter]=tables!G1)</f>
        <v>✓ Education First
(Cloud Migration Initiative)
 $1.8m • Nurturing • Owner: Robert Analyst</v>
      </c>
      <c r="H2" s="38" t="str" cm="1">
        <f t="array" ref="H2:H6">_xlfn._xlws.FILTER(Opportunities[Display],Opportunities[Close Quarter]=tables!H1)</f>
        <v>✓ Consulting Experts
(Mobile Application Development)
 $1.1m • Negotiation • Owner: Amanda Sales</v>
      </c>
      <c r="I2" s="38" t="str" cm="1">
        <f t="array" ref="I2:I8">_xlfn._xlws.FILTER(Opportunities[Display],Opportunities[Close Quarter]=tables!I1)</f>
        <v>✓ Agricultural Systems
(ERP Implementation Project)
 $1.5m • Lead Qualification • Owner: Amanda Sales</v>
      </c>
      <c r="J2" s="38" t="str" cm="1">
        <f t="array" ref="J2:J7">_xlfn._xlws.FILTER(Opportunities[Display],Opportunities[Close Quarter]=tables!J1)</f>
        <v>✓ Insurance Specialists
(Cybersecurity Enhancement)
 $1.1m • Project Execution • Owner: Dr. Tech Advisor</v>
      </c>
      <c r="K2" s="38" t="str" cm="1">
        <f t="array" ref="K2:K10">_xlfn._xlws.FILTER(Opportunities[Display],Opportunities[Close Quarter]=tables!K1)</f>
        <v>✓ Food Service Partners
(Healthcare Data Analytics Platform)
 $1.2m • Proposal • Owner: Amanda Sales</v>
      </c>
      <c r="L2" s="38" t="str" cm="1">
        <f t="array" ref="L2">_xlfn._xlws.FILTER(Opportunities[Display],Opportunities[Close Quarter]=tables!L1)</f>
        <v>✓ Construction Dynamics
(Workflow Automation Tool)
 $1.8m • Nurturing • Owner: Amanda Sales</v>
      </c>
    </row>
    <row r="3" spans="1:12" ht="45" x14ac:dyDescent="0.25">
      <c r="A3" s="39" t="str">
        <v/>
      </c>
      <c r="F3" s="38" t="str">
        <v>✓ Transport Logistics
(Point of Sale System)
 $1.1m • Negotiation • Owner: David Specialist</v>
      </c>
      <c r="G3" s="38" t="str">
        <v>✓ Food Service Partners
(Manufacturing Automation System)
 $0.7m • Closeout • Owner: Robert Analyst</v>
      </c>
      <c r="H3" s="38" t="str">
        <v>⚠ Environmental Services
(Quality Management System)
 $0.9m • Proposal • Owner: John Manager</v>
      </c>
      <c r="I3" s="38" t="str">
        <v>✓ Professional Services Group
(Digital Transformation Project)
 $0.8m • Project Execution • Owner: Robert Analyst</v>
      </c>
      <c r="J3" s="38" t="str">
        <v>✓ Global Industries
(E-commerce Platform)
 $1.2m • Negotiation • Owner: Lisa Engineer</v>
      </c>
      <c r="K3" s="38" t="str">
        <v>✓ Media Communications
(Network Infrastructure Upgrade)
 $1.0m • Project Execution • Owner: Dr. Tech Advisor</v>
      </c>
    </row>
    <row r="4" spans="1:12" ht="45" x14ac:dyDescent="0.25">
      <c r="A4" s="39" t="str">
        <v>At Risk</v>
      </c>
      <c r="F4" s="38" t="str">
        <v>✓ ACME Corporation
(Video Conferencing Solution)
 $0.8m • Lead Qualification • Owner: Mike Consultant</v>
      </c>
      <c r="G4" s="38" t="str">
        <v>✓ Professional Services Group
(Business Intelligence Solution)
 $1.0m • Closeout • Owner: Sarah Director</v>
      </c>
      <c r="H4" s="38" t="str">
        <v>✓ Mining Operations
(Compliance Management Tool)
 $1.0m • Nurturing • Owner: Dr. Tech Advisor</v>
      </c>
      <c r="I4" s="38" t="str">
        <v>⚠ Publishing House
(Customer Portal Development)
 $1.3m • Lead Qualification • Owner: Lisa Engineer</v>
      </c>
      <c r="J4" s="38" t="str">
        <v>✓ Global Industries
(Document Management System)
 $1.1m • Lead Qualification • Owner: John Manager</v>
      </c>
      <c r="K4" s="38" t="str">
        <v>⚠ Tech Solutions Inc
(Data Center Consolidation)
 $2.0m • Negotiation • Owner: David Specialist</v>
      </c>
    </row>
    <row r="5" spans="1:12" ht="60" x14ac:dyDescent="0.25">
      <c r="A5" s="39" t="str">
        <v>⚠ Publishing House
(Customer Portal Development)
 $1.3m • Lead Qualification • Owner: Lisa Engineer</v>
      </c>
      <c r="F5" s="38" t="str">
        <v>✓ Waste Management Co
(Environmental Monitoring Solution)
 $0.7m • Nurturing • Owner: Jennifer PM</v>
      </c>
      <c r="G5" s="38" t="str">
        <v>✓ Sports &amp; Recreation
(HR Management System)
 $0.9m • Negotiation • Owner: Maria Coordinator</v>
      </c>
      <c r="H5" s="38" t="str">
        <v>✓ Education First
(Social Media Management Tool)
 $1.8m • Closeout • Owner: Maria Coordinator</v>
      </c>
      <c r="I5" s="38" t="str">
        <v>✓ Construction Dynamics
(Financial Planning Software)
 $2.2m • Lead Qualification • Owner: Dr. Tech Advisor</v>
      </c>
      <c r="J5" s="38" t="str">
        <v>✓ Hotel Management Group
(Supply Chain Optimization)
 $1.7m • Negotiation • Owner: Jennifer PM</v>
      </c>
      <c r="K5" s="38" t="str">
        <v>✓ Security Solutions
(Training &amp; Development Program)
 $1.5m • Project Execution • Owner: Sarah Director</v>
      </c>
    </row>
    <row r="6" spans="1:12" ht="45" x14ac:dyDescent="0.25">
      <c r="A6" s="39" t="str">
        <v>⚠ Tech Solutions Inc
(Data Center Consolidation)
 $2.0m • Negotiation • Owner: David Specialist</v>
      </c>
      <c r="G6" s="38" t="str">
        <v>⮾ Telecommunications Inc
(Marketing Automation Platform)
 $1.2m • Proposal • Owner: Amanda Sales</v>
      </c>
      <c r="H6" s="38" t="str">
        <v>⚠ Pharmaceutical Research
(Fleet Management System)
 $0.8m • Negotiation • Owner: Amanda Sales</v>
      </c>
      <c r="I6" s="38" t="str">
        <v>✓ Transport Logistics
(Inventory Management Solution)
 $1.5m • Proposal • Owner: Sarah Director</v>
      </c>
      <c r="J6" s="38" t="str">
        <v>✓ ACME Corporation
(Customer Service Platform)
 $1.2m • Nurturing • Owner: Maria Coordinator</v>
      </c>
      <c r="K6" s="38" t="str">
        <v>✓ Media Communications
(Project Management Software)
 $1.1m • Closeout • Owner: Amanda Sales</v>
      </c>
    </row>
    <row r="7" spans="1:12" ht="45" x14ac:dyDescent="0.25">
      <c r="A7" s="39" t="str">
        <v>⚠ Environmental Services
(Quality Management System)
 $0.9m • Proposal • Owner: John Manager</v>
      </c>
      <c r="G7" s="38" t="str">
        <v>✓ ACME Corporation
(CRM System Upgrade)
 $1.0m • Closeout • Owner: Jennifer PM</v>
      </c>
      <c r="I7" s="38" t="str">
        <v>✓ Global Industries
(Backup &amp; Recovery System)
 $1.7m • Lead Qualification • Owner: Amanda Sales</v>
      </c>
      <c r="J7" s="38" t="str">
        <v>✓ Tech Solutions Inc
(API Development Project)
 $2.2m • Project Execution • Owner: Jennifer PM</v>
      </c>
      <c r="K7" s="38" t="str">
        <v>✓ ACME Corporation
(Website Redesign Project)
 $1.2m • Lead Qualification • Owner: Lisa Engineer</v>
      </c>
    </row>
    <row r="8" spans="1:12" ht="45" x14ac:dyDescent="0.25">
      <c r="A8" s="39" t="str">
        <v>⚠ Pharmaceutical Research
(Fleet Management System)
 $0.8m • Negotiation • Owner: Amanda Sales</v>
      </c>
      <c r="G8" s="38" t="str">
        <v>✓ Tech Solutions Inc
(Safety Management System)
 $2.0m • Proposal • Owner: Dr. Tech Advisor</v>
      </c>
      <c r="I8" s="38" t="str">
        <v>✓ Chemical Processing
(Performance Analytics Dashboard)
 $0.8m • Nurturing • Owner: Maria Coordinator</v>
      </c>
      <c r="K8" s="38" t="str">
        <v>✓ ACME Corporation
(Integration Services Project)
 $1.2m • Project Execution • Owner: Amanda Sales</v>
      </c>
    </row>
    <row r="9" spans="1:12" ht="45" x14ac:dyDescent="0.25">
      <c r="G9" s="38" t="str">
        <v>✓ Automotive Parts Plus
(Database Migration Project)
 $1.2m • Closeout • Owner: Lisa Engineer</v>
      </c>
      <c r="K9" s="38" t="str">
        <v>✓ Textile Manufacturing
(Legacy System Modernization)
 $0.9m • Proposal • Owner: Lisa Engineer</v>
      </c>
    </row>
    <row r="10" spans="1:12" ht="45" x14ac:dyDescent="0.25">
      <c r="K10" s="38" t="str">
        <v>✓ Pharmaceutical Research
(Machine Learning Implementation)
 $0.5m • Proposal • Owner: Mike Consultant</v>
      </c>
    </row>
    <row r="11" spans="1:12" ht="45" x14ac:dyDescent="0.25"/>
    <row r="12" spans="1:12" ht="45" x14ac:dyDescent="0.25"/>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260176842FDA3F4E9F77EA98781834DC" ma:contentTypeVersion="3" ma:contentTypeDescription="Create a new document." ma:contentTypeScope="" ma:versionID="e26aec354ac2d55d1b23fe41235f0e58">
  <xsd:schema xmlns:xsd="http://www.w3.org/2001/XMLSchema" xmlns:xs="http://www.w3.org/2001/XMLSchema" xmlns:p="http://schemas.microsoft.com/office/2006/metadata/properties" xmlns:ns2="4f3bca6b-000d-46e8-b3a3-c2a45d4f39ca" targetNamespace="http://schemas.microsoft.com/office/2006/metadata/properties" ma:root="true" ma:fieldsID="4988366a62cf31a3d95291a9ea530eba" ns2:_="">
    <xsd:import namespace="4f3bca6b-000d-46e8-b3a3-c2a45d4f39ca"/>
    <xsd:element name="properties">
      <xsd:complexType>
        <xsd:sequence>
          <xsd:element name="documentManagement">
            <xsd:complexType>
              <xsd:all>
                <xsd:element ref="ns2:MediaServiceMetadata" minOccurs="0"/>
                <xsd:element ref="ns2:MediaServiceFastMetadata"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4f3bca6b-000d-46e8-b3a3-c2a45d4f39ca"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4.xml>��
</file>

<file path=customXml/itemProps1.xml><?xml version="1.0" encoding="utf-8"?>
<ds:datastoreItem xmlns:ds="http://schemas.openxmlformats.org/officeDocument/2006/customXml" ds:itemID="{E650B127-E98F-4E32-9827-A01760F0C3D6}">
  <ds:schemaRefs>
    <ds:schemaRef ds:uri="http://schemas.microsoft.com/office/2006/metadata/properties"/>
    <ds:schemaRef ds:uri="http://schemas.microsoft.com/office/infopath/2007/PartnerControls"/>
  </ds:schemaRefs>
</ds:datastoreItem>
</file>

<file path=customXml/itemProps2.xml><?xml version="1.0" encoding="utf-8"?>
<ds:datastoreItem xmlns:ds="http://schemas.openxmlformats.org/officeDocument/2006/customXml" ds:itemID="{CED181E1-E102-4EAE-8EC6-3C8448A59A93}">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4f3bca6b-000d-46e8-b3a3-c2a45d4f39ca"/>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C5AA6437-223C-4E31-B8B1-54230B46E872}">
  <ds:schemaRefs>
    <ds:schemaRef ds:uri="http://schemas.microsoft.com/sharepoint/v3/contenttype/forms"/>
  </ds:schemaRefs>
</ds:datastoreItem>
</file>

<file path=customXml/itemProps4.xml><?xml version="1.0" encoding="utf-8"?>
<ds:datastoreItem xmlns:ds="http://schemas.openxmlformats.org/officeDocument/2006/customXml" ds:itemID="{2E66FF32-919E-4A08-BABC-1CC4568DAC00}">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10</vt:i4>
      </vt:variant>
      <vt:variant>
        <vt:lpstr>Named Ranges</vt:lpstr>
      </vt:variant>
      <vt:variant>
        <vt:i4>15</vt:i4>
      </vt:variant>
    </vt:vector>
  </HeadingPairs>
  <TitlesOfParts>
    <vt:vector size="25" baseType="lpstr">
      <vt:lpstr>Pipeline</vt:lpstr>
      <vt:lpstr>Roadmap</vt:lpstr>
      <vt:lpstr>Contacts</vt:lpstr>
      <vt:lpstr>Milestones</vt:lpstr>
      <vt:lpstr>Settings</vt:lpstr>
      <vt:lpstr>recurrence</vt:lpstr>
      <vt:lpstr>Opportunities</vt:lpstr>
      <vt:lpstr>Customers</vt:lpstr>
      <vt:lpstr>graphics</vt:lpstr>
      <vt:lpstr>tables</vt:lpstr>
      <vt:lpstr>calendarType</vt:lpstr>
      <vt:lpstr>clientId</vt:lpstr>
      <vt:lpstr>contactList</vt:lpstr>
      <vt:lpstr>contactListAppend</vt:lpstr>
      <vt:lpstr>custList</vt:lpstr>
      <vt:lpstr>custListAppend</vt:lpstr>
      <vt:lpstr>dateRange</vt:lpstr>
      <vt:lpstr>fqStart</vt:lpstr>
      <vt:lpstr>listPrefix</vt:lpstr>
      <vt:lpstr>milestoneList</vt:lpstr>
      <vt:lpstr>milestoneListAppend</vt:lpstr>
      <vt:lpstr>oppList</vt:lpstr>
      <vt:lpstr>oppListAppend</vt:lpstr>
      <vt:lpstr>pipelineType</vt:lpstr>
      <vt:lpstr>siteUrl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Paul Galjan</dc:creator>
  <cp:lastModifiedBy>Paul Galjan</cp:lastModifiedBy>
  <dcterms:created xsi:type="dcterms:W3CDTF">2025-08-05T17:11:40Z</dcterms:created>
  <dcterms:modified xsi:type="dcterms:W3CDTF">2025-08-12T21:36:16Z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0x010100260176842FDA3F4E9F77EA98781834DC</vt:lpwstr>
  </property>
</Properties>
</file>