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
    </mc:Choice>
  </mc:AlternateContent>
  <xr:revisionPtr revIDLastSave="0" documentId="13_ncr:1_{24166787-657A-4323-927F-5A8D1837C9C9}" xr6:coauthVersionLast="47" xr6:coauthVersionMax="47" xr10:uidLastSave="{00000000-0000-0000-0000-000000000000}"/>
  <bookViews>
    <workbookView xWindow="810" yWindow="900" windowWidth="14400" windowHeight="7275" xr2:uid="{CDF61347-1E32-4F62-9AD6-B33051915A35}"/>
  </bookViews>
  <sheets>
    <sheet name="Pipeline" sheetId="4" r:id="rId1"/>
    <sheet name="Settings" sheetId="6" r:id="rId2"/>
    <sheet name="Opportunities" sheetId="3" state="hidden" r:id="rId3"/>
    <sheet name="Customers" sheetId="2" state="hidden" r:id="rId4"/>
    <sheet name="graphics" sheetId="5" state="hidden" r:id="rId5"/>
  </sheets>
  <definedNames>
    <definedName name="_xlchart.v2.0" hidden="1">graphics!$A$11:$A$16</definedName>
    <definedName name="_xlchart.v2.1" hidden="1">graphics!$C$11:$C$16</definedName>
    <definedName name="calendarType">Pipeline!$B$2</definedName>
    <definedName name="custList">Settings!$F$3</definedName>
    <definedName name="custListAppend">Settings!$E$3</definedName>
    <definedName name="dateRange">Pipeline!$D$2</definedName>
    <definedName name="ExternalData_1" localSheetId="3" hidden="1">'Customers'!$A$1:$N$31</definedName>
    <definedName name="ExternalData_2" localSheetId="2" hidden="1">Opportunities!$A$1:$T$41</definedName>
    <definedName name="ExternalData_3" localSheetId="0" hidden="1">Pipeline!$N$7:$N$47</definedName>
    <definedName name="fqStart">Settings!$B$1</definedName>
    <definedName name="listPrefix">Settings!$F$2</definedName>
    <definedName name="oppList">Settings!$F$4</definedName>
    <definedName name="oppListAppend">Settings!$E$4</definedName>
    <definedName name="pipelineType">Pipeline!$B$3</definedName>
    <definedName name="probabilityThreshold">Settings!$B$2</definedName>
    <definedName name="siteUrl">Settings!$F$1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 i="5" l="1"/>
  <c r="A15" i="5"/>
  <c r="A14" i="5"/>
  <c r="A13" i="5"/>
  <c r="A12" i="5"/>
  <c r="A11" i="5"/>
  <c r="O2" i="2"/>
  <c r="O3" i="2"/>
  <c r="O4" i="2"/>
  <c r="AC33" i="3" s="1"/>
  <c r="O5" i="2"/>
  <c r="O6" i="2"/>
  <c r="O7" i="2"/>
  <c r="O8" i="2"/>
  <c r="O9" i="2"/>
  <c r="O10" i="2"/>
  <c r="O11" i="2"/>
  <c r="O12" i="2"/>
  <c r="O13" i="2"/>
  <c r="AC12" i="3" s="1"/>
  <c r="O14" i="2"/>
  <c r="O15" i="2"/>
  <c r="O16" i="2"/>
  <c r="AC36" i="3" s="1"/>
  <c r="O17" i="2"/>
  <c r="O18" i="2"/>
  <c r="O19" i="2"/>
  <c r="O20" i="2"/>
  <c r="O21" i="2"/>
  <c r="AC4" i="3" s="1"/>
  <c r="O22" i="2"/>
  <c r="O23" i="2"/>
  <c r="O24" i="2"/>
  <c r="O25" i="2"/>
  <c r="AC25" i="3" s="1"/>
  <c r="O26" i="2"/>
  <c r="O27" i="2"/>
  <c r="O28" i="2"/>
  <c r="O29" i="2"/>
  <c r="AC37" i="3" s="1"/>
  <c r="O30" i="2"/>
  <c r="O31"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D8" i="4"/>
  <c r="T8" i="4" s="1"/>
  <c r="D9" i="4"/>
  <c r="T9" i="4" s="1"/>
  <c r="AD17" i="3" s="1"/>
  <c r="D10" i="4"/>
  <c r="T10" i="4" s="1"/>
  <c r="D11" i="4"/>
  <c r="T11" i="4" s="1"/>
  <c r="D12" i="4"/>
  <c r="T12" i="4" s="1"/>
  <c r="D13" i="4"/>
  <c r="T13" i="4" s="1"/>
  <c r="D14" i="4"/>
  <c r="T14" i="4" s="1"/>
  <c r="D15" i="4"/>
  <c r="T15" i="4" s="1"/>
  <c r="AD39" i="3" s="1"/>
  <c r="D16" i="4"/>
  <c r="T16" i="4" s="1"/>
  <c r="D17" i="4"/>
  <c r="T17" i="4" s="1"/>
  <c r="D18" i="4"/>
  <c r="T18" i="4" s="1"/>
  <c r="AD35" i="3" s="1"/>
  <c r="D19" i="4"/>
  <c r="T19" i="4" s="1"/>
  <c r="D20" i="4"/>
  <c r="T20" i="4" s="1"/>
  <c r="D21" i="4"/>
  <c r="T21" i="4" s="1"/>
  <c r="AD40" i="3" s="1"/>
  <c r="D22" i="4"/>
  <c r="T22" i="4" s="1"/>
  <c r="D23" i="4"/>
  <c r="T23" i="4" s="1"/>
  <c r="AD27" i="3" s="1"/>
  <c r="D24" i="4"/>
  <c r="T24" i="4" s="1"/>
  <c r="D25" i="4"/>
  <c r="T25" i="4" s="1"/>
  <c r="D26" i="4"/>
  <c r="T26" i="4" s="1"/>
  <c r="D27" i="4"/>
  <c r="T27" i="4" s="1"/>
  <c r="D28" i="4"/>
  <c r="T28" i="4" s="1"/>
  <c r="D29" i="4"/>
  <c r="T29" i="4" s="1"/>
  <c r="D30" i="4"/>
  <c r="T30" i="4" s="1"/>
  <c r="AD41" i="3" s="1"/>
  <c r="D31" i="4"/>
  <c r="T31" i="4" s="1"/>
  <c r="D32" i="4"/>
  <c r="T32" i="4" s="1"/>
  <c r="D33" i="4"/>
  <c r="T33" i="4" s="1"/>
  <c r="D34" i="4"/>
  <c r="T34" i="4" s="1"/>
  <c r="D35" i="4"/>
  <c r="T35" i="4" s="1"/>
  <c r="D36" i="4"/>
  <c r="D37" i="4"/>
  <c r="T37" i="4" s="1"/>
  <c r="D38" i="4"/>
  <c r="T38" i="4" s="1"/>
  <c r="D39" i="4"/>
  <c r="T39" i="4" s="1"/>
  <c r="D40" i="4"/>
  <c r="D41" i="4"/>
  <c r="D42" i="4"/>
  <c r="T42" i="4" s="1"/>
  <c r="D43" i="4"/>
  <c r="T43" i="4" s="1"/>
  <c r="D44" i="4"/>
  <c r="D45" i="4"/>
  <c r="D46" i="4"/>
  <c r="T46" i="4" s="1"/>
  <c r="D47" i="4"/>
  <c r="T47" i="4" s="1"/>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H8" i="4"/>
  <c r="H11" i="4"/>
  <c r="H13" i="4"/>
  <c r="H14" i="4"/>
  <c r="H15" i="4"/>
  <c r="H17" i="4"/>
  <c r="H23" i="4"/>
  <c r="H27" i="4"/>
  <c r="H28" i="4"/>
  <c r="H31" i="4"/>
  <c r="H32" i="4"/>
  <c r="H33" i="4"/>
  <c r="H34" i="4"/>
  <c r="H35" i="4"/>
  <c r="H37" i="4"/>
  <c r="H38" i="4"/>
  <c r="H42" i="4"/>
  <c r="H43" i="4"/>
  <c r="H44" i="4"/>
  <c r="H4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J8" i="4"/>
  <c r="S8" i="4" s="1"/>
  <c r="J9" i="4"/>
  <c r="S9" i="4" s="1"/>
  <c r="J10" i="4"/>
  <c r="S10" i="4" s="1"/>
  <c r="J11" i="4"/>
  <c r="S11" i="4" s="1"/>
  <c r="J12" i="4"/>
  <c r="S12" i="4" s="1"/>
  <c r="J13" i="4"/>
  <c r="S13" i="4" s="1"/>
  <c r="J14" i="4"/>
  <c r="S14" i="4" s="1"/>
  <c r="J15" i="4"/>
  <c r="S15" i="4" s="1"/>
  <c r="J16" i="4"/>
  <c r="S16" i="4" s="1"/>
  <c r="J17" i="4"/>
  <c r="S17" i="4" s="1"/>
  <c r="J18" i="4"/>
  <c r="S18" i="4" s="1"/>
  <c r="J19" i="4"/>
  <c r="S19" i="4" s="1"/>
  <c r="J20" i="4"/>
  <c r="S20" i="4" s="1"/>
  <c r="J21" i="4"/>
  <c r="S21" i="4" s="1"/>
  <c r="J22" i="4"/>
  <c r="S22" i="4" s="1"/>
  <c r="J23" i="4"/>
  <c r="S23" i="4" s="1"/>
  <c r="J24" i="4"/>
  <c r="S24" i="4" s="1"/>
  <c r="J25" i="4"/>
  <c r="S25" i="4" s="1"/>
  <c r="J26" i="4"/>
  <c r="S26" i="4" s="1"/>
  <c r="J27" i="4"/>
  <c r="S27" i="4" s="1"/>
  <c r="J28" i="4"/>
  <c r="S28" i="4" s="1"/>
  <c r="J29" i="4"/>
  <c r="S29" i="4" s="1"/>
  <c r="J30" i="4"/>
  <c r="S30" i="4" s="1"/>
  <c r="J31" i="4"/>
  <c r="S31" i="4" s="1"/>
  <c r="J32" i="4"/>
  <c r="S32" i="4" s="1"/>
  <c r="J33" i="4"/>
  <c r="S33" i="4" s="1"/>
  <c r="J34" i="4"/>
  <c r="S34" i="4" s="1"/>
  <c r="J35" i="4"/>
  <c r="S35" i="4" s="1"/>
  <c r="J36" i="4"/>
  <c r="S36" i="4" s="1"/>
  <c r="J37" i="4"/>
  <c r="S37" i="4" s="1"/>
  <c r="J38" i="4"/>
  <c r="S38" i="4" s="1"/>
  <c r="J39" i="4"/>
  <c r="S39" i="4" s="1"/>
  <c r="J40" i="4"/>
  <c r="S40" i="4" s="1"/>
  <c r="J41" i="4"/>
  <c r="S41" i="4" s="1"/>
  <c r="J42" i="4"/>
  <c r="S42" i="4" s="1"/>
  <c r="J43" i="4"/>
  <c r="S43" i="4" s="1"/>
  <c r="J44" i="4"/>
  <c r="S44" i="4" s="1"/>
  <c r="J45" i="4"/>
  <c r="S45" i="4" s="1"/>
  <c r="J46" i="4"/>
  <c r="S46" i="4" s="1"/>
  <c r="J47" i="4"/>
  <c r="S47" i="4" s="1"/>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Q8" i="4"/>
  <c r="K8" i="4" s="1"/>
  <c r="Q10" i="4"/>
  <c r="K10" i="4" s="1"/>
  <c r="Q11" i="4"/>
  <c r="K11" i="4" s="1"/>
  <c r="Q13" i="4"/>
  <c r="K13" i="4" s="1"/>
  <c r="Q14" i="4"/>
  <c r="K14" i="4" s="1"/>
  <c r="Q15" i="4"/>
  <c r="K15" i="4" s="1"/>
  <c r="Q17" i="4"/>
  <c r="K17" i="4" s="1"/>
  <c r="Q23" i="4"/>
  <c r="K23" i="4" s="1"/>
  <c r="Q26" i="4"/>
  <c r="K26" i="4" s="1"/>
  <c r="Q27" i="4"/>
  <c r="K27" i="4" s="1"/>
  <c r="Q28" i="4"/>
  <c r="K28" i="4" s="1"/>
  <c r="Q29" i="4"/>
  <c r="K29" i="4" s="1"/>
  <c r="Q31" i="4"/>
  <c r="K31" i="4" s="1"/>
  <c r="Q32" i="4"/>
  <c r="K32" i="4" s="1"/>
  <c r="Q33" i="4"/>
  <c r="K33" i="4" s="1"/>
  <c r="Q34" i="4"/>
  <c r="K34" i="4" s="1"/>
  <c r="Q35" i="4"/>
  <c r="K35" i="4" s="1"/>
  <c r="Q37" i="4"/>
  <c r="K37" i="4" s="1"/>
  <c r="Q38" i="4"/>
  <c r="K38" i="4" s="1"/>
  <c r="Q42" i="4"/>
  <c r="K42" i="4" s="1"/>
  <c r="Q43" i="4"/>
  <c r="K43" i="4" s="1"/>
  <c r="Q44" i="4"/>
  <c r="K44" i="4" s="1"/>
  <c r="Q47" i="4"/>
  <c r="K47" i="4" s="1"/>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T36" i="4"/>
  <c r="T40" i="4"/>
  <c r="T41" i="4"/>
  <c r="T44" i="4"/>
  <c r="T45" i="4"/>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V2" i="3"/>
  <c r="V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Y2" i="3"/>
  <c r="Y3" i="3"/>
  <c r="Y4" i="3"/>
  <c r="Y5" i="3"/>
  <c r="Y6" i="3"/>
  <c r="Y7" i="3"/>
  <c r="Y8" i="3"/>
  <c r="Y9" i="3"/>
  <c r="Y10" i="3"/>
  <c r="Y11" i="3"/>
  <c r="Y12" i="3"/>
  <c r="Y13" i="3"/>
  <c r="Y14" i="3"/>
  <c r="Y15" i="3"/>
  <c r="Y16" i="3"/>
  <c r="Y17" i="3"/>
  <c r="H9" i="4" s="1"/>
  <c r="Y18" i="3"/>
  <c r="H24" i="4" s="1"/>
  <c r="Y19" i="3"/>
  <c r="H12" i="4" s="1"/>
  <c r="Y20" i="3"/>
  <c r="H25" i="4" s="1"/>
  <c r="Y21" i="3"/>
  <c r="H19" i="4" s="1"/>
  <c r="Y22" i="3"/>
  <c r="H26" i="4" s="1"/>
  <c r="Y23" i="3"/>
  <c r="H20" i="4" s="1"/>
  <c r="Y24" i="3"/>
  <c r="Y25" i="3"/>
  <c r="H22" i="4" s="1"/>
  <c r="Y26" i="3"/>
  <c r="H10" i="4" s="1"/>
  <c r="Y27" i="3"/>
  <c r="Y28" i="3"/>
  <c r="H16" i="4" s="1"/>
  <c r="Y29" i="3"/>
  <c r="H41" i="4" s="1"/>
  <c r="Y30" i="3"/>
  <c r="H29" i="4" s="1"/>
  <c r="Y31" i="3"/>
  <c r="H40" i="4" s="1"/>
  <c r="Y32" i="3"/>
  <c r="H46" i="4" s="1"/>
  <c r="Y33" i="3"/>
  <c r="H45" i="4" s="1"/>
  <c r="Y34" i="3"/>
  <c r="H36" i="4" s="1"/>
  <c r="Y35" i="3"/>
  <c r="H18" i="4" s="1"/>
  <c r="Y36" i="3"/>
  <c r="Y37" i="3"/>
  <c r="H39" i="4" s="1"/>
  <c r="Y38" i="3"/>
  <c r="Y39" i="3"/>
  <c r="Y40" i="3"/>
  <c r="H21" i="4" s="1"/>
  <c r="Y41" i="3"/>
  <c r="H30" i="4" s="1"/>
  <c r="Z2" i="3"/>
  <c r="Z3" i="3"/>
  <c r="Z4" i="3"/>
  <c r="Z5" i="3"/>
  <c r="Z6" i="3"/>
  <c r="Z7" i="3"/>
  <c r="Z8" i="3"/>
  <c r="Z9" i="3"/>
  <c r="Z10" i="3"/>
  <c r="Z11" i="3"/>
  <c r="Z12" i="3"/>
  <c r="Z13" i="3"/>
  <c r="Z14" i="3"/>
  <c r="Z15" i="3"/>
  <c r="Z16" i="3"/>
  <c r="Z17" i="3"/>
  <c r="Q9" i="4" s="1"/>
  <c r="K9" i="4" s="1"/>
  <c r="Z18" i="3"/>
  <c r="Q24" i="4" s="1"/>
  <c r="K24" i="4" s="1"/>
  <c r="Z19" i="3"/>
  <c r="Q12" i="4" s="1"/>
  <c r="K12" i="4" s="1"/>
  <c r="Z20" i="3"/>
  <c r="Q25" i="4" s="1"/>
  <c r="K25" i="4" s="1"/>
  <c r="Z21" i="3"/>
  <c r="Q19" i="4" s="1"/>
  <c r="K19" i="4" s="1"/>
  <c r="Z22" i="3"/>
  <c r="Z23" i="3"/>
  <c r="Q20" i="4" s="1"/>
  <c r="K20" i="4" s="1"/>
  <c r="Z24" i="3"/>
  <c r="Z25" i="3"/>
  <c r="Q22" i="4" s="1"/>
  <c r="K22" i="4" s="1"/>
  <c r="Z26" i="3"/>
  <c r="Z27" i="3"/>
  <c r="Z28" i="3"/>
  <c r="Q16" i="4" s="1"/>
  <c r="K16" i="4" s="1"/>
  <c r="Z29" i="3"/>
  <c r="Q41" i="4" s="1"/>
  <c r="K41" i="4" s="1"/>
  <c r="Z30" i="3"/>
  <c r="Z31" i="3"/>
  <c r="Q40" i="4" s="1"/>
  <c r="K40" i="4" s="1"/>
  <c r="Z32" i="3"/>
  <c r="Q46" i="4" s="1"/>
  <c r="K46" i="4" s="1"/>
  <c r="Z33" i="3"/>
  <c r="Q45" i="4" s="1"/>
  <c r="K45" i="4" s="1"/>
  <c r="Z34" i="3"/>
  <c r="Q36" i="4" s="1"/>
  <c r="K36" i="4" s="1"/>
  <c r="Z35" i="3"/>
  <c r="Q18" i="4" s="1"/>
  <c r="K18" i="4" s="1"/>
  <c r="Z36" i="3"/>
  <c r="Z37" i="3"/>
  <c r="Q39" i="4" s="1"/>
  <c r="K39" i="4" s="1"/>
  <c r="Z38" i="3"/>
  <c r="Z39" i="3"/>
  <c r="Z40" i="3"/>
  <c r="Q21" i="4" s="1"/>
  <c r="K21" i="4" s="1"/>
  <c r="Z41" i="3"/>
  <c r="Q30" i="4" s="1"/>
  <c r="K30" i="4" s="1"/>
  <c r="AA2" i="3" a="1"/>
  <c r="AA2" i="3" s="1"/>
  <c r="AA3" i="3" a="1"/>
  <c r="AA3" i="3" s="1"/>
  <c r="AA4" i="3" a="1"/>
  <c r="AA4" i="3" s="1"/>
  <c r="AA5" i="3" a="1"/>
  <c r="AA5" i="3" s="1"/>
  <c r="AA6" i="3" a="1"/>
  <c r="AA6" i="3" s="1"/>
  <c r="AA7" i="3" a="1"/>
  <c r="AA7" i="3" s="1"/>
  <c r="AA8" i="3" a="1"/>
  <c r="AA8" i="3" s="1"/>
  <c r="AA9" i="3" a="1"/>
  <c r="AA9" i="3"/>
  <c r="AA10" i="3" a="1"/>
  <c r="AA10" i="3" s="1"/>
  <c r="AA11" i="3" a="1"/>
  <c r="AA11" i="3"/>
  <c r="AA12" i="3" a="1"/>
  <c r="AA12" i="3" s="1"/>
  <c r="AA13" i="3" a="1"/>
  <c r="AA13" i="3" s="1"/>
  <c r="AA14" i="3" a="1"/>
  <c r="AA14" i="3" s="1"/>
  <c r="AA15" i="3" a="1"/>
  <c r="AA15" i="3" s="1"/>
  <c r="AA16" i="3" a="1"/>
  <c r="AA16" i="3" s="1"/>
  <c r="AA17" i="3" a="1"/>
  <c r="AA17" i="3"/>
  <c r="AA18" i="3" a="1"/>
  <c r="AA18" i="3" s="1"/>
  <c r="AA19" i="3" a="1"/>
  <c r="AA19" i="3"/>
  <c r="AA20" i="3" a="1"/>
  <c r="AA20" i="3" s="1"/>
  <c r="AA21" i="3" a="1"/>
  <c r="AA21" i="3" s="1"/>
  <c r="AA22" i="3" a="1"/>
  <c r="AA22" i="3" s="1"/>
  <c r="AA23" i="3" a="1"/>
  <c r="AA23" i="3" s="1"/>
  <c r="AA24" i="3" a="1"/>
  <c r="AA24" i="3" s="1"/>
  <c r="AA25" i="3" a="1"/>
  <c r="AA25" i="3"/>
  <c r="AA26" i="3" a="1"/>
  <c r="AA26" i="3" s="1"/>
  <c r="AA27" i="3" a="1"/>
  <c r="AA27" i="3"/>
  <c r="AA28" i="3" a="1"/>
  <c r="AA28" i="3" s="1"/>
  <c r="AA29" i="3" a="1"/>
  <c r="AA29" i="3" s="1"/>
  <c r="AA30" i="3" a="1"/>
  <c r="AA30" i="3" s="1"/>
  <c r="AA31" i="3" a="1"/>
  <c r="AA31" i="3" s="1"/>
  <c r="AA32" i="3" a="1"/>
  <c r="AA32" i="3" s="1"/>
  <c r="AA33" i="3" a="1"/>
  <c r="AA33" i="3"/>
  <c r="AA34" i="3" a="1"/>
  <c r="AA34" i="3" s="1"/>
  <c r="AA35" i="3" a="1"/>
  <c r="AA35" i="3"/>
  <c r="AA36" i="3" a="1"/>
  <c r="AA36" i="3" s="1"/>
  <c r="AA37" i="3" a="1"/>
  <c r="AA37" i="3" s="1"/>
  <c r="AA38" i="3" a="1"/>
  <c r="AA38" i="3" s="1"/>
  <c r="AA39" i="3" a="1"/>
  <c r="AA39" i="3" s="1"/>
  <c r="AA40" i="3" a="1"/>
  <c r="AA40" i="3" s="1"/>
  <c r="AA41" i="3" a="1"/>
  <c r="AA41" i="3"/>
  <c r="AB2" i="3"/>
  <c r="AB3" i="3"/>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C2" i="3"/>
  <c r="F42" i="4" s="1"/>
  <c r="AC3" i="3"/>
  <c r="F44" i="4" s="1"/>
  <c r="AC5" i="3"/>
  <c r="F37" i="4" s="1"/>
  <c r="AC6" i="3"/>
  <c r="F8" i="4" s="1"/>
  <c r="AC7" i="3"/>
  <c r="F33" i="4" s="1"/>
  <c r="AC8" i="3"/>
  <c r="F35" i="4" s="1"/>
  <c r="AC9" i="3"/>
  <c r="F11" i="4" s="1"/>
  <c r="AC10" i="3"/>
  <c r="F34" i="4" s="1"/>
  <c r="AC11" i="3"/>
  <c r="F28" i="4" s="1"/>
  <c r="AC13" i="3"/>
  <c r="F14" i="4" s="1"/>
  <c r="AC14" i="3"/>
  <c r="F38" i="4" s="1"/>
  <c r="AC15" i="3"/>
  <c r="F13" i="4" s="1"/>
  <c r="AC16" i="3"/>
  <c r="F32" i="4" s="1"/>
  <c r="AC17" i="3"/>
  <c r="F9" i="4" s="1"/>
  <c r="AC18" i="3"/>
  <c r="F24" i="4" s="1"/>
  <c r="AC19" i="3"/>
  <c r="F12" i="4" s="1"/>
  <c r="AC20" i="3"/>
  <c r="F25" i="4" s="1"/>
  <c r="AC21" i="3"/>
  <c r="F19" i="4" s="1"/>
  <c r="AC22" i="3"/>
  <c r="F26" i="4" s="1"/>
  <c r="AC23" i="3"/>
  <c r="F20" i="4" s="1"/>
  <c r="AC24" i="3"/>
  <c r="F47" i="4" s="1"/>
  <c r="AC26" i="3"/>
  <c r="F10" i="4" s="1"/>
  <c r="AC27" i="3"/>
  <c r="F23" i="4" s="1"/>
  <c r="AC28" i="3"/>
  <c r="F16" i="4" s="1"/>
  <c r="AC29" i="3"/>
  <c r="F41" i="4" s="1"/>
  <c r="AC30" i="3"/>
  <c r="F29" i="4" s="1"/>
  <c r="AC31" i="3"/>
  <c r="F40" i="4" s="1"/>
  <c r="AC32" i="3"/>
  <c r="F46" i="4" s="1"/>
  <c r="AC34" i="3"/>
  <c r="F36" i="4" s="1"/>
  <c r="AC35" i="3"/>
  <c r="F18" i="4" s="1"/>
  <c r="AC38" i="3"/>
  <c r="F27" i="4" s="1"/>
  <c r="AC39" i="3"/>
  <c r="F15" i="4" s="1"/>
  <c r="AC40" i="3"/>
  <c r="F21" i="4" s="1"/>
  <c r="K2" i="6"/>
  <c r="K3" i="6"/>
  <c r="K4" i="6"/>
  <c r="K5" i="6"/>
  <c r="K6" i="6"/>
  <c r="K7" i="6"/>
  <c r="F3" i="6"/>
  <c r="D3" i="6" s="1"/>
  <c r="F4" i="6"/>
  <c r="AD14" i="3" l="1"/>
  <c r="AD29" i="3"/>
  <c r="AD37" i="3"/>
  <c r="AD21" i="3"/>
  <c r="AD5" i="3"/>
  <c r="AD13" i="3"/>
  <c r="AD15" i="3"/>
  <c r="AD7" i="3"/>
  <c r="AD28" i="3"/>
  <c r="AD16" i="3"/>
  <c r="AD6" i="3"/>
  <c r="AD33" i="3"/>
  <c r="AD30" i="3"/>
  <c r="AD20" i="3"/>
  <c r="AD26" i="3"/>
  <c r="F39" i="4"/>
  <c r="F22" i="4"/>
  <c r="F31" i="4"/>
  <c r="F17" i="4"/>
  <c r="F43" i="4"/>
  <c r="F45" i="4"/>
  <c r="AC41" i="3"/>
  <c r="F30" i="4" s="1"/>
  <c r="AD34" i="3"/>
  <c r="AD31" i="3"/>
  <c r="AD18" i="3"/>
  <c r="AD11" i="3"/>
  <c r="AD23" i="3"/>
  <c r="AD19" i="3"/>
  <c r="AD3" i="3"/>
  <c r="AD36" i="3"/>
  <c r="AD24" i="3"/>
  <c r="AD4" i="3"/>
  <c r="AD8" i="3"/>
  <c r="AD10" i="3"/>
  <c r="AD38" i="3"/>
  <c r="AD32" i="3"/>
  <c r="AD25" i="3"/>
  <c r="AD22" i="3"/>
  <c r="AD12" i="3"/>
  <c r="AD9" i="3"/>
  <c r="AD2" i="3"/>
  <c r="I24" i="5" a="1"/>
  <c r="I24" i="5" s="1"/>
  <c r="D4" i="6"/>
  <c r="M4" i="4"/>
  <c r="M3" i="4"/>
  <c r="Q2" i="5" a="1"/>
  <c r="Q2" i="5" s="1"/>
  <c r="AH1" i="5" a="1"/>
  <c r="I1" i="5" a="1"/>
  <c r="R1" i="5" a="1"/>
  <c r="I25" i="5" l="1" a="1"/>
  <c r="I25" i="5" s="1"/>
  <c r="J25" i="5" a="1"/>
  <c r="J25" i="5" s="1"/>
  <c r="W7" i="5"/>
  <c r="S7" i="5"/>
  <c r="U6" i="5"/>
  <c r="W5" i="5"/>
  <c r="S5" i="5"/>
  <c r="U4" i="5"/>
  <c r="W3" i="5"/>
  <c r="S3" i="5"/>
  <c r="U2" i="5"/>
  <c r="V7" i="5"/>
  <c r="T6" i="5"/>
  <c r="V5" i="5"/>
  <c r="T4" i="5"/>
  <c r="V3" i="5"/>
  <c r="T2" i="5"/>
  <c r="V6" i="5"/>
  <c r="V4" i="5"/>
  <c r="T3" i="5"/>
  <c r="U7" i="5"/>
  <c r="W6" i="5"/>
  <c r="S6" i="5"/>
  <c r="U5" i="5"/>
  <c r="W4" i="5"/>
  <c r="S4" i="5"/>
  <c r="U3" i="5"/>
  <c r="W2" i="5"/>
  <c r="S2" i="5"/>
  <c r="T5" i="5"/>
  <c r="T7" i="5"/>
  <c r="V2" i="5"/>
  <c r="AH1" i="5"/>
  <c r="AK2" i="5"/>
  <c r="AI3" i="5"/>
  <c r="AM3" i="5"/>
  <c r="AK4" i="5"/>
  <c r="AL2" i="5"/>
  <c r="AJ3" i="5"/>
  <c r="AL4" i="5"/>
  <c r="AI2" i="5"/>
  <c r="AM2" i="5"/>
  <c r="AK3" i="5"/>
  <c r="AI4" i="5"/>
  <c r="AM4" i="5"/>
  <c r="AJ2" i="5"/>
  <c r="AL3" i="5"/>
  <c r="AJ4" i="5"/>
  <c r="I1" i="5"/>
  <c r="K2" i="5"/>
  <c r="L4" i="5"/>
  <c r="M3" i="5"/>
  <c r="M2" i="5"/>
  <c r="N4" i="5"/>
  <c r="J4" i="5"/>
  <c r="K3" i="5"/>
  <c r="L2" i="5"/>
  <c r="N3" i="5"/>
  <c r="N2" i="5"/>
  <c r="J2" i="5"/>
  <c r="K4" i="5"/>
  <c r="L3" i="5"/>
  <c r="M4" i="5"/>
  <c r="J3" i="5"/>
  <c r="R1" i="5"/>
  <c r="R6" i="5" l="1"/>
  <c r="R2" i="5"/>
  <c r="R7" i="5"/>
  <c r="R5" i="5"/>
  <c r="R3" i="5"/>
  <c r="R4" i="5"/>
  <c r="AH3" i="5"/>
  <c r="AH2" i="5"/>
  <c r="AH4" i="5"/>
  <c r="I2" i="5"/>
  <c r="I4" i="5"/>
  <c r="I3" i="5"/>
  <c r="C2" i="5" l="1"/>
  <c r="E2" i="5"/>
  <c r="B2" i="5"/>
  <c r="D2" i="4"/>
  <c r="D13" i="5" l="1"/>
  <c r="D16" i="5"/>
  <c r="D12" i="5"/>
  <c r="D14" i="5"/>
  <c r="D15" i="5"/>
  <c r="D2" i="5"/>
  <c r="C13" i="5"/>
  <c r="C16" i="5"/>
  <c r="C12" i="5"/>
  <c r="C15" i="5"/>
  <c r="C14" i="5"/>
  <c r="D11" i="5" l="1"/>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<sst xmlns="http://schemas.openxmlformats.org/spreadsheetml/2006/main" count="687" uniqueCount="436">
  <si>
    <t>Id</t>
  </si>
  <si>
    <t>Title</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</si>
  <si>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</si>
  <si>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</si>
  <si>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</si>
  <si>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</si>
  <si>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</si>
  <si>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</si>
  <si>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</si>
  <si>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</si>
  <si>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</si>
  <si>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</si>
  <si>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</si>
  <si>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</si>
  <si>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</si>
  <si>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</si>
  <si>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</si>
  <si>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</si>
  <si>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Close Date</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</si>
  <si>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</si>
  <si>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</si>
  <si>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</si>
  <si>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</si>
  <si>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</si>
  <si>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</si>
  <si>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</si>
  <si>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</si>
  <si>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</si>
  <si>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</si>
  <si>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</si>
  <si>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</si>
  <si>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</si>
  <si>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</si>
  <si>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</si>
  <si>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</si>
  <si>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</si>
  <si>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</si>
  <si>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</si>
  <si>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</si>
  <si>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</si>
  <si>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</si>
  <si>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</si>
  <si>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</si>
  <si>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</si>
  <si>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</si>
  <si>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</si>
  <si>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</si>
  <si>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</si>
  <si>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</si>
  <si>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</si>
  <si>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</si>
  <si>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</si>
  <si>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</si>
  <si>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</si>
  <si>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</si>
  <si>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</si>
  <si>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</si>
  <si>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</si>
  <si>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</si>
  <si>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</si>
  <si>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</si>
  <si>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</si>
  <si>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</si>
  <si>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</si>
  <si>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</si>
  <si>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</si>
  <si>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</si>
  <si>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</si>
  <si>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</si>
  <si>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</si>
  <si>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</si>
  <si>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</si>
  <si>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</si>
  <si>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</si>
  <si>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</si>
  <si>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</si>
  <si>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</si>
  <si>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</si>
  <si>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</si>
  <si>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</si>
  <si>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</si>
  <si>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</si>
  <si>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</si>
  <si>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</si>
  <si>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</si>
  <si>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</si>
  <si>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Opportunity Value</t>
  </si>
  <si>
    <t>Win Probability</t>
  </si>
  <si>
    <t>Estmated Revenue</t>
  </si>
  <si>
    <t>Expected Revenue</t>
  </si>
  <si>
    <t xml:space="preserve"> 🔗Opportunity</t>
  </si>
  <si>
    <t>Medium</t>
  </si>
  <si>
    <t>High</t>
  </si>
  <si>
    <t>Low</t>
  </si>
  <si>
    <t>Customer Name</t>
  </si>
  <si>
    <t>Column1</t>
  </si>
  <si>
    <t>Opportunity Name</t>
  </si>
  <si>
    <t>Opportunity Owner</t>
  </si>
  <si>
    <t>Next Milestone Date</t>
  </si>
  <si>
    <t>CustomerNameId</t>
  </si>
  <si>
    <t>CustomerName</t>
  </si>
  <si>
    <t>Stage Name</t>
  </si>
  <si>
    <t>Value</t>
  </si>
  <si>
    <t>Global Industries</t>
  </si>
  <si>
    <t>OpportunityOwner</t>
  </si>
  <si>
    <t>OpportunityStage</t>
  </si>
  <si>
    <t>OpportunityName</t>
  </si>
  <si>
    <t>NAICSSector</t>
  </si>
  <si>
    <t>CustomerStatus</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</si>
  <si>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</si>
  <si>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</si>
  <si>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</si>
  <si>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</si>
  <si>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</si>
  <si>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</si>
  <si>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</si>
  <si>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</si>
  <si>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</si>
  <si>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</si>
  <si>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</si>
  <si>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</si>
  <si>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</si>
  <si>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</si>
  <si>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</si>
  <si>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</si>
  <si>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</si>
  <si>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541511</t>
  </si>
  <si>
    <t>John Smith</t>
  </si>
  <si>
    <t>Jane Doe</t>
  </si>
  <si>
    <t>VP Sales</t>
  </si>
  <si>
    <t>Bob Wilson</t>
  </si>
  <si>
    <t>https://globalindustries.com</t>
  </si>
  <si>
    <t>336411</t>
  </si>
  <si>
    <t>Prospect</t>
  </si>
  <si>
    <t>Sarah Johnson</t>
  </si>
  <si>
    <t>Director</t>
  </si>
  <si>
    <t>Mike Brown</t>
  </si>
  <si>
    <t>Manager</t>
  </si>
  <si>
    <t>Lisa Davis</t>
  </si>
  <si>
    <t>Coordinator</t>
  </si>
  <si>
    <t>Tech Solutions Inc</t>
  </si>
  <si>
    <t>https://techsolutions.com</t>
  </si>
  <si>
    <t>541512</t>
  </si>
  <si>
    <t>Founder</t>
  </si>
  <si>
    <t>Emily Chen</t>
  </si>
  <si>
    <t>COO</t>
  </si>
  <si>
    <t>Alex Rodriguez</t>
  </si>
  <si>
    <t>CFO</t>
  </si>
  <si>
    <t>Manufacturing Plus</t>
  </si>
  <si>
    <t>https://manufacturingplus.com</t>
  </si>
  <si>
    <t>332710</t>
  </si>
  <si>
    <t>Robert Taylor</t>
  </si>
  <si>
    <t>Plant Manager</t>
  </si>
  <si>
    <t>Jennifer White</t>
  </si>
  <si>
    <t>Operations Director</t>
  </si>
  <si>
    <t>Mark Thompson</t>
  </si>
  <si>
    <t>Quality Manager</t>
  </si>
  <si>
    <t>Healthcare Partners</t>
  </si>
  <si>
    <t>https://healthcarepartners.com</t>
  </si>
  <si>
    <t>621111</t>
  </si>
  <si>
    <t>Dr. Maria Garcia</t>
  </si>
  <si>
    <t>James Anderson</t>
  </si>
  <si>
    <t>Administrator</t>
  </si>
  <si>
    <t>Susan Miller</t>
  </si>
  <si>
    <t>Finance Director</t>
  </si>
  <si>
    <t>CustomerIdId</t>
  </si>
  <si>
    <t>CustomerRecordUrl</t>
  </si>
  <si>
    <t>CustomerRecordURL</t>
  </si>
  <si>
    <t>prefix</t>
  </si>
  <si>
    <t>crm</t>
  </si>
  <si>
    <t>Customers</t>
  </si>
  <si>
    <t>Jennifer PM</t>
  </si>
  <si>
    <t>Amanda Sales</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</si>
  <si>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</si>
  <si>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</si>
  <si>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</si>
  <si>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</si>
  <si>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</si>
  <si>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</si>
  <si>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</si>
  <si>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</si>
  <si>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</si>
  <si>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</si>
  <si>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</si>
  <si>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</si>
  <si>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</si>
  <si>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</si>
  <si>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</si>
  <si>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</si>
  <si>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</si>
  <si>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</si>
  <si>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</si>
  <si>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</si>
  <si>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</si>
  <si>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</si>
  <si>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</si>
  <si>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</si>
  <si>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</si>
  <si>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</si>
  <si>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</si>
  <si>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</si>
  <si>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</si>
  <si>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</si>
  <si>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</si>
  <si>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</si>
  <si>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</si>
  <si>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</si>
  <si>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</si>
  <si>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</si>
  <si>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</si>
  <si>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</si>
  <si>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</si>
  <si>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</si>
  <si>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</si>
  <si>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</si>
  <si>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</si>
  <si>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</si>
  <si>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</si>
  <si>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441310</t>
  </si>
  <si>
    <t>Gregory Johnson</t>
  </si>
  <si>
    <t>Store Manager</t>
  </si>
  <si>
    <t>Brenda Davis</t>
  </si>
  <si>
    <t>Parts Specialist</t>
  </si>
  <si>
    <t>Tony Martinez</t>
  </si>
  <si>
    <t>Service Advisor</t>
  </si>
  <si>
    <t>Textile Manufacturing</t>
  </si>
  <si>
    <t>https://textilemanufacturing.com</t>
  </si>
  <si>
    <t>313210</t>
  </si>
  <si>
    <t>Victoria Brown</t>
  </si>
  <si>
    <t>Production Manager</t>
  </si>
  <si>
    <t>Samuel Wilson</t>
  </si>
  <si>
    <t>Quality Control</t>
  </si>
  <si>
    <t>Rebecca Taylor</t>
  </si>
  <si>
    <t>Logistics Coordinator</t>
  </si>
  <si>
    <t>Environmental Services</t>
  </si>
  <si>
    <t>https://environmentalservices.com</t>
  </si>
  <si>
    <t>562910</t>
  </si>
  <si>
    <t>Jonathan Green</t>
  </si>
  <si>
    <t>Environmental Engineer</t>
  </si>
  <si>
    <t>Laura Miller</t>
  </si>
  <si>
    <t>Project Coordinator</t>
  </si>
  <si>
    <t>Kevin White</t>
  </si>
  <si>
    <t>Field Technician</t>
  </si>
  <si>
    <t>Sports &amp; Recreation</t>
  </si>
  <si>
    <t>https://sportsrecreation.com</t>
  </si>
  <si>
    <t>713940</t>
  </si>
  <si>
    <t>Marcus Johnson</t>
  </si>
  <si>
    <t>Facility Manager</t>
  </si>
  <si>
    <t>Stephanie Clark</t>
  </si>
  <si>
    <t>Program Director</t>
  </si>
  <si>
    <t>Derek Anderson</t>
  </si>
  <si>
    <t>Maintenance Manager</t>
  </si>
  <si>
    <t>Security Solutions</t>
  </si>
  <si>
    <t>https://securitysolutions.com</t>
  </si>
  <si>
    <t>561612</t>
  </si>
  <si>
    <t>Raymond Davis</t>
  </si>
  <si>
    <t>Security Director</t>
  </si>
  <si>
    <t>Carol Thompson</t>
  </si>
  <si>
    <t>Operations Manager</t>
  </si>
  <si>
    <t>Eugene Garcia</t>
  </si>
  <si>
    <t>Technical Specialist</t>
  </si>
  <si>
    <t>Chemical Processing</t>
  </si>
  <si>
    <t>https://chemicalprocessing.com</t>
  </si>
  <si>
    <t>325180</t>
  </si>
  <si>
    <t>Donna Martinez</t>
  </si>
  <si>
    <t>Albert Rodriguez</t>
  </si>
  <si>
    <t>Process Engineer</t>
  </si>
  <si>
    <t>Ruth Wilson</t>
  </si>
  <si>
    <t>Safety Manager</t>
  </si>
  <si>
    <t>Publishing House</t>
  </si>
  <si>
    <t>https://publishinghouse.com</t>
  </si>
  <si>
    <t>511130</t>
  </si>
  <si>
    <t>Arthur Lee</t>
  </si>
  <si>
    <t>Editor-in-Chief</t>
  </si>
  <si>
    <t>Evelyn Brown</t>
  </si>
  <si>
    <t>Walter Kim</t>
  </si>
  <si>
    <t>Marketing Director</t>
  </si>
  <si>
    <t>Mining Operations</t>
  </si>
  <si>
    <t>https://miningoperations.com</t>
  </si>
  <si>
    <t>212230</t>
  </si>
  <si>
    <t>Harold Johnson</t>
  </si>
  <si>
    <t>Site Manager</t>
  </si>
  <si>
    <t>Gloria Davis</t>
  </si>
  <si>
    <t>Safety Coordinator</t>
  </si>
  <si>
    <t>Ralph Martinez</t>
  </si>
  <si>
    <t>Equipment Supervisor</t>
  </si>
  <si>
    <t>Telecommunications Inc</t>
  </si>
  <si>
    <t>https://telecommunications.com</t>
  </si>
  <si>
    <t>517110</t>
  </si>
  <si>
    <t>Betty Wilson</t>
  </si>
  <si>
    <t>Network Manager</t>
  </si>
  <si>
    <t>Ernest Thompson</t>
  </si>
  <si>
    <t>Technical Support</t>
  </si>
  <si>
    <t>Mildred Garcia</t>
  </si>
  <si>
    <t>Customer Service Manager</t>
  </si>
  <si>
    <t>Waste Management Co</t>
  </si>
  <si>
    <t>https://wastemanagement.com</t>
  </si>
  <si>
    <t>562111</t>
  </si>
  <si>
    <t>Gerald Rodriguez</t>
  </si>
  <si>
    <t>Joan Anderson</t>
  </si>
  <si>
    <t>Route Manager</t>
  </si>
  <si>
    <t>Frank Miller</t>
  </si>
  <si>
    <t>Disposal Coordinator</t>
  </si>
  <si>
    <t>Consulting Experts</t>
  </si>
  <si>
    <t>https://consultingexperts.com</t>
  </si>
  <si>
    <t>541611</t>
  </si>
  <si>
    <t>Louise Clark</t>
  </si>
  <si>
    <t>Senior Consultant</t>
  </si>
  <si>
    <t>Wayne Taylor</t>
  </si>
  <si>
    <t>Project Manager</t>
  </si>
  <si>
    <t>Theresa Brown</t>
  </si>
  <si>
    <t>Business Analyst</t>
  </si>
  <si>
    <t>Financial Dynamics</t>
  </si>
  <si>
    <t>https://financialdynamics.com</t>
  </si>
  <si>
    <t>522110</t>
  </si>
  <si>
    <t>Peter Jackson</t>
  </si>
  <si>
    <t>President</t>
  </si>
  <si>
    <t>Mary Wilson</t>
  </si>
  <si>
    <t>VP Operations</t>
  </si>
  <si>
    <t>Tom Harris</t>
  </si>
  <si>
    <t>Retail Excellence</t>
  </si>
  <si>
    <t>https://retailexcellence.com</t>
  </si>
  <si>
    <t>452210</t>
  </si>
  <si>
    <t>Amanda Clark</t>
  </si>
  <si>
    <t>Kevin Martinez</t>
  </si>
  <si>
    <t>Regional Director</t>
  </si>
  <si>
    <t>Nicole Brown</t>
  </si>
  <si>
    <t>Merchandising Manager</t>
  </si>
  <si>
    <t>Energy Solutions Group</t>
  </si>
  <si>
    <t>https://energysolutions.com</t>
  </si>
  <si>
    <t>221112</t>
  </si>
  <si>
    <t>Michael Turner</t>
  </si>
  <si>
    <t>Engineering Director</t>
  </si>
  <si>
    <t>Rachel Green</t>
  </si>
  <si>
    <t>Daniel White</t>
  </si>
  <si>
    <t>Construction Dynamics</t>
  </si>
  <si>
    <t>https://constructiondynamics.com</t>
  </si>
  <si>
    <t>236220</t>
  </si>
  <si>
    <t>Steve Robinson</t>
  </si>
  <si>
    <t>General Manager</t>
  </si>
  <si>
    <t>Linda Moore</t>
  </si>
  <si>
    <t>Office Manager</t>
  </si>
  <si>
    <t>Gary Thompson</t>
  </si>
  <si>
    <t>Site Supervisor</t>
  </si>
  <si>
    <t>Education First</t>
  </si>
  <si>
    <t>https://educationfirst.com</t>
  </si>
  <si>
    <t>611110</t>
  </si>
  <si>
    <t>Dr. Jennifer Adams</t>
  </si>
  <si>
    <t>Superintendent</t>
  </si>
  <si>
    <t>Robert Lewis</t>
  </si>
  <si>
    <t>IT Director</t>
  </si>
  <si>
    <t>Susan Walker</t>
  </si>
  <si>
    <t>Curriculum Director</t>
  </si>
  <si>
    <t>Transport Logistics</t>
  </si>
  <si>
    <t>https://transportlogistics.com</t>
  </si>
  <si>
    <t>484110</t>
  </si>
  <si>
    <t>Carlos Rodriguez</t>
  </si>
  <si>
    <t>Fleet Manager</t>
  </si>
  <si>
    <t>Angela Davis</t>
  </si>
  <si>
    <t>Bryan Miller</t>
  </si>
  <si>
    <t>Maintenance Supervisor</t>
  </si>
  <si>
    <t>Food Service Partners</t>
  </si>
  <si>
    <t>https://foodservicepartners.com</t>
  </si>
  <si>
    <t>722511</t>
  </si>
  <si>
    <t>Maria Gonzalez</t>
  </si>
  <si>
    <t>John Wilson</t>
  </si>
  <si>
    <t>Kitchen Manager</t>
  </si>
  <si>
    <t>Lisa Garcia</t>
  </si>
  <si>
    <t>Service Manager</t>
  </si>
  <si>
    <t>Professional Services Group</t>
  </si>
  <si>
    <t>https://professionalservices.com</t>
  </si>
  <si>
    <t>541110</t>
  </si>
  <si>
    <t>Thomas Anderson</t>
  </si>
  <si>
    <t>Managing Partner</t>
  </si>
  <si>
    <t>Patricia Taylor</t>
  </si>
  <si>
    <t>Senior Associate</t>
  </si>
  <si>
    <t>Richard Brown</t>
  </si>
  <si>
    <t>Media Communications</t>
  </si>
  <si>
    <t>https://mediacommunications.com</t>
  </si>
  <si>
    <t>541810</t>
  </si>
  <si>
    <t>Jessica Williams</t>
  </si>
  <si>
    <t>Creative Director</t>
  </si>
  <si>
    <t>Andrew Johnson</t>
  </si>
  <si>
    <t>Michelle Davis</t>
  </si>
  <si>
    <t>Account Manager</t>
  </si>
  <si>
    <t>Pharmaceutical Research</t>
  </si>
  <si>
    <t>https://pharmresearch.com</t>
  </si>
  <si>
    <t>325412</t>
  </si>
  <si>
    <t>Dr. William Chen</t>
  </si>
  <si>
    <t>Research Director</t>
  </si>
  <si>
    <t>Karen Lee</t>
  </si>
  <si>
    <t>Lab Manager</t>
  </si>
  <si>
    <t>David Kim</t>
  </si>
  <si>
    <t>Regulatory Affairs</t>
  </si>
  <si>
    <t>Real Estate Ventures</t>
  </si>
  <si>
    <t>https://realestateventures.com</t>
  </si>
  <si>
    <t>531210</t>
  </si>
  <si>
    <t>Catherine Moore</t>
  </si>
  <si>
    <t>Broker</t>
  </si>
  <si>
    <t>James Parker</t>
  </si>
  <si>
    <t>Property Manager</t>
  </si>
  <si>
    <t>Sandra Clark</t>
  </si>
  <si>
    <t>Development Manager</t>
  </si>
  <si>
    <t>Insurance Specialists</t>
  </si>
  <si>
    <t>https://insurancespecialists.com</t>
  </si>
  <si>
    <t>524210</t>
  </si>
  <si>
    <t>Robert Martinez</t>
  </si>
  <si>
    <t>Agency Owner</t>
  </si>
  <si>
    <t>Nancy Thompson</t>
  </si>
  <si>
    <t>Claims Manager</t>
  </si>
  <si>
    <t>Paul Anderson</t>
  </si>
  <si>
    <t>Underwriter</t>
  </si>
  <si>
    <t>Agricultural Systems</t>
  </si>
  <si>
    <t>https://agriculturalsystems.com</t>
  </si>
  <si>
    <t>111110</t>
  </si>
  <si>
    <t>Frank Wilson</t>
  </si>
  <si>
    <t>Farm Manager</t>
  </si>
  <si>
    <t>Helen Garcia</t>
  </si>
  <si>
    <t>Crop Specialist</t>
  </si>
  <si>
    <t>Mark Rodriguez</t>
  </si>
  <si>
    <t>Equipment Manager</t>
  </si>
  <si>
    <t>Hotel Management Group</t>
  </si>
  <si>
    <t>https://hotelmanagement.com</t>
  </si>
  <si>
    <t>721110</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</si>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</sst>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6"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b/>
      <u/>
      <sz val="11"/>
      <color theme="10"/>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4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12" fillId="0" borderId="0" xfId="4" applyNumberFormat="1" applyFont="1" applyAlignment="1">
      <alignment horizontal="lef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3" fillId="2" borderId="0" xfId="0" applyFont="1" applyFill="1" applyAlignment="1">
      <alignment horizontal="left" indent="1"/>
    </xf>
    <xf numFmtId="0" fontId="13" fillId="0" borderId="0" xfId="0" applyFont="1"/>
    <xf numFmtId="0" fontId="0" fillId="0" borderId="0" xfId="0" applyAlignment="1" applyProtection="1">
      <alignment horizontal="right"/>
      <protection locked="0"/>
    </xf>
    <xf numFmtId="0" fontId="14" fillId="4" borderId="0" xfId="4" applyFont="1" applyFill="1" applyAlignment="1">
      <alignment horizontal="right" indent="1"/>
    </xf>
    <xf numFmtId="0" fontId="0" fillId="0" borderId="0" xfId="0" applyNumberFormat="1"/>
    <xf numFmtId="0" fontId="0" fillId="0" borderId="0" xfId="0" applyNumberFormat="1" applyFont="1" applyAlignment="1">
      <alignment horizontal="right" indent="1"/>
    </xf>
    <xf numFmtId="0" fontId="15" fillId="0" borderId="0" xfId="4" applyNumberFormat="1" applyFont="1" applyAlignment="1">
      <alignment horizontal="left" indent="1"/>
    </xf>
    <xf numFmtId="164" fontId="12" fillId="0" borderId="0" xfId="4" applyNumberFormat="1" applyFont="1" applyAlignment="1">
      <alignment horizontal="left" indent="1"/>
    </xf>
    <xf numFmtId="0" fontId="0" fillId="0" borderId="0" xfId="0" applyNumberFormat="1" applyFill="1" applyAlignment="1">
      <alignment horizontal="left" indent="1"/>
    </xf>
    <xf numFmtId="0" fontId="0" fillId="0" borderId="0" xfId="0" applyNumberFormat="1" applyAlignment="1">
      <alignment horizontal="left" indent="1"/>
    </xf>
    <xf numFmtId="9" fontId="0" fillId="0" borderId="0" xfId="3" applyFont="1" applyProtection="1">
      <protection locked="0"/>
    </xf>
  </cellXfs>
  <cellStyles count="5">
    <cellStyle name="Comma" xfId="1" builtinId="3"/>
    <cellStyle name="Currency" xfId="2" builtinId="4"/>
    <cellStyle name="Hyperlink" xfId="4" builtinId="8"/>
    <cellStyle name="Normal" xfId="0" builtinId="0"/>
    <cellStyle name="Percent" xfId="3" builtinId="5"/>
  </cellStyles>
  <dxfs count="47">
    <dxf>
      <numFmt numFmtId="0" formatCode="General"/>
    </dxf>
    <dxf>
      <numFmt numFmtId="0" formatCode="General"/>
    </dxf>
    <dxf>
      <numFmt numFmtId="0" formatCode="Genera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i val="0"/>
        <strike val="0"/>
        <condense val="0"/>
        <extend val="0"/>
        <outline val="0"/>
        <shadow val="0"/>
        <u/>
        <vertAlign val="baseline"/>
        <sz val="11"/>
        <color theme="10"/>
        <name val="Aptos Narrow"/>
        <family val="2"/>
        <scheme val="minor"/>
      </font>
      <numFmt numFmtId="0" formatCode="Genera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theme="1" tint="0.499984740745262"/>
        <name val="Aptos Narrow"/>
        <family val="2"/>
        <scheme val="minor"/>
      </font>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CY25-Q3</c:v>
                </c:pt>
                <c:pt idx="1">
                  <c:v>CY25-Q4</c:v>
                </c:pt>
                <c:pt idx="2">
                  <c:v>CY26-Q1</c:v>
                </c:pt>
                <c:pt idx="3">
                  <c:v>CY26-Q2</c:v>
                </c:pt>
                <c:pt idx="4">
                  <c:v>CY26-Q3</c:v>
                </c:pt>
                <c:pt idx="5">
                  <c:v>CY26-Q4</c:v>
                </c:pt>
              </c:strCache>
            </c:strRef>
          </c:cat>
          <c:val>
            <c:numRef>
              <c:f>graphics!$I$3:$N$3</c:f>
              <c:numCache>
                <c:formatCode>"$"\ #,##0.0"k"</c:formatCode>
                <c:ptCount val="6"/>
                <c:pt idx="0">
                  <c:v>4.6786579999999995</c:v>
                </c:pt>
                <c:pt idx="1">
                  <c:v>7.5334769999999995</c:v>
                </c:pt>
                <c:pt idx="2">
                  <c:v>15.928585000000002</c:v>
                </c:pt>
                <c:pt idx="3">
                  <c:v>4.9703479999999995</c:v>
                </c:pt>
                <c:pt idx="4">
                  <c:v>2.175195</c:v>
                </c:pt>
                <c:pt idx="5">
                  <c:v>10.72278</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CY25-Q3</c:v>
                </c:pt>
                <c:pt idx="1">
                  <c:v>CY25-Q4</c:v>
                </c:pt>
                <c:pt idx="2">
                  <c:v>CY26-Q1</c:v>
                </c:pt>
                <c:pt idx="3">
                  <c:v>CY26-Q2</c:v>
                </c:pt>
                <c:pt idx="4">
                  <c:v>CY26-Q3</c:v>
                </c:pt>
                <c:pt idx="5">
                  <c:v>CY26-Q4</c:v>
                </c:pt>
              </c:strCache>
            </c:strRef>
          </c:cat>
          <c:val>
            <c:numRef>
              <c:f>graphics!$I$4:$N$4</c:f>
              <c:numCache>
                <c:formatCode>"$"\ #,##0.0"k"</c:formatCode>
                <c:ptCount val="6"/>
                <c:pt idx="0">
                  <c:v>2.4790156000000003</c:v>
                </c:pt>
                <c:pt idx="1">
                  <c:v>4.0175003</c:v>
                </c:pt>
                <c:pt idx="2">
                  <c:v>6.6959467999999998</c:v>
                </c:pt>
                <c:pt idx="3">
                  <c:v>1.6559791000000001</c:v>
                </c:pt>
                <c:pt idx="4">
                  <c:v>1.1010722000000002</c:v>
                </c:pt>
                <c:pt idx="5">
                  <c:v>5.4812707000000014</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CY25-Q3</c:v>
                </c:pt>
                <c:pt idx="1">
                  <c:v>CY25-Q4</c:v>
                </c:pt>
                <c:pt idx="2">
                  <c:v>CY26-Q1</c:v>
                </c:pt>
                <c:pt idx="3">
                  <c:v>CY26-Q2</c:v>
                </c:pt>
                <c:pt idx="4">
                  <c:v>CY26-Q3</c:v>
                </c:pt>
                <c:pt idx="5">
                  <c:v>CY26-Q4</c:v>
                </c:pt>
              </c:strCache>
            </c:strRef>
          </c:cat>
          <c:val>
            <c:numRef>
              <c:f>graphics!$I$2:$N$2</c:f>
              <c:numCache>
                <c:formatCode>General</c:formatCode>
                <c:ptCount val="6"/>
                <c:pt idx="0">
                  <c:v>3</c:v>
                </c:pt>
                <c:pt idx="1">
                  <c:v>7</c:v>
                </c:pt>
                <c:pt idx="2">
                  <c:v>13</c:v>
                </c:pt>
                <c:pt idx="3">
                  <c:v>5</c:v>
                </c:pt>
                <c:pt idx="4">
                  <c:v>2</c:v>
                </c:pt>
                <c:pt idx="5">
                  <c:v>9</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CY27-Q1</c:v>
                </c:pt>
                <c:pt idx="1">
                  <c:v>CY26-Q4</c:v>
                </c:pt>
                <c:pt idx="2">
                  <c:v>CY26-Q3</c:v>
                </c:pt>
                <c:pt idx="3">
                  <c:v>CY26-Q2</c:v>
                </c:pt>
                <c:pt idx="4">
                  <c:v>CY26-Q1</c:v>
                </c:pt>
                <c:pt idx="5">
                  <c:v>CY25-Q4</c:v>
                </c:pt>
                <c:pt idx="6">
                  <c:v>CY25-Q3</c:v>
                </c:pt>
              </c:strCache>
            </c:strRef>
          </c:cat>
          <c:val>
            <c:numRef>
              <c:f>graphics!$AH$2:$AM$2</c:f>
              <c:numCache>
                <c:formatCode>"$"\ 0.0"k"</c:formatCode>
                <c:ptCount val="6"/>
                <c:pt idx="0">
                  <c:v>0</c:v>
                </c:pt>
                <c:pt idx="1">
                  <c:v>0</c:v>
                </c:pt>
                <c:pt idx="2">
                  <c:v>0</c:v>
                </c:pt>
                <c:pt idx="3">
                  <c:v>0</c:v>
                </c:pt>
                <c:pt idx="4">
                  <c:v>1.9537629999999999</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CY27-Q1</c:v>
                </c:pt>
                <c:pt idx="1">
                  <c:v>CY26-Q4</c:v>
                </c:pt>
                <c:pt idx="2">
                  <c:v>CY26-Q3</c:v>
                </c:pt>
                <c:pt idx="3">
                  <c:v>CY26-Q2</c:v>
                </c:pt>
                <c:pt idx="4">
                  <c:v>CY26-Q1</c:v>
                </c:pt>
                <c:pt idx="5">
                  <c:v>CY25-Q4</c:v>
                </c:pt>
                <c:pt idx="6">
                  <c:v>CY25-Q3</c:v>
                </c:pt>
              </c:strCache>
            </c:strRef>
          </c:cat>
          <c:val>
            <c:numRef>
              <c:f>graphics!$AH$3:$AM$3</c:f>
              <c:numCache>
                <c:formatCode>"$"\ 0.0"k"</c:formatCode>
                <c:ptCount val="6"/>
                <c:pt idx="0">
                  <c:v>0</c:v>
                </c:pt>
                <c:pt idx="1">
                  <c:v>0</c:v>
                </c:pt>
                <c:pt idx="2">
                  <c:v>0</c:v>
                </c:pt>
                <c:pt idx="3">
                  <c:v>0</c:v>
                </c:pt>
                <c:pt idx="4">
                  <c:v>1.4332819999999999</c:v>
                </c:pt>
                <c:pt idx="5">
                  <c:v>1.7754780000000001</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CY27-Q1</c:v>
                </c:pt>
                <c:pt idx="1">
                  <c:v>CY26-Q4</c:v>
                </c:pt>
                <c:pt idx="2">
                  <c:v>CY26-Q3</c:v>
                </c:pt>
                <c:pt idx="3">
                  <c:v>CY26-Q2</c:v>
                </c:pt>
                <c:pt idx="4">
                  <c:v>CY26-Q1</c:v>
                </c:pt>
                <c:pt idx="5">
                  <c:v>CY25-Q4</c:v>
                </c:pt>
                <c:pt idx="6">
                  <c:v>CY25-Q3</c:v>
                </c:pt>
              </c:strCache>
            </c:strRef>
          </c:cat>
          <c:val>
            <c:numRef>
              <c:f>graphics!$AH$4:$AM$4</c:f>
              <c:numCache>
                <c:formatCode>"$"\ 0.0"k"</c:formatCode>
                <c:ptCount val="6"/>
                <c:pt idx="0">
                  <c:v>0.87867600000000001</c:v>
                </c:pt>
                <c:pt idx="1">
                  <c:v>10.72278</c:v>
                </c:pt>
                <c:pt idx="2">
                  <c:v>2.175195</c:v>
                </c:pt>
                <c:pt idx="3">
                  <c:v>4.9703479999999995</c:v>
                </c:pt>
                <c:pt idx="4">
                  <c:v>12.541540000000003</c:v>
                </c:pt>
                <c:pt idx="5">
                  <c:v>5.7579989999999999</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CY25-Q3</c:v>
                </c:pt>
                <c:pt idx="1">
                  <c:v>CY25-Q4</c:v>
                </c:pt>
                <c:pt idx="2">
                  <c:v>CY26-Q1</c:v>
                </c:pt>
                <c:pt idx="3">
                  <c:v>CY26-Q2</c:v>
                </c:pt>
                <c:pt idx="4">
                  <c:v>CY26-Q3</c:v>
                </c:pt>
                <c:pt idx="5">
                  <c:v>CY26-Q4</c:v>
                </c:pt>
              </c:strCache>
            </c:strRef>
          </c:cat>
          <c:val>
            <c:numRef>
              <c:f>graphics!$I$3:$N$3</c:f>
              <c:numCache>
                <c:formatCode>"$"\ #,##0.0"k"</c:formatCode>
                <c:ptCount val="6"/>
                <c:pt idx="0">
                  <c:v>4.6786579999999995</c:v>
                </c:pt>
                <c:pt idx="1">
                  <c:v>7.5334769999999995</c:v>
                </c:pt>
                <c:pt idx="2">
                  <c:v>15.928585000000002</c:v>
                </c:pt>
                <c:pt idx="3">
                  <c:v>4.9703479999999995</c:v>
                </c:pt>
                <c:pt idx="4">
                  <c:v>2.175195</c:v>
                </c:pt>
                <c:pt idx="5">
                  <c:v>10.72278</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CY25-Q3</c:v>
                </c:pt>
                <c:pt idx="1">
                  <c:v>CY25-Q4</c:v>
                </c:pt>
                <c:pt idx="2">
                  <c:v>CY26-Q1</c:v>
                </c:pt>
                <c:pt idx="3">
                  <c:v>CY26-Q2</c:v>
                </c:pt>
                <c:pt idx="4">
                  <c:v>CY26-Q3</c:v>
                </c:pt>
                <c:pt idx="5">
                  <c:v>CY26-Q4</c:v>
                </c:pt>
              </c:strCache>
            </c:strRef>
          </c:cat>
          <c:val>
            <c:numRef>
              <c:f>graphics!$I$4:$N$4</c:f>
              <c:numCache>
                <c:formatCode>"$"\ #,##0.0"k"</c:formatCode>
                <c:ptCount val="6"/>
                <c:pt idx="0">
                  <c:v>2.4790156000000003</c:v>
                </c:pt>
                <c:pt idx="1">
                  <c:v>4.0175003</c:v>
                </c:pt>
                <c:pt idx="2">
                  <c:v>6.6959467999999998</c:v>
                </c:pt>
                <c:pt idx="3">
                  <c:v>1.6559791000000001</c:v>
                </c:pt>
                <c:pt idx="4">
                  <c:v>1.1010722000000002</c:v>
                </c:pt>
                <c:pt idx="5">
                  <c:v>5.4812707000000014</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CY25-Q3</c:v>
                </c:pt>
                <c:pt idx="1">
                  <c:v>CY25-Q4</c:v>
                </c:pt>
                <c:pt idx="2">
                  <c:v>CY26-Q1</c:v>
                </c:pt>
                <c:pt idx="3">
                  <c:v>CY26-Q2</c:v>
                </c:pt>
                <c:pt idx="4">
                  <c:v>CY26-Q3</c:v>
                </c:pt>
                <c:pt idx="5">
                  <c:v>CY26-Q4</c:v>
                </c:pt>
              </c:strCache>
            </c:strRef>
          </c:cat>
          <c:val>
            <c:numRef>
              <c:f>graphics!$I$2:$N$2</c:f>
              <c:numCache>
                <c:formatCode>General</c:formatCode>
                <c:ptCount val="6"/>
                <c:pt idx="0">
                  <c:v>3</c:v>
                </c:pt>
                <c:pt idx="1">
                  <c:v>7</c:v>
                </c:pt>
                <c:pt idx="2">
                  <c:v>13</c:v>
                </c:pt>
                <c:pt idx="3">
                  <c:v>5</c:v>
                </c:pt>
                <c:pt idx="4">
                  <c:v>2</c:v>
                </c:pt>
                <c:pt idx="5">
                  <c:v>9</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CY27-Q1</c:v>
                </c:pt>
                <c:pt idx="1">
                  <c:v>CY26-Q4</c:v>
                </c:pt>
                <c:pt idx="2">
                  <c:v>CY26-Q3</c:v>
                </c:pt>
                <c:pt idx="3">
                  <c:v>CY26-Q2</c:v>
                </c:pt>
                <c:pt idx="4">
                  <c:v>CY26-Q1</c:v>
                </c:pt>
                <c:pt idx="5">
                  <c:v>CY25-Q4</c:v>
                </c:pt>
                <c:pt idx="6">
                  <c:v>CY25-Q3</c:v>
                </c:pt>
              </c:strCache>
            </c:strRef>
          </c:cat>
          <c:val>
            <c:numRef>
              <c:f>graphics!$AH$2:$AM$2</c:f>
              <c:numCache>
                <c:formatCode>"$"\ 0.0"k"</c:formatCode>
                <c:ptCount val="6"/>
                <c:pt idx="0">
                  <c:v>0</c:v>
                </c:pt>
                <c:pt idx="1">
                  <c:v>0</c:v>
                </c:pt>
                <c:pt idx="2">
                  <c:v>0</c:v>
                </c:pt>
                <c:pt idx="3">
                  <c:v>0</c:v>
                </c:pt>
                <c:pt idx="4">
                  <c:v>1.9537629999999999</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CY27-Q1</c:v>
                </c:pt>
                <c:pt idx="1">
                  <c:v>CY26-Q4</c:v>
                </c:pt>
                <c:pt idx="2">
                  <c:v>CY26-Q3</c:v>
                </c:pt>
                <c:pt idx="3">
                  <c:v>CY26-Q2</c:v>
                </c:pt>
                <c:pt idx="4">
                  <c:v>CY26-Q1</c:v>
                </c:pt>
                <c:pt idx="5">
                  <c:v>CY25-Q4</c:v>
                </c:pt>
                <c:pt idx="6">
                  <c:v>CY25-Q3</c:v>
                </c:pt>
              </c:strCache>
            </c:strRef>
          </c:cat>
          <c:val>
            <c:numRef>
              <c:f>graphics!$AH$3:$AM$3</c:f>
              <c:numCache>
                <c:formatCode>"$"\ 0.0"k"</c:formatCode>
                <c:ptCount val="6"/>
                <c:pt idx="0">
                  <c:v>0</c:v>
                </c:pt>
                <c:pt idx="1">
                  <c:v>0</c:v>
                </c:pt>
                <c:pt idx="2">
                  <c:v>0</c:v>
                </c:pt>
                <c:pt idx="3">
                  <c:v>0</c:v>
                </c:pt>
                <c:pt idx="4">
                  <c:v>1.4332819999999999</c:v>
                </c:pt>
                <c:pt idx="5">
                  <c:v>1.7754780000000001</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CY27-Q1</c:v>
                </c:pt>
                <c:pt idx="1">
                  <c:v>CY26-Q4</c:v>
                </c:pt>
                <c:pt idx="2">
                  <c:v>CY26-Q3</c:v>
                </c:pt>
                <c:pt idx="3">
                  <c:v>CY26-Q2</c:v>
                </c:pt>
                <c:pt idx="4">
                  <c:v>CY26-Q1</c:v>
                </c:pt>
                <c:pt idx="5">
                  <c:v>CY25-Q4</c:v>
                </c:pt>
                <c:pt idx="6">
                  <c:v>CY25-Q3</c:v>
                </c:pt>
              </c:strCache>
            </c:strRef>
          </c:cat>
          <c:val>
            <c:numRef>
              <c:f>graphics!$AH$4:$AM$4</c:f>
              <c:numCache>
                <c:formatCode>"$"\ 0.0"k"</c:formatCode>
                <c:ptCount val="6"/>
                <c:pt idx="0">
                  <c:v>0.87867600000000001</c:v>
                </c:pt>
                <c:pt idx="1">
                  <c:v>10.72278</c:v>
                </c:pt>
                <c:pt idx="2">
                  <c:v>2.175195</c:v>
                </c:pt>
                <c:pt idx="3">
                  <c:v>4.9703479999999995</c:v>
                </c:pt>
                <c:pt idx="4">
                  <c:v>12.541540000000003</c:v>
                </c:pt>
                <c:pt idx="5">
                  <c:v>5.7579989999999999</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1</xdr:col>
      <xdr:colOff>663575</xdr:colOff>
      <xdr:row>6</xdr:row>
      <xdr:rowOff>22225</xdr:rowOff>
    </xdr:from>
    <xdr:to>
      <xdr:col>2</xdr:col>
      <xdr:colOff>1501775</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1</xdr:col>
      <xdr:colOff>530225</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777656</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61"/>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1482725</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46500"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1501775</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1504950</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29</xdr:col>
      <xdr:colOff>168275</xdr:colOff>
      <xdr:row>7</xdr:row>
      <xdr:rowOff>0</xdr:rowOff>
    </xdr:from>
    <xdr:to>
      <xdr:col>35</xdr:col>
      <xdr:colOff>149225</xdr:colOff>
      <xdr:row>16</xdr:row>
      <xdr:rowOff>114300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10" unboundColumnsRight="6">
    <queryTableFields count="17">
      <queryTableField id="23" dataBound="0" tableColumnId="13"/>
      <queryTableField id="4" dataBound="0" tableColumnId="4"/>
      <queryTableField id="3" dataBound="0" tableColumnId="3"/>
      <queryTableField id="33" dataBound="0" tableColumnId="6"/>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07" unboundColumnsRight="10">
    <queryTableFields count="30">
      <queryTableField id="2" name="Id" tableColumnId="2"/>
      <queryTableField id="8" name="Title" tableColumnId="8"/>
      <queryTableField id="100" name="OpportunityName" tableColumnId="13"/>
      <queryTableField id="19" name="Status" tableColumnId="19"/>
      <queryTableField id="89" name="OpportunityOwner" tableColumnId="9"/>
      <queryTableField id="90" name="OpportunityStage" tableColumnId="10"/>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2" name="CustomerIdId" tableColumnId="14"/>
      <queryTableField id="77" name="Opportunity Name" tableColumnId="1"/>
      <queryTableField id="21" name="Stage" tableColumnId="21"/>
      <queryTableField id="78" name="Opportunity Owner" tableColumnId="3"/>
      <queryTableField id="79" name="Next Milestone" tableColumnId="4"/>
      <queryTableField id="80" name="Next Milestone Date" tableColumnId="5"/>
      <queryTableField id="81" name="CustomerNameId" tableColumnId="6"/>
      <queryTableField id="82" name="CustomerName" tableColumnId="7"/>
      <queryTableField id="71" name="Comment Log" tableColumnId="53"/>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62" unboundColumnsRight="3">
    <queryTableFields count="17">
      <queryTableField id="1" name="Id" tableColumnId="1"/>
      <queryTableField id="2" name="Title" tableColumnId="2"/>
      <queryTableField id="42" name="CustomerName" tableColumnId="12"/>
      <queryTableField id="26" name="Url" tableColumnId="20"/>
      <queryTableField id="43" name="NAICSSector" tableColumnId="13"/>
      <queryTableField id="44" name="CustomerStatus" tableColumnId="14"/>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T47" tableType="queryTable" totalsRowShown="0">
  <autoFilter ref="D7:T47" xr:uid="{B35EA62C-D81E-48BA-B2FB-27C4C61792D5}"/>
  <sortState xmlns:xlrd2="http://schemas.microsoft.com/office/spreadsheetml/2017/richdata2" ref="D8:T47">
    <sortCondition ref="L7:L47"/>
  </sortState>
  <tableColumns count="17">
    <tableColumn id="13" xr3:uid="{147FBFBE-2CFC-486E-B125-6D8C29F38818}" uniqueName="13" name="S" queryTableFieldId="23" dataDxfId="18">
      <calculatedColumnFormula>_xlfn.XLOOKUP(View[[#This Row],[Id]],Opportunities[Id],Opportunities[status symbol])</calculatedColumnFormula>
    </tableColumn>
    <tableColumn id="4" xr3:uid="{D0C93997-AE18-4F2C-9498-E378F0368CD3}" uniqueName="4" name=" 🔗Opportunity" queryTableFieldId="4" dataDxfId="17"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16" dataCellStyle="Hyperlink">
      <calculatedColumnFormula>HYPERLINK(_xlfn.XLOOKUP(View[[#This Row],[Id]],Opportunities[Id],Opportunities[CustomerRecordURL]),_xlfn.XLOOKUP(View[[#This Row],[Id]],Opportunities[Id],Opportunities[Customer Name]))</calculatedColumnFormula>
    </tableColumn>
    <tableColumn id="6" xr3:uid="{985F170D-84B1-4F45-BA51-5DE411321071}" uniqueName="6" name="Column1" queryTableFieldId="33" dataDxfId="15" dataCellStyle="Hyperlink"/>
    <tableColumn id="5" xr3:uid="{BE8EE8B1-D066-4E99-BDBA-DD40A4432652}" uniqueName="5" name="Stage" queryTableFieldId="5" dataDxfId="14" dataCellStyle="Normal">
      <calculatedColumnFormula>_xlfn.XLOOKUP(View[[#This Row],[Id]],Opportunities[Id],Opportunities[DisplayStage])</calculatedColumnFormula>
    </tableColumn>
    <tableColumn id="7" xr3:uid="{36D3885A-765B-43F4-B223-18E0110E7BAC}" uniqueName="7" name="Opportunity Value" queryTableFieldId="7" dataDxfId="13"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12" dataCellStyle="Percent">
      <calculatedColumnFormula>_xlfn.XLOOKUP(View[[#This Row],[Id]],Opportunities[Id],Opportunities[Probability])</calculatedColumnFormula>
    </tableColumn>
    <tableColumn id="2" xr3:uid="{CEE680CE-7B28-4425-8EF9-E8A1C22CD40F}" uniqueName="2" name="Expected Revenue" queryTableFieldId="31" dataDxfId="11" dataCellStyle="Percent">
      <calculatedColumnFormula>View[[#This Row],[Estmated Revenue]]</calculatedColumnFormula>
    </tableColumn>
    <tableColumn id="10" xr3:uid="{B7055589-582D-4A7C-ACCD-633272C194D8}" uniqueName="10" name="Close Date" queryTableFieldId="10" dataDxfId="10" dataCellStyle="Percent">
      <calculatedColumnFormula>_xlfn.XLOOKUP(View[[#This Row],[Id]],Opportunities[Id],Opportunities[Close])</calculatedColumnFormula>
    </tableColumn>
    <tableColumn id="20" xr3:uid="{59C0ACCC-1D82-45A6-AFAA-3712BAC86C84}" uniqueName="20" name="Last Comment" queryTableFieldId="30" dataDxfId="9"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8" dataCellStyle="Percent">
      <calculatedColumnFormula>_xlfn.XLOOKUP(View[[#This Row],[Id]],Opportunities[Id],Opportunities[Next Milestone Date])-TODAY()</calculatedColumnFormula>
    </tableColumn>
    <tableColumn id="9" xr3:uid="{52FF3CBA-17BB-47F5-85A3-2DEE8B12587C}" uniqueName="9" name="Close Quarter" queryTableFieldId="9" dataDxfId="7">
      <calculatedColumnFormula>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calculatedColumnFormula>
    </tableColumn>
    <tableColumn id="14" xr3:uid="{07448A78-D3A9-4A09-89B7-13C1C1A6E61A}" uniqueName="14" name="Estmated Revenue" queryTableFieldId="24" dataDxfId="6" dataCellStyle="Comma">
      <calculatedColumnFormula>_xlfn.XLOOKUP(View[[#This Row],[Id]],Opportunities[Id],Opportunities[Weighted])/1000</calculatedColumnFormula>
    </tableColumn>
    <tableColumn id="15" xr3:uid="{FBDC7969-7E8D-49D4-8066-6E0E6F1203F0}" uniqueName="15" name="Unweighted" queryTableFieldId="25" dataDxfId="5">
      <calculatedColumnFormula>_xlfn.XLOOKUP(View[[#This Row],[Id]],Opportunities[Id],Opportunities[Amount])/1000</calculatedColumnFormula>
    </tableColumn>
    <tableColumn id="16" xr3:uid="{EF89BB7F-252B-45F9-8123-82BF9FB66AF0}" uniqueName="16" name="High Probability" queryTableFieldId="26" dataDxfId="0">
      <calculatedColumnFormula>View[[#This Row],[Win Probability]]="High"</calculatedColumnFormula>
    </tableColumn>
    <tableColumn id="17" xr3:uid="{4BD52F12-45D4-4BCC-83AA-14BDE7142C90}" uniqueName="17" name="Visible" queryTableFieldId="27" dataDxfId="4">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I1:K7" totalsRowShown="0" headerRowDxfId="46" dataDxfId="45">
  <autoFilter ref="I1:K7" xr:uid="{798014A7-9B70-4B09-AE44-5A5C555476EA}"/>
  <sortState xmlns:xlrd2="http://schemas.microsoft.com/office/spreadsheetml/2017/richdata2" ref="I2:J7">
    <sortCondition ref="J1:J7"/>
  </sortState>
  <tableColumns count="3">
    <tableColumn id="1" xr3:uid="{4A0C0D5E-C576-4851-BAD7-E1720F55F59A}" name="Stage Name" dataDxfId="44"/>
    <tableColumn id="2" xr3:uid="{AE651EA8-D54C-41D9-9B8B-F22570081D8A}" name="Index" dataDxfId="43"/>
    <tableColumn id="3" xr3:uid="{38808F5D-2627-4FC4-9878-8AC61142049B}" name="Display" dataDxfId="38">
      <calculatedColumnFormula>stage[[#This Row],[Index]]&amp;"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A4:B7" totalsRowShown="0" headerRowDxfId="42" dataDxfId="41">
  <autoFilter ref="A4:B7" xr:uid="{7A50DF75-ED41-40F4-8782-A0EFFD2E6988}"/>
  <tableColumns count="2">
    <tableColumn id="1" xr3:uid="{3B8690D0-B449-4F2C-BFA1-0D9AAF577107}" name="Win Probability" dataDxfId="40"/>
    <tableColumn id="2" xr3:uid="{E4A73AC8-36BB-4D8D-934C-54FE86976EC9}" name="Value" dataDxfId="39"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8" xr3:uid="{076C53C6-7FD8-46FB-BFD9-2C36F2D160A2}" uniqueName="8" name="Title" queryTableFieldId="8"/>
    <tableColumn id="13" xr3:uid="{256666E2-96C2-471E-974D-0D6F52C20BED}" uniqueName="13" name="OpportunityName" queryTableFieldId="100"/>
    <tableColumn id="19" xr3:uid="{D73E5052-B78D-4CCD-A875-182E21F867EB}" uniqueName="19" name="Status" queryTableFieldId="19"/>
    <tableColumn id="9" xr3:uid="{97DA2E30-FF84-4D59-8B7D-0FB3CF4EF53C}" uniqueName="9" name="OpportunityOwner" queryTableFieldId="89"/>
    <tableColumn id="10" xr3:uid="{A0ABBC98-D8C9-41ED-A78A-D3EBEA1B0E41}" uniqueName="10" name="OpportunityStage" queryTableFieldId="90"/>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tableColumn id="11" xr3:uid="{0D6E2E89-0B8C-4024-A956-046F884205B4}" uniqueName="11" name="NextMilestoneDate" queryTableFieldId="91"/>
    <tableColumn id="12" xr3:uid="{8D70269A-7D67-4EE3-B02A-4A7CC88A1D52}" uniqueName="12" name="NextMilestone" queryTableFieldId="92"/>
    <tableColumn id="14" xr3:uid="{27849972-0BF5-470C-AAE7-2E74152E82D1}" uniqueName="14" name="CustomerIdId" queryTableFieldId="102"/>
    <tableColumn id="1" xr3:uid="{254B017E-314B-4387-AA93-6D2E887ADD09}" uniqueName="1" name="Opportunity Name" queryTableFieldId="77"/>
    <tableColumn id="21" xr3:uid="{FA79FF91-3521-45AF-95C6-8165274CE5C6}" uniqueName="21" name="Stage" queryTableFieldId="21"/>
    <tableColumn id="3" xr3:uid="{ED19AFB1-4646-47CE-A862-9E79BD20E866}" uniqueName="3" name="Opportunity Owner" queryTableFieldId="78"/>
    <tableColumn id="4" xr3:uid="{BB6D78D8-3C82-4343-BB90-B3BED9E4FB34}" uniqueName="4" name="Next Milestone" queryTableFieldId="79"/>
    <tableColumn id="5" xr3:uid="{B7D3A98E-3FE3-4AA9-852E-EB647D1847E6}" uniqueName="5" name="Next Milestone Date" queryTableFieldId="80"/>
    <tableColumn id="6" xr3:uid="{9EFC6C6E-7CCF-44CE-B9E2-92CE1E0146DD}" uniqueName="6" name="CustomerNameId" queryTableFieldId="81"/>
    <tableColumn id="7" xr3:uid="{E3702C3B-1380-4EC3-A908-A944A535525A}" uniqueName="7" name="CustomerName" queryTableFieldId="82"/>
    <tableColumn id="53" xr3:uid="{8B6F3023-16EE-4A61-9C62-F78DACC9B311}" uniqueName="53" name="Comment Log" queryTableFieldId="71"/>
    <tableColumn id="34" xr3:uid="{A794F34A-F2E4-4230-B129-BE7EF53921FE}" uniqueName="34" name="FQ" queryTableFieldId="43" dataDxfId="37">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36">
      <calculatedColumnFormula>"CY"&amp;RIGHT(YEAR(Opportunities[[#This Row],[Close]]),2)&amp;"-Q"&amp;ROUNDUP(MONTH(Opportunities[[#This Row],[Close]])/3, 0)</calculatedColumnFormula>
    </tableColumn>
    <tableColumn id="31" xr3:uid="{AFAB2CEE-41EC-476B-8EF4-F01AEE459A32}" uniqueName="31" name="url" queryTableFieldId="40" dataDxfId="35">
      <calculatedColumnFormula>siteUrl&amp;"/Lists/"&amp;oppList&amp;"/DispForm.aspx?ID="&amp;Opportunities[[#This Row],[Id]]</calculatedColumnFormula>
    </tableColumn>
    <tableColumn id="40" xr3:uid="{8BD6C9BB-E6FD-4E8E-A509-12D471DAA77F}" uniqueName="40" name="StageNumber" queryTableFieldId="54" dataDxfId="34">
      <calculatedColumnFormula>_xlfn.XLOOKUP(Opportunities[[#This Row],[OpportunityStage]],stage[Stage Name],stage[Index],"")</calculatedColumnFormula>
    </tableColumn>
    <tableColumn id="41" xr3:uid="{EDB4C612-1CC1-4B3C-B38D-DFE04A906351}" uniqueName="41" name="DisplayStage" queryTableFieldId="55" dataDxfId="33">
      <calculatedColumnFormula>Opportunities[[#This Row],[StageNumber]]&amp;" - "&amp;Opportunities[[#This Row],[OpportunityStage]]</calculatedColumnFormula>
    </tableColumn>
    <tableColumn id="52" xr3:uid="{29FD805D-0C67-486B-AABC-E086612B3426}" uniqueName="52" name="Weighted" queryTableFieldId="70" dataDxfId="32">
      <calculatedColumnFormula>Opportunities[[#This Row],[Amount]]*_xlfn.XLOOKUP(Opportunities[[#This Row],[Probability]],prob[Win Probability],prob[Value])</calculatedColumnFormula>
    </tableColumn>
    <tableColumn id="56" xr3:uid="{9E365C66-70DC-4C5C-893A-3785B1B9D44C}" uniqueName="56" name="status symbol" queryTableFieldId="76" dataDxfId="31">
      <calculatedColumnFormula array="1">_xlfn.SWITCH(Opportunities[[#This Row],[Status]],"At Risk","⚠","Active","✓","⮾")</calculatedColumnFormula>
    </tableColumn>
    <tableColumn id="15" xr3:uid="{952135CC-0409-4FA2-BB0A-34668B61689B}" uniqueName="15" name="Customer Name" queryTableFieldId="104" dataDxfId="30">
      <calculatedColumnFormula>_xlfn.XLOOKUP(Opportunities[[#This Row],[CustomerIdId]],Customers[Id],Customers[CustomerName])</calculatedColumnFormula>
    </tableColumn>
    <tableColumn id="16" xr3:uid="{812C7365-FD2B-4EFB-8119-BF4F00253961}" uniqueName="16" name="CustomerRecordURL" queryTableFieldId="105" dataDxfId="29">
      <calculatedColumnFormula>_xlfn.XLOOKUP(Opportunities[[#This Row],[CustomerIdId]],Customers[Id],Customers[url2])</calculatedColumnFormula>
    </tableColumn>
    <tableColumn id="17" xr3:uid="{39447595-3500-4B90-9B69-594F9ED985D4}" uniqueName="17" name="Visible" queryTableFieldId="106" dataDxfId="28">
      <calculatedColumnFormula>_xlfn.XLOOKUP(Opportunities[[#This Row],[Id]],View[Id],View[Visible])</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Q31" tableType="queryTable" totalsRowShown="0">
  <autoFilter ref="A1:Q31" xr:uid="{AE464801-8CE7-41B6-B2AB-6D69477B150E}"/>
  <tableColumns count="17">
    <tableColumn id="1" xr3:uid="{2305243C-9291-4758-997F-C45BB134350E}" uniqueName="1" name="Id" queryTableFieldId="1"/>
    <tableColumn id="2" xr3:uid="{1D7AD566-FEAA-4988-9FEE-E54A26670368}" uniqueName="2" name="Title" queryTableFieldId="2"/>
    <tableColumn id="12" xr3:uid="{8192AB74-4CD9-4744-A7BE-9D6668B9730B}" uniqueName="12" name="CustomerName" queryTableFieldId="42"/>
    <tableColumn id="20" xr3:uid="{3EC9ACD4-AC06-433C-B023-B0859024C43F}" uniqueName="20" name="Url" queryTableFieldId="26"/>
    <tableColumn id="13" xr3:uid="{EE8E38D1-D1C5-43FF-9844-E2BA0B6A5B12}" uniqueName="13" name="NAICSSector" queryTableFieldId="43"/>
    <tableColumn id="14" xr3:uid="{A3AA5C52-7B2B-491A-9CF5-B3B9A3145385}" uniqueName="14" name="CustomerStatus" queryTableFieldId="44"/>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3">
      <calculatedColumnFormula>siteUrl&amp;"/Lists/"&amp;custList&amp;"/DispForm.aspx?ID="&amp;Customers[[#This Row],[Id]]</calculatedColumnFormula>
    </tableColumn>
    <tableColumn id="23" xr3:uid="{F1BC9043-195B-408B-8596-3FE166B5CF78}" uniqueName="23" name="Customer Name" queryTableFieldId="60" dataDxfId="2">
      <calculatedColumnFormula>_xlfn.XLOOKUP(Customers[[#This Row],[Id]],Customers[Id],Customers[CustomerName])</calculatedColumnFormula>
    </tableColumn>
    <tableColumn id="24" xr3:uid="{388F5F30-FCA2-45B0-938D-A8DFAA1EFCA9}" uniqueName="24" name="CustomerRecordUrl" queryTableFieldId="61" dataDxfId="1">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W47"/>
  <sheetViews>
    <sheetView showGridLines="0" tabSelected="1" topLeftCell="A3" zoomScale="115" zoomScaleNormal="115" workbookViewId="0">
      <selection activeCell="C1" sqref="C1"/>
    </sheetView>
  </sheetViews>
  <sheetFormatPr defaultRowHeight="15" outlineLevelCol="1" x14ac:dyDescent="0.25"/>
  <cols>
    <col min="1" max="1" width="20.42578125" bestFit="1" customWidth="1"/>
    <col min="2" max="2" width="14.85546875" customWidth="1"/>
    <col min="3" max="3" width="23.7109375" customWidth="1"/>
    <col min="4" max="4" width="6.5703125" bestFit="1" customWidth="1"/>
    <col min="5" max="5" width="33.140625" bestFit="1" customWidth="1"/>
    <col min="6" max="6" width="16" bestFit="1" customWidth="1"/>
    <col min="7" max="7" width="11.7109375" bestFit="1" customWidth="1"/>
    <col min="8" max="8" width="21.42578125" bestFit="1" customWidth="1"/>
    <col min="9" max="9" width="19.85546875" bestFit="1" customWidth="1"/>
    <col min="10" max="10" width="17.140625" bestFit="1" customWidth="1"/>
    <col min="11" max="11" width="20.42578125" bestFit="1" customWidth="1"/>
    <col min="12" max="12" width="13.42578125" bestFit="1" customWidth="1"/>
    <col min="13" max="13" width="16.5703125" bestFit="1" customWidth="1"/>
    <col min="14" max="14" width="5.42578125" hidden="1" customWidth="1" outlineLevel="1"/>
    <col min="15" max="15" width="17.140625" hidden="1" customWidth="1" outlineLevel="1"/>
    <col min="16" max="16" width="16" hidden="1" customWidth="1" outlineLevel="1"/>
    <col min="17" max="17" width="20.5703125" hidden="1" customWidth="1" outlineLevel="1"/>
    <col min="18" max="18" width="14.28515625" hidden="1" customWidth="1" outlineLevel="1"/>
    <col min="19" max="19" width="17.7109375" hidden="1" customWidth="1" outlineLevel="1"/>
    <col min="20" max="20" width="9.140625" hidden="1" customWidth="1" collapsed="1"/>
  </cols>
  <sheetData>
    <row r="1" spans="1:23" ht="21" x14ac:dyDescent="0.35">
      <c r="A1" s="26" t="s">
        <v>82</v>
      </c>
      <c r="D1" s="7" t="s">
        <v>46</v>
      </c>
      <c r="E1" s="7"/>
      <c r="F1" s="7"/>
      <c r="G1" s="7"/>
      <c r="H1" s="8"/>
      <c r="I1" s="9"/>
      <c r="J1" s="7"/>
      <c r="K1" s="7"/>
      <c r="L1" s="7"/>
      <c r="M1" s="7"/>
      <c r="N1" s="7"/>
      <c r="O1" s="7"/>
      <c r="P1" s="7"/>
      <c r="Q1" s="7"/>
      <c r="R1" s="7"/>
      <c r="S1" s="17"/>
      <c r="W1" s="21"/>
    </row>
    <row r="2" spans="1:23" x14ac:dyDescent="0.25">
      <c r="A2" s="20" t="s">
        <v>39</v>
      </c>
      <c r="B2" s="6" t="s">
        <v>34</v>
      </c>
      <c r="D2" s="10" t="str">
        <f>_xlfn.XLOOKUP(SUBTOTAL(5,View[Close Date]),View[Close Date],View[Close Quarter]) &amp;" to " &amp; _xlfn.XLOOKUP(SUBTOTAL(4,View[Close Date]),View[Close Date],View[Close Quarter])</f>
        <v>CY25-Q3 to CY27-Q1</v>
      </c>
      <c r="E2" s="10"/>
      <c r="F2" s="10"/>
      <c r="G2" s="10"/>
      <c r="H2" s="10"/>
      <c r="I2" s="10"/>
      <c r="J2" s="10"/>
      <c r="K2" s="10"/>
      <c r="L2" s="10"/>
      <c r="M2" s="10"/>
      <c r="N2" s="10"/>
      <c r="O2" s="10"/>
      <c r="P2" s="10"/>
      <c r="Q2" s="10"/>
      <c r="R2" s="10"/>
      <c r="S2" s="17"/>
    </row>
    <row r="3" spans="1:23" x14ac:dyDescent="0.25">
      <c r="A3" s="20" t="s">
        <v>44</v>
      </c>
      <c r="B3" s="6" t="s">
        <v>45</v>
      </c>
      <c r="M3" s="19" t="str">
        <f>HYPERLINK(siteUrl&amp;"Lists/"&amp;custList&amp;"/NewForm.aspx?","New Customer")</f>
        <v>New Customer</v>
      </c>
    </row>
    <row r="4" spans="1:23" x14ac:dyDescent="0.25">
      <c r="A4" s="23" t="s">
        <v>76</v>
      </c>
      <c r="M4" s="19" t="str">
        <f>HYPERLINK(siteUrl&amp;"Lists/"&amp;oppList&amp;"/NewForm.aspx?","New Opportunity")</f>
        <v>New Opportunity</v>
      </c>
    </row>
    <row r="5" spans="1:23" x14ac:dyDescent="0.25">
      <c r="A5" s="24" t="s">
        <v>75</v>
      </c>
    </row>
    <row r="7" spans="1:23" x14ac:dyDescent="0.25">
      <c r="D7" s="11" t="s">
        <v>80</v>
      </c>
      <c r="E7" s="12" t="s">
        <v>90</v>
      </c>
      <c r="F7" s="12" t="s">
        <v>49</v>
      </c>
      <c r="G7" s="12" t="s">
        <v>95</v>
      </c>
      <c r="H7" s="12" t="s">
        <v>15</v>
      </c>
      <c r="I7" s="12" t="s">
        <v>86</v>
      </c>
      <c r="J7" s="12" t="s">
        <v>87</v>
      </c>
      <c r="K7" s="12" t="s">
        <v>89</v>
      </c>
      <c r="L7" s="12" t="s">
        <v>18</v>
      </c>
      <c r="M7" s="12" t="s">
        <v>81</v>
      </c>
      <c r="N7" s="12" t="s">
        <v>0</v>
      </c>
      <c r="O7" s="12" t="s">
        <v>42</v>
      </c>
      <c r="P7" s="12" t="s">
        <v>32</v>
      </c>
      <c r="Q7" s="12" t="s">
        <v>88</v>
      </c>
      <c r="R7" s="12" t="s">
        <v>45</v>
      </c>
      <c r="S7" s="12" t="s">
        <v>30</v>
      </c>
      <c r="T7" t="s">
        <v>47</v>
      </c>
    </row>
    <row r="8" spans="1:23" x14ac:dyDescent="0.25">
      <c r="D8" s="39" t="str">
        <f>_xlfn.XLOOKUP(View[[#This Row],[Id]],Opportunities[Id],Opportunities[status symbol])</f>
        <v>✓</v>
      </c>
      <c r="E8" s="40" t="str">
        <f>HYPERLINK(siteUrl&amp;"Lists/"&amp;oppList&amp;"/DispForm.aspx?ID="&amp;View[[#This Row],[Id]],_xlfn.XLOOKUP(View[[#This Row],[Id]],Opportunities[Id],Opportunities[OpportunityName]))</f>
        <v>Healthcare Data Analytics Platform</v>
      </c>
      <c r="F8" s="41" t="str">
        <f>HYPERLINK(_xlfn.XLOOKUP(View[[#This Row],[Id]],Opportunities[Id],Opportunities[CustomerRecordURL]),_xlfn.XLOOKUP(View[[#This Row],[Id]],Opportunities[Id],Opportunities[Customer Name]))</f>
        <v>Publishing House</v>
      </c>
      <c r="G8" s="30"/>
      <c r="H8" s="42" t="str">
        <f>_xlfn.XLOOKUP(View[[#This Row],[Id]],Opportunities[Id],Opportunities[DisplayStage])</f>
        <v>5 - Project Execution</v>
      </c>
      <c r="I8" s="1">
        <f>IF(pipelineType="Unweighted",_xlfn.XLOOKUP(View[[#This Row],[Id]],Opportunities[Id],Opportunities[Amount])/1000,_xlfn.XLOOKUP(View[[#This Row],[Id]],Opportunities[Id],Opportunities[Weighted])/1000)</f>
        <v>1903.9839999999999</v>
      </c>
      <c r="J8" s="28" t="str">
        <f>_xlfn.XLOOKUP(View[[#This Row],[Id]],Opportunities[Id],Opportunities[Probability])</f>
        <v>Medium</v>
      </c>
      <c r="K8" s="29">
        <f>View[[#This Row],[Estmated Revenue]]</f>
        <v>761.59360000000004</v>
      </c>
      <c r="L8" s="2">
        <f>_xlfn.XLOOKUP(View[[#This Row],[Id]],Opportunities[Id],Opportunities[Close])</f>
        <v>45891.734918981485</v>
      </c>
      <c r="M8" s="25" t="str">
        <f>IF(_xlfn.XLOOKUP(View[[#This Row],[Id]],Opportunities[Id],Opportunities[Comment Log])=0,"",_xlfn.XLOOKUP(View[[#This Row],[Id]],Opportunities[Id],Opportunities[Comment Log]))</f>
        <v/>
      </c>
      <c r="N8">
        <v>175</v>
      </c>
      <c r="O8" s="3">
        <f ca="1">_xlfn.XLOOKUP(View[[#This Row],[Id]],Opportunities[Id],Opportunities[Next Milestone Date])-TODAY()</f>
        <v>-45879</v>
      </c>
      <c r="P8"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CY25-Q3</v>
      </c>
      <c r="Q8" s="1">
        <f>_xlfn.XLOOKUP(View[[#This Row],[Id]],Opportunities[Id],Opportunities[Weighted])/1000</f>
        <v>761.59360000000004</v>
      </c>
      <c r="R8" s="4">
        <f>_xlfn.XLOOKUP(View[[#This Row],[Id]],Opportunities[Id],Opportunities[Amount])/1000</f>
        <v>1903.9839999999999</v>
      </c>
      <c r="S8" s="38" t="b">
        <f>View[[#This Row],[Win Probability]]="High"</f>
        <v>0</v>
      </c>
      <c r="T8" s="38">
        <f>SUBTOTAL(103, View[[#This Row],[S]])</f>
        <v>1</v>
      </c>
    </row>
    <row r="9" spans="1:23" x14ac:dyDescent="0.25">
      <c r="D9" s="39" t="str">
        <f>_xlfn.XLOOKUP(View[[#This Row],[Id]],Opportunities[Id],Opportunities[status symbol])</f>
        <v>⮾</v>
      </c>
      <c r="E9" s="40" t="str">
        <f>HYPERLINK(siteUrl&amp;"Lists/"&amp;oppList&amp;"/DispForm.aspx?ID="&amp;View[[#This Row],[Id]],_xlfn.XLOOKUP(View[[#This Row],[Id]],Opportunities[Id],Opportunities[OpportunityName]))</f>
        <v>Quality Management System</v>
      </c>
      <c r="F9" s="41" t="str">
        <f>HYPERLINK(_xlfn.XLOOKUP(View[[#This Row],[Id]],Opportunities[Id],Opportunities[CustomerRecordURL]),_xlfn.XLOOKUP(View[[#This Row],[Id]],Opportunities[Id],Opportunities[Customer Name]))</f>
        <v>ACME Corporation</v>
      </c>
      <c r="G9" s="30"/>
      <c r="H9" s="42" t="str">
        <f>_xlfn.XLOOKUP(View[[#This Row],[Id]],Opportunities[Id],Opportunities[DisplayStage])</f>
        <v>3 - Proposal</v>
      </c>
      <c r="I9" s="1">
        <f>IF(pipelineType="Unweighted",_xlfn.XLOOKUP(View[[#This Row],[Id]],Opportunities[Id],Opportunities[Amount])/1000,_xlfn.XLOOKUP(View[[#This Row],[Id]],Opportunities[Id],Opportunities[Weighted])/1000)</f>
        <v>1660.6959999999999</v>
      </c>
      <c r="J9" s="28" t="str">
        <f>_xlfn.XLOOKUP(View[[#This Row],[Id]],Opportunities[Id],Opportunities[Probability])</f>
        <v>High</v>
      </c>
      <c r="K9" s="29">
        <f>View[[#This Row],[Estmated Revenue]]</f>
        <v>1494.6264000000001</v>
      </c>
      <c r="L9" s="2">
        <f>_xlfn.XLOOKUP(View[[#This Row],[Id]],Opportunities[Id],Opportunities[Close])</f>
        <v>45917.735150462962</v>
      </c>
      <c r="M9" s="25" t="str">
        <f>IF(_xlfn.XLOOKUP(View[[#This Row],[Id]],Opportunities[Id],Opportunities[Comment Log])=0,"",_xlfn.XLOOKUP(View[[#This Row],[Id]],Opportunities[Id],Opportunities[Comment Log]))</f>
        <v/>
      </c>
      <c r="N9">
        <v>186</v>
      </c>
      <c r="O9" s="3">
        <f ca="1">_xlfn.XLOOKUP(View[[#This Row],[Id]],Opportunities[Id],Opportunities[Next Milestone Date])-TODAY()</f>
        <v>-45879</v>
      </c>
      <c r="P9"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CY25-Q3</v>
      </c>
      <c r="Q9" s="1">
        <f>_xlfn.XLOOKUP(View[[#This Row],[Id]],Opportunities[Id],Opportunities[Weighted])/1000</f>
        <v>1494.6264000000001</v>
      </c>
      <c r="R9" s="4">
        <f>_xlfn.XLOOKUP(View[[#This Row],[Id]],Opportunities[Id],Opportunities[Amount])/1000</f>
        <v>1660.6959999999999</v>
      </c>
      <c r="S9" s="38" t="b">
        <f>View[[#This Row],[Win Probability]]="High"</f>
        <v>1</v>
      </c>
      <c r="T9" s="38">
        <f>SUBTOTAL(103, View[[#This Row],[S]])</f>
        <v>1</v>
      </c>
    </row>
    <row r="10" spans="1:23" x14ac:dyDescent="0.25">
      <c r="D10" s="39" t="str">
        <f>_xlfn.XLOOKUP(View[[#This Row],[Id]],Opportunities[Id],Opportunities[status symbol])</f>
        <v>✓</v>
      </c>
      <c r="E10" s="40" t="str">
        <f>HYPERLINK(siteUrl&amp;"Lists/"&amp;oppList&amp;"/DispForm.aspx?ID="&amp;View[[#This Row],[Id]],_xlfn.XLOOKUP(View[[#This Row],[Id]],Opportunities[Id],Opportunities[OpportunityName]))</f>
        <v>Project Management Software</v>
      </c>
      <c r="F10" s="41" t="str">
        <f>HYPERLINK(_xlfn.XLOOKUP(View[[#This Row],[Id]],Opportunities[Id],Opportunities[CustomerRecordURL]),_xlfn.XLOOKUP(View[[#This Row],[Id]],Opportunities[Id],Opportunities[Customer Name]))</f>
        <v>Tech Solutions Inc</v>
      </c>
      <c r="G10" s="30"/>
      <c r="H10" s="42" t="str">
        <f>_xlfn.XLOOKUP(View[[#This Row],[Id]],Opportunities[Id],Opportunities[DisplayStage])</f>
        <v>2 - Nurturing</v>
      </c>
      <c r="I10" s="1">
        <f>IF(pipelineType="Unweighted",_xlfn.XLOOKUP(View[[#This Row],[Id]],Opportunities[Id],Opportunities[Amount])/1000,_xlfn.XLOOKUP(View[[#This Row],[Id]],Opportunities[Id],Opportunities[Weighted])/1000)</f>
        <v>1113.9780000000001</v>
      </c>
      <c r="J10" s="28" t="str">
        <f>_xlfn.XLOOKUP(View[[#This Row],[Id]],Opportunities[Id],Opportunities[Probability])</f>
        <v>Low</v>
      </c>
      <c r="K10" s="29">
        <f>View[[#This Row],[Estmated Revenue]]</f>
        <v>222.79560000000001</v>
      </c>
      <c r="L10" s="2">
        <f>_xlfn.XLOOKUP(View[[#This Row],[Id]],Opportunities[Id],Opportunities[Close])</f>
        <v>45923.735335648147</v>
      </c>
      <c r="M10" s="25" t="str">
        <f>IF(_xlfn.XLOOKUP(View[[#This Row],[Id]],Opportunities[Id],Opportunities[Comment Log])=0,"",_xlfn.XLOOKUP(View[[#This Row],[Id]],Opportunities[Id],Opportunities[Comment Log]))</f>
        <v/>
      </c>
      <c r="N10">
        <v>195</v>
      </c>
      <c r="O10" s="3">
        <f ca="1">_xlfn.XLOOKUP(View[[#This Row],[Id]],Opportunities[Id],Opportunities[Next Milestone Date])-TODAY()</f>
        <v>-45879</v>
      </c>
      <c r="P10"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CY25-Q3</v>
      </c>
      <c r="Q10" s="1">
        <f>_xlfn.XLOOKUP(View[[#This Row],[Id]],Opportunities[Id],Opportunities[Weighted])/1000</f>
        <v>222.79560000000001</v>
      </c>
      <c r="R10" s="4">
        <f>_xlfn.XLOOKUP(View[[#This Row],[Id]],Opportunities[Id],Opportunities[Amount])/1000</f>
        <v>1113.9780000000001</v>
      </c>
      <c r="S10" s="38" t="b">
        <f>View[[#This Row],[Win Probability]]="High"</f>
        <v>0</v>
      </c>
      <c r="T10" s="38">
        <f>SUBTOTAL(103, View[[#This Row],[S]])</f>
        <v>1</v>
      </c>
    </row>
    <row r="11" spans="1:23" x14ac:dyDescent="0.25">
      <c r="D11" s="39" t="str">
        <f>_xlfn.XLOOKUP(View[[#This Row],[Id]],Opportunities[Id],Opportunities[status symbol])</f>
        <v>✓</v>
      </c>
      <c r="E11" s="40" t="str">
        <f>HYPERLINK(siteUrl&amp;"Lists/"&amp;oppList&amp;"/DispForm.aspx?ID="&amp;View[[#This Row],[Id]],_xlfn.XLOOKUP(View[[#This Row],[Id]],Opportunities[Id],Opportunities[OpportunityName]))</f>
        <v>Business Intelligence Solution</v>
      </c>
      <c r="F11" s="41" t="str">
        <f>HYPERLINK(_xlfn.XLOOKUP(View[[#This Row],[Id]],Opportunities[Id],Opportunities[CustomerRecordURL]),_xlfn.XLOOKUP(View[[#This Row],[Id]],Opportunities[Id],Opportunities[Customer Name]))</f>
        <v>Textile Manufacturing</v>
      </c>
      <c r="G11" s="30"/>
      <c r="H11" s="42" t="str">
        <f>_xlfn.XLOOKUP(View[[#This Row],[Id]],Opportunities[Id],Opportunities[DisplayStage])</f>
        <v>4 - Negotiation</v>
      </c>
      <c r="I11" s="1">
        <f>IF(pipelineType="Unweighted",_xlfn.XLOOKUP(View[[#This Row],[Id]],Opportunities[Id],Opportunities[Amount])/1000,_xlfn.XLOOKUP(View[[#This Row],[Id]],Opportunities[Id],Opportunities[Weighted])/1000)</f>
        <v>1117.2629999999999</v>
      </c>
      <c r="J11" s="28" t="str">
        <f>_xlfn.XLOOKUP(View[[#This Row],[Id]],Opportunities[Id],Opportunities[Probability])</f>
        <v>Medium</v>
      </c>
      <c r="K11" s="29">
        <f>View[[#This Row],[Estmated Revenue]]</f>
        <v>446.90520000000004</v>
      </c>
      <c r="L11" s="2">
        <f>_xlfn.XLOOKUP(View[[#This Row],[Id]],Opportunities[Id],Opportunities[Close])</f>
        <v>45947.734988425924</v>
      </c>
      <c r="M11" s="25" t="str">
        <f>IF(_xlfn.XLOOKUP(View[[#This Row],[Id]],Opportunities[Id],Opportunities[Comment Log])=0,"",_xlfn.XLOOKUP(View[[#This Row],[Id]],Opportunities[Id],Opportunities[Comment Log]))</f>
        <v/>
      </c>
      <c r="N11">
        <v>178</v>
      </c>
      <c r="O11" s="3">
        <f ca="1">_xlfn.XLOOKUP(View[[#This Row],[Id]],Opportunities[Id],Opportunities[Next Milestone Date])-TODAY()</f>
        <v>-45879</v>
      </c>
      <c r="P11"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CY25-Q4</v>
      </c>
      <c r="Q11" s="1">
        <f>_xlfn.XLOOKUP(View[[#This Row],[Id]],Opportunities[Id],Opportunities[Weighted])/1000</f>
        <v>446.90520000000004</v>
      </c>
      <c r="R11" s="4">
        <f>_xlfn.XLOOKUP(View[[#This Row],[Id]],Opportunities[Id],Opportunities[Amount])/1000</f>
        <v>1117.2629999999999</v>
      </c>
      <c r="S11" s="38" t="b">
        <f>View[[#This Row],[Win Probability]]="High"</f>
        <v>0</v>
      </c>
      <c r="T11" s="38">
        <f>SUBTOTAL(103, View[[#This Row],[S]])</f>
        <v>1</v>
      </c>
    </row>
    <row r="12" spans="1:23" x14ac:dyDescent="0.25">
      <c r="D12" s="39" t="str">
        <f>_xlfn.XLOOKUP(View[[#This Row],[Id]],Opportunities[Id],Opportunities[status symbol])</f>
        <v>✓</v>
      </c>
      <c r="E12" s="40" t="str">
        <f>HYPERLINK(siteUrl&amp;"Lists/"&amp;oppList&amp;"/DispForm.aspx?ID="&amp;View[[#This Row],[Id]],_xlfn.XLOOKUP(View[[#This Row],[Id]],Opportunities[Id],Opportunities[OpportunityName]))</f>
        <v>Financial Planning Software</v>
      </c>
      <c r="F12" s="41" t="str">
        <f>HYPERLINK(_xlfn.XLOOKUP(View[[#This Row],[Id]],Opportunities[Id],Opportunities[CustomerRecordURL]),_xlfn.XLOOKUP(View[[#This Row],[Id]],Opportunities[Id],Opportunities[Customer Name]))</f>
        <v>Education First</v>
      </c>
      <c r="G12" s="30"/>
      <c r="H12" s="42" t="str">
        <f>_xlfn.XLOOKUP(View[[#This Row],[Id]],Opportunities[Id],Opportunities[DisplayStage])</f>
        <v>5 - Project Execution</v>
      </c>
      <c r="I12" s="1">
        <f>IF(pipelineType="Unweighted",_xlfn.XLOOKUP(View[[#This Row],[Id]],Opportunities[Id],Opportunities[Amount])/1000,_xlfn.XLOOKUP(View[[#This Row],[Id]],Opportunities[Id],Opportunities[Weighted])/1000)</f>
        <v>1177.2639999999999</v>
      </c>
      <c r="J12" s="28" t="str">
        <f>_xlfn.XLOOKUP(View[[#This Row],[Id]],Opportunities[Id],Opportunities[Probability])</f>
        <v>Medium</v>
      </c>
      <c r="K12" s="29">
        <f>View[[#This Row],[Estmated Revenue]]</f>
        <v>470.90560000000005</v>
      </c>
      <c r="L12" s="2">
        <f>_xlfn.XLOOKUP(View[[#This Row],[Id]],Opportunities[Id],Opportunities[Close])</f>
        <v>45947.735185185185</v>
      </c>
      <c r="M12" s="25" t="str">
        <f>IF(_xlfn.XLOOKUP(View[[#This Row],[Id]],Opportunities[Id],Opportunities[Comment Log])=0,"",_xlfn.XLOOKUP(View[[#This Row],[Id]],Opportunities[Id],Opportunities[Comment Log]))</f>
        <v/>
      </c>
      <c r="N12">
        <v>188</v>
      </c>
      <c r="O12" s="3">
        <f ca="1">_xlfn.XLOOKUP(View[[#This Row],[Id]],Opportunities[Id],Opportunities[Next Milestone Date])-TODAY()</f>
        <v>-45879</v>
      </c>
      <c r="P12"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CY25-Q4</v>
      </c>
      <c r="Q12" s="1">
        <f>_xlfn.XLOOKUP(View[[#This Row],[Id]],Opportunities[Id],Opportunities[Weighted])/1000</f>
        <v>470.90560000000005</v>
      </c>
      <c r="R12" s="4">
        <f>_xlfn.XLOOKUP(View[[#This Row],[Id]],Opportunities[Id],Opportunities[Amount])/1000</f>
        <v>1177.2639999999999</v>
      </c>
      <c r="S12" s="38" t="b">
        <f>View[[#This Row],[Win Probability]]="High"</f>
        <v>0</v>
      </c>
      <c r="T12" s="38">
        <f>SUBTOTAL(103, View[[#This Row],[S]])</f>
        <v>1</v>
      </c>
    </row>
    <row r="13" spans="1:23" x14ac:dyDescent="0.25">
      <c r="D13" s="39" t="str">
        <f>_xlfn.XLOOKUP(View[[#This Row],[Id]],Opportunities[Id],Opportunities[status symbol])</f>
        <v>✓</v>
      </c>
      <c r="E13" s="40" t="str">
        <f>HYPERLINK(siteUrl&amp;"Lists/"&amp;oppList&amp;"/DispForm.aspx?ID="&amp;View[[#This Row],[Id]],_xlfn.XLOOKUP(View[[#This Row],[Id]],Opportunities[Id],Opportunities[OpportunityName]))</f>
        <v>Document Management System</v>
      </c>
      <c r="F13" s="41" t="str">
        <f>HYPERLINK(_xlfn.XLOOKUP(View[[#This Row],[Id]],Opportunities[Id],Opportunities[CustomerRecordURL]),_xlfn.XLOOKUP(View[[#This Row],[Id]],Opportunities[Id],Opportunities[Customer Name]))</f>
        <v>Food Service Partners</v>
      </c>
      <c r="G13" s="30"/>
      <c r="H13" s="42" t="str">
        <f>_xlfn.XLOOKUP(View[[#This Row],[Id]],Opportunities[Id],Opportunities[DisplayStage])</f>
        <v>1 - Lead Qualification</v>
      </c>
      <c r="I13" s="1">
        <f>IF(pipelineType="Unweighted",_xlfn.XLOOKUP(View[[#This Row],[Id]],Opportunities[Id],Opportunities[Amount])/1000,_xlfn.XLOOKUP(View[[#This Row],[Id]],Opportunities[Id],Opportunities[Weighted])/1000)</f>
        <v>487.92399999999998</v>
      </c>
      <c r="J13" s="28" t="str">
        <f>_xlfn.XLOOKUP(View[[#This Row],[Id]],Opportunities[Id],Opportunities[Probability])</f>
        <v>Low</v>
      </c>
      <c r="K13" s="29">
        <f>View[[#This Row],[Estmated Revenue]]</f>
        <v>97.584800000000001</v>
      </c>
      <c r="L13" s="2">
        <f>_xlfn.XLOOKUP(View[[#This Row],[Id]],Opportunities[Id],Opportunities[Close])</f>
        <v>45954.73510416667</v>
      </c>
      <c r="M13" s="25" t="str">
        <f>IF(_xlfn.XLOOKUP(View[[#This Row],[Id]],Opportunities[Id],Opportunities[Comment Log])=0,"",_xlfn.XLOOKUP(View[[#This Row],[Id]],Opportunities[Id],Opportunities[Comment Log]))</f>
        <v/>
      </c>
      <c r="N13">
        <v>184</v>
      </c>
      <c r="O13" s="3">
        <f ca="1">_xlfn.XLOOKUP(View[[#This Row],[Id]],Opportunities[Id],Opportunities[Next Milestone Date])-TODAY()</f>
        <v>-45879</v>
      </c>
      <c r="P13"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CY25-Q4</v>
      </c>
      <c r="Q13" s="1">
        <f>_xlfn.XLOOKUP(View[[#This Row],[Id]],Opportunities[Id],Opportunities[Weighted])/1000</f>
        <v>97.584800000000001</v>
      </c>
      <c r="R13" s="4">
        <f>_xlfn.XLOOKUP(View[[#This Row],[Id]],Opportunities[Id],Opportunities[Amount])/1000</f>
        <v>487.92399999999998</v>
      </c>
      <c r="S13" s="38" t="b">
        <f>View[[#This Row],[Win Probability]]="High"</f>
        <v>0</v>
      </c>
      <c r="T13" s="38">
        <f>SUBTOTAL(103, View[[#This Row],[S]])</f>
        <v>1</v>
      </c>
    </row>
    <row r="14" spans="1:23" x14ac:dyDescent="0.25">
      <c r="D14" s="39" t="str">
        <f>_xlfn.XLOOKUP(View[[#This Row],[Id]],Opportunities[Id],Opportunities[status symbol])</f>
        <v>✓</v>
      </c>
      <c r="E14" s="40" t="str">
        <f>HYPERLINK(siteUrl&amp;"Lists/"&amp;oppList&amp;"/DispForm.aspx?ID="&amp;View[[#This Row],[Id]],_xlfn.XLOOKUP(View[[#This Row],[Id]],Opportunities[Id],Opportunities[OpportunityName]))</f>
        <v>Cybersecurity Enhancement</v>
      </c>
      <c r="F14" s="41" t="str">
        <f>HYPERLINK(_xlfn.XLOOKUP(View[[#This Row],[Id]],Opportunities[Id],Opportunities[CustomerRecordURL]),_xlfn.XLOOKUP(View[[#This Row],[Id]],Opportunities[Id],Opportunities[Customer Name]))</f>
        <v>Professional Services Group</v>
      </c>
      <c r="G14" s="30"/>
      <c r="H14" s="42" t="str">
        <f>_xlfn.XLOOKUP(View[[#This Row],[Id]],Opportunities[Id],Opportunities[DisplayStage])</f>
        <v>3 - Proposal</v>
      </c>
      <c r="I14" s="1">
        <f>IF(pipelineType="Unweighted",_xlfn.XLOOKUP(View[[#This Row],[Id]],Opportunities[Id],Opportunities[Amount])/1000,_xlfn.XLOOKUP(View[[#This Row],[Id]],Opportunities[Id],Opportunities[Weighted])/1000)</f>
        <v>1155.807</v>
      </c>
      <c r="J14" s="28" t="str">
        <f>_xlfn.XLOOKUP(View[[#This Row],[Id]],Opportunities[Id],Opportunities[Probability])</f>
        <v>High</v>
      </c>
      <c r="K14" s="29">
        <f>View[[#This Row],[Estmated Revenue]]</f>
        <v>1040.2263</v>
      </c>
      <c r="L14" s="2">
        <f>_xlfn.XLOOKUP(View[[#This Row],[Id]],Opportunities[Id],Opportunities[Close])</f>
        <v>45967.776736111111</v>
      </c>
      <c r="M14" s="25" t="str">
        <f>IF(_xlfn.XLOOKUP(View[[#This Row],[Id]],Opportunities[Id],Opportunities[Comment Log])=0,"",_xlfn.XLOOKUP(View[[#This Row],[Id]],Opportunities[Id],Opportunities[Comment Log]))</f>
        <v/>
      </c>
      <c r="N14">
        <v>182</v>
      </c>
      <c r="O14" s="3">
        <f ca="1">_xlfn.XLOOKUP(View[[#This Row],[Id]],Opportunities[Id],Opportunities[Next Milestone Date])-TODAY()</f>
        <v>-45879</v>
      </c>
      <c r="P14"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CY25-Q4</v>
      </c>
      <c r="Q14" s="1">
        <f>_xlfn.XLOOKUP(View[[#This Row],[Id]],Opportunities[Id],Opportunities[Weighted])/1000</f>
        <v>1040.2263</v>
      </c>
      <c r="R14" s="4">
        <f>_xlfn.XLOOKUP(View[[#This Row],[Id]],Opportunities[Id],Opportunities[Amount])/1000</f>
        <v>1155.807</v>
      </c>
      <c r="S14" s="38" t="b">
        <f>View[[#This Row],[Win Probability]]="High"</f>
        <v>1</v>
      </c>
      <c r="T14" s="38">
        <f>SUBTOTAL(103, View[[#This Row],[S]])</f>
        <v>1</v>
      </c>
    </row>
    <row r="15" spans="1:23" x14ac:dyDescent="0.25">
      <c r="D15" s="39" t="str">
        <f>_xlfn.XLOOKUP(View[[#This Row],[Id]],Opportunities[Id],Opportunities[status symbol])</f>
        <v>✓</v>
      </c>
      <c r="E15" s="40" t="str">
        <f>HYPERLINK(siteUrl&amp;"Lists/"&amp;oppList&amp;"/DispForm.aspx?ID="&amp;View[[#This Row],[Id]],_xlfn.XLOOKUP(View[[#This Row],[Id]],Opportunities[Id],Opportunities[OpportunityName]))</f>
        <v>Legacy System Modernization</v>
      </c>
      <c r="F15" s="41" t="str">
        <f>HYPERLINK(_xlfn.XLOOKUP(View[[#This Row],[Id]],Opportunities[Id],Opportunities[CustomerRecordURL]),_xlfn.XLOOKUP(View[[#This Row],[Id]],Opportunities[Id],Opportunities[Customer Name]))</f>
        <v>Sports &amp; Recreation</v>
      </c>
      <c r="G15" s="30"/>
      <c r="H15" s="42" t="str">
        <f>_xlfn.XLOOKUP(View[[#This Row],[Id]],Opportunities[Id],Opportunities[DisplayStage])</f>
        <v>2 - Nurturing</v>
      </c>
      <c r="I15" s="1">
        <f>IF(pipelineType="Unweighted",_xlfn.XLOOKUP(View[[#This Row],[Id]],Opportunities[Id],Opportunities[Amount])/1000,_xlfn.XLOOKUP(View[[#This Row],[Id]],Opportunities[Id],Opportunities[Weighted])/1000)</f>
        <v>1364.5350000000001</v>
      </c>
      <c r="J15" s="28" t="str">
        <f>_xlfn.XLOOKUP(View[[#This Row],[Id]],Opportunities[Id],Opportunities[Probability])</f>
        <v>Low</v>
      </c>
      <c r="K15" s="29">
        <f>View[[#This Row],[Estmated Revenue]]</f>
        <v>272.90699999999998</v>
      </c>
      <c r="L15" s="2">
        <f>_xlfn.XLOOKUP(View[[#This Row],[Id]],Opportunities[Id],Opportunities[Close])</f>
        <v>46000.777268518519</v>
      </c>
      <c r="M15" s="25" t="str">
        <f>IF(_xlfn.XLOOKUP(View[[#This Row],[Id]],Opportunities[Id],Opportunities[Comment Log])=0,"",_xlfn.XLOOKUP(View[[#This Row],[Id]],Opportunities[Id],Opportunities[Comment Log]))</f>
        <v/>
      </c>
      <c r="N15">
        <v>208</v>
      </c>
      <c r="O15" s="3">
        <f ca="1">_xlfn.XLOOKUP(View[[#This Row],[Id]],Opportunities[Id],Opportunities[Next Milestone Date])-TODAY()</f>
        <v>-45879</v>
      </c>
      <c r="P15"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CY25-Q4</v>
      </c>
      <c r="Q15" s="1">
        <f>_xlfn.XLOOKUP(View[[#This Row],[Id]],Opportunities[Id],Opportunities[Weighted])/1000</f>
        <v>272.90699999999998</v>
      </c>
      <c r="R15" s="4">
        <f>_xlfn.XLOOKUP(View[[#This Row],[Id]],Opportunities[Id],Opportunities[Amount])/1000</f>
        <v>1364.5350000000001</v>
      </c>
      <c r="S15" s="38" t="b">
        <f>View[[#This Row],[Win Probability]]="High"</f>
        <v>0</v>
      </c>
      <c r="T15" s="38">
        <f>SUBTOTAL(103, View[[#This Row],[S]])</f>
        <v>1</v>
      </c>
    </row>
    <row r="16" spans="1:23" x14ac:dyDescent="0.25">
      <c r="D16" s="39" t="str">
        <f>_xlfn.XLOOKUP(View[[#This Row],[Id]],Opportunities[Id],Opportunities[status symbol])</f>
        <v>⚠</v>
      </c>
      <c r="E16" s="40" t="str">
        <f>HYPERLINK(siteUrl&amp;"Lists/"&amp;oppList&amp;"/DispForm.aspx?ID="&amp;View[[#This Row],[Id]],_xlfn.XLOOKUP(View[[#This Row],[Id]],Opportunities[Id],Opportunities[OpportunityName]))</f>
        <v>Backup &amp; Recovery System</v>
      </c>
      <c r="F16" s="41" t="str">
        <f>HYPERLINK(_xlfn.XLOOKUP(View[[#This Row],[Id]],Opportunities[Id],Opportunities[CustomerRecordURL]),_xlfn.XLOOKUP(View[[#This Row],[Id]],Opportunities[Id],Opportunities[Customer Name]))</f>
        <v>ACME Corporation</v>
      </c>
      <c r="G16" s="30"/>
      <c r="H16" s="42" t="str">
        <f>_xlfn.XLOOKUP(View[[#This Row],[Id]],Opportunities[Id],Opportunities[DisplayStage])</f>
        <v>2 - Nurturing</v>
      </c>
      <c r="I16" s="1">
        <f>IF(pipelineType="Unweighted",_xlfn.XLOOKUP(View[[#This Row],[Id]],Opportunities[Id],Opportunities[Amount])/1000,_xlfn.XLOOKUP(View[[#This Row],[Id]],Opportunities[Id],Opportunities[Weighted])/1000)</f>
        <v>1775.4780000000001</v>
      </c>
      <c r="J16" s="28" t="str">
        <f>_xlfn.XLOOKUP(View[[#This Row],[Id]],Opportunities[Id],Opportunities[Probability])</f>
        <v>High</v>
      </c>
      <c r="K16" s="29">
        <f>View[[#This Row],[Estmated Revenue]]</f>
        <v>1597.9302</v>
      </c>
      <c r="L16" s="2">
        <f>_xlfn.XLOOKUP(View[[#This Row],[Id]],Opportunities[Id],Opportunities[Close])</f>
        <v>46003.777037037034</v>
      </c>
      <c r="M16" s="25" t="str">
        <f>IF(_xlfn.XLOOKUP(View[[#This Row],[Id]],Opportunities[Id],Opportunities[Comment Log])=0,"",_xlfn.XLOOKUP(View[[#This Row],[Id]],Opportunities[Id],Opportunities[Comment Log]))</f>
        <v/>
      </c>
      <c r="N16">
        <v>197</v>
      </c>
      <c r="O16" s="3">
        <f ca="1">_xlfn.XLOOKUP(View[[#This Row],[Id]],Opportunities[Id],Opportunities[Next Milestone Date])-TODAY()</f>
        <v>-45879</v>
      </c>
      <c r="P16"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CY25-Q4</v>
      </c>
      <c r="Q16" s="1">
        <f>_xlfn.XLOOKUP(View[[#This Row],[Id]],Opportunities[Id],Opportunities[Weighted])/1000</f>
        <v>1597.9302</v>
      </c>
      <c r="R16" s="4">
        <f>_xlfn.XLOOKUP(View[[#This Row],[Id]],Opportunities[Id],Opportunities[Amount])/1000</f>
        <v>1775.4780000000001</v>
      </c>
      <c r="S16" s="38" t="b">
        <f>View[[#This Row],[Win Probability]]="High"</f>
        <v>1</v>
      </c>
      <c r="T16" s="38">
        <f>SUBTOTAL(103, View[[#This Row],[S]])</f>
        <v>1</v>
      </c>
    </row>
    <row r="17" spans="4:20" x14ac:dyDescent="0.25">
      <c r="D17" s="39" t="str">
        <f>_xlfn.XLOOKUP(View[[#This Row],[Id]],Opportunities[Id],Opportunities[status symbol])</f>
        <v>✓</v>
      </c>
      <c r="E17" s="40" t="str">
        <f>HYPERLINK(siteUrl&amp;"Lists/"&amp;oppList&amp;"/DispForm.aspx?ID="&amp;View[[#This Row],[Id]],_xlfn.XLOOKUP(View[[#This Row],[Id]],Opportunities[Id],Opportunities[OpportunityName]))</f>
        <v>Data Center Consolidation</v>
      </c>
      <c r="F17" s="41" t="str">
        <f>HYPERLINK(_xlfn.XLOOKUP(View[[#This Row],[Id]],Opportunities[Id],Opportunities[CustomerRecordURL]),_xlfn.XLOOKUP(View[[#This Row],[Id]],Opportunities[Id],Opportunities[Customer Name]))</f>
        <v>Food Service Partners</v>
      </c>
      <c r="G17" s="30"/>
      <c r="H17" s="42" t="str">
        <f>_xlfn.XLOOKUP(View[[#This Row],[Id]],Opportunities[Id],Opportunities[DisplayStage])</f>
        <v>2 - Nurturing</v>
      </c>
      <c r="I17" s="1">
        <f>IF(pipelineType="Unweighted",_xlfn.XLOOKUP(View[[#This Row],[Id]],Opportunities[Id],Opportunities[Amount])/1000,_xlfn.XLOOKUP(View[[#This Row],[Id]],Opportunities[Id],Opportunities[Weighted])/1000)</f>
        <v>455.20600000000002</v>
      </c>
      <c r="J17" s="28" t="str">
        <f>_xlfn.XLOOKUP(View[[#This Row],[Id]],Opportunities[Id],Opportunities[Probability])</f>
        <v>Low</v>
      </c>
      <c r="K17" s="29">
        <f>View[[#This Row],[Estmated Revenue]]</f>
        <v>91.041200000000018</v>
      </c>
      <c r="L17" s="2">
        <f>_xlfn.XLOOKUP(View[[#This Row],[Id]],Opportunities[Id],Opportunities[Close])</f>
        <v>46015.776712962965</v>
      </c>
      <c r="M17" s="25" t="str">
        <f>IF(_xlfn.XLOOKUP(View[[#This Row],[Id]],Opportunities[Id],Opportunities[Comment Log])=0,"",_xlfn.XLOOKUP(View[[#This Row],[Id]],Opportunities[Id],Opportunities[Comment Log]))</f>
        <v/>
      </c>
      <c r="N17">
        <v>181</v>
      </c>
      <c r="O17" s="3">
        <f ca="1">_xlfn.XLOOKUP(View[[#This Row],[Id]],Opportunities[Id],Opportunities[Next Milestone Date])-TODAY()</f>
        <v>-45879</v>
      </c>
      <c r="P17"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CY25-Q4</v>
      </c>
      <c r="Q17" s="1">
        <f>_xlfn.XLOOKUP(View[[#This Row],[Id]],Opportunities[Id],Opportunities[Weighted])/1000</f>
        <v>91.041200000000018</v>
      </c>
      <c r="R17" s="4">
        <f>_xlfn.XLOOKUP(View[[#This Row],[Id]],Opportunities[Id],Opportunities[Amount])/1000</f>
        <v>455.20600000000002</v>
      </c>
      <c r="S17" s="38" t="b">
        <f>View[[#This Row],[Win Probability]]="High"</f>
        <v>0</v>
      </c>
      <c r="T17" s="38">
        <f>SUBTOTAL(103, View[[#This Row],[S]])</f>
        <v>1</v>
      </c>
    </row>
    <row r="18" spans="4:20" x14ac:dyDescent="0.25">
      <c r="D18" s="39" t="str">
        <f>_xlfn.XLOOKUP(View[[#This Row],[Id]],Opportunities[Id],Opportunities[status symbol])</f>
        <v>⮾</v>
      </c>
      <c r="E18" s="40" t="str">
        <f>HYPERLINK(siteUrl&amp;"Lists/"&amp;oppList&amp;"/DispForm.aspx?ID="&amp;View[[#This Row],[Id]],_xlfn.XLOOKUP(View[[#This Row],[Id]],Opportunities[Id],Opportunities[OpportunityName]))</f>
        <v>Performance Analytics Dashboard</v>
      </c>
      <c r="F18" s="41" t="str">
        <f>HYPERLINK(_xlfn.XLOOKUP(View[[#This Row],[Id]],Opportunities[Id],Opportunities[CustomerRecordURL]),_xlfn.XLOOKUP(View[[#This Row],[Id]],Opportunities[Id],Opportunities[Customer Name]))</f>
        <v>Media Communications</v>
      </c>
      <c r="G18" s="30"/>
      <c r="H18" s="42" t="str">
        <f>_xlfn.XLOOKUP(View[[#This Row],[Id]],Opportunities[Id],Opportunities[DisplayStage])</f>
        <v>1 - Lead Qualification</v>
      </c>
      <c r="I18" s="1">
        <f>IF(pipelineType="Unweighted",_xlfn.XLOOKUP(View[[#This Row],[Id]],Opportunities[Id],Opportunities[Amount])/1000,_xlfn.XLOOKUP(View[[#This Row],[Id]],Opportunities[Id],Opportunities[Weighted])/1000)</f>
        <v>1953.7629999999999</v>
      </c>
      <c r="J18" s="28" t="str">
        <f>_xlfn.XLOOKUP(View[[#This Row],[Id]],Opportunities[Id],Opportunities[Probability])</f>
        <v>Medium</v>
      </c>
      <c r="K18" s="29">
        <f>View[[#This Row],[Estmated Revenue]]</f>
        <v>781.50520000000006</v>
      </c>
      <c r="L18" s="2">
        <f>_xlfn.XLOOKUP(View[[#This Row],[Id]],Opportunities[Id],Opportunities[Close])</f>
        <v>46027.777187500003</v>
      </c>
      <c r="M18" s="25" t="str">
        <f>IF(_xlfn.XLOOKUP(View[[#This Row],[Id]],Opportunities[Id],Opportunities[Comment Log])=0,"",_xlfn.XLOOKUP(View[[#This Row],[Id]],Opportunities[Id],Opportunities[Comment Log]))</f>
        <v/>
      </c>
      <c r="N18">
        <v>204</v>
      </c>
      <c r="O18" s="3">
        <f ca="1">_xlfn.XLOOKUP(View[[#This Row],[Id]],Opportunities[Id],Opportunities[Next Milestone Date])-TODAY()</f>
        <v>-45879</v>
      </c>
      <c r="P18"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18" s="1">
        <f>_xlfn.XLOOKUP(View[[#This Row],[Id]],Opportunities[Id],Opportunities[Weighted])/1000</f>
        <v>781.50520000000006</v>
      </c>
      <c r="R18" s="4">
        <f>_xlfn.XLOOKUP(View[[#This Row],[Id]],Opportunities[Id],Opportunities[Amount])/1000</f>
        <v>1953.7629999999999</v>
      </c>
      <c r="S18" s="38" t="b">
        <f>View[[#This Row],[Win Probability]]="High"</f>
        <v>0</v>
      </c>
      <c r="T18" s="38">
        <f>SUBTOTAL(103, View[[#This Row],[S]])</f>
        <v>1</v>
      </c>
    </row>
    <row r="19" spans="4:20" x14ac:dyDescent="0.25">
      <c r="D19" s="39" t="str">
        <f>_xlfn.XLOOKUP(View[[#This Row],[Id]],Opportunities[Id],Opportunities[status symbol])</f>
        <v>✓</v>
      </c>
      <c r="E19" s="40" t="str">
        <f>HYPERLINK(siteUrl&amp;"Lists/"&amp;oppList&amp;"/DispForm.aspx?ID="&amp;View[[#This Row],[Id]],_xlfn.XLOOKUP(View[[#This Row],[Id]],Opportunities[Id],Opportunities[OpportunityName]))</f>
        <v>Marketing Automation Platform</v>
      </c>
      <c r="F19" s="41" t="str">
        <f>HYPERLINK(_xlfn.XLOOKUP(View[[#This Row],[Id]],Opportunities[Id],Opportunities[CustomerRecordURL]),_xlfn.XLOOKUP(View[[#This Row],[Id]],Opportunities[Id],Opportunities[Customer Name]))</f>
        <v>Consulting Experts</v>
      </c>
      <c r="G19" s="30"/>
      <c r="H19" s="42" t="str">
        <f>_xlfn.XLOOKUP(View[[#This Row],[Id]],Opportunities[Id],Opportunities[DisplayStage])</f>
        <v>1 - Lead Qualification</v>
      </c>
      <c r="I19" s="1">
        <f>IF(pipelineType="Unweighted",_xlfn.XLOOKUP(View[[#This Row],[Id]],Opportunities[Id],Opportunities[Amount])/1000,_xlfn.XLOOKUP(View[[#This Row],[Id]],Opportunities[Id],Opportunities[Weighted])/1000)</f>
        <v>505.09500000000003</v>
      </c>
      <c r="J19" s="28" t="str">
        <f>_xlfn.XLOOKUP(View[[#This Row],[Id]],Opportunities[Id],Opportunities[Probability])</f>
        <v>Medium</v>
      </c>
      <c r="K19" s="29">
        <f>View[[#This Row],[Estmated Revenue]]</f>
        <v>202.03800000000001</v>
      </c>
      <c r="L19" s="2">
        <f>_xlfn.XLOOKUP(View[[#This Row],[Id]],Opportunities[Id],Opportunities[Close])</f>
        <v>46041.776898148149</v>
      </c>
      <c r="M19" s="25" t="str">
        <f>IF(_xlfn.XLOOKUP(View[[#This Row],[Id]],Opportunities[Id],Opportunities[Comment Log])=0,"",_xlfn.XLOOKUP(View[[#This Row],[Id]],Opportunities[Id],Opportunities[Comment Log]))</f>
        <v/>
      </c>
      <c r="N19">
        <v>190</v>
      </c>
      <c r="O19" s="3">
        <f ca="1">_xlfn.XLOOKUP(View[[#This Row],[Id]],Opportunities[Id],Opportunities[Next Milestone Date])-TODAY()</f>
        <v>-45879</v>
      </c>
      <c r="P19"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19" s="1">
        <f>_xlfn.XLOOKUP(View[[#This Row],[Id]],Opportunities[Id],Opportunities[Weighted])/1000</f>
        <v>202.03800000000001</v>
      </c>
      <c r="R19" s="4">
        <f>_xlfn.XLOOKUP(View[[#This Row],[Id]],Opportunities[Id],Opportunities[Amount])/1000</f>
        <v>505.09500000000003</v>
      </c>
      <c r="S19" s="38" t="b">
        <f>View[[#This Row],[Win Probability]]="High"</f>
        <v>0</v>
      </c>
      <c r="T19" s="38">
        <f>SUBTOTAL(103, View[[#This Row],[S]])</f>
        <v>1</v>
      </c>
    </row>
    <row r="20" spans="4:20" x14ac:dyDescent="0.25">
      <c r="D20" s="39" t="str">
        <f>_xlfn.XLOOKUP(View[[#This Row],[Id]],Opportunities[Id],Opportunities[status symbol])</f>
        <v>✓</v>
      </c>
      <c r="E20" s="40" t="str">
        <f>HYPERLINK(siteUrl&amp;"Lists/"&amp;oppList&amp;"/DispForm.aspx?ID="&amp;View[[#This Row],[Id]],_xlfn.XLOOKUP(View[[#This Row],[Id]],Opportunities[Id],Opportunities[OpportunityName]))</f>
        <v>Inventory Management Solution</v>
      </c>
      <c r="F20" s="41" t="str">
        <f>HYPERLINK(_xlfn.XLOOKUP(View[[#This Row],[Id]],Opportunities[Id],Opportunities[CustomerRecordURL]),_xlfn.XLOOKUP(View[[#This Row],[Id]],Opportunities[Id],Opportunities[Customer Name]))</f>
        <v>Chemical Processing</v>
      </c>
      <c r="G20" s="30"/>
      <c r="H20" s="42" t="str">
        <f>_xlfn.XLOOKUP(View[[#This Row],[Id]],Opportunities[Id],Opportunities[DisplayStage])</f>
        <v>2 - Nurturing</v>
      </c>
      <c r="I20" s="1">
        <f>IF(pipelineType="Unweighted",_xlfn.XLOOKUP(View[[#This Row],[Id]],Opportunities[Id],Opportunities[Amount])/1000,_xlfn.XLOOKUP(View[[#This Row],[Id]],Opportunities[Id],Opportunities[Weighted])/1000)</f>
        <v>960.54399999999998</v>
      </c>
      <c r="J20" s="28" t="str">
        <f>_xlfn.XLOOKUP(View[[#This Row],[Id]],Opportunities[Id],Opportunities[Probability])</f>
        <v>Medium</v>
      </c>
      <c r="K20" s="29">
        <f>View[[#This Row],[Estmated Revenue]]</f>
        <v>384.21760000000006</v>
      </c>
      <c r="L20" s="2">
        <f>_xlfn.XLOOKUP(View[[#This Row],[Id]],Opportunities[Id],Opportunities[Close])</f>
        <v>46049.776932870373</v>
      </c>
      <c r="M20" s="25" t="str">
        <f>IF(_xlfn.XLOOKUP(View[[#This Row],[Id]],Opportunities[Id],Opportunities[Comment Log])=0,"",_xlfn.XLOOKUP(View[[#This Row],[Id]],Opportunities[Id],Opportunities[Comment Log]))</f>
        <v/>
      </c>
      <c r="N20">
        <v>192</v>
      </c>
      <c r="O20" s="3">
        <f ca="1">_xlfn.XLOOKUP(View[[#This Row],[Id]],Opportunities[Id],Opportunities[Next Milestone Date])-TODAY()</f>
        <v>-45879</v>
      </c>
      <c r="P20"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0" s="1">
        <f>_xlfn.XLOOKUP(View[[#This Row],[Id]],Opportunities[Id],Opportunities[Weighted])/1000</f>
        <v>384.21760000000006</v>
      </c>
      <c r="R20" s="4">
        <f>_xlfn.XLOOKUP(View[[#This Row],[Id]],Opportunities[Id],Opportunities[Amount])/1000</f>
        <v>960.54399999999998</v>
      </c>
      <c r="S20" s="38" t="b">
        <f>View[[#This Row],[Win Probability]]="High"</f>
        <v>0</v>
      </c>
      <c r="T20" s="38">
        <f>SUBTOTAL(103, View[[#This Row],[S]])</f>
        <v>1</v>
      </c>
    </row>
    <row r="21" spans="4:20" x14ac:dyDescent="0.25">
      <c r="D21" s="39" t="str">
        <f>_xlfn.XLOOKUP(View[[#This Row],[Id]],Opportunities[Id],Opportunities[status symbol])</f>
        <v>✓</v>
      </c>
      <c r="E21" s="40" t="str">
        <f>HYPERLINK(siteUrl&amp;"Lists/"&amp;oppList&amp;"/DispForm.aspx?ID="&amp;View[[#This Row],[Id]],_xlfn.XLOOKUP(View[[#This Row],[Id]],Opportunities[Id],Opportunities[OpportunityName]))</f>
        <v>API Development Project</v>
      </c>
      <c r="F21" s="41" t="str">
        <f>HYPERLINK(_xlfn.XLOOKUP(View[[#This Row],[Id]],Opportunities[Id],Opportunities[CustomerRecordURL]),_xlfn.XLOOKUP(View[[#This Row],[Id]],Opportunities[Id],Opportunities[Customer Name]))</f>
        <v>ACME Corporation</v>
      </c>
      <c r="G21" s="30"/>
      <c r="H21" s="42" t="str">
        <f>_xlfn.XLOOKUP(View[[#This Row],[Id]],Opportunities[Id],Opportunities[DisplayStage])</f>
        <v>3 - Proposal</v>
      </c>
      <c r="I21" s="1">
        <f>IF(pipelineType="Unweighted",_xlfn.XLOOKUP(View[[#This Row],[Id]],Opportunities[Id],Opportunities[Amount])/1000,_xlfn.XLOOKUP(View[[#This Row],[Id]],Opportunities[Id],Opportunities[Weighted])/1000)</f>
        <v>1380.1880000000001</v>
      </c>
      <c r="J21" s="28" t="str">
        <f>_xlfn.XLOOKUP(View[[#This Row],[Id]],Opportunities[Id],Opportunities[Probability])</f>
        <v>Low</v>
      </c>
      <c r="K21" s="29">
        <f>View[[#This Row],[Estmated Revenue]]</f>
        <v>276.03760000000005</v>
      </c>
      <c r="L21" s="2">
        <f>_xlfn.XLOOKUP(View[[#This Row],[Id]],Opportunities[Id],Opportunities[Close])</f>
        <v>46056.777291666665</v>
      </c>
      <c r="M21" s="25" t="str">
        <f>IF(_xlfn.XLOOKUP(View[[#This Row],[Id]],Opportunities[Id],Opportunities[Comment Log])=0,"",_xlfn.XLOOKUP(View[[#This Row],[Id]],Opportunities[Id],Opportunities[Comment Log]))</f>
        <v/>
      </c>
      <c r="N21">
        <v>209</v>
      </c>
      <c r="O21" s="3">
        <f ca="1">_xlfn.XLOOKUP(View[[#This Row],[Id]],Opportunities[Id],Opportunities[Next Milestone Date])-TODAY()</f>
        <v>-45879</v>
      </c>
      <c r="P21"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1" s="1">
        <f>_xlfn.XLOOKUP(View[[#This Row],[Id]],Opportunities[Id],Opportunities[Weighted])/1000</f>
        <v>276.03760000000005</v>
      </c>
      <c r="R21" s="4">
        <f>_xlfn.XLOOKUP(View[[#This Row],[Id]],Opportunities[Id],Opportunities[Amount])/1000</f>
        <v>1380.1880000000001</v>
      </c>
      <c r="S21" s="38" t="b">
        <f>View[[#This Row],[Win Probability]]="High"</f>
        <v>0</v>
      </c>
      <c r="T21" s="38">
        <f>SUBTOTAL(103, View[[#This Row],[S]])</f>
        <v>1</v>
      </c>
    </row>
    <row r="22" spans="4:20" x14ac:dyDescent="0.25">
      <c r="D22" s="39" t="str">
        <f>_xlfn.XLOOKUP(View[[#This Row],[Id]],Opportunities[Id],Opportunities[status symbol])</f>
        <v>✓</v>
      </c>
      <c r="E22" s="40" t="str">
        <f>HYPERLINK(siteUrl&amp;"Lists/"&amp;oppList&amp;"/DispForm.aspx?ID="&amp;View[[#This Row],[Id]],_xlfn.XLOOKUP(View[[#This Row],[Id]],Opportunities[Id],Opportunities[OpportunityName]))</f>
        <v>Compliance Management Tool</v>
      </c>
      <c r="F22" s="41" t="str">
        <f>HYPERLINK(_xlfn.XLOOKUP(View[[#This Row],[Id]],Opportunities[Id],Opportunities[CustomerRecordURL]),_xlfn.XLOOKUP(View[[#This Row],[Id]],Opportunities[Id],Opportunities[Customer Name]))</f>
        <v>Security Solutions</v>
      </c>
      <c r="G22" s="30"/>
      <c r="H22" s="42" t="str">
        <f>_xlfn.XLOOKUP(View[[#This Row],[Id]],Opportunities[Id],Opportunities[DisplayStage])</f>
        <v>3 - Proposal</v>
      </c>
      <c r="I22" s="1">
        <f>IF(pipelineType="Unweighted",_xlfn.XLOOKUP(View[[#This Row],[Id]],Opportunities[Id],Opportunities[Amount])/1000,_xlfn.XLOOKUP(View[[#This Row],[Id]],Opportunities[Id],Opportunities[Weighted])/1000)</f>
        <v>1092.5989999999999</v>
      </c>
      <c r="J22" s="28" t="str">
        <f>_xlfn.XLOOKUP(View[[#This Row],[Id]],Opportunities[Id],Opportunities[Probability])</f>
        <v>Medium</v>
      </c>
      <c r="K22" s="29">
        <f>View[[#This Row],[Estmated Revenue]]</f>
        <v>437.03960000000001</v>
      </c>
      <c r="L22" s="2">
        <f>_xlfn.XLOOKUP(View[[#This Row],[Id]],Opportunities[Id],Opportunities[Close])</f>
        <v>46057.776979166665</v>
      </c>
      <c r="M22" s="25" t="str">
        <f>IF(_xlfn.XLOOKUP(View[[#This Row],[Id]],Opportunities[Id],Opportunities[Comment Log])=0,"",_xlfn.XLOOKUP(View[[#This Row],[Id]],Opportunities[Id],Opportunities[Comment Log]))</f>
        <v/>
      </c>
      <c r="N22">
        <v>194</v>
      </c>
      <c r="O22" s="3">
        <f ca="1">_xlfn.XLOOKUP(View[[#This Row],[Id]],Opportunities[Id],Opportunities[Next Milestone Date])-TODAY()</f>
        <v>-45879</v>
      </c>
      <c r="P22"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2" s="1">
        <f>_xlfn.XLOOKUP(View[[#This Row],[Id]],Opportunities[Id],Opportunities[Weighted])/1000</f>
        <v>437.03960000000001</v>
      </c>
      <c r="R22" s="4">
        <f>_xlfn.XLOOKUP(View[[#This Row],[Id]],Opportunities[Id],Opportunities[Amount])/1000</f>
        <v>1092.5989999999999</v>
      </c>
      <c r="S22" s="38" t="b">
        <f>View[[#This Row],[Win Probability]]="High"</f>
        <v>0</v>
      </c>
      <c r="T22" s="38">
        <f>SUBTOTAL(103, View[[#This Row],[S]])</f>
        <v>1</v>
      </c>
    </row>
    <row r="23" spans="4:20" x14ac:dyDescent="0.25">
      <c r="D23" s="39" t="str">
        <f>_xlfn.XLOOKUP(View[[#This Row],[Id]],Opportunities[Id],Opportunities[status symbol])</f>
        <v>✓</v>
      </c>
      <c r="E23" s="40" t="str">
        <f>HYPERLINK(siteUrl&amp;"Lists/"&amp;oppList&amp;"/DispForm.aspx?ID="&amp;View[[#This Row],[Id]],_xlfn.XLOOKUP(View[[#This Row],[Id]],Opportunities[Id],Opportunities[OpportunityName]))</f>
        <v>Video Conferencing Solution</v>
      </c>
      <c r="F23" s="41" t="str">
        <f>HYPERLINK(_xlfn.XLOOKUP(View[[#This Row],[Id]],Opportunities[Id],Opportunities[CustomerRecordURL]),_xlfn.XLOOKUP(View[[#This Row],[Id]],Opportunities[Id],Opportunities[Customer Name]))</f>
        <v>Real Estate Ventures</v>
      </c>
      <c r="G23" s="30"/>
      <c r="H23" s="42" t="str">
        <f>_xlfn.XLOOKUP(View[[#This Row],[Id]],Opportunities[Id],Opportunities[DisplayStage])</f>
        <v>1 - Lead Qualification</v>
      </c>
      <c r="I23" s="1">
        <f>IF(pipelineType="Unweighted",_xlfn.XLOOKUP(View[[#This Row],[Id]],Opportunities[Id],Opportunities[Amount])/1000,_xlfn.XLOOKUP(View[[#This Row],[Id]],Opportunities[Id],Opportunities[Weighted])/1000)</f>
        <v>2149.8429999999998</v>
      </c>
      <c r="J23" s="28" t="str">
        <f>_xlfn.XLOOKUP(View[[#This Row],[Id]],Opportunities[Id],Opportunities[Probability])</f>
        <v>Medium</v>
      </c>
      <c r="K23" s="29">
        <f>View[[#This Row],[Estmated Revenue]]</f>
        <v>859.93720000000008</v>
      </c>
      <c r="L23" s="2">
        <f>_xlfn.XLOOKUP(View[[#This Row],[Id]],Opportunities[Id],Opportunities[Close])</f>
        <v>46064.777013888888</v>
      </c>
      <c r="M23" s="25" t="str">
        <f>IF(_xlfn.XLOOKUP(View[[#This Row],[Id]],Opportunities[Id],Opportunities[Comment Log])=0,"",_xlfn.XLOOKUP(View[[#This Row],[Id]],Opportunities[Id],Opportunities[Comment Log]))</f>
        <v/>
      </c>
      <c r="N23">
        <v>196</v>
      </c>
      <c r="O23" s="3">
        <f ca="1">_xlfn.XLOOKUP(View[[#This Row],[Id]],Opportunities[Id],Opportunities[Next Milestone Date])-TODAY()</f>
        <v>-45879</v>
      </c>
      <c r="P23"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3" s="1">
        <f>_xlfn.XLOOKUP(View[[#This Row],[Id]],Opportunities[Id],Opportunities[Weighted])/1000</f>
        <v>859.93720000000008</v>
      </c>
      <c r="R23" s="4">
        <f>_xlfn.XLOOKUP(View[[#This Row],[Id]],Opportunities[Id],Opportunities[Amount])/1000</f>
        <v>2149.8429999999998</v>
      </c>
      <c r="S23" s="38" t="b">
        <f>View[[#This Row],[Win Probability]]="High"</f>
        <v>0</v>
      </c>
      <c r="T23" s="38">
        <f>SUBTOTAL(103, View[[#This Row],[S]])</f>
        <v>1</v>
      </c>
    </row>
    <row r="24" spans="4:20" x14ac:dyDescent="0.25">
      <c r="D24" s="39" t="str">
        <f>_xlfn.XLOOKUP(View[[#This Row],[Id]],Opportunities[Id],Opportunities[status symbol])</f>
        <v>✓</v>
      </c>
      <c r="E24" s="40" t="str">
        <f>HYPERLINK(siteUrl&amp;"Lists/"&amp;oppList&amp;"/DispForm.aspx?ID="&amp;View[[#This Row],[Id]],_xlfn.XLOOKUP(View[[#This Row],[Id]],Opportunities[Id],Opportunities[OpportunityName]))</f>
        <v>Supply Chain Optimization</v>
      </c>
      <c r="F24" s="41" t="str">
        <f>HYPERLINK(_xlfn.XLOOKUP(View[[#This Row],[Id]],Opportunities[Id],Opportunities[CustomerRecordURL]),_xlfn.XLOOKUP(View[[#This Row],[Id]],Opportunities[Id],Opportunities[Customer Name]))</f>
        <v>Construction Dynamics</v>
      </c>
      <c r="G24" s="30"/>
      <c r="H24" s="42" t="str">
        <f>_xlfn.XLOOKUP(View[[#This Row],[Id]],Opportunities[Id],Opportunities[DisplayStage])</f>
        <v>6 - Closeout</v>
      </c>
      <c r="I24" s="1">
        <f>IF(pipelineType="Unweighted",_xlfn.XLOOKUP(View[[#This Row],[Id]],Opportunities[Id],Opportunities[Amount])/1000,_xlfn.XLOOKUP(View[[#This Row],[Id]],Opportunities[Id],Opportunities[Weighted])/1000)</f>
        <v>1926.6980000000001</v>
      </c>
      <c r="J24" s="28" t="str">
        <f>_xlfn.XLOOKUP(View[[#This Row],[Id]],Opportunities[Id],Opportunities[Probability])</f>
        <v>High</v>
      </c>
      <c r="K24" s="29">
        <f>View[[#This Row],[Estmated Revenue]]</f>
        <v>1734.0282</v>
      </c>
      <c r="L24" s="2">
        <f>_xlfn.XLOOKUP(View[[#This Row],[Id]],Opportunities[Id],Opportunities[Close])</f>
        <v>46079.77684027778</v>
      </c>
      <c r="M24" s="25" t="str">
        <f>IF(_xlfn.XLOOKUP(View[[#This Row],[Id]],Opportunities[Id],Opportunities[Comment Log])=0,"",_xlfn.XLOOKUP(View[[#This Row],[Id]],Opportunities[Id],Opportunities[Comment Log]))</f>
        <v/>
      </c>
      <c r="N24">
        <v>187</v>
      </c>
      <c r="O24" s="3">
        <f ca="1">_xlfn.XLOOKUP(View[[#This Row],[Id]],Opportunities[Id],Opportunities[Next Milestone Date])-TODAY()</f>
        <v>-45879</v>
      </c>
      <c r="P24"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4" s="1">
        <f>_xlfn.XLOOKUP(View[[#This Row],[Id]],Opportunities[Id],Opportunities[Weighted])/1000</f>
        <v>1734.0282</v>
      </c>
      <c r="R24" s="4">
        <f>_xlfn.XLOOKUP(View[[#This Row],[Id]],Opportunities[Id],Opportunities[Amount])/1000</f>
        <v>1926.6980000000001</v>
      </c>
      <c r="S24" s="38" t="b">
        <f>View[[#This Row],[Win Probability]]="High"</f>
        <v>1</v>
      </c>
      <c r="T24" s="38">
        <f>SUBTOTAL(103, View[[#This Row],[S]])</f>
        <v>1</v>
      </c>
    </row>
    <row r="25" spans="4:20" x14ac:dyDescent="0.25">
      <c r="D25" s="39" t="str">
        <f>_xlfn.XLOOKUP(View[[#This Row],[Id]],Opportunities[Id],Opportunities[status symbol])</f>
        <v>✓</v>
      </c>
      <c r="E25" s="40" t="str">
        <f>HYPERLINK(siteUrl&amp;"Lists/"&amp;oppList&amp;"/DispForm.aspx?ID="&amp;View[[#This Row],[Id]],_xlfn.XLOOKUP(View[[#This Row],[Id]],Opportunities[Id],Opportunities[OpportunityName]))</f>
        <v>HR Management System</v>
      </c>
      <c r="F25" s="41" t="str">
        <f>HYPERLINK(_xlfn.XLOOKUP(View[[#This Row],[Id]],Opportunities[Id],Opportunities[CustomerRecordURL]),_xlfn.XLOOKUP(View[[#This Row],[Id]],Opportunities[Id],Opportunities[Customer Name]))</f>
        <v>ACME Corporation</v>
      </c>
      <c r="G25" s="30"/>
      <c r="H25" s="42" t="str">
        <f>_xlfn.XLOOKUP(View[[#This Row],[Id]],Opportunities[Id],Opportunities[DisplayStage])</f>
        <v>4 - Negotiation</v>
      </c>
      <c r="I25" s="1">
        <f>IF(pipelineType="Unweighted",_xlfn.XLOOKUP(View[[#This Row],[Id]],Opportunities[Id],Opportunities[Amount])/1000,_xlfn.XLOOKUP(View[[#This Row],[Id]],Opportunities[Id],Opportunities[Weighted])/1000)</f>
        <v>676.09299999999996</v>
      </c>
      <c r="J25" s="28" t="str">
        <f>_xlfn.XLOOKUP(View[[#This Row],[Id]],Opportunities[Id],Opportunities[Probability])</f>
        <v>Low</v>
      </c>
      <c r="K25" s="29">
        <f>View[[#This Row],[Estmated Revenue]]</f>
        <v>135.21860000000001</v>
      </c>
      <c r="L25" s="2">
        <f>_xlfn.XLOOKUP(View[[#This Row],[Id]],Opportunities[Id],Opportunities[Close])</f>
        <v>46085.776875000003</v>
      </c>
      <c r="M25" s="25" t="str">
        <f>IF(_xlfn.XLOOKUP(View[[#This Row],[Id]],Opportunities[Id],Opportunities[Comment Log])=0,"",_xlfn.XLOOKUP(View[[#This Row],[Id]],Opportunities[Id],Opportunities[Comment Log]))</f>
        <v/>
      </c>
      <c r="N25">
        <v>189</v>
      </c>
      <c r="O25" s="3">
        <f ca="1">_xlfn.XLOOKUP(View[[#This Row],[Id]],Opportunities[Id],Opportunities[Next Milestone Date])-TODAY()</f>
        <v>-45879</v>
      </c>
      <c r="P25"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5" s="1">
        <f>_xlfn.XLOOKUP(View[[#This Row],[Id]],Opportunities[Id],Opportunities[Weighted])/1000</f>
        <v>135.21860000000001</v>
      </c>
      <c r="R25" s="4">
        <f>_xlfn.XLOOKUP(View[[#This Row],[Id]],Opportunities[Id],Opportunities[Amount])/1000</f>
        <v>676.09299999999996</v>
      </c>
      <c r="S25" s="38" t="b">
        <f>View[[#This Row],[Win Probability]]="High"</f>
        <v>0</v>
      </c>
      <c r="T25" s="38">
        <f>SUBTOTAL(103, View[[#This Row],[S]])</f>
        <v>1</v>
      </c>
    </row>
    <row r="26" spans="4:20" x14ac:dyDescent="0.25">
      <c r="D26" s="39" t="str">
        <f>_xlfn.XLOOKUP(View[[#This Row],[Id]],Opportunities[Id],Opportunities[status symbol])</f>
        <v>✓</v>
      </c>
      <c r="E26" s="40" t="str">
        <f>HYPERLINK(siteUrl&amp;"Lists/"&amp;oppList&amp;"/DispForm.aspx?ID="&amp;View[[#This Row],[Id]],_xlfn.XLOOKUP(View[[#This Row],[Id]],Opportunities[Id],Opportunities[OpportunityName]))</f>
        <v>CRM System Upgrade</v>
      </c>
      <c r="F26" s="41" t="str">
        <f>HYPERLINK(_xlfn.XLOOKUP(View[[#This Row],[Id]],Opportunities[Id],Opportunities[CustomerRecordURL]),_xlfn.XLOOKUP(View[[#This Row],[Id]],Opportunities[Id],Opportunities[Customer Name]))</f>
        <v>Insurance Specialists</v>
      </c>
      <c r="G26" s="30"/>
      <c r="H26" s="42" t="str">
        <f>_xlfn.XLOOKUP(View[[#This Row],[Id]],Opportunities[Id],Opportunities[DisplayStage])</f>
        <v>4 - Negotiation</v>
      </c>
      <c r="I26" s="1">
        <f>IF(pipelineType="Unweighted",_xlfn.XLOOKUP(View[[#This Row],[Id]],Opportunities[Id],Opportunities[Amount])/1000,_xlfn.XLOOKUP(View[[#This Row],[Id]],Opportunities[Id],Opportunities[Weighted])/1000)</f>
        <v>581.82600000000002</v>
      </c>
      <c r="J26" s="28" t="str">
        <f>_xlfn.XLOOKUP(View[[#This Row],[Id]],Opportunities[Id],Opportunities[Probability])</f>
        <v>Medium</v>
      </c>
      <c r="K26" s="29">
        <f>View[[#This Row],[Estmated Revenue]]</f>
        <v>232.73040000000003</v>
      </c>
      <c r="L26" s="2">
        <f>_xlfn.XLOOKUP(View[[#This Row],[Id]],Opportunities[Id],Opportunities[Close])</f>
        <v>46093.735254629632</v>
      </c>
      <c r="M26" s="25" t="str">
        <f>IF(_xlfn.XLOOKUP(View[[#This Row],[Id]],Opportunities[Id],Opportunities[Comment Log])=0,"",_xlfn.XLOOKUP(View[[#This Row],[Id]],Opportunities[Id],Opportunities[Comment Log]))</f>
        <v/>
      </c>
      <c r="N26">
        <v>191</v>
      </c>
      <c r="O26" s="3">
        <f ca="1">_xlfn.XLOOKUP(View[[#This Row],[Id]],Opportunities[Id],Opportunities[Next Milestone Date])-TODAY()</f>
        <v>-45879</v>
      </c>
      <c r="P26"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6" s="1">
        <f>_xlfn.XLOOKUP(View[[#This Row],[Id]],Opportunities[Id],Opportunities[Weighted])/1000</f>
        <v>232.73040000000003</v>
      </c>
      <c r="R26" s="4">
        <f>_xlfn.XLOOKUP(View[[#This Row],[Id]],Opportunities[Id],Opportunities[Amount])/1000</f>
        <v>581.82600000000002</v>
      </c>
      <c r="S26" s="38" t="b">
        <f>View[[#This Row],[Win Probability]]="High"</f>
        <v>0</v>
      </c>
      <c r="T26" s="38">
        <f>SUBTOTAL(103, View[[#This Row],[S]])</f>
        <v>1</v>
      </c>
    </row>
    <row r="27" spans="4:20" x14ac:dyDescent="0.25">
      <c r="D27" s="39" t="str">
        <f>_xlfn.XLOOKUP(View[[#This Row],[Id]],Opportunities[Id],Opportunities[status symbol])</f>
        <v>✓</v>
      </c>
      <c r="E27" s="40" t="str">
        <f>HYPERLINK(siteUrl&amp;"Lists/"&amp;oppList&amp;"/DispForm.aspx?ID="&amp;View[[#This Row],[Id]],_xlfn.XLOOKUP(View[[#This Row],[Id]],Opportunities[Id],Opportunities[OpportunityName]))</f>
        <v>Database Migration Project</v>
      </c>
      <c r="F27" s="41" t="str">
        <f>HYPERLINK(_xlfn.XLOOKUP(View[[#This Row],[Id]],Opportunities[Id],Opportunities[CustomerRecordURL]),_xlfn.XLOOKUP(View[[#This Row],[Id]],Opportunities[Id],Opportunities[Customer Name]))</f>
        <v>Hotel Management Group</v>
      </c>
      <c r="G27" s="30"/>
      <c r="H27" s="42" t="str">
        <f>_xlfn.XLOOKUP(View[[#This Row],[Id]],Opportunities[Id],Opportunities[DisplayStage])</f>
        <v>6 - Closeout</v>
      </c>
      <c r="I27" s="1">
        <f>IF(pipelineType="Unweighted",_xlfn.XLOOKUP(View[[#This Row],[Id]],Opportunities[Id],Opportunities[Amount])/1000,_xlfn.XLOOKUP(View[[#This Row],[Id]],Opportunities[Id],Opportunities[Weighted])/1000)</f>
        <v>1137.9000000000001</v>
      </c>
      <c r="J27" s="28" t="str">
        <f>_xlfn.XLOOKUP(View[[#This Row],[Id]],Opportunities[Id],Opportunities[Probability])</f>
        <v>Low</v>
      </c>
      <c r="K27" s="29">
        <f>View[[#This Row],[Estmated Revenue]]</f>
        <v>227.58</v>
      </c>
      <c r="L27" s="2">
        <f>_xlfn.XLOOKUP(View[[#This Row],[Id]],Opportunities[Id],Opportunities[Close])</f>
        <v>46100.735578703701</v>
      </c>
      <c r="M27" s="25" t="str">
        <f>IF(_xlfn.XLOOKUP(View[[#This Row],[Id]],Opportunities[Id],Opportunities[Comment Log])=0,"",_xlfn.XLOOKUP(View[[#This Row],[Id]],Opportunities[Id],Opportunities[Comment Log]))</f>
        <v/>
      </c>
      <c r="N27">
        <v>207</v>
      </c>
      <c r="O27" s="3">
        <f ca="1">_xlfn.XLOOKUP(View[[#This Row],[Id]],Opportunities[Id],Opportunities[Next Milestone Date])-TODAY()</f>
        <v>-45879</v>
      </c>
      <c r="P27"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7" s="1">
        <f>_xlfn.XLOOKUP(View[[#This Row],[Id]],Opportunities[Id],Opportunities[Weighted])/1000</f>
        <v>227.58</v>
      </c>
      <c r="R27" s="4">
        <f>_xlfn.XLOOKUP(View[[#This Row],[Id]],Opportunities[Id],Opportunities[Amount])/1000</f>
        <v>1137.9000000000001</v>
      </c>
      <c r="S27" s="38" t="b">
        <f>View[[#This Row],[Win Probability]]="High"</f>
        <v>0</v>
      </c>
      <c r="T27" s="38">
        <f>SUBTOTAL(103, View[[#This Row],[S]])</f>
        <v>1</v>
      </c>
    </row>
    <row r="28" spans="4:20" x14ac:dyDescent="0.25">
      <c r="D28" s="39" t="str">
        <f>_xlfn.XLOOKUP(View[[#This Row],[Id]],Opportunities[Id],Opportunities[status symbol])</f>
        <v>⚠</v>
      </c>
      <c r="E28" s="40" t="str">
        <f>HYPERLINK(siteUrl&amp;"Lists/"&amp;oppList&amp;"/DispForm.aspx?ID="&amp;View[[#This Row],[Id]],_xlfn.XLOOKUP(View[[#This Row],[Id]],Opportunities[Id],Opportunities[OpportunityName]))</f>
        <v>Mobile Application Development</v>
      </c>
      <c r="F28" s="41" t="str">
        <f>HYPERLINK(_xlfn.XLOOKUP(View[[#This Row],[Id]],Opportunities[Id],Opportunities[CustomerRecordURL]),_xlfn.XLOOKUP(View[[#This Row],[Id]],Opportunities[Id],Opportunities[Customer Name]))</f>
        <v>Global Industries</v>
      </c>
      <c r="G28" s="30"/>
      <c r="H28" s="42" t="str">
        <f>_xlfn.XLOOKUP(View[[#This Row],[Id]],Opportunities[Id],Opportunities[DisplayStage])</f>
        <v>5 - Project Execution</v>
      </c>
      <c r="I28" s="1">
        <f>IF(pipelineType="Unweighted",_xlfn.XLOOKUP(View[[#This Row],[Id]],Opportunities[Id],Opportunities[Amount])/1000,_xlfn.XLOOKUP(View[[#This Row],[Id]],Opportunities[Id],Opportunities[Weighted])/1000)</f>
        <v>1433.2819999999999</v>
      </c>
      <c r="J28" s="28" t="str">
        <f>_xlfn.XLOOKUP(View[[#This Row],[Id]],Opportunities[Id],Opportunities[Probability])</f>
        <v>Medium</v>
      </c>
      <c r="K28" s="29">
        <f>View[[#This Row],[Estmated Revenue]]</f>
        <v>573.31280000000004</v>
      </c>
      <c r="L28" s="2">
        <f>_xlfn.XLOOKUP(View[[#This Row],[Id]],Opportunities[Id],Opportunities[Close])</f>
        <v>46104.735023148147</v>
      </c>
      <c r="M28" s="25" t="str">
        <f>IF(_xlfn.XLOOKUP(View[[#This Row],[Id]],Opportunities[Id],Opportunities[Comment Log])=0,"",_xlfn.XLOOKUP(View[[#This Row],[Id]],Opportunities[Id],Opportunities[Comment Log]))</f>
        <v/>
      </c>
      <c r="N28">
        <v>180</v>
      </c>
      <c r="O28" s="3">
        <f ca="1">_xlfn.XLOOKUP(View[[#This Row],[Id]],Opportunities[Id],Opportunities[Next Milestone Date])-TODAY()</f>
        <v>-45879</v>
      </c>
      <c r="P28"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8" s="1">
        <f>_xlfn.XLOOKUP(View[[#This Row],[Id]],Opportunities[Id],Opportunities[Weighted])/1000</f>
        <v>573.31280000000004</v>
      </c>
      <c r="R28" s="4">
        <f>_xlfn.XLOOKUP(View[[#This Row],[Id]],Opportunities[Id],Opportunities[Amount])/1000</f>
        <v>1433.2819999999999</v>
      </c>
      <c r="S28" s="38" t="b">
        <f>View[[#This Row],[Win Probability]]="High"</f>
        <v>0</v>
      </c>
      <c r="T28" s="38">
        <f>SUBTOTAL(103, View[[#This Row],[S]])</f>
        <v>1</v>
      </c>
    </row>
    <row r="29" spans="4:20" x14ac:dyDescent="0.25">
      <c r="D29" s="39" t="str">
        <f>_xlfn.XLOOKUP(View[[#This Row],[Id]],Opportunities[Id],Opportunities[status symbol])</f>
        <v>✓</v>
      </c>
      <c r="E29" s="40" t="str">
        <f>HYPERLINK(siteUrl&amp;"Lists/"&amp;oppList&amp;"/DispForm.aspx?ID="&amp;View[[#This Row],[Id]],_xlfn.XLOOKUP(View[[#This Row],[Id]],Opportunities[Id],Opportunities[OpportunityName]))</f>
        <v>Social Media Management Tool</v>
      </c>
      <c r="F29" s="41" t="str">
        <f>HYPERLINK(_xlfn.XLOOKUP(View[[#This Row],[Id]],Opportunities[Id],Opportunities[CustomerRecordURL]),_xlfn.XLOOKUP(View[[#This Row],[Id]],Opportunities[Id],Opportunities[Customer Name]))</f>
        <v>Waste Management Co</v>
      </c>
      <c r="G29" s="30"/>
      <c r="H29" s="42" t="str">
        <f>_xlfn.XLOOKUP(View[[#This Row],[Id]],Opportunities[Id],Opportunities[DisplayStage])</f>
        <v>5 - Project Execution</v>
      </c>
      <c r="I29" s="1">
        <f>IF(pipelineType="Unweighted",_xlfn.XLOOKUP(View[[#This Row],[Id]],Opportunities[Id],Opportunities[Amount])/1000,_xlfn.XLOOKUP(View[[#This Row],[Id]],Opportunities[Id],Opportunities[Weighted])/1000)</f>
        <v>1229.6210000000001</v>
      </c>
      <c r="J29" s="28" t="str">
        <f>_xlfn.XLOOKUP(View[[#This Row],[Id]],Opportunities[Id],Opportunities[Probability])</f>
        <v>Medium</v>
      </c>
      <c r="K29" s="29">
        <f>View[[#This Row],[Estmated Revenue]]</f>
        <v>491.84840000000003</v>
      </c>
      <c r="L29" s="2">
        <f>_xlfn.XLOOKUP(View[[#This Row],[Id]],Opportunities[Id],Opportunities[Close])</f>
        <v>46107.73541666667</v>
      </c>
      <c r="M29" s="25" t="str">
        <f>IF(_xlfn.XLOOKUP(View[[#This Row],[Id]],Opportunities[Id],Opportunities[Comment Log])=0,"",_xlfn.XLOOKUP(View[[#This Row],[Id]],Opportunities[Id],Opportunities[Comment Log]))</f>
        <v/>
      </c>
      <c r="N29">
        <v>199</v>
      </c>
      <c r="O29" s="3">
        <f ca="1">_xlfn.XLOOKUP(View[[#This Row],[Id]],Opportunities[Id],Opportunities[Next Milestone Date])-TODAY()</f>
        <v>-45879</v>
      </c>
      <c r="P29"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29" s="1">
        <f>_xlfn.XLOOKUP(View[[#This Row],[Id]],Opportunities[Id],Opportunities[Weighted])/1000</f>
        <v>491.84840000000003</v>
      </c>
      <c r="R29" s="4">
        <f>_xlfn.XLOOKUP(View[[#This Row],[Id]],Opportunities[Id],Opportunities[Amount])/1000</f>
        <v>1229.6210000000001</v>
      </c>
      <c r="S29" s="38" t="b">
        <f>View[[#This Row],[Win Probability]]="High"</f>
        <v>0</v>
      </c>
      <c r="T29" s="38">
        <f>SUBTOTAL(103, View[[#This Row],[S]])</f>
        <v>1</v>
      </c>
    </row>
    <row r="30" spans="4:20" x14ac:dyDescent="0.25">
      <c r="D30" s="39" t="str">
        <f>_xlfn.XLOOKUP(View[[#This Row],[Id]],Opportunities[Id],Opportunities[status symbol])</f>
        <v>✓</v>
      </c>
      <c r="E30" s="40" t="str">
        <f>HYPERLINK(siteUrl&amp;"Lists/"&amp;oppList&amp;"/DispForm.aspx?ID="&amp;View[[#This Row],[Id]],_xlfn.XLOOKUP(View[[#This Row],[Id]],Opportunities[Id],Opportunities[OpportunityName]))</f>
        <v>Machine Learning Implementation</v>
      </c>
      <c r="F30" s="41" t="str">
        <f>HYPERLINK(_xlfn.XLOOKUP(View[[#This Row],[Id]],Opportunities[Id],Opportunities[CustomerRecordURL]),_xlfn.XLOOKUP(View[[#This Row],[Id]],Opportunities[Id],Opportunities[Customer Name]))</f>
        <v>Pharmaceutical Research</v>
      </c>
      <c r="G30" s="30"/>
      <c r="H30" s="42" t="str">
        <f>_xlfn.XLOOKUP(View[[#This Row],[Id]],Opportunities[Id],Opportunities[DisplayStage])</f>
        <v>4 - Negotiation</v>
      </c>
      <c r="I30" s="1">
        <f>IF(pipelineType="Unweighted",_xlfn.XLOOKUP(View[[#This Row],[Id]],Opportunities[Id],Opportunities[Amount])/1000,_xlfn.XLOOKUP(View[[#This Row],[Id]],Opportunities[Id],Opportunities[Weighted])/1000)</f>
        <v>901.13300000000004</v>
      </c>
      <c r="J30" s="28" t="str">
        <f>_xlfn.XLOOKUP(View[[#This Row],[Id]],Opportunities[Id],Opportunities[Probability])</f>
        <v>Medium</v>
      </c>
      <c r="K30" s="29">
        <f>View[[#This Row],[Estmated Revenue]]</f>
        <v>360.45320000000004</v>
      </c>
      <c r="L30" s="2">
        <f>_xlfn.XLOOKUP(View[[#This Row],[Id]],Opportunities[Id],Opportunities[Close])</f>
        <v>46112.735648148147</v>
      </c>
      <c r="M30" s="25" t="str">
        <f>IF(_xlfn.XLOOKUP(View[[#This Row],[Id]],Opportunities[Id],Opportunities[Comment Log])=0,"",_xlfn.XLOOKUP(View[[#This Row],[Id]],Opportunities[Id],Opportunities[Comment Log]))</f>
        <v/>
      </c>
      <c r="N30">
        <v>210</v>
      </c>
      <c r="O30" s="3">
        <f ca="1">_xlfn.XLOOKUP(View[[#This Row],[Id]],Opportunities[Id],Opportunities[Next Milestone Date])-TODAY()</f>
        <v>-45879</v>
      </c>
      <c r="P30"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CY26-Q1</v>
      </c>
      <c r="Q30" s="1">
        <f>_xlfn.XLOOKUP(View[[#This Row],[Id]],Opportunities[Id],Opportunities[Weighted])/1000</f>
        <v>360.45320000000004</v>
      </c>
      <c r="R30" s="4">
        <f>_xlfn.XLOOKUP(View[[#This Row],[Id]],Opportunities[Id],Opportunities[Amount])/1000</f>
        <v>901.13300000000004</v>
      </c>
      <c r="S30" s="38" t="b">
        <f>View[[#This Row],[Win Probability]]="High"</f>
        <v>0</v>
      </c>
      <c r="T30" s="38">
        <f>SUBTOTAL(103, View[[#This Row],[S]])</f>
        <v>1</v>
      </c>
    </row>
    <row r="31" spans="4:20" x14ac:dyDescent="0.25">
      <c r="D31" s="39" t="str">
        <f>_xlfn.XLOOKUP(View[[#This Row],[Id]],Opportunities[Id],Opportunities[status symbol])</f>
        <v>✓</v>
      </c>
      <c r="E31" s="40" t="str">
        <f>HYPERLINK(siteUrl&amp;"Lists/"&amp;oppList&amp;"/DispForm.aspx?ID="&amp;View[[#This Row],[Id]],_xlfn.XLOOKUP(View[[#This Row],[Id]],Opportunities[Id],Opportunities[OpportunityName]))</f>
        <v>Security Assessment &amp; Audit</v>
      </c>
      <c r="F31" s="41" t="str">
        <f>HYPERLINK(_xlfn.XLOOKUP(View[[#This Row],[Id]],Opportunities[Id],Opportunities[CustomerRecordURL]),_xlfn.XLOOKUP(View[[#This Row],[Id]],Opportunities[Id],Opportunities[Customer Name]))</f>
        <v>Automotive Parts Plus</v>
      </c>
      <c r="G31" s="30"/>
      <c r="H31" s="42" t="str">
        <f>_xlfn.XLOOKUP(View[[#This Row],[Id]],Opportunities[Id],Opportunities[DisplayStage])</f>
        <v>5 - Project Execution</v>
      </c>
      <c r="I31" s="1">
        <f>IF(pipelineType="Unweighted",_xlfn.XLOOKUP(View[[#This Row],[Id]],Opportunities[Id],Opportunities[Amount])/1000,_xlfn.XLOOKUP(View[[#This Row],[Id]],Opportunities[Id],Opportunities[Weighted])/1000)</f>
        <v>1524.374</v>
      </c>
      <c r="J31" s="28" t="str">
        <f>_xlfn.XLOOKUP(View[[#This Row],[Id]],Opportunities[Id],Opportunities[Probability])</f>
        <v>Low</v>
      </c>
      <c r="K31" s="29">
        <f>View[[#This Row],[Estmated Revenue]]</f>
        <v>304.87479999999999</v>
      </c>
      <c r="L31" s="2">
        <f>_xlfn.XLOOKUP(View[[#This Row],[Id]],Opportunities[Id],Opportunities[Close])</f>
        <v>46118.734884259262</v>
      </c>
      <c r="M31" s="25" t="str">
        <f>IF(_xlfn.XLOOKUP(View[[#This Row],[Id]],Opportunities[Id],Opportunities[Comment Log])=0,"",_xlfn.XLOOKUP(View[[#This Row],[Id]],Opportunities[Id],Opportunities[Comment Log]))</f>
        <v/>
      </c>
      <c r="N31">
        <v>173</v>
      </c>
      <c r="O31" s="3">
        <f ca="1">_xlfn.XLOOKUP(View[[#This Row],[Id]],Opportunities[Id],Opportunities[Next Milestone Date])-TODAY()</f>
        <v>-45879</v>
      </c>
      <c r="P31"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CY26-Q2</v>
      </c>
      <c r="Q31" s="1">
        <f>_xlfn.XLOOKUP(View[[#This Row],[Id]],Opportunities[Id],Opportunities[Weighted])/1000</f>
        <v>304.87479999999999</v>
      </c>
      <c r="R31" s="4">
        <f>_xlfn.XLOOKUP(View[[#This Row],[Id]],Opportunities[Id],Opportunities[Amount])/1000</f>
        <v>1524.374</v>
      </c>
      <c r="S31" s="38" t="b">
        <f>View[[#This Row],[Win Probability]]="High"</f>
        <v>0</v>
      </c>
      <c r="T31" s="38">
        <f>SUBTOTAL(103, View[[#This Row],[S]])</f>
        <v>1</v>
      </c>
    </row>
    <row r="32" spans="4:20" x14ac:dyDescent="0.25">
      <c r="D32" s="39" t="str">
        <f>_xlfn.XLOOKUP(View[[#This Row],[Id]],Opportunities[Id],Opportunities[status symbol])</f>
        <v>✓</v>
      </c>
      <c r="E32" s="40" t="str">
        <f>HYPERLINK(siteUrl&amp;"Lists/"&amp;oppList&amp;"/DispForm.aspx?ID="&amp;View[[#This Row],[Id]],_xlfn.XLOOKUP(View[[#This Row],[Id]],Opportunities[Id],Opportunities[OpportunityName]))</f>
        <v>Training &amp; Development Program</v>
      </c>
      <c r="F32" s="41" t="str">
        <f>HYPERLINK(_xlfn.XLOOKUP(View[[#This Row],[Id]],Opportunities[Id],Opportunities[CustomerRecordURL]),_xlfn.XLOOKUP(View[[#This Row],[Id]],Opportunities[Id],Opportunities[Customer Name]))</f>
        <v>Construction Dynamics</v>
      </c>
      <c r="G32" s="30"/>
      <c r="H32" s="42" t="str">
        <f>_xlfn.XLOOKUP(View[[#This Row],[Id]],Opportunities[Id],Opportunities[DisplayStage])</f>
        <v>6 - Closeout</v>
      </c>
      <c r="I32" s="1">
        <f>IF(pipelineType="Unweighted",_xlfn.XLOOKUP(View[[#This Row],[Id]],Opportunities[Id],Opportunities[Amount])/1000,_xlfn.XLOOKUP(View[[#This Row],[Id]],Opportunities[Id],Opportunities[Weighted])/1000)</f>
        <v>1142.4570000000001</v>
      </c>
      <c r="J32" s="28" t="str">
        <f>_xlfn.XLOOKUP(View[[#This Row],[Id]],Opportunities[Id],Opportunities[Probability])</f>
        <v>Low</v>
      </c>
      <c r="K32" s="29">
        <f>View[[#This Row],[Estmated Revenue]]</f>
        <v>228.49140000000003</v>
      </c>
      <c r="L32" s="2">
        <f>_xlfn.XLOOKUP(View[[#This Row],[Id]],Opportunities[Id],Opportunities[Close])</f>
        <v>46135.735127314816</v>
      </c>
      <c r="M32" s="25" t="str">
        <f>IF(_xlfn.XLOOKUP(View[[#This Row],[Id]],Opportunities[Id],Opportunities[Comment Log])=0,"",_xlfn.XLOOKUP(View[[#This Row],[Id]],Opportunities[Id],Opportunities[Comment Log]))</f>
        <v/>
      </c>
      <c r="N32">
        <v>185</v>
      </c>
      <c r="O32" s="3">
        <f ca="1">_xlfn.XLOOKUP(View[[#This Row],[Id]],Opportunities[Id],Opportunities[Next Milestone Date])-TODAY()</f>
        <v>-45879</v>
      </c>
      <c r="P32"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CY26-Q2</v>
      </c>
      <c r="Q32" s="1">
        <f>_xlfn.XLOOKUP(View[[#This Row],[Id]],Opportunities[Id],Opportunities[Weighted])/1000</f>
        <v>228.49140000000003</v>
      </c>
      <c r="R32" s="4">
        <f>_xlfn.XLOOKUP(View[[#This Row],[Id]],Opportunities[Id],Opportunities[Amount])/1000</f>
        <v>1142.4570000000001</v>
      </c>
      <c r="S32" s="38" t="b">
        <f>View[[#This Row],[Win Probability]]="High"</f>
        <v>0</v>
      </c>
      <c r="T32" s="38">
        <f>SUBTOTAL(103, View[[#This Row],[S]])</f>
        <v>1</v>
      </c>
    </row>
    <row r="33" spans="4:20" x14ac:dyDescent="0.25">
      <c r="D33" s="39" t="str">
        <f>_xlfn.XLOOKUP(View[[#This Row],[Id]],Opportunities[Id],Opportunities[status symbol])</f>
        <v>✓</v>
      </c>
      <c r="E33" s="40" t="str">
        <f>HYPERLINK(siteUrl&amp;"Lists/"&amp;oppList&amp;"/DispForm.aspx?ID="&amp;View[[#This Row],[Id]],_xlfn.XLOOKUP(View[[#This Row],[Id]],Opportunities[Id],Opportunities[OpportunityName]))</f>
        <v>Digital Transformation Project</v>
      </c>
      <c r="F33" s="41" t="str">
        <f>HYPERLINK(_xlfn.XLOOKUP(View[[#This Row],[Id]],Opportunities[Id],Opportunities[CustomerRecordURL]),_xlfn.XLOOKUP(View[[#This Row],[Id]],Opportunities[Id],Opportunities[Customer Name]))</f>
        <v>Transport Logistics</v>
      </c>
      <c r="G33" s="30"/>
      <c r="H33" s="42" t="str">
        <f>_xlfn.XLOOKUP(View[[#This Row],[Id]],Opportunities[Id],Opportunities[DisplayStage])</f>
        <v>5 - Project Execution</v>
      </c>
      <c r="I33" s="1">
        <f>IF(pipelineType="Unweighted",_xlfn.XLOOKUP(View[[#This Row],[Id]],Opportunities[Id],Opportunities[Amount])/1000,_xlfn.XLOOKUP(View[[#This Row],[Id]],Opportunities[Id],Opportunities[Weighted])/1000)</f>
        <v>945.58500000000004</v>
      </c>
      <c r="J33" s="28" t="str">
        <f>_xlfn.XLOOKUP(View[[#This Row],[Id]],Opportunities[Id],Opportunities[Probability])</f>
        <v>High</v>
      </c>
      <c r="K33" s="29">
        <f>View[[#This Row],[Estmated Revenue]]</f>
        <v>851.02650000000006</v>
      </c>
      <c r="L33" s="2">
        <f>_xlfn.XLOOKUP(View[[#This Row],[Id]],Opportunities[Id],Opportunities[Close])</f>
        <v>46160.734942129631</v>
      </c>
      <c r="M33" s="25" t="str">
        <f>IF(_xlfn.XLOOKUP(View[[#This Row],[Id]],Opportunities[Id],Opportunities[Comment Log])=0,"",_xlfn.XLOOKUP(View[[#This Row],[Id]],Opportunities[Id],Opportunities[Comment Log]))</f>
        <v/>
      </c>
      <c r="N33">
        <v>176</v>
      </c>
      <c r="O33" s="3">
        <f ca="1">_xlfn.XLOOKUP(View[[#This Row],[Id]],Opportunities[Id],Opportunities[Next Milestone Date])-TODAY()</f>
        <v>-45879</v>
      </c>
      <c r="P33"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CY26-Q2</v>
      </c>
      <c r="Q33" s="1">
        <f>_xlfn.XLOOKUP(View[[#This Row],[Id]],Opportunities[Id],Opportunities[Weighted])/1000</f>
        <v>851.02650000000006</v>
      </c>
      <c r="R33" s="4">
        <f>_xlfn.XLOOKUP(View[[#This Row],[Id]],Opportunities[Id],Opportunities[Amount])/1000</f>
        <v>945.58500000000004</v>
      </c>
      <c r="S33" s="38" t="b">
        <f>View[[#This Row],[Win Probability]]="High"</f>
        <v>1</v>
      </c>
      <c r="T33" s="38">
        <f>SUBTOTAL(103, View[[#This Row],[S]])</f>
        <v>1</v>
      </c>
    </row>
    <row r="34" spans="4:20" x14ac:dyDescent="0.25">
      <c r="D34" s="39" t="str">
        <f>_xlfn.XLOOKUP(View[[#This Row],[Id]],Opportunities[Id],Opportunities[status symbol])</f>
        <v>✓</v>
      </c>
      <c r="E34" s="40" t="str">
        <f>HYPERLINK(siteUrl&amp;"Lists/"&amp;oppList&amp;"/DispForm.aspx?ID="&amp;View[[#This Row],[Id]],_xlfn.XLOOKUP(View[[#This Row],[Id]],Opportunities[Id],Opportunities[OpportunityName]))</f>
        <v>Customer Portal Development</v>
      </c>
      <c r="F34" s="41" t="str">
        <f>HYPERLINK(_xlfn.XLOOKUP(View[[#This Row],[Id]],Opportunities[Id],Opportunities[CustomerRecordURL]),_xlfn.XLOOKUP(View[[#This Row],[Id]],Opportunities[Id],Opportunities[Customer Name]))</f>
        <v>Transport Logistics</v>
      </c>
      <c r="G34" s="30"/>
      <c r="H34" s="42" t="str">
        <f>_xlfn.XLOOKUP(View[[#This Row],[Id]],Opportunities[Id],Opportunities[DisplayStage])</f>
        <v>6 - Closeout</v>
      </c>
      <c r="I34" s="1">
        <f>IF(pipelineType="Unweighted",_xlfn.XLOOKUP(View[[#This Row],[Id]],Opportunities[Id],Opportunities[Amount])/1000,_xlfn.XLOOKUP(View[[#This Row],[Id]],Opportunities[Id],Opportunities[Weighted])/1000)</f>
        <v>418.66199999999998</v>
      </c>
      <c r="J34" s="28" t="str">
        <f>_xlfn.XLOOKUP(View[[#This Row],[Id]],Opportunities[Id],Opportunities[Probability])</f>
        <v>Low</v>
      </c>
      <c r="K34" s="29">
        <f>View[[#This Row],[Estmated Revenue]]</f>
        <v>83.732400000000013</v>
      </c>
      <c r="L34" s="2">
        <f>_xlfn.XLOOKUP(View[[#This Row],[Id]],Opportunities[Id],Opportunities[Close])</f>
        <v>46190.735000000001</v>
      </c>
      <c r="M34" s="25" t="str">
        <f>IF(_xlfn.XLOOKUP(View[[#This Row],[Id]],Opportunities[Id],Opportunities[Comment Log])=0,"",_xlfn.XLOOKUP(View[[#This Row],[Id]],Opportunities[Id],Opportunities[Comment Log]))</f>
        <v/>
      </c>
      <c r="N34">
        <v>179</v>
      </c>
      <c r="O34" s="3">
        <f ca="1">_xlfn.XLOOKUP(View[[#This Row],[Id]],Opportunities[Id],Opportunities[Next Milestone Date])-TODAY()</f>
        <v>-45879</v>
      </c>
      <c r="P34"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CY26-Q2</v>
      </c>
      <c r="Q34" s="1">
        <f>_xlfn.XLOOKUP(View[[#This Row],[Id]],Opportunities[Id],Opportunities[Weighted])/1000</f>
        <v>83.732400000000013</v>
      </c>
      <c r="R34" s="4">
        <f>_xlfn.XLOOKUP(View[[#This Row],[Id]],Opportunities[Id],Opportunities[Amount])/1000</f>
        <v>418.66199999999998</v>
      </c>
      <c r="S34" s="38" t="b">
        <f>View[[#This Row],[Win Probability]]="High"</f>
        <v>0</v>
      </c>
      <c r="T34" s="38">
        <f>SUBTOTAL(103, View[[#This Row],[S]])</f>
        <v>1</v>
      </c>
    </row>
    <row r="35" spans="4:20" x14ac:dyDescent="0.25">
      <c r="D35" s="39" t="str">
        <f>_xlfn.XLOOKUP(View[[#This Row],[Id]],Opportunities[Id],Opportunities[status symbol])</f>
        <v>✓</v>
      </c>
      <c r="E35" s="40" t="str">
        <f>HYPERLINK(siteUrl&amp;"Lists/"&amp;oppList&amp;"/DispForm.aspx?ID="&amp;View[[#This Row],[Id]],_xlfn.XLOOKUP(View[[#This Row],[Id]],Opportunities[Id],Opportunities[OpportunityName]))</f>
        <v>Network Infrastructure Upgrade</v>
      </c>
      <c r="F35" s="41" t="str">
        <f>HYPERLINK(_xlfn.XLOOKUP(View[[#This Row],[Id]],Opportunities[Id],Opportunities[CustomerRecordURL]),_xlfn.XLOOKUP(View[[#This Row],[Id]],Opportunities[Id],Opportunities[Customer Name]))</f>
        <v>Global Industries</v>
      </c>
      <c r="G35" s="30"/>
      <c r="H35" s="42" t="str">
        <f>_xlfn.XLOOKUP(View[[#This Row],[Id]],Opportunities[Id],Opportunities[DisplayStage])</f>
        <v>1 - Lead Qualification</v>
      </c>
      <c r="I35" s="1">
        <f>IF(pipelineType="Unweighted",_xlfn.XLOOKUP(View[[#This Row],[Id]],Opportunities[Id],Opportunities[Amount])/1000,_xlfn.XLOOKUP(View[[#This Row],[Id]],Opportunities[Id],Opportunities[Weighted])/1000)</f>
        <v>939.27</v>
      </c>
      <c r="J35" s="28" t="str">
        <f>_xlfn.XLOOKUP(View[[#This Row],[Id]],Opportunities[Id],Opportunities[Probability])</f>
        <v>Low</v>
      </c>
      <c r="K35" s="29">
        <f>View[[#This Row],[Estmated Revenue]]</f>
        <v>187.85400000000001</v>
      </c>
      <c r="L35" s="2">
        <f>_xlfn.XLOOKUP(View[[#This Row],[Id]],Opportunities[Id],Opportunities[Close])</f>
        <v>46199.734965277778</v>
      </c>
      <c r="M35" s="25" t="str">
        <f>IF(_xlfn.XLOOKUP(View[[#This Row],[Id]],Opportunities[Id],Opportunities[Comment Log])=0,"",_xlfn.XLOOKUP(View[[#This Row],[Id]],Opportunities[Id],Opportunities[Comment Log]))</f>
        <v/>
      </c>
      <c r="N35">
        <v>177</v>
      </c>
      <c r="O35" s="3">
        <f ca="1">_xlfn.XLOOKUP(View[[#This Row],[Id]],Opportunities[Id],Opportunities[Next Milestone Date])-TODAY()</f>
        <v>-45879</v>
      </c>
      <c r="P35"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CY26-Q2</v>
      </c>
      <c r="Q35" s="1">
        <f>_xlfn.XLOOKUP(View[[#This Row],[Id]],Opportunities[Id],Opportunities[Weighted])/1000</f>
        <v>187.85400000000001</v>
      </c>
      <c r="R35" s="4">
        <f>_xlfn.XLOOKUP(View[[#This Row],[Id]],Opportunities[Id],Opportunities[Amount])/1000</f>
        <v>939.27</v>
      </c>
      <c r="S35" s="38" t="b">
        <f>View[[#This Row],[Win Probability]]="High"</f>
        <v>0</v>
      </c>
      <c r="T35" s="38">
        <f>SUBTOTAL(103, View[[#This Row],[S]])</f>
        <v>1</v>
      </c>
    </row>
    <row r="36" spans="4:20" x14ac:dyDescent="0.25">
      <c r="D36" s="39" t="str">
        <f>_xlfn.XLOOKUP(View[[#This Row],[Id]],Opportunities[Id],Opportunities[status symbol])</f>
        <v>✓</v>
      </c>
      <c r="E36" s="40" t="str">
        <f>HYPERLINK(siteUrl&amp;"Lists/"&amp;oppList&amp;"/DispForm.aspx?ID="&amp;View[[#This Row],[Id]],_xlfn.XLOOKUP(View[[#This Row],[Id]],Opportunities[Id],Opportunities[OpportunityName]))</f>
        <v>Safety Management System</v>
      </c>
      <c r="F36" s="41" t="str">
        <f>HYPERLINK(_xlfn.XLOOKUP(View[[#This Row],[Id]],Opportunities[Id],Opportunities[CustomerRecordURL]),_xlfn.XLOOKUP(View[[#This Row],[Id]],Opportunities[Id],Opportunities[Customer Name]))</f>
        <v>Tech Solutions Inc</v>
      </c>
      <c r="G36" s="30"/>
      <c r="H36" s="42" t="str">
        <f>_xlfn.XLOOKUP(View[[#This Row],[Id]],Opportunities[Id],Opportunities[DisplayStage])</f>
        <v>4 - Negotiation</v>
      </c>
      <c r="I36" s="1">
        <f>IF(pipelineType="Unweighted",_xlfn.XLOOKUP(View[[#This Row],[Id]],Opportunities[Id],Opportunities[Amount])/1000,_xlfn.XLOOKUP(View[[#This Row],[Id]],Opportunities[Id],Opportunities[Weighted])/1000)</f>
        <v>951.476</v>
      </c>
      <c r="J36" s="28" t="str">
        <f>_xlfn.XLOOKUP(View[[#This Row],[Id]],Opportunities[Id],Opportunities[Probability])</f>
        <v>High</v>
      </c>
      <c r="K36" s="29">
        <f>View[[#This Row],[Estmated Revenue]]</f>
        <v>856.32839999999999</v>
      </c>
      <c r="L36" s="2">
        <f>_xlfn.XLOOKUP(View[[#This Row],[Id]],Opportunities[Id],Opportunities[Close])</f>
        <v>46210.735497685186</v>
      </c>
      <c r="M36" s="25" t="str">
        <f>IF(_xlfn.XLOOKUP(View[[#This Row],[Id]],Opportunities[Id],Opportunities[Comment Log])=0,"",_xlfn.XLOOKUP(View[[#This Row],[Id]],Opportunities[Id],Opportunities[Comment Log]))</f>
        <v/>
      </c>
      <c r="N36">
        <v>203</v>
      </c>
      <c r="O36" s="3">
        <f ca="1">_xlfn.XLOOKUP(View[[#This Row],[Id]],Opportunities[Id],Opportunities[Next Milestone Date])-TODAY()</f>
        <v>-45879</v>
      </c>
      <c r="P36"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CY26-Q3</v>
      </c>
      <c r="Q36" s="1">
        <f>_xlfn.XLOOKUP(View[[#This Row],[Id]],Opportunities[Id],Opportunities[Weighted])/1000</f>
        <v>856.32839999999999</v>
      </c>
      <c r="R36" s="4">
        <f>_xlfn.XLOOKUP(View[[#This Row],[Id]],Opportunities[Id],Opportunities[Amount])/1000</f>
        <v>951.476</v>
      </c>
      <c r="S36" s="38" t="b">
        <f>View[[#This Row],[Win Probability]]="High"</f>
        <v>1</v>
      </c>
      <c r="T36" s="38">
        <f>SUBTOTAL(103, View[[#This Row],[S]])</f>
        <v>1</v>
      </c>
    </row>
    <row r="37" spans="4:20" x14ac:dyDescent="0.25">
      <c r="D37" s="39" t="str">
        <f>_xlfn.XLOOKUP(View[[#This Row],[Id]],Opportunities[Id],Opportunities[status symbol])</f>
        <v>✓</v>
      </c>
      <c r="E37" s="40" t="str">
        <f>HYPERLINK(siteUrl&amp;"Lists/"&amp;oppList&amp;"/DispForm.aspx?ID="&amp;View[[#This Row],[Id]],_xlfn.XLOOKUP(View[[#This Row],[Id]],Opportunities[Id],Opportunities[OpportunityName]))</f>
        <v>Manufacturing Automation System</v>
      </c>
      <c r="F37" s="41" t="str">
        <f>HYPERLINK(_xlfn.XLOOKUP(View[[#This Row],[Id]],Opportunities[Id],Opportunities[CustomerRecordURL]),_xlfn.XLOOKUP(View[[#This Row],[Id]],Opportunities[Id],Opportunities[Customer Name]))</f>
        <v>Environmental Services</v>
      </c>
      <c r="G37" s="30"/>
      <c r="H37" s="42" t="str">
        <f>_xlfn.XLOOKUP(View[[#This Row],[Id]],Opportunities[Id],Opportunities[DisplayStage])</f>
        <v>4 - Negotiation</v>
      </c>
      <c r="I37" s="1">
        <f>IF(pipelineType="Unweighted",_xlfn.XLOOKUP(View[[#This Row],[Id]],Opportunities[Id],Opportunities[Amount])/1000,_xlfn.XLOOKUP(View[[#This Row],[Id]],Opportunities[Id],Opportunities[Weighted])/1000)</f>
        <v>1223.7190000000001</v>
      </c>
      <c r="J37" s="28" t="str">
        <f>_xlfn.XLOOKUP(View[[#This Row],[Id]],Opportunities[Id],Opportunities[Probability])</f>
        <v>Low</v>
      </c>
      <c r="K37" s="29">
        <f>View[[#This Row],[Estmated Revenue]]</f>
        <v>244.74380000000002</v>
      </c>
      <c r="L37" s="2">
        <f>_xlfn.XLOOKUP(View[[#This Row],[Id]],Opportunities[Id],Opportunities[Close])</f>
        <v>46280.734895833331</v>
      </c>
      <c r="M37" s="25" t="str">
        <f>IF(_xlfn.XLOOKUP(View[[#This Row],[Id]],Opportunities[Id],Opportunities[Comment Log])=0,"",_xlfn.XLOOKUP(View[[#This Row],[Id]],Opportunities[Id],Opportunities[Comment Log]))</f>
        <v/>
      </c>
      <c r="N37">
        <v>174</v>
      </c>
      <c r="O37" s="3">
        <f ca="1">_xlfn.XLOOKUP(View[[#This Row],[Id]],Opportunities[Id],Opportunities[Next Milestone Date])-TODAY()</f>
        <v>-45879</v>
      </c>
      <c r="P37"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CY26-Q3</v>
      </c>
      <c r="Q37" s="1">
        <f>_xlfn.XLOOKUP(View[[#This Row],[Id]],Opportunities[Id],Opportunities[Weighted])/1000</f>
        <v>244.74380000000002</v>
      </c>
      <c r="R37" s="4">
        <f>_xlfn.XLOOKUP(View[[#This Row],[Id]],Opportunities[Id],Opportunities[Amount])/1000</f>
        <v>1223.7190000000001</v>
      </c>
      <c r="S37" s="38" t="b">
        <f>View[[#This Row],[Win Probability]]="High"</f>
        <v>0</v>
      </c>
      <c r="T37" s="38">
        <f>SUBTOTAL(103, View[[#This Row],[S]])</f>
        <v>1</v>
      </c>
    </row>
    <row r="38" spans="4:20" x14ac:dyDescent="0.25">
      <c r="D38" s="39" t="str">
        <f>_xlfn.XLOOKUP(View[[#This Row],[Id]],Opportunities[Id],Opportunities[status symbol])</f>
        <v>✓</v>
      </c>
      <c r="E38" s="40" t="str">
        <f>HYPERLINK(siteUrl&amp;"Lists/"&amp;oppList&amp;"/DispForm.aspx?ID="&amp;View[[#This Row],[Id]],_xlfn.XLOOKUP(View[[#This Row],[Id]],Opportunities[Id],Opportunities[OpportunityName]))</f>
        <v>E-commerce Platform</v>
      </c>
      <c r="F38" s="41" t="str">
        <f>HYPERLINK(_xlfn.XLOOKUP(View[[#This Row],[Id]],Opportunities[Id],Opportunities[CustomerRecordURL]),_xlfn.XLOOKUP(View[[#This Row],[Id]],Opportunities[Id],Opportunities[Customer Name]))</f>
        <v>Mining Operations</v>
      </c>
      <c r="G38" s="30"/>
      <c r="H38" s="42" t="str">
        <f>_xlfn.XLOOKUP(View[[#This Row],[Id]],Opportunities[Id],Opportunities[DisplayStage])</f>
        <v>3 - Proposal</v>
      </c>
      <c r="I38" s="1">
        <f>IF(pipelineType="Unweighted",_xlfn.XLOOKUP(View[[#This Row],[Id]],Opportunities[Id],Opportunities[Amount])/1000,_xlfn.XLOOKUP(View[[#This Row],[Id]],Opportunities[Id],Opportunities[Weighted])/1000)</f>
        <v>1176.4860000000001</v>
      </c>
      <c r="J38" s="28" t="str">
        <f>_xlfn.XLOOKUP(View[[#This Row],[Id]],Opportunities[Id],Opportunities[Probability])</f>
        <v>Medium</v>
      </c>
      <c r="K38" s="29">
        <f>View[[#This Row],[Estmated Revenue]]</f>
        <v>470.59440000000001</v>
      </c>
      <c r="L38" s="2">
        <f>_xlfn.XLOOKUP(View[[#This Row],[Id]],Opportunities[Id],Opportunities[Close])</f>
        <v>46310.735092592593</v>
      </c>
      <c r="M38" s="25" t="str">
        <f>IF(_xlfn.XLOOKUP(View[[#This Row],[Id]],Opportunities[Id],Opportunities[Comment Log])=0,"",_xlfn.XLOOKUP(View[[#This Row],[Id]],Opportunities[Id],Opportunities[Comment Log]))</f>
        <v/>
      </c>
      <c r="N38">
        <v>183</v>
      </c>
      <c r="O38" s="3">
        <f ca="1">_xlfn.XLOOKUP(View[[#This Row],[Id]],Opportunities[Id],Opportunities[Next Milestone Date])-TODAY()</f>
        <v>-45879</v>
      </c>
      <c r="P38"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38" s="1">
        <f>_xlfn.XLOOKUP(View[[#This Row],[Id]],Opportunities[Id],Opportunities[Weighted])/1000</f>
        <v>470.59440000000001</v>
      </c>
      <c r="R38" s="4">
        <f>_xlfn.XLOOKUP(View[[#This Row],[Id]],Opportunities[Id],Opportunities[Amount])/1000</f>
        <v>1176.4860000000001</v>
      </c>
      <c r="S38" s="38" t="b">
        <f>View[[#This Row],[Win Probability]]="High"</f>
        <v>0</v>
      </c>
      <c r="T38" s="38">
        <f>SUBTOTAL(103, View[[#This Row],[S]])</f>
        <v>1</v>
      </c>
    </row>
    <row r="39" spans="4:20" x14ac:dyDescent="0.25">
      <c r="D39" s="39" t="str">
        <f>_xlfn.XLOOKUP(View[[#This Row],[Id]],Opportunities[Id],Opportunities[status symbol])</f>
        <v>✓</v>
      </c>
      <c r="E39" s="40" t="str">
        <f>HYPERLINK(siteUrl&amp;"Lists/"&amp;oppList&amp;"/DispForm.aspx?ID="&amp;View[[#This Row],[Id]],_xlfn.XLOOKUP(View[[#This Row],[Id]],Opportunities[Id],Opportunities[OpportunityName]))</f>
        <v>Integration Services Project</v>
      </c>
      <c r="F39" s="41" t="str">
        <f>HYPERLINK(_xlfn.XLOOKUP(View[[#This Row],[Id]],Opportunities[Id],Opportunities[CustomerRecordURL]),_xlfn.XLOOKUP(View[[#This Row],[Id]],Opportunities[Id],Opportunities[Customer Name]))</f>
        <v>Telecommunications Inc</v>
      </c>
      <c r="G39" s="30"/>
      <c r="H39" s="42" t="str">
        <f>_xlfn.XLOOKUP(View[[#This Row],[Id]],Opportunities[Id],Opportunities[DisplayStage])</f>
        <v>3 - Proposal</v>
      </c>
      <c r="I39" s="1">
        <f>IF(pipelineType="Unweighted",_xlfn.XLOOKUP(View[[#This Row],[Id]],Opportunities[Id],Opportunities[Amount])/1000,_xlfn.XLOOKUP(View[[#This Row],[Id]],Opportunities[Id],Opportunities[Weighted])/1000)</f>
        <v>1451.3589999999999</v>
      </c>
      <c r="J39" s="28" t="str">
        <f>_xlfn.XLOOKUP(View[[#This Row],[Id]],Opportunities[Id],Opportunities[Probability])</f>
        <v>High</v>
      </c>
      <c r="K39" s="29">
        <f>View[[#This Row],[Estmated Revenue]]</f>
        <v>1306.2231000000002</v>
      </c>
      <c r="L39" s="2">
        <f>_xlfn.XLOOKUP(View[[#This Row],[Id]],Opportunities[Id],Opportunities[Close])</f>
        <v>46310.735567129632</v>
      </c>
      <c r="M39" s="25" t="str">
        <f>IF(_xlfn.XLOOKUP(View[[#This Row],[Id]],Opportunities[Id],Opportunities[Comment Log])=0,"",_xlfn.XLOOKUP(View[[#This Row],[Id]],Opportunities[Id],Opportunities[Comment Log]))</f>
        <v/>
      </c>
      <c r="N39">
        <v>206</v>
      </c>
      <c r="O39" s="3">
        <f ca="1">_xlfn.XLOOKUP(View[[#This Row],[Id]],Opportunities[Id],Opportunities[Next Milestone Date])-TODAY()</f>
        <v>-45879</v>
      </c>
      <c r="P39"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39" s="1">
        <f>_xlfn.XLOOKUP(View[[#This Row],[Id]],Opportunities[Id],Opportunities[Weighted])/1000</f>
        <v>1306.2231000000002</v>
      </c>
      <c r="R39" s="4">
        <f>_xlfn.XLOOKUP(View[[#This Row],[Id]],Opportunities[Id],Opportunities[Amount])/1000</f>
        <v>1451.3589999999999</v>
      </c>
      <c r="S39" s="38" t="b">
        <f>View[[#This Row],[Win Probability]]="High"</f>
        <v>1</v>
      </c>
      <c r="T39" s="38">
        <f>SUBTOTAL(103, View[[#This Row],[S]])</f>
        <v>1</v>
      </c>
    </row>
    <row r="40" spans="4:20" x14ac:dyDescent="0.25">
      <c r="D40" s="39" t="str">
        <f>_xlfn.XLOOKUP(View[[#This Row],[Id]],Opportunities[Id],Opportunities[status symbol])</f>
        <v>✓</v>
      </c>
      <c r="E40" s="40" t="str">
        <f>HYPERLINK(siteUrl&amp;"Lists/"&amp;oppList&amp;"/DispForm.aspx?ID="&amp;View[[#This Row],[Id]],_xlfn.XLOOKUP(View[[#This Row],[Id]],Opportunities[Id],Opportunities[OpportunityName]))</f>
        <v>Customer Service Platform</v>
      </c>
      <c r="F40" s="41" t="str">
        <f>HYPERLINK(_xlfn.XLOOKUP(View[[#This Row],[Id]],Opportunities[Id],Opportunities[CustomerRecordURL]),_xlfn.XLOOKUP(View[[#This Row],[Id]],Opportunities[Id],Opportunities[Customer Name]))</f>
        <v>Agricultural Systems</v>
      </c>
      <c r="G40" s="30"/>
      <c r="H40" s="42" t="str">
        <f>_xlfn.XLOOKUP(View[[#This Row],[Id]],Opportunities[Id],Opportunities[DisplayStage])</f>
        <v>2 - Nurturing</v>
      </c>
      <c r="I40" s="1">
        <f>IF(pipelineType="Unweighted",_xlfn.XLOOKUP(View[[#This Row],[Id]],Opportunities[Id],Opportunities[Amount])/1000,_xlfn.XLOOKUP(View[[#This Row],[Id]],Opportunities[Id],Opportunities[Weighted])/1000)</f>
        <v>1177.825</v>
      </c>
      <c r="J40" s="28" t="str">
        <f>_xlfn.XLOOKUP(View[[#This Row],[Id]],Opportunities[Id],Opportunities[Probability])</f>
        <v>Medium</v>
      </c>
      <c r="K40" s="29">
        <f>View[[#This Row],[Estmated Revenue]]</f>
        <v>471.13</v>
      </c>
      <c r="L40" s="2">
        <f>_xlfn.XLOOKUP(View[[#This Row],[Id]],Opportunities[Id],Opportunities[Close])</f>
        <v>46318.735439814816</v>
      </c>
      <c r="M40" s="25" t="str">
        <f>IF(_xlfn.XLOOKUP(View[[#This Row],[Id]],Opportunities[Id],Opportunities[Comment Log])=0,"",_xlfn.XLOOKUP(View[[#This Row],[Id]],Opportunities[Id],Opportunities[Comment Log]))</f>
        <v/>
      </c>
      <c r="N40">
        <v>200</v>
      </c>
      <c r="O40" s="3">
        <f ca="1">_xlfn.XLOOKUP(View[[#This Row],[Id]],Opportunities[Id],Opportunities[Next Milestone Date])-TODAY()</f>
        <v>-45879</v>
      </c>
      <c r="P40"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40" s="1">
        <f>_xlfn.XLOOKUP(View[[#This Row],[Id]],Opportunities[Id],Opportunities[Weighted])/1000</f>
        <v>471.13</v>
      </c>
      <c r="R40" s="4">
        <f>_xlfn.XLOOKUP(View[[#This Row],[Id]],Opportunities[Id],Opportunities[Amount])/1000</f>
        <v>1177.825</v>
      </c>
      <c r="S40" s="38" t="b">
        <f>View[[#This Row],[Win Probability]]="High"</f>
        <v>0</v>
      </c>
      <c r="T40" s="38">
        <f>SUBTOTAL(103, View[[#This Row],[S]])</f>
        <v>1</v>
      </c>
    </row>
    <row r="41" spans="4:20" x14ac:dyDescent="0.25">
      <c r="D41" s="39" t="str">
        <f>_xlfn.XLOOKUP(View[[#This Row],[Id]],Opportunities[Id],Opportunities[status symbol])</f>
        <v>✓</v>
      </c>
      <c r="E41" s="40" t="str">
        <f>HYPERLINK(siteUrl&amp;"Lists/"&amp;oppList&amp;"/DispForm.aspx?ID="&amp;View[[#This Row],[Id]],_xlfn.XLOOKUP(View[[#This Row],[Id]],Opportunities[Id],Opportunities[OpportunityName]))</f>
        <v>Website Redesign Project</v>
      </c>
      <c r="F41" s="41" t="str">
        <f>HYPERLINK(_xlfn.XLOOKUP(View[[#This Row],[Id]],Opportunities[Id],Opportunities[CustomerRecordURL]),_xlfn.XLOOKUP(View[[#This Row],[Id]],Opportunities[Id],Opportunities[Customer Name]))</f>
        <v>Education First</v>
      </c>
      <c r="G41" s="30"/>
      <c r="H41" s="42" t="str">
        <f>_xlfn.XLOOKUP(View[[#This Row],[Id]],Opportunities[Id],Opportunities[DisplayStage])</f>
        <v>6 - Closeout</v>
      </c>
      <c r="I41" s="1">
        <f>IF(pipelineType="Unweighted",_xlfn.XLOOKUP(View[[#This Row],[Id]],Opportunities[Id],Opportunities[Amount])/1000,_xlfn.XLOOKUP(View[[#This Row],[Id]],Opportunities[Id],Opportunities[Weighted])/1000)</f>
        <v>1802.72</v>
      </c>
      <c r="J41" s="28" t="str">
        <f>_xlfn.XLOOKUP(View[[#This Row],[Id]],Opportunities[Id],Opportunities[Probability])</f>
        <v>Medium</v>
      </c>
      <c r="K41" s="29">
        <f>View[[#This Row],[Estmated Revenue]]</f>
        <v>721.08799999999997</v>
      </c>
      <c r="L41" s="2">
        <f>_xlfn.XLOOKUP(View[[#This Row],[Id]],Opportunities[Id],Opportunities[Close])</f>
        <v>46322.735393518517</v>
      </c>
      <c r="M41" s="25" t="str">
        <f>IF(_xlfn.XLOOKUP(View[[#This Row],[Id]],Opportunities[Id],Opportunities[Comment Log])=0,"",_xlfn.XLOOKUP(View[[#This Row],[Id]],Opportunities[Id],Opportunities[Comment Log]))</f>
        <v/>
      </c>
      <c r="N41">
        <v>198</v>
      </c>
      <c r="O41" s="3">
        <f ca="1">_xlfn.XLOOKUP(View[[#This Row],[Id]],Opportunities[Id],Opportunities[Next Milestone Date])-TODAY()</f>
        <v>-45879</v>
      </c>
      <c r="P41"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41" s="1">
        <f>_xlfn.XLOOKUP(View[[#This Row],[Id]],Opportunities[Id],Opportunities[Weighted])/1000</f>
        <v>721.08799999999997</v>
      </c>
      <c r="R41" s="4">
        <f>_xlfn.XLOOKUP(View[[#This Row],[Id]],Opportunities[Id],Opportunities[Amount])/1000</f>
        <v>1802.72</v>
      </c>
      <c r="S41" s="38" t="b">
        <f>View[[#This Row],[Win Probability]]="High"</f>
        <v>0</v>
      </c>
      <c r="T41" s="38">
        <f>SUBTOTAL(103, View[[#This Row],[S]])</f>
        <v>1</v>
      </c>
    </row>
    <row r="42" spans="4:20" x14ac:dyDescent="0.25">
      <c r="D42" s="39" t="str">
        <f>_xlfn.XLOOKUP(View[[#This Row],[Id]],Opportunities[Id],Opportunities[status symbol])</f>
        <v>✓</v>
      </c>
      <c r="E42" s="40" t="str">
        <f>HYPERLINK(siteUrl&amp;"Lists/"&amp;oppList&amp;"/DispForm.aspx?ID="&amp;View[[#This Row],[Id]],_xlfn.XLOOKUP(View[[#This Row],[Id]],Opportunities[Id],Opportunities[OpportunityName]))</f>
        <v>ERP Implementation Project</v>
      </c>
      <c r="F42" s="41" t="str">
        <f>HYPERLINK(_xlfn.XLOOKUP(View[[#This Row],[Id]],Opportunities[Id],Opportunities[CustomerRecordURL]),_xlfn.XLOOKUP(View[[#This Row],[Id]],Opportunities[Id],Opportunities[Customer Name]))</f>
        <v>ACME Corporation</v>
      </c>
      <c r="G42" s="30"/>
      <c r="H42" s="42" t="str">
        <f>_xlfn.XLOOKUP(View[[#This Row],[Id]],Opportunities[Id],Opportunities[DisplayStage])</f>
        <v>1 - Lead Qualification</v>
      </c>
      <c r="I42" s="1">
        <f>IF(pipelineType="Unweighted",_xlfn.XLOOKUP(View[[#This Row],[Id]],Opportunities[Id],Opportunities[Amount])/1000,_xlfn.XLOOKUP(View[[#This Row],[Id]],Opportunities[Id],Opportunities[Weighted])/1000)</f>
        <v>1444.1179999999999</v>
      </c>
      <c r="J42" s="28" t="str">
        <f>_xlfn.XLOOKUP(View[[#This Row],[Id]],Opportunities[Id],Opportunities[Probability])</f>
        <v>Medium</v>
      </c>
      <c r="K42" s="29">
        <f>View[[#This Row],[Estmated Revenue]]</f>
        <v>577.64720000000011</v>
      </c>
      <c r="L42" s="2">
        <f>_xlfn.XLOOKUP(View[[#This Row],[Id]],Opportunities[Id],Opportunities[Close])</f>
        <v>46330.776504629626</v>
      </c>
      <c r="M42" s="25" t="str">
        <f>IF(_xlfn.XLOOKUP(View[[#This Row],[Id]],Opportunities[Id],Opportunities[Comment Log])=0,"",_xlfn.XLOOKUP(View[[#This Row],[Id]],Opportunities[Id],Opportunities[Comment Log]))</f>
        <v/>
      </c>
      <c r="N42">
        <v>171</v>
      </c>
      <c r="O42" s="3">
        <f ca="1">_xlfn.XLOOKUP(View[[#This Row],[Id]],Opportunities[Id],Opportunities[Next Milestone Date])-TODAY()</f>
        <v>-45879</v>
      </c>
      <c r="P42"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42" s="1">
        <f>_xlfn.XLOOKUP(View[[#This Row],[Id]],Opportunities[Id],Opportunities[Weighted])/1000</f>
        <v>577.64720000000011</v>
      </c>
      <c r="R42" s="4">
        <f>_xlfn.XLOOKUP(View[[#This Row],[Id]],Opportunities[Id],Opportunities[Amount])/1000</f>
        <v>1444.1179999999999</v>
      </c>
      <c r="S42" s="38" t="b">
        <f>View[[#This Row],[Win Probability]]="High"</f>
        <v>0</v>
      </c>
      <c r="T42" s="38">
        <f>SUBTOTAL(103, View[[#This Row],[S]])</f>
        <v>1</v>
      </c>
    </row>
    <row r="43" spans="4:20" x14ac:dyDescent="0.25">
      <c r="D43" s="39" t="str">
        <f>_xlfn.XLOOKUP(View[[#This Row],[Id]],Opportunities[Id],Opportunities[status symbol])</f>
        <v>✓</v>
      </c>
      <c r="E43" s="40" t="str">
        <f>HYPERLINK(siteUrl&amp;"Lists/"&amp;oppList&amp;"/DispForm.aspx?ID="&amp;View[[#This Row],[Id]],_xlfn.XLOOKUP(View[[#This Row],[Id]],Opportunities[Id],Opportunities[OpportunityName]))</f>
        <v>Workflow Automation Tool</v>
      </c>
      <c r="F43" s="41" t="str">
        <f>HYPERLINK(_xlfn.XLOOKUP(View[[#This Row],[Id]],Opportunities[Id],Opportunities[CustomerRecordURL]),_xlfn.XLOOKUP(View[[#This Row],[Id]],Opportunities[Id],Opportunities[Customer Name]))</f>
        <v>Pharmaceutical Research</v>
      </c>
      <c r="G43" s="30"/>
      <c r="H43" s="42" t="str">
        <f>_xlfn.XLOOKUP(View[[#This Row],[Id]],Opportunities[Id],Opportunities[DisplayStage])</f>
        <v>2 - Nurturing</v>
      </c>
      <c r="I43" s="1">
        <f>IF(pipelineType="Unweighted",_xlfn.XLOOKUP(View[[#This Row],[Id]],Opportunities[Id],Opportunities[Amount])/1000,_xlfn.XLOOKUP(View[[#This Row],[Id]],Opportunities[Id],Opportunities[Weighted])/1000)</f>
        <v>1498.566</v>
      </c>
      <c r="J43" s="28" t="str">
        <f>_xlfn.XLOOKUP(View[[#This Row],[Id]],Opportunities[Id],Opportunities[Probability])</f>
        <v>High</v>
      </c>
      <c r="K43" s="29">
        <f>View[[#This Row],[Estmated Revenue]]</f>
        <v>1348.7094000000002</v>
      </c>
      <c r="L43" s="2">
        <f>_xlfn.XLOOKUP(View[[#This Row],[Id]],Opportunities[Id],Opportunities[Close])</f>
        <v>46335.77721064815</v>
      </c>
      <c r="M43" s="25" t="str">
        <f>IF(_xlfn.XLOOKUP(View[[#This Row],[Id]],Opportunities[Id],Opportunities[Comment Log])=0,"",_xlfn.XLOOKUP(View[[#This Row],[Id]],Opportunities[Id],Opportunities[Comment Log]))</f>
        <v/>
      </c>
      <c r="N43">
        <v>205</v>
      </c>
      <c r="O43" s="3">
        <f ca="1">_xlfn.XLOOKUP(View[[#This Row],[Id]],Opportunities[Id],Opportunities[Next Milestone Date])-TODAY()</f>
        <v>-45879</v>
      </c>
      <c r="P43"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43" s="1">
        <f>_xlfn.XLOOKUP(View[[#This Row],[Id]],Opportunities[Id],Opportunities[Weighted])/1000</f>
        <v>1348.7094000000002</v>
      </c>
      <c r="R43" s="4">
        <f>_xlfn.XLOOKUP(View[[#This Row],[Id]],Opportunities[Id],Opportunities[Amount])/1000</f>
        <v>1498.566</v>
      </c>
      <c r="S43" s="38" t="b">
        <f>View[[#This Row],[Win Probability]]="High"</f>
        <v>1</v>
      </c>
      <c r="T43" s="38">
        <f>SUBTOTAL(103, View[[#This Row],[S]])</f>
        <v>1</v>
      </c>
    </row>
    <row r="44" spans="4:20" x14ac:dyDescent="0.25">
      <c r="D44" s="39" t="str">
        <f>_xlfn.XLOOKUP(View[[#This Row],[Id]],Opportunities[Id],Opportunities[status symbol])</f>
        <v>✓</v>
      </c>
      <c r="E44" s="40" t="str">
        <f>HYPERLINK(siteUrl&amp;"Lists/"&amp;oppList&amp;"/DispForm.aspx?ID="&amp;View[[#This Row],[Id]],_xlfn.XLOOKUP(View[[#This Row],[Id]],Opportunities[Id],Opportunities[OpportunityName]))</f>
        <v>Cloud Migration Initiative</v>
      </c>
      <c r="F44" s="41" t="str">
        <f>HYPERLINK(_xlfn.XLOOKUP(View[[#This Row],[Id]],Opportunities[Id],Opportunities[CustomerRecordURL]),_xlfn.XLOOKUP(View[[#This Row],[Id]],Opportunities[Id],Opportunities[Customer Name]))</f>
        <v>Global Industries</v>
      </c>
      <c r="G44" s="30"/>
      <c r="H44" s="42" t="str">
        <f>_xlfn.XLOOKUP(View[[#This Row],[Id]],Opportunities[Id],Opportunities[DisplayStage])</f>
        <v>6 - Closeout</v>
      </c>
      <c r="I44" s="1">
        <f>IF(pipelineType="Unweighted",_xlfn.XLOOKUP(View[[#This Row],[Id]],Opportunities[Id],Opportunities[Amount])/1000,_xlfn.XLOOKUP(View[[#This Row],[Id]],Opportunities[Id],Opportunities[Weighted])/1000)</f>
        <v>586.28300000000002</v>
      </c>
      <c r="J44" s="28" t="str">
        <f>_xlfn.XLOOKUP(View[[#This Row],[Id]],Opportunities[Id],Opportunities[Probability])</f>
        <v>Low</v>
      </c>
      <c r="K44" s="29">
        <f>View[[#This Row],[Estmated Revenue]]</f>
        <v>117.25660000000001</v>
      </c>
      <c r="L44" s="2">
        <f>_xlfn.XLOOKUP(View[[#This Row],[Id]],Opportunities[Id],Opportunities[Close])</f>
        <v>46342.77652777778</v>
      </c>
      <c r="M44" s="25" t="str">
        <f>IF(_xlfn.XLOOKUP(View[[#This Row],[Id]],Opportunities[Id],Opportunities[Comment Log])=0,"",_xlfn.XLOOKUP(View[[#This Row],[Id]],Opportunities[Id],Opportunities[Comment Log]))</f>
        <v/>
      </c>
      <c r="N44">
        <v>172</v>
      </c>
      <c r="O44" s="3">
        <f ca="1">_xlfn.XLOOKUP(View[[#This Row],[Id]],Opportunities[Id],Opportunities[Next Milestone Date])-TODAY()</f>
        <v>-45879</v>
      </c>
      <c r="P44"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44" s="1">
        <f>_xlfn.XLOOKUP(View[[#This Row],[Id]],Opportunities[Id],Opportunities[Weighted])/1000</f>
        <v>117.25660000000001</v>
      </c>
      <c r="R44" s="4">
        <f>_xlfn.XLOOKUP(View[[#This Row],[Id]],Opportunities[Id],Opportunities[Amount])/1000</f>
        <v>586.28300000000002</v>
      </c>
      <c r="S44" s="38" t="b">
        <f>View[[#This Row],[Win Probability]]="High"</f>
        <v>0</v>
      </c>
      <c r="T44" s="38">
        <f>SUBTOTAL(103, View[[#This Row],[S]])</f>
        <v>1</v>
      </c>
    </row>
    <row r="45" spans="4:20" x14ac:dyDescent="0.25">
      <c r="D45" s="39" t="str">
        <f>_xlfn.XLOOKUP(View[[#This Row],[Id]],Opportunities[Id],Opportunities[status symbol])</f>
        <v>✓</v>
      </c>
      <c r="E45" s="40" t="str">
        <f>HYPERLINK(siteUrl&amp;"Lists/"&amp;oppList&amp;"/DispForm.aspx?ID="&amp;View[[#This Row],[Id]],_xlfn.XLOOKUP(View[[#This Row],[Id]],Opportunities[Id],Opportunities[OpportunityName]))</f>
        <v>Environmental Monitoring Solution</v>
      </c>
      <c r="F45" s="41" t="str">
        <f>HYPERLINK(_xlfn.XLOOKUP(View[[#This Row],[Id]],Opportunities[Id],Opportunities[CustomerRecordURL]),_xlfn.XLOOKUP(View[[#This Row],[Id]],Opportunities[Id],Opportunities[Customer Name]))</f>
        <v>Tech Solutions Inc</v>
      </c>
      <c r="G45" s="30"/>
      <c r="H45" s="42" t="str">
        <f>_xlfn.XLOOKUP(View[[#This Row],[Id]],Opportunities[Id],Opportunities[DisplayStage])</f>
        <v>3 - Proposal</v>
      </c>
      <c r="I45" s="1">
        <f>IF(pipelineType="Unweighted",_xlfn.XLOOKUP(View[[#This Row],[Id]],Opportunities[Id],Opportunities[Amount])/1000,_xlfn.XLOOKUP(View[[#This Row],[Id]],Opportunities[Id],Opportunities[Weighted])/1000)</f>
        <v>757.68700000000001</v>
      </c>
      <c r="J45" s="28" t="str">
        <f>_xlfn.XLOOKUP(View[[#This Row],[Id]],Opportunities[Id],Opportunities[Probability])</f>
        <v>Medium</v>
      </c>
      <c r="K45" s="29">
        <f>View[[#This Row],[Estmated Revenue]]</f>
        <v>303.07479999999998</v>
      </c>
      <c r="L45" s="2">
        <f>_xlfn.XLOOKUP(View[[#This Row],[Id]],Opportunities[Id],Opportunities[Close])</f>
        <v>46384.777141203704</v>
      </c>
      <c r="M45" s="25" t="str">
        <f>IF(_xlfn.XLOOKUP(View[[#This Row],[Id]],Opportunities[Id],Opportunities[Comment Log])=0,"",_xlfn.XLOOKUP(View[[#This Row],[Id]],Opportunities[Id],Opportunities[Comment Log]))</f>
        <v/>
      </c>
      <c r="N45">
        <v>202</v>
      </c>
      <c r="O45" s="3">
        <f ca="1">_xlfn.XLOOKUP(View[[#This Row],[Id]],Opportunities[Id],Opportunities[Next Milestone Date])-TODAY()</f>
        <v>-45879</v>
      </c>
      <c r="P45"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45" s="1">
        <f>_xlfn.XLOOKUP(View[[#This Row],[Id]],Opportunities[Id],Opportunities[Weighted])/1000</f>
        <v>303.07479999999998</v>
      </c>
      <c r="R45" s="4">
        <f>_xlfn.XLOOKUP(View[[#This Row],[Id]],Opportunities[Id],Opportunities[Amount])/1000</f>
        <v>757.68700000000001</v>
      </c>
      <c r="S45" s="38" t="b">
        <f>View[[#This Row],[Win Probability]]="High"</f>
        <v>0</v>
      </c>
      <c r="T45" s="38">
        <f>SUBTOTAL(103, View[[#This Row],[S]])</f>
        <v>1</v>
      </c>
    </row>
    <row r="46" spans="4:20" x14ac:dyDescent="0.25">
      <c r="D46" s="39" t="str">
        <f>_xlfn.XLOOKUP(View[[#This Row],[Id]],Opportunities[Id],Opportunities[status symbol])</f>
        <v>✓</v>
      </c>
      <c r="E46" s="40" t="str">
        <f>HYPERLINK(siteUrl&amp;"Lists/"&amp;oppList&amp;"/DispForm.aspx?ID="&amp;View[[#This Row],[Id]],_xlfn.XLOOKUP(View[[#This Row],[Id]],Opportunities[Id],Opportunities[OpportunityName]))</f>
        <v>Fleet Management System</v>
      </c>
      <c r="F46" s="41" t="str">
        <f>HYPERLINK(_xlfn.XLOOKUP(View[[#This Row],[Id]],Opportunities[Id],Opportunities[CustomerRecordURL]),_xlfn.XLOOKUP(View[[#This Row],[Id]],Opportunities[Id],Opportunities[Customer Name]))</f>
        <v>Professional Services Group</v>
      </c>
      <c r="G46" s="30"/>
      <c r="H46" s="42" t="str">
        <f>_xlfn.XLOOKUP(View[[#This Row],[Id]],Opportunities[Id],Opportunities[DisplayStage])</f>
        <v>1 - Lead Qualification</v>
      </c>
      <c r="I46" s="1">
        <f>IF(pipelineType="Unweighted",_xlfn.XLOOKUP(View[[#This Row],[Id]],Opportunities[Id],Opportunities[Amount])/1000,_xlfn.XLOOKUP(View[[#This Row],[Id]],Opportunities[Id],Opportunities[Weighted])/1000)</f>
        <v>827.73599999999999</v>
      </c>
      <c r="J46" s="28" t="str">
        <f>_xlfn.XLOOKUP(View[[#This Row],[Id]],Opportunities[Id],Opportunities[Probability])</f>
        <v>Low</v>
      </c>
      <c r="K46" s="29">
        <f>View[[#This Row],[Estmated Revenue]]</f>
        <v>165.5472</v>
      </c>
      <c r="L46" s="2">
        <f>_xlfn.XLOOKUP(View[[#This Row],[Id]],Opportunities[Id],Opportunities[Close])</f>
        <v>46387.777118055557</v>
      </c>
      <c r="M46" s="25" t="str">
        <f>IF(_xlfn.XLOOKUP(View[[#This Row],[Id]],Opportunities[Id],Opportunities[Comment Log])=0,"",_xlfn.XLOOKUP(View[[#This Row],[Id]],Opportunities[Id],Opportunities[Comment Log]))</f>
        <v/>
      </c>
      <c r="N46">
        <v>201</v>
      </c>
      <c r="O46" s="3">
        <f ca="1">_xlfn.XLOOKUP(View[[#This Row],[Id]],Opportunities[Id],Opportunities[Next Milestone Date])-TODAY()</f>
        <v>-45879</v>
      </c>
      <c r="P46"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CY26-Q4</v>
      </c>
      <c r="Q46" s="1">
        <f>_xlfn.XLOOKUP(View[[#This Row],[Id]],Opportunities[Id],Opportunities[Weighted])/1000</f>
        <v>165.5472</v>
      </c>
      <c r="R46" s="4">
        <f>_xlfn.XLOOKUP(View[[#This Row],[Id]],Opportunities[Id],Opportunities[Amount])/1000</f>
        <v>827.73599999999999</v>
      </c>
      <c r="S46" s="38" t="b">
        <f>View[[#This Row],[Win Probability]]="High"</f>
        <v>0</v>
      </c>
      <c r="T46" s="38">
        <f>SUBTOTAL(103, View[[#This Row],[S]])</f>
        <v>1</v>
      </c>
    </row>
    <row r="47" spans="4:20" x14ac:dyDescent="0.25">
      <c r="D47" s="39" t="str">
        <f>_xlfn.XLOOKUP(View[[#This Row],[Id]],Opportunities[Id],Opportunities[status symbol])</f>
        <v>✓</v>
      </c>
      <c r="E47" s="40" t="str">
        <f>HYPERLINK(siteUrl&amp;"Lists/"&amp;oppList&amp;"/DispForm.aspx?ID="&amp;View[[#This Row],[Id]],_xlfn.XLOOKUP(View[[#This Row],[Id]],Opportunities[Id],Opportunities[OpportunityName]))</f>
        <v>Point of Sale System</v>
      </c>
      <c r="F47" s="41" t="str">
        <f>HYPERLINK(_xlfn.XLOOKUP(View[[#This Row],[Id]],Opportunities[Id],Opportunities[CustomerRecordURL]),_xlfn.XLOOKUP(View[[#This Row],[Id]],Opportunities[Id],Opportunities[Customer Name]))</f>
        <v>Media Communications</v>
      </c>
      <c r="G47" s="30"/>
      <c r="H47" s="42" t="str">
        <f>_xlfn.XLOOKUP(View[[#This Row],[Id]],Opportunities[Id],Opportunities[DisplayStage])</f>
        <v>4 - Negotiation</v>
      </c>
      <c r="I47" s="1">
        <f>IF(pipelineType="Unweighted",_xlfn.XLOOKUP(View[[#This Row],[Id]],Opportunities[Id],Opportunities[Amount])/1000,_xlfn.XLOOKUP(View[[#This Row],[Id]],Opportunities[Id],Opportunities[Weighted])/1000)</f>
        <v>878.67600000000004</v>
      </c>
      <c r="J47" s="28" t="str">
        <f>_xlfn.XLOOKUP(View[[#This Row],[Id]],Opportunities[Id],Opportunities[Probability])</f>
        <v>Low</v>
      </c>
      <c r="K47" s="29">
        <f>View[[#This Row],[Estmated Revenue]]</f>
        <v>175.73520000000002</v>
      </c>
      <c r="L47" s="2">
        <f>_xlfn.XLOOKUP(View[[#This Row],[Id]],Opportunities[Id],Opportunities[Close])</f>
        <v>46388.776956018519</v>
      </c>
      <c r="M47" s="25" t="str">
        <f>IF(_xlfn.XLOOKUP(View[[#This Row],[Id]],Opportunities[Id],Opportunities[Comment Log])=0,"",_xlfn.XLOOKUP(View[[#This Row],[Id]],Opportunities[Id],Opportunities[Comment Log]))</f>
        <v/>
      </c>
      <c r="N47">
        <v>193</v>
      </c>
      <c r="O47" s="3">
        <f ca="1">_xlfn.XLOOKUP(View[[#This Row],[Id]],Opportunities[Id],Opportunities[Next Milestone Date])-TODAY()</f>
        <v>-45879</v>
      </c>
      <c r="P47" s="43"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CY27-Q1</v>
      </c>
      <c r="Q47" s="1">
        <f>_xlfn.XLOOKUP(View[[#This Row],[Id]],Opportunities[Id],Opportunities[Weighted])/1000</f>
        <v>175.73520000000002</v>
      </c>
      <c r="R47" s="4">
        <f>_xlfn.XLOOKUP(View[[#This Row],[Id]],Opportunities[Id],Opportunities[Amount])/1000</f>
        <v>878.67600000000004</v>
      </c>
      <c r="S47" s="38" t="b">
        <f>View[[#This Row],[Win Probability]]="High"</f>
        <v>0</v>
      </c>
      <c r="T47" s="38">
        <f>SUBTOTAL(103, View[[#This Row],[S]])</f>
        <v>1</v>
      </c>
    </row>
  </sheetData>
  <sheetProtection sheet="1" objects="1" scenarios="1"/>
  <phoneticPr fontId="4" type="noConversion"/>
  <conditionalFormatting sqref="D8:E47">
    <cfRule type="expression" dxfId="27" priority="23">
      <formula>D8="⚠"</formula>
    </cfRule>
    <cfRule type="expression" dxfId="26" priority="24">
      <formula>D8="⮾"</formula>
    </cfRule>
    <cfRule type="expression" dxfId="25"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H8:H47">
    <cfRule type="expression" dxfId="24" priority="10">
      <formula>H8="3 - Proposal"</formula>
    </cfRule>
    <cfRule type="expression" dxfId="23" priority="11">
      <formula>H8="4 - Negotiation"</formula>
    </cfRule>
    <cfRule type="expression" dxfId="22" priority="12">
      <formula>H8="5 - Project Execution"</formula>
    </cfRule>
    <cfRule type="expression" dxfId="21" priority="13">
      <formula>H8="6 - Closeout"</formula>
    </cfRule>
    <cfRule type="expression" dxfId="20" priority="14">
      <formula>H8="1 - Lead Qualification"</formula>
    </cfRule>
    <cfRule type="expression" dxfId="19" priority="15">
      <formula>H8="2 - Nurturing"</formula>
    </cfRule>
  </conditionalFormatting>
  <conditionalFormatting sqref="R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J8:J47">
    <cfRule type="iconSet" priority="919">
      <iconSet iconSet="4Rating">
        <cfvo type="percent" val="0"/>
        <cfvo type="percent" val="25"/>
        <cfvo type="percent" val="50"/>
        <cfvo type="percent" val="75"/>
      </iconSet>
    </cfRule>
  </conditionalFormatting>
  <conditionalFormatting sqref="O8:O47">
    <cfRule type="colorScale" priority="921">
      <colorScale>
        <cfvo type="min"/>
        <cfvo type="max"/>
        <color rgb="FF63BE7B"/>
        <color rgb="FFFCFCFF"/>
      </colorScale>
    </cfRule>
  </conditionalFormatting>
  <conditionalFormatting sqref="Q8:Q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R8:R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disablePrompts="1"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R8</xm:sqref>
        </x14:conditionalFormatting>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R8:R47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K7"/>
  <sheetViews>
    <sheetView showGridLines="0" workbookViewId="0">
      <selection activeCell="F2" sqref="F2"/>
    </sheetView>
  </sheetViews>
  <sheetFormatPr defaultRowHeight="15" x14ac:dyDescent="0.25"/>
  <cols>
    <col min="1" max="1" width="20.7109375" customWidth="1"/>
    <col min="2" max="2" width="13.5703125" bestFit="1" customWidth="1"/>
    <col min="5" max="5" width="14.7109375" customWidth="1"/>
    <col min="6" max="6" width="52.28515625" bestFit="1" customWidth="1"/>
    <col min="9" max="9" width="13.28515625" customWidth="1"/>
    <col min="11" max="11" width="20" bestFit="1" customWidth="1"/>
    <col min="12" max="12" width="15.5703125" customWidth="1"/>
  </cols>
  <sheetData>
    <row r="1" spans="1:11" x14ac:dyDescent="0.25">
      <c r="A1" s="20" t="s">
        <v>50</v>
      </c>
      <c r="B1" s="32">
        <v>45839</v>
      </c>
      <c r="E1" s="20" t="s">
        <v>52</v>
      </c>
      <c r="F1" s="33" t="s">
        <v>53</v>
      </c>
      <c r="I1" s="12" t="s">
        <v>101</v>
      </c>
      <c r="J1" s="12" t="s">
        <v>35</v>
      </c>
      <c r="K1" s="12" t="s">
        <v>429</v>
      </c>
    </row>
    <row r="2" spans="1:11" x14ac:dyDescent="0.25">
      <c r="E2" s="20" t="s">
        <v>168</v>
      </c>
      <c r="F2" s="31" t="s">
        <v>169</v>
      </c>
      <c r="I2" s="35" t="s">
        <v>22</v>
      </c>
      <c r="J2" s="35">
        <v>1</v>
      </c>
      <c r="K2" s="35" t="str">
        <f>stage[[#This Row],[Index]]&amp;" - "&amp;stage[[#This Row],[Stage Name]]</f>
        <v>1 - Lead Qualification</v>
      </c>
    </row>
    <row r="3" spans="1:11" x14ac:dyDescent="0.25">
      <c r="D3" s="37" t="str">
        <f>HYPERLINK(siteUrl&amp;"/Lists/"&amp;custList,"Test")</f>
        <v>Test</v>
      </c>
      <c r="E3" s="20" t="s">
        <v>170</v>
      </c>
      <c r="F3" s="34" t="str">
        <f>listPrefix &amp; custListAppend</f>
        <v>crmCustomers</v>
      </c>
      <c r="I3" s="35" t="s">
        <v>25</v>
      </c>
      <c r="J3" s="35">
        <v>2</v>
      </c>
      <c r="K3" s="35" t="str">
        <f>stage[[#This Row],[Index]]&amp;" - "&amp;stage[[#This Row],[Stage Name]]</f>
        <v>2 - Nurturing</v>
      </c>
    </row>
    <row r="4" spans="1:11" x14ac:dyDescent="0.25">
      <c r="A4" s="12" t="s">
        <v>87</v>
      </c>
      <c r="B4" s="12" t="s">
        <v>102</v>
      </c>
      <c r="D4" s="37" t="str">
        <f>HYPERLINK(siteUrl&amp;"/Lists/"&amp;oppList,"Test")</f>
        <v>Test</v>
      </c>
      <c r="E4" s="20" t="s">
        <v>51</v>
      </c>
      <c r="F4" s="34" t="str">
        <f>listPrefix &amp; oppListAppend</f>
        <v>crmOpportunities</v>
      </c>
      <c r="I4" s="35" t="s">
        <v>24</v>
      </c>
      <c r="J4" s="35">
        <v>3</v>
      </c>
      <c r="K4" s="35" t="str">
        <f>stage[[#This Row],[Index]]&amp;" - "&amp;stage[[#This Row],[Stage Name]]</f>
        <v>3 - Proposal</v>
      </c>
    </row>
    <row r="5" spans="1:11" x14ac:dyDescent="0.25">
      <c r="A5" s="36" t="s">
        <v>93</v>
      </c>
      <c r="B5" s="44">
        <v>0.2</v>
      </c>
      <c r="I5" s="35" t="s">
        <v>20</v>
      </c>
      <c r="J5" s="35">
        <v>4</v>
      </c>
      <c r="K5" s="35" t="str">
        <f>stage[[#This Row],[Index]]&amp;" - "&amp;stage[[#This Row],[Stage Name]]</f>
        <v>4 - Negotiation</v>
      </c>
    </row>
    <row r="6" spans="1:11" x14ac:dyDescent="0.25">
      <c r="A6" s="36" t="s">
        <v>91</v>
      </c>
      <c r="B6" s="44">
        <v>0.4</v>
      </c>
      <c r="I6" s="35" t="s">
        <v>23</v>
      </c>
      <c r="J6" s="35">
        <v>5</v>
      </c>
      <c r="K6" s="35" t="str">
        <f>stage[[#This Row],[Index]]&amp;" - "&amp;stage[[#This Row],[Stage Name]]</f>
        <v>5 - Project Execution</v>
      </c>
    </row>
    <row r="7" spans="1:11" x14ac:dyDescent="0.25">
      <c r="A7" s="36" t="s">
        <v>92</v>
      </c>
      <c r="B7" s="44">
        <v>0.9</v>
      </c>
      <c r="I7" s="35" t="s">
        <v>26</v>
      </c>
      <c r="J7" s="35">
        <v>6</v>
      </c>
      <c r="K7" s="35" t="str">
        <f>stage[[#This Row],[Index]]&amp;" - "&amp;stage[[#This Row],[Stage Name]]</f>
        <v>6 - Closeout</v>
      </c>
    </row>
  </sheetData>
  <sheetProtection sheet="1" objects="1" scenarios="1"/>
  <hyperlinks>
    <hyperlink ref="F1" r:id="rId1" xr:uid="{5E8860C9-D945-4D2C-8E62-DBDFC7016757}"/>
  </hyperlinks>
  <pageMargins left="0.7" right="0.7" top="0.75" bottom="0.75" header="0.3" footer="0.3"/>
  <pageSetup orientation="portrait"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K1" zoomScale="85" zoomScaleNormal="85" workbookViewId="0">
      <selection activeCell="W19" sqref="W19"/>
    </sheetView>
  </sheetViews>
  <sheetFormatPr defaultRowHeight="15" x14ac:dyDescent="0.25"/>
  <cols>
    <col min="1" max="1" width="5.42578125" bestFit="1" customWidth="1"/>
    <col min="2" max="2" width="7.7109375" bestFit="1" customWidth="1"/>
    <col min="3" max="3" width="32.28515625" bestFit="1" customWidth="1"/>
    <col min="4" max="4" width="9.28515625" bestFit="1" customWidth="1"/>
    <col min="5" max="5" width="20.28515625" bestFit="1" customWidth="1"/>
    <col min="6" max="6" width="19.28515625" bestFit="1" customWidth="1"/>
    <col min="7" max="7" width="10.7109375" bestFit="1" customWidth="1"/>
    <col min="8" max="8" width="13.140625" bestFit="1" customWidth="1"/>
    <col min="9" max="9" width="13.42578125" bestFit="1" customWidth="1"/>
    <col min="10" max="10" width="21.140625" bestFit="1" customWidth="1"/>
    <col min="11" max="11" width="23.7109375" bestFit="1" customWidth="1"/>
    <col min="12" max="12" width="15.85546875" bestFit="1" customWidth="1"/>
    <col min="13" max="13" width="20.140625" bestFit="1" customWidth="1"/>
    <col min="14" max="14" width="8.5703125" bestFit="1" customWidth="1"/>
    <col min="15" max="15" width="20.7109375" bestFit="1" customWidth="1"/>
    <col min="16" max="16" width="17.140625" bestFit="1" customWidth="1"/>
    <col min="17" max="17" width="22" bestFit="1" customWidth="1"/>
    <col min="18" max="18" width="19.5703125" bestFit="1" customWidth="1"/>
    <col min="19" max="19" width="17.7109375" bestFit="1" customWidth="1"/>
    <col min="20" max="20" width="16" customWidth="1"/>
    <col min="21" max="21" width="9" bestFit="1" customWidth="1"/>
    <col min="22" max="22" width="8.85546875" bestFit="1" customWidth="1"/>
    <col min="23" max="23" width="81.140625" bestFit="1" customWidth="1"/>
    <col min="24" max="24" width="15.7109375" bestFit="1" customWidth="1"/>
    <col min="25" max="25" width="20" bestFit="1" customWidth="1"/>
    <col min="26" max="26" width="12.28515625" bestFit="1" customWidth="1"/>
    <col min="27" max="27" width="16" bestFit="1" customWidth="1"/>
    <col min="28" max="28" width="26.140625" bestFit="1" customWidth="1"/>
    <col min="29" max="29" width="81.140625" bestFit="1" customWidth="1"/>
    <col min="30" max="30" width="9.710937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30" x14ac:dyDescent="0.25">
      <c r="A1" t="s">
        <v>0</v>
      </c>
      <c r="B1" t="s">
        <v>1</v>
      </c>
      <c r="C1" t="s">
        <v>106</v>
      </c>
      <c r="D1" t="s">
        <v>14</v>
      </c>
      <c r="E1" t="s">
        <v>104</v>
      </c>
      <c r="F1" t="s">
        <v>105</v>
      </c>
      <c r="G1" t="s">
        <v>16</v>
      </c>
      <c r="H1" t="s">
        <v>17</v>
      </c>
      <c r="I1" t="s">
        <v>36</v>
      </c>
      <c r="J1" t="s">
        <v>41</v>
      </c>
      <c r="K1" t="s">
        <v>40</v>
      </c>
      <c r="L1" t="s">
        <v>165</v>
      </c>
      <c r="M1" t="s">
        <v>96</v>
      </c>
      <c r="N1" t="s">
        <v>15</v>
      </c>
      <c r="O1" t="s">
        <v>97</v>
      </c>
      <c r="P1" t="s">
        <v>42</v>
      </c>
      <c r="Q1" t="s">
        <v>98</v>
      </c>
      <c r="R1" t="s">
        <v>99</v>
      </c>
      <c r="S1" t="s">
        <v>100</v>
      </c>
      <c r="T1" t="s">
        <v>48</v>
      </c>
      <c r="U1" t="s">
        <v>33</v>
      </c>
      <c r="V1" t="s">
        <v>34</v>
      </c>
      <c r="W1" t="s">
        <v>31</v>
      </c>
      <c r="X1" t="s">
        <v>37</v>
      </c>
      <c r="Y1" t="s">
        <v>38</v>
      </c>
      <c r="Z1" t="s">
        <v>43</v>
      </c>
      <c r="AA1" t="s">
        <v>79</v>
      </c>
      <c r="AB1" t="s">
        <v>94</v>
      </c>
      <c r="AC1" t="s">
        <v>167</v>
      </c>
      <c r="AD1" t="s">
        <v>47</v>
      </c>
    </row>
    <row r="2" spans="1:30" x14ac:dyDescent="0.25">
      <c r="A2">
        <v>171</v>
      </c>
      <c r="C2" t="s">
        <v>109</v>
      </c>
      <c r="D2" t="s">
        <v>21</v>
      </c>
      <c r="E2" t="s">
        <v>177</v>
      </c>
      <c r="F2" t="s">
        <v>22</v>
      </c>
      <c r="G2">
        <v>1444118</v>
      </c>
      <c r="H2" t="s">
        <v>91</v>
      </c>
      <c r="I2">
        <v>46330.776504629626</v>
      </c>
      <c r="J2">
        <v>45925.734837962962</v>
      </c>
      <c r="K2" t="s">
        <v>111</v>
      </c>
      <c r="L2">
        <v>160</v>
      </c>
      <c r="U2"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2" s="38" t="str">
        <f>"CY"&amp;RIGHT(YEAR(Opportunities[[#This Row],[Close]]),2)&amp;"-Q"&amp;ROUNDUP(MONTH(Opportunities[[#This Row],[Close]])/3, 0)</f>
        <v>CY26-Q4</v>
      </c>
      <c r="W2" s="38" t="str">
        <f>siteUrl&amp;"/Lists/"&amp;oppList&amp;"/DispForm.aspx?ID="&amp;Opportunities[[#This Row],[Id]]</f>
        <v>https://cleansheet5.sharepoint.com/sites/SalesFunnel//Lists/crmOpportunities/DispForm.aspx?ID=171</v>
      </c>
      <c r="X2" s="38">
        <f>_xlfn.XLOOKUP(Opportunities[[#This Row],[OpportunityStage]],stage[Stage Name],stage[Index],"")</f>
        <v>1</v>
      </c>
      <c r="Y2" s="38" t="str">
        <f>Opportunities[[#This Row],[StageNumber]]&amp;" - "&amp;Opportunities[[#This Row],[OpportunityStage]]</f>
        <v>1 - Lead Qualification</v>
      </c>
      <c r="Z2" s="38">
        <f>Opportunities[[#This Row],[Amount]]*_xlfn.XLOOKUP(Opportunities[[#This Row],[Probability]],prob[Win Probability],prob[Value])</f>
        <v>577647.20000000007</v>
      </c>
      <c r="AA2" s="38" t="str" cm="1">
        <f t="array" ref="AA2">_xlfn.SWITCH(Opportunities[[#This Row],[Status]],"At Risk","⚠","Active","✓","⮾")</f>
        <v>✓</v>
      </c>
      <c r="AB2" s="38" t="str">
        <f>_xlfn.XLOOKUP(Opportunities[[#This Row],[CustomerIdId]],Customers[Id],Customers[CustomerName])</f>
        <v>ACME Corporation</v>
      </c>
      <c r="AC2" s="38" t="str">
        <f>_xlfn.XLOOKUP(Opportunities[[#This Row],[CustomerIdId]],Customers[Id],Customers[url2])</f>
        <v>https://cleansheet5.sharepoint.com/sites/SalesFunnel//Lists/crmCustomers/DispForm.aspx?ID=160</v>
      </c>
      <c r="AD2" s="38">
        <f>_xlfn.XLOOKUP(Opportunities[[#This Row],[Id]],View[Id],View[Visible])</f>
        <v>1</v>
      </c>
    </row>
    <row r="3" spans="1:30" x14ac:dyDescent="0.25">
      <c r="A3">
        <v>172</v>
      </c>
      <c r="C3" t="s">
        <v>112</v>
      </c>
      <c r="D3" t="s">
        <v>21</v>
      </c>
      <c r="E3" t="s">
        <v>122</v>
      </c>
      <c r="F3" t="s">
        <v>26</v>
      </c>
      <c r="G3">
        <v>586283</v>
      </c>
      <c r="H3" t="s">
        <v>93</v>
      </c>
      <c r="I3">
        <v>46342.77652777778</v>
      </c>
      <c r="J3">
        <v>45929.734861111108</v>
      </c>
      <c r="K3" t="s">
        <v>114</v>
      </c>
      <c r="L3">
        <v>161</v>
      </c>
      <c r="U3"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3" s="38" t="str">
        <f>"CY"&amp;RIGHT(YEAR(Opportunities[[#This Row],[Close]]),2)&amp;"-Q"&amp;ROUNDUP(MONTH(Opportunities[[#This Row],[Close]])/3, 0)</f>
        <v>CY26-Q4</v>
      </c>
      <c r="W3" s="38" t="str">
        <f>siteUrl&amp;"/Lists/"&amp;oppList&amp;"/DispForm.aspx?ID="&amp;Opportunities[[#This Row],[Id]]</f>
        <v>https://cleansheet5.sharepoint.com/sites/SalesFunnel//Lists/crmOpportunities/DispForm.aspx?ID=172</v>
      </c>
      <c r="X3" s="38">
        <f>_xlfn.XLOOKUP(Opportunities[[#This Row],[OpportunityStage]],stage[Stage Name],stage[Index],"")</f>
        <v>6</v>
      </c>
      <c r="Y3" s="38" t="str">
        <f>Opportunities[[#This Row],[StageNumber]]&amp;" - "&amp;Opportunities[[#This Row],[OpportunityStage]]</f>
        <v>6 - Closeout</v>
      </c>
      <c r="Z3" s="38">
        <f>Opportunities[[#This Row],[Amount]]*_xlfn.XLOOKUP(Opportunities[[#This Row],[Probability]],prob[Win Probability],prob[Value])</f>
        <v>117256.6</v>
      </c>
      <c r="AA3" s="38" t="str" cm="1">
        <f t="array" ref="AA3">_xlfn.SWITCH(Opportunities[[#This Row],[Status]],"At Risk","⚠","Active","✓","⮾")</f>
        <v>✓</v>
      </c>
      <c r="AB3" s="38" t="str">
        <f>_xlfn.XLOOKUP(Opportunities[[#This Row],[CustomerIdId]],Customers[Id],Customers[CustomerName])</f>
        <v>Global Industries</v>
      </c>
      <c r="AC3" s="38" t="str">
        <f>_xlfn.XLOOKUP(Opportunities[[#This Row],[CustomerIdId]],Customers[Id],Customers[url2])</f>
        <v>https://cleansheet5.sharepoint.com/sites/SalesFunnel//Lists/crmCustomers/DispForm.aspx?ID=161</v>
      </c>
      <c r="AD3" s="38">
        <f>_xlfn.XLOOKUP(Opportunities[[#This Row],[Id]],View[Id],View[Visible])</f>
        <v>1</v>
      </c>
    </row>
    <row r="4" spans="1:30" x14ac:dyDescent="0.25">
      <c r="A4">
        <v>173</v>
      </c>
      <c r="C4" t="s">
        <v>115</v>
      </c>
      <c r="D4" t="s">
        <v>21</v>
      </c>
      <c r="E4" t="s">
        <v>110</v>
      </c>
      <c r="F4" t="s">
        <v>23</v>
      </c>
      <c r="G4">
        <v>1524374</v>
      </c>
      <c r="H4" t="s">
        <v>93</v>
      </c>
      <c r="I4">
        <v>46118.734884259262</v>
      </c>
      <c r="J4">
        <v>45903.734884259262</v>
      </c>
      <c r="K4" t="s">
        <v>178</v>
      </c>
      <c r="L4">
        <v>179</v>
      </c>
      <c r="U4" s="38" t="str">
        <f>" FY"&amp;RIGHT(IF(MONTH(Opportunities[[#This Row],[Close]])&gt;=7,YEAR(Opportunities[[#This Row],[Close]])+1,YEAR(Opportunities[[#This Row],[Close]])),2)&amp;"-Q"&amp;IF(MONTH(Opportunities[[#This Row],[Close]])&gt;=7,CEILING((MONTH(Opportunities[[#This Row],[Close]])-6)/3,1),CEILING((MONTH(Opportunities[[#This Row],[Close]])+6)/3,1))</f>
        <v xml:space="preserve"> FY26-Q4</v>
      </c>
      <c r="V4" s="38" t="str">
        <f>"CY"&amp;RIGHT(YEAR(Opportunities[[#This Row],[Close]]),2)&amp;"-Q"&amp;ROUNDUP(MONTH(Opportunities[[#This Row],[Close]])/3, 0)</f>
        <v>CY26-Q2</v>
      </c>
      <c r="W4" s="38" t="str">
        <f>siteUrl&amp;"/Lists/"&amp;oppList&amp;"/DispForm.aspx?ID="&amp;Opportunities[[#This Row],[Id]]</f>
        <v>https://cleansheet5.sharepoint.com/sites/SalesFunnel//Lists/crmOpportunities/DispForm.aspx?ID=173</v>
      </c>
      <c r="X4" s="38">
        <f>_xlfn.XLOOKUP(Opportunities[[#This Row],[OpportunityStage]],stage[Stage Name],stage[Index],"")</f>
        <v>5</v>
      </c>
      <c r="Y4" s="38" t="str">
        <f>Opportunities[[#This Row],[StageNumber]]&amp;" - "&amp;Opportunities[[#This Row],[OpportunityStage]]</f>
        <v>5 - Project Execution</v>
      </c>
      <c r="Z4" s="38">
        <f>Opportunities[[#This Row],[Amount]]*_xlfn.XLOOKUP(Opportunities[[#This Row],[Probability]],prob[Win Probability],prob[Value])</f>
        <v>304874.8</v>
      </c>
      <c r="AA4" s="38" t="str" cm="1">
        <f t="array" ref="AA4">_xlfn.SWITCH(Opportunities[[#This Row],[Status]],"At Risk","⚠","Active","✓","⮾")</f>
        <v>✓</v>
      </c>
      <c r="AB4" s="38" t="str">
        <f>_xlfn.XLOOKUP(Opportunities[[#This Row],[CustomerIdId]],Customers[Id],Customers[CustomerName])</f>
        <v>Automotive Parts Plus</v>
      </c>
      <c r="AC4" s="38" t="str">
        <f>_xlfn.XLOOKUP(Opportunities[[#This Row],[CustomerIdId]],Customers[Id],Customers[url2])</f>
        <v>https://cleansheet5.sharepoint.com/sites/SalesFunnel//Lists/crmCustomers/DispForm.aspx?ID=179</v>
      </c>
      <c r="AD4" s="38">
        <f>_xlfn.XLOOKUP(Opportunities[[#This Row],[Id]],View[Id],View[Visible])</f>
        <v>1</v>
      </c>
    </row>
    <row r="5" spans="1:30" x14ac:dyDescent="0.25">
      <c r="A5">
        <v>174</v>
      </c>
      <c r="C5" t="s">
        <v>118</v>
      </c>
      <c r="D5" t="s">
        <v>21</v>
      </c>
      <c r="E5" t="s">
        <v>184</v>
      </c>
      <c r="F5" t="s">
        <v>20</v>
      </c>
      <c r="G5">
        <v>1223719</v>
      </c>
      <c r="H5" t="s">
        <v>93</v>
      </c>
      <c r="I5">
        <v>46280.734895833331</v>
      </c>
      <c r="J5">
        <v>45924.734895833331</v>
      </c>
      <c r="K5" t="s">
        <v>111</v>
      </c>
      <c r="L5">
        <v>181</v>
      </c>
      <c r="U5" s="38" t="str">
        <f>" FY"&amp;RIGHT(IF(MONTH(Opportunities[[#This Row],[Close]])&gt;=7,YEAR(Opportunities[[#This Row],[Close]])+1,YEAR(Opportunities[[#This Row],[Close]])),2)&amp;"-Q"&amp;IF(MONTH(Opportunities[[#This Row],[Close]])&gt;=7,CEILING((MONTH(Opportunities[[#This Row],[Close]])-6)/3,1),CEILING((MONTH(Opportunities[[#This Row],[Close]])+6)/3,1))</f>
        <v xml:space="preserve"> FY27-Q1</v>
      </c>
      <c r="V5" s="38" t="str">
        <f>"CY"&amp;RIGHT(YEAR(Opportunities[[#This Row],[Close]]),2)&amp;"-Q"&amp;ROUNDUP(MONTH(Opportunities[[#This Row],[Close]])/3, 0)</f>
        <v>CY26-Q3</v>
      </c>
      <c r="W5" s="38" t="str">
        <f>siteUrl&amp;"/Lists/"&amp;oppList&amp;"/DispForm.aspx?ID="&amp;Opportunities[[#This Row],[Id]]</f>
        <v>https://cleansheet5.sharepoint.com/sites/SalesFunnel//Lists/crmOpportunities/DispForm.aspx?ID=174</v>
      </c>
      <c r="X5" s="38">
        <f>_xlfn.XLOOKUP(Opportunities[[#This Row],[OpportunityStage]],stage[Stage Name],stage[Index],"")</f>
        <v>4</v>
      </c>
      <c r="Y5" s="38" t="str">
        <f>Opportunities[[#This Row],[StageNumber]]&amp;" - "&amp;Opportunities[[#This Row],[OpportunityStage]]</f>
        <v>4 - Negotiation</v>
      </c>
      <c r="Z5" s="38">
        <f>Opportunities[[#This Row],[Amount]]*_xlfn.XLOOKUP(Opportunities[[#This Row],[Probability]],prob[Win Probability],prob[Value])</f>
        <v>244743.80000000002</v>
      </c>
      <c r="AA5" s="38" t="str" cm="1">
        <f t="array" ref="AA5">_xlfn.SWITCH(Opportunities[[#This Row],[Status]],"At Risk","⚠","Active","✓","⮾")</f>
        <v>✓</v>
      </c>
      <c r="AB5" s="38" t="str">
        <f>_xlfn.XLOOKUP(Opportunities[[#This Row],[CustomerIdId]],Customers[Id],Customers[CustomerName])</f>
        <v>Environmental Services</v>
      </c>
      <c r="AC5" s="38" t="str">
        <f>_xlfn.XLOOKUP(Opportunities[[#This Row],[CustomerIdId]],Customers[Id],Customers[url2])</f>
        <v>https://cleansheet5.sharepoint.com/sites/SalesFunnel//Lists/crmCustomers/DispForm.aspx?ID=181</v>
      </c>
      <c r="AD5" s="38">
        <f>_xlfn.XLOOKUP(Opportunities[[#This Row],[Id]],View[Id],View[Visible])</f>
        <v>1</v>
      </c>
    </row>
    <row r="6" spans="1:30" x14ac:dyDescent="0.25">
      <c r="A6">
        <v>175</v>
      </c>
      <c r="C6" t="s">
        <v>121</v>
      </c>
      <c r="D6" t="s">
        <v>21</v>
      </c>
      <c r="E6" t="s">
        <v>172</v>
      </c>
      <c r="F6" t="s">
        <v>23</v>
      </c>
      <c r="G6">
        <v>1903984</v>
      </c>
      <c r="H6" t="s">
        <v>91</v>
      </c>
      <c r="I6">
        <v>45891.734918981485</v>
      </c>
      <c r="J6">
        <v>45913.734918981485</v>
      </c>
      <c r="K6" t="s">
        <v>114</v>
      </c>
      <c r="L6">
        <v>185</v>
      </c>
      <c r="U6" s="38" t="str">
        <f>" FY"&amp;RIGHT(IF(MONTH(Opportunities[[#This Row],[Close]])&gt;=7,YEAR(Opportunities[[#This Row],[Close]])+1,YEAR(Opportunities[[#This Row],[Close]])),2)&amp;"-Q"&amp;IF(MONTH(Opportunities[[#This Row],[Close]])&gt;=7,CEILING((MONTH(Opportunities[[#This Row],[Close]])-6)/3,1),CEILING((MONTH(Opportunities[[#This Row],[Close]])+6)/3,1))</f>
        <v xml:space="preserve"> FY26-Q1</v>
      </c>
      <c r="V6" s="38" t="str">
        <f>"CY"&amp;RIGHT(YEAR(Opportunities[[#This Row],[Close]]),2)&amp;"-Q"&amp;ROUNDUP(MONTH(Opportunities[[#This Row],[Close]])/3, 0)</f>
        <v>CY25-Q3</v>
      </c>
      <c r="W6" s="38" t="str">
        <f>siteUrl&amp;"/Lists/"&amp;oppList&amp;"/DispForm.aspx?ID="&amp;Opportunities[[#This Row],[Id]]</f>
        <v>https://cleansheet5.sharepoint.com/sites/SalesFunnel//Lists/crmOpportunities/DispForm.aspx?ID=175</v>
      </c>
      <c r="X6" s="38">
        <f>_xlfn.XLOOKUP(Opportunities[[#This Row],[OpportunityStage]],stage[Stage Name],stage[Index],"")</f>
        <v>5</v>
      </c>
      <c r="Y6" s="38" t="str">
        <f>Opportunities[[#This Row],[StageNumber]]&amp;" - "&amp;Opportunities[[#This Row],[OpportunityStage]]</f>
        <v>5 - Project Execution</v>
      </c>
      <c r="Z6" s="38">
        <f>Opportunities[[#This Row],[Amount]]*_xlfn.XLOOKUP(Opportunities[[#This Row],[Probability]],prob[Win Probability],prob[Value])</f>
        <v>761593.60000000009</v>
      </c>
      <c r="AA6" s="38" t="str" cm="1">
        <f t="array" ref="AA6">_xlfn.SWITCH(Opportunities[[#This Row],[Status]],"At Risk","⚠","Active","✓","⮾")</f>
        <v>✓</v>
      </c>
      <c r="AB6" s="38" t="str">
        <f>_xlfn.XLOOKUP(Opportunities[[#This Row],[CustomerIdId]],Customers[Id],Customers[CustomerName])</f>
        <v>Publishing House</v>
      </c>
      <c r="AC6" s="38" t="str">
        <f>_xlfn.XLOOKUP(Opportunities[[#This Row],[CustomerIdId]],Customers[Id],Customers[url2])</f>
        <v>https://cleansheet5.sharepoint.com/sites/SalesFunnel//Lists/crmCustomers/DispForm.aspx?ID=185</v>
      </c>
      <c r="AD6" s="38">
        <f>_xlfn.XLOOKUP(Opportunities[[#This Row],[Id]],View[Id],View[Visible])</f>
        <v>1</v>
      </c>
    </row>
    <row r="7" spans="1:30" x14ac:dyDescent="0.25">
      <c r="A7">
        <v>176</v>
      </c>
      <c r="C7" t="s">
        <v>174</v>
      </c>
      <c r="D7" t="s">
        <v>21</v>
      </c>
      <c r="E7" t="s">
        <v>184</v>
      </c>
      <c r="F7" t="s">
        <v>23</v>
      </c>
      <c r="G7">
        <v>945585</v>
      </c>
      <c r="H7" t="s">
        <v>92</v>
      </c>
      <c r="I7">
        <v>46160.734942129631</v>
      </c>
      <c r="J7">
        <v>45917.734942129631</v>
      </c>
      <c r="K7" t="s">
        <v>123</v>
      </c>
      <c r="L7">
        <v>170</v>
      </c>
      <c r="U7" s="38" t="str">
        <f>" FY"&amp;RIGHT(IF(MONTH(Opportunities[[#This Row],[Close]])&gt;=7,YEAR(Opportunities[[#This Row],[Close]])+1,YEAR(Opportunities[[#This Row],[Close]])),2)&amp;"-Q"&amp;IF(MONTH(Opportunities[[#This Row],[Close]])&gt;=7,CEILING((MONTH(Opportunities[[#This Row],[Close]])-6)/3,1),CEILING((MONTH(Opportunities[[#This Row],[Close]])+6)/3,1))</f>
        <v xml:space="preserve"> FY26-Q4</v>
      </c>
      <c r="V7" s="38" t="str">
        <f>"CY"&amp;RIGHT(YEAR(Opportunities[[#This Row],[Close]]),2)&amp;"-Q"&amp;ROUNDUP(MONTH(Opportunities[[#This Row],[Close]])/3, 0)</f>
        <v>CY26-Q2</v>
      </c>
      <c r="W7" s="38" t="str">
        <f>siteUrl&amp;"/Lists/"&amp;oppList&amp;"/DispForm.aspx?ID="&amp;Opportunities[[#This Row],[Id]]</f>
        <v>https://cleansheet5.sharepoint.com/sites/SalesFunnel//Lists/crmOpportunities/DispForm.aspx?ID=176</v>
      </c>
      <c r="X7" s="38">
        <f>_xlfn.XLOOKUP(Opportunities[[#This Row],[OpportunityStage]],stage[Stage Name],stage[Index],"")</f>
        <v>5</v>
      </c>
      <c r="Y7" s="38" t="str">
        <f>Opportunities[[#This Row],[StageNumber]]&amp;" - "&amp;Opportunities[[#This Row],[OpportunityStage]]</f>
        <v>5 - Project Execution</v>
      </c>
      <c r="Z7" s="38">
        <f>Opportunities[[#This Row],[Amount]]*_xlfn.XLOOKUP(Opportunities[[#This Row],[Probability]],prob[Win Probability],prob[Value])</f>
        <v>851026.5</v>
      </c>
      <c r="AA7" s="38" t="str" cm="1">
        <f t="array" ref="AA7">_xlfn.SWITCH(Opportunities[[#This Row],[Status]],"At Risk","⚠","Active","✓","⮾")</f>
        <v>✓</v>
      </c>
      <c r="AB7" s="38" t="str">
        <f>_xlfn.XLOOKUP(Opportunities[[#This Row],[CustomerIdId]],Customers[Id],Customers[CustomerName])</f>
        <v>Transport Logistics</v>
      </c>
      <c r="AC7" s="38" t="str">
        <f>_xlfn.XLOOKUP(Opportunities[[#This Row],[CustomerIdId]],Customers[Id],Customers[url2])</f>
        <v>https://cleansheet5.sharepoint.com/sites/SalesFunnel//Lists/crmCustomers/DispForm.aspx?ID=170</v>
      </c>
      <c r="AD7" s="38">
        <f>_xlfn.XLOOKUP(Opportunities[[#This Row],[Id]],View[Id],View[Visible])</f>
        <v>1</v>
      </c>
    </row>
    <row r="8" spans="1:30" x14ac:dyDescent="0.25">
      <c r="A8">
        <v>177</v>
      </c>
      <c r="C8" t="s">
        <v>176</v>
      </c>
      <c r="D8" t="s">
        <v>21</v>
      </c>
      <c r="E8" t="s">
        <v>110</v>
      </c>
      <c r="F8" t="s">
        <v>22</v>
      </c>
      <c r="G8">
        <v>939270</v>
      </c>
      <c r="H8" t="s">
        <v>93</v>
      </c>
      <c r="I8">
        <v>46199.734965277778</v>
      </c>
      <c r="J8">
        <v>45922.734965277778</v>
      </c>
      <c r="K8" t="s">
        <v>123</v>
      </c>
      <c r="L8">
        <v>161</v>
      </c>
      <c r="U8" s="38" t="str">
        <f>" FY"&amp;RIGHT(IF(MONTH(Opportunities[[#This Row],[Close]])&gt;=7,YEAR(Opportunities[[#This Row],[Close]])+1,YEAR(Opportunities[[#This Row],[Close]])),2)&amp;"-Q"&amp;IF(MONTH(Opportunities[[#This Row],[Close]])&gt;=7,CEILING((MONTH(Opportunities[[#This Row],[Close]])-6)/3,1),CEILING((MONTH(Opportunities[[#This Row],[Close]])+6)/3,1))</f>
        <v xml:space="preserve"> FY26-Q4</v>
      </c>
      <c r="V8" s="38" t="str">
        <f>"CY"&amp;RIGHT(YEAR(Opportunities[[#This Row],[Close]]),2)&amp;"-Q"&amp;ROUNDUP(MONTH(Opportunities[[#This Row],[Close]])/3, 0)</f>
        <v>CY26-Q2</v>
      </c>
      <c r="W8" s="38" t="str">
        <f>siteUrl&amp;"/Lists/"&amp;oppList&amp;"/DispForm.aspx?ID="&amp;Opportunities[[#This Row],[Id]]</f>
        <v>https://cleansheet5.sharepoint.com/sites/SalesFunnel//Lists/crmOpportunities/DispForm.aspx?ID=177</v>
      </c>
      <c r="X8" s="38">
        <f>_xlfn.XLOOKUP(Opportunities[[#This Row],[OpportunityStage]],stage[Stage Name],stage[Index],"")</f>
        <v>1</v>
      </c>
      <c r="Y8" s="38" t="str">
        <f>Opportunities[[#This Row],[StageNumber]]&amp;" - "&amp;Opportunities[[#This Row],[OpportunityStage]]</f>
        <v>1 - Lead Qualification</v>
      </c>
      <c r="Z8" s="38">
        <f>Opportunities[[#This Row],[Amount]]*_xlfn.XLOOKUP(Opportunities[[#This Row],[Probability]],prob[Win Probability],prob[Value])</f>
        <v>187854</v>
      </c>
      <c r="AA8" s="38" t="str" cm="1">
        <f t="array" ref="AA8">_xlfn.SWITCH(Opportunities[[#This Row],[Status]],"At Risk","⚠","Active","✓","⮾")</f>
        <v>✓</v>
      </c>
      <c r="AB8" s="38" t="str">
        <f>_xlfn.XLOOKUP(Opportunities[[#This Row],[CustomerIdId]],Customers[Id],Customers[CustomerName])</f>
        <v>Global Industries</v>
      </c>
      <c r="AC8" s="38" t="str">
        <f>_xlfn.XLOOKUP(Opportunities[[#This Row],[CustomerIdId]],Customers[Id],Customers[url2])</f>
        <v>https://cleansheet5.sharepoint.com/sites/SalesFunnel//Lists/crmCustomers/DispForm.aspx?ID=161</v>
      </c>
      <c r="AD8" s="38">
        <f>_xlfn.XLOOKUP(Opportunities[[#This Row],[Id]],View[Id],View[Visible])</f>
        <v>1</v>
      </c>
    </row>
    <row r="9" spans="1:30" x14ac:dyDescent="0.25">
      <c r="A9">
        <v>178</v>
      </c>
      <c r="C9" t="s">
        <v>179</v>
      </c>
      <c r="D9" t="s">
        <v>21</v>
      </c>
      <c r="E9" t="s">
        <v>184</v>
      </c>
      <c r="F9" t="s">
        <v>20</v>
      </c>
      <c r="G9">
        <v>1117263</v>
      </c>
      <c r="H9" t="s">
        <v>91</v>
      </c>
      <c r="I9">
        <v>45947.734988425924</v>
      </c>
      <c r="J9">
        <v>45919.734988425924</v>
      </c>
      <c r="K9" t="s">
        <v>173</v>
      </c>
      <c r="L9">
        <v>180</v>
      </c>
      <c r="U9" s="38" t="str">
        <f>" FY"&amp;RIGHT(IF(MONTH(Opportunities[[#This Row],[Close]])&gt;=7,YEAR(Opportunities[[#This Row],[Close]])+1,YEAR(Opportunities[[#This Row],[Close]])),2)&amp;"-Q"&amp;IF(MONTH(Opportunities[[#This Row],[Close]])&gt;=7,CEILING((MONTH(Opportunities[[#This Row],[Close]])-6)/3,1),CEILING((MONTH(Opportunities[[#This Row],[Close]])+6)/3,1))</f>
        <v xml:space="preserve"> FY26-Q2</v>
      </c>
      <c r="V9" s="38" t="str">
        <f>"CY"&amp;RIGHT(YEAR(Opportunities[[#This Row],[Close]]),2)&amp;"-Q"&amp;ROUNDUP(MONTH(Opportunities[[#This Row],[Close]])/3, 0)</f>
        <v>CY25-Q4</v>
      </c>
      <c r="W9" s="38" t="str">
        <f>siteUrl&amp;"/Lists/"&amp;oppList&amp;"/DispForm.aspx?ID="&amp;Opportunities[[#This Row],[Id]]</f>
        <v>https://cleansheet5.sharepoint.com/sites/SalesFunnel//Lists/crmOpportunities/DispForm.aspx?ID=178</v>
      </c>
      <c r="X9" s="38">
        <f>_xlfn.XLOOKUP(Opportunities[[#This Row],[OpportunityStage]],stage[Stage Name],stage[Index],"")</f>
        <v>4</v>
      </c>
      <c r="Y9" s="38" t="str">
        <f>Opportunities[[#This Row],[StageNumber]]&amp;" - "&amp;Opportunities[[#This Row],[OpportunityStage]]</f>
        <v>4 - Negotiation</v>
      </c>
      <c r="Z9" s="38">
        <f>Opportunities[[#This Row],[Amount]]*_xlfn.XLOOKUP(Opportunities[[#This Row],[Probability]],prob[Win Probability],prob[Value])</f>
        <v>446905.2</v>
      </c>
      <c r="AA9" s="38" t="str" cm="1">
        <f t="array" ref="AA9">_xlfn.SWITCH(Opportunities[[#This Row],[Status]],"At Risk","⚠","Active","✓","⮾")</f>
        <v>✓</v>
      </c>
      <c r="AB9" s="38" t="str">
        <f>_xlfn.XLOOKUP(Opportunities[[#This Row],[CustomerIdId]],Customers[Id],Customers[CustomerName])</f>
        <v>Textile Manufacturing</v>
      </c>
      <c r="AC9" s="38" t="str">
        <f>_xlfn.XLOOKUP(Opportunities[[#This Row],[CustomerIdId]],Customers[Id],Customers[url2])</f>
        <v>https://cleansheet5.sharepoint.com/sites/SalesFunnel//Lists/crmCustomers/DispForm.aspx?ID=180</v>
      </c>
      <c r="AD9" s="38">
        <f>_xlfn.XLOOKUP(Opportunities[[#This Row],[Id]],View[Id],View[Visible])</f>
        <v>1</v>
      </c>
    </row>
    <row r="10" spans="1:30" x14ac:dyDescent="0.25">
      <c r="A10">
        <v>179</v>
      </c>
      <c r="C10" t="s">
        <v>181</v>
      </c>
      <c r="D10" t="s">
        <v>21</v>
      </c>
      <c r="E10" t="s">
        <v>116</v>
      </c>
      <c r="F10" t="s">
        <v>26</v>
      </c>
      <c r="G10">
        <v>418662</v>
      </c>
      <c r="H10" t="s">
        <v>93</v>
      </c>
      <c r="I10">
        <v>46190.735000000001</v>
      </c>
      <c r="J10">
        <v>45896.735000000001</v>
      </c>
      <c r="K10" t="s">
        <v>111</v>
      </c>
      <c r="L10">
        <v>170</v>
      </c>
      <c r="U10" s="38" t="str">
        <f>" FY"&amp;RIGHT(IF(MONTH(Opportunities[[#This Row],[Close]])&gt;=7,YEAR(Opportunities[[#This Row],[Close]])+1,YEAR(Opportunities[[#This Row],[Close]])),2)&amp;"-Q"&amp;IF(MONTH(Opportunities[[#This Row],[Close]])&gt;=7,CEILING((MONTH(Opportunities[[#This Row],[Close]])-6)/3,1),CEILING((MONTH(Opportunities[[#This Row],[Close]])+6)/3,1))</f>
        <v xml:space="preserve"> FY26-Q4</v>
      </c>
      <c r="V10" s="38" t="str">
        <f>"CY"&amp;RIGHT(YEAR(Opportunities[[#This Row],[Close]]),2)&amp;"-Q"&amp;ROUNDUP(MONTH(Opportunities[[#This Row],[Close]])/3, 0)</f>
        <v>CY26-Q2</v>
      </c>
      <c r="W10" s="38" t="str">
        <f>siteUrl&amp;"/Lists/"&amp;oppList&amp;"/DispForm.aspx?ID="&amp;Opportunities[[#This Row],[Id]]</f>
        <v>https://cleansheet5.sharepoint.com/sites/SalesFunnel//Lists/crmOpportunities/DispForm.aspx?ID=179</v>
      </c>
      <c r="X10" s="38">
        <f>_xlfn.XLOOKUP(Opportunities[[#This Row],[OpportunityStage]],stage[Stage Name],stage[Index],"")</f>
        <v>6</v>
      </c>
      <c r="Y10" s="38" t="str">
        <f>Opportunities[[#This Row],[StageNumber]]&amp;" - "&amp;Opportunities[[#This Row],[OpportunityStage]]</f>
        <v>6 - Closeout</v>
      </c>
      <c r="Z10" s="38">
        <f>Opportunities[[#This Row],[Amount]]*_xlfn.XLOOKUP(Opportunities[[#This Row],[Probability]],prob[Win Probability],prob[Value])</f>
        <v>83732.400000000009</v>
      </c>
      <c r="AA10" s="38" t="str" cm="1">
        <f t="array" ref="AA10">_xlfn.SWITCH(Opportunities[[#This Row],[Status]],"At Risk","⚠","Active","✓","⮾")</f>
        <v>✓</v>
      </c>
      <c r="AB10" s="38" t="str">
        <f>_xlfn.XLOOKUP(Opportunities[[#This Row],[CustomerIdId]],Customers[Id],Customers[CustomerName])</f>
        <v>Transport Logistics</v>
      </c>
      <c r="AC10" s="38" t="str">
        <f>_xlfn.XLOOKUP(Opportunities[[#This Row],[CustomerIdId]],Customers[Id],Customers[url2])</f>
        <v>https://cleansheet5.sharepoint.com/sites/SalesFunnel//Lists/crmCustomers/DispForm.aspx?ID=170</v>
      </c>
      <c r="AD10" s="38">
        <f>_xlfn.XLOOKUP(Opportunities[[#This Row],[Id]],View[Id],View[Visible])</f>
        <v>1</v>
      </c>
    </row>
    <row r="11" spans="1:30" x14ac:dyDescent="0.25">
      <c r="A11">
        <v>180</v>
      </c>
      <c r="C11" t="s">
        <v>182</v>
      </c>
      <c r="D11" t="s">
        <v>19</v>
      </c>
      <c r="E11" t="s">
        <v>119</v>
      </c>
      <c r="F11" t="s">
        <v>23</v>
      </c>
      <c r="G11">
        <v>1433282</v>
      </c>
      <c r="H11" t="s">
        <v>91</v>
      </c>
      <c r="I11">
        <v>46104.735023148147</v>
      </c>
      <c r="J11">
        <v>45896.735023148147</v>
      </c>
      <c r="K11" t="s">
        <v>111</v>
      </c>
      <c r="L11">
        <v>161</v>
      </c>
      <c r="U11"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11" s="38" t="str">
        <f>"CY"&amp;RIGHT(YEAR(Opportunities[[#This Row],[Close]]),2)&amp;"-Q"&amp;ROUNDUP(MONTH(Opportunities[[#This Row],[Close]])/3, 0)</f>
        <v>CY26-Q1</v>
      </c>
      <c r="W11" s="38" t="str">
        <f>siteUrl&amp;"/Lists/"&amp;oppList&amp;"/DispForm.aspx?ID="&amp;Opportunities[[#This Row],[Id]]</f>
        <v>https://cleansheet5.sharepoint.com/sites/SalesFunnel//Lists/crmOpportunities/DispForm.aspx?ID=180</v>
      </c>
      <c r="X11" s="38">
        <f>_xlfn.XLOOKUP(Opportunities[[#This Row],[OpportunityStage]],stage[Stage Name],stage[Index],"")</f>
        <v>5</v>
      </c>
      <c r="Y11" s="38" t="str">
        <f>Opportunities[[#This Row],[StageNumber]]&amp;" - "&amp;Opportunities[[#This Row],[OpportunityStage]]</f>
        <v>5 - Project Execution</v>
      </c>
      <c r="Z11" s="38">
        <f>Opportunities[[#This Row],[Amount]]*_xlfn.XLOOKUP(Opportunities[[#This Row],[Probability]],prob[Win Probability],prob[Value])</f>
        <v>573312.80000000005</v>
      </c>
      <c r="AA11" s="38" t="str" cm="1">
        <f t="array" ref="AA11">_xlfn.SWITCH(Opportunities[[#This Row],[Status]],"At Risk","⚠","Active","✓","⮾")</f>
        <v>⚠</v>
      </c>
      <c r="AB11" s="38" t="str">
        <f>_xlfn.XLOOKUP(Opportunities[[#This Row],[CustomerIdId]],Customers[Id],Customers[CustomerName])</f>
        <v>Global Industries</v>
      </c>
      <c r="AC11" s="38" t="str">
        <f>_xlfn.XLOOKUP(Opportunities[[#This Row],[CustomerIdId]],Customers[Id],Customers[url2])</f>
        <v>https://cleansheet5.sharepoint.com/sites/SalesFunnel//Lists/crmCustomers/DispForm.aspx?ID=161</v>
      </c>
      <c r="AD11" s="38">
        <f>_xlfn.XLOOKUP(Opportunities[[#This Row],[Id]],View[Id],View[Visible])</f>
        <v>1</v>
      </c>
    </row>
    <row r="12" spans="1:30" x14ac:dyDescent="0.25">
      <c r="A12">
        <v>181</v>
      </c>
      <c r="C12" t="s">
        <v>183</v>
      </c>
      <c r="D12" t="s">
        <v>21</v>
      </c>
      <c r="E12" t="s">
        <v>172</v>
      </c>
      <c r="F12" t="s">
        <v>25</v>
      </c>
      <c r="G12">
        <v>455206</v>
      </c>
      <c r="H12" t="s">
        <v>93</v>
      </c>
      <c r="I12">
        <v>46015.776712962965</v>
      </c>
      <c r="J12">
        <v>45924.735046296293</v>
      </c>
      <c r="K12" t="s">
        <v>186</v>
      </c>
      <c r="L12">
        <v>171</v>
      </c>
      <c r="U12" s="38" t="str">
        <f>" FY"&amp;RIGHT(IF(MONTH(Opportunities[[#This Row],[Close]])&gt;=7,YEAR(Opportunities[[#This Row],[Close]])+1,YEAR(Opportunities[[#This Row],[Close]])),2)&amp;"-Q"&amp;IF(MONTH(Opportunities[[#This Row],[Close]])&gt;=7,CEILING((MONTH(Opportunities[[#This Row],[Close]])-6)/3,1),CEILING((MONTH(Opportunities[[#This Row],[Close]])+6)/3,1))</f>
        <v xml:space="preserve"> FY26-Q2</v>
      </c>
      <c r="V12" s="38" t="str">
        <f>"CY"&amp;RIGHT(YEAR(Opportunities[[#This Row],[Close]]),2)&amp;"-Q"&amp;ROUNDUP(MONTH(Opportunities[[#This Row],[Close]])/3, 0)</f>
        <v>CY25-Q4</v>
      </c>
      <c r="W12" s="38" t="str">
        <f>siteUrl&amp;"/Lists/"&amp;oppList&amp;"/DispForm.aspx?ID="&amp;Opportunities[[#This Row],[Id]]</f>
        <v>https://cleansheet5.sharepoint.com/sites/SalesFunnel//Lists/crmOpportunities/DispForm.aspx?ID=181</v>
      </c>
      <c r="X12" s="38">
        <f>_xlfn.XLOOKUP(Opportunities[[#This Row],[OpportunityStage]],stage[Stage Name],stage[Index],"")</f>
        <v>2</v>
      </c>
      <c r="Y12" s="38" t="str">
        <f>Opportunities[[#This Row],[StageNumber]]&amp;" - "&amp;Opportunities[[#This Row],[OpportunityStage]]</f>
        <v>2 - Nurturing</v>
      </c>
      <c r="Z12" s="38">
        <f>Opportunities[[#This Row],[Amount]]*_xlfn.XLOOKUP(Opportunities[[#This Row],[Probability]],prob[Win Probability],prob[Value])</f>
        <v>91041.200000000012</v>
      </c>
      <c r="AA12" s="38" t="str" cm="1">
        <f t="array" ref="AA12">_xlfn.SWITCH(Opportunities[[#This Row],[Status]],"At Risk","⚠","Active","✓","⮾")</f>
        <v>✓</v>
      </c>
      <c r="AB12" s="38" t="str">
        <f>_xlfn.XLOOKUP(Opportunities[[#This Row],[CustomerIdId]],Customers[Id],Customers[CustomerName])</f>
        <v>Food Service Partners</v>
      </c>
      <c r="AC12" s="38" t="str">
        <f>_xlfn.XLOOKUP(Opportunities[[#This Row],[CustomerIdId]],Customers[Id],Customers[url2])</f>
        <v>https://cleansheet5.sharepoint.com/sites/SalesFunnel//Lists/crmCustomers/DispForm.aspx?ID=171</v>
      </c>
      <c r="AD12" s="38">
        <f>_xlfn.XLOOKUP(Opportunities[[#This Row],[Id]],View[Id],View[Visible])</f>
        <v>1</v>
      </c>
    </row>
    <row r="13" spans="1:30" x14ac:dyDescent="0.25">
      <c r="A13">
        <v>182</v>
      </c>
      <c r="C13" t="s">
        <v>185</v>
      </c>
      <c r="D13" t="s">
        <v>21</v>
      </c>
      <c r="E13" t="s">
        <v>113</v>
      </c>
      <c r="F13" t="s">
        <v>24</v>
      </c>
      <c r="G13">
        <v>1155807</v>
      </c>
      <c r="H13" t="s">
        <v>92</v>
      </c>
      <c r="I13">
        <v>45967.776736111111</v>
      </c>
      <c r="J13">
        <v>45888.735069444447</v>
      </c>
      <c r="K13" t="s">
        <v>180</v>
      </c>
      <c r="L13">
        <v>172</v>
      </c>
      <c r="U13" s="38" t="str">
        <f>" FY"&amp;RIGHT(IF(MONTH(Opportunities[[#This Row],[Close]])&gt;=7,YEAR(Opportunities[[#This Row],[Close]])+1,YEAR(Opportunities[[#This Row],[Close]])),2)&amp;"-Q"&amp;IF(MONTH(Opportunities[[#This Row],[Close]])&gt;=7,CEILING((MONTH(Opportunities[[#This Row],[Close]])-6)/3,1),CEILING((MONTH(Opportunities[[#This Row],[Close]])+6)/3,1))</f>
        <v xml:space="preserve"> FY26-Q2</v>
      </c>
      <c r="V13" s="38" t="str">
        <f>"CY"&amp;RIGHT(YEAR(Opportunities[[#This Row],[Close]]),2)&amp;"-Q"&amp;ROUNDUP(MONTH(Opportunities[[#This Row],[Close]])/3, 0)</f>
        <v>CY25-Q4</v>
      </c>
      <c r="W13" s="38" t="str">
        <f>siteUrl&amp;"/Lists/"&amp;oppList&amp;"/DispForm.aspx?ID="&amp;Opportunities[[#This Row],[Id]]</f>
        <v>https://cleansheet5.sharepoint.com/sites/SalesFunnel//Lists/crmOpportunities/DispForm.aspx?ID=182</v>
      </c>
      <c r="X13" s="38">
        <f>_xlfn.XLOOKUP(Opportunities[[#This Row],[OpportunityStage]],stage[Stage Name],stage[Index],"")</f>
        <v>3</v>
      </c>
      <c r="Y13" s="38" t="str">
        <f>Opportunities[[#This Row],[StageNumber]]&amp;" - "&amp;Opportunities[[#This Row],[OpportunityStage]]</f>
        <v>3 - Proposal</v>
      </c>
      <c r="Z13" s="38">
        <f>Opportunities[[#This Row],[Amount]]*_xlfn.XLOOKUP(Opportunities[[#This Row],[Probability]],prob[Win Probability],prob[Value])</f>
        <v>1040226.3</v>
      </c>
      <c r="AA13" s="38" t="str" cm="1">
        <f t="array" ref="AA13">_xlfn.SWITCH(Opportunities[[#This Row],[Status]],"At Risk","⚠","Active","✓","⮾")</f>
        <v>✓</v>
      </c>
      <c r="AB13" s="38" t="str">
        <f>_xlfn.XLOOKUP(Opportunities[[#This Row],[CustomerIdId]],Customers[Id],Customers[CustomerName])</f>
        <v>Professional Services Group</v>
      </c>
      <c r="AC13" s="38" t="str">
        <f>_xlfn.XLOOKUP(Opportunities[[#This Row],[CustomerIdId]],Customers[Id],Customers[url2])</f>
        <v>https://cleansheet5.sharepoint.com/sites/SalesFunnel//Lists/crmCustomers/DispForm.aspx?ID=172</v>
      </c>
      <c r="AD13" s="38">
        <f>_xlfn.XLOOKUP(Opportunities[[#This Row],[Id]],View[Id],View[Visible])</f>
        <v>1</v>
      </c>
    </row>
    <row r="14" spans="1:30" x14ac:dyDescent="0.25">
      <c r="A14">
        <v>183</v>
      </c>
      <c r="C14" t="s">
        <v>187</v>
      </c>
      <c r="D14" t="s">
        <v>21</v>
      </c>
      <c r="E14" t="s">
        <v>184</v>
      </c>
      <c r="F14" t="s">
        <v>24</v>
      </c>
      <c r="G14">
        <v>1176486</v>
      </c>
      <c r="H14" t="s">
        <v>91</v>
      </c>
      <c r="I14">
        <v>46310.735092592593</v>
      </c>
      <c r="J14">
        <v>45912.735092592593</v>
      </c>
      <c r="K14" t="s">
        <v>120</v>
      </c>
      <c r="L14">
        <v>186</v>
      </c>
      <c r="U14"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14" s="38" t="str">
        <f>"CY"&amp;RIGHT(YEAR(Opportunities[[#This Row],[Close]]),2)&amp;"-Q"&amp;ROUNDUP(MONTH(Opportunities[[#This Row],[Close]])/3, 0)</f>
        <v>CY26-Q4</v>
      </c>
      <c r="W14" s="38" t="str">
        <f>siteUrl&amp;"/Lists/"&amp;oppList&amp;"/DispForm.aspx?ID="&amp;Opportunities[[#This Row],[Id]]</f>
        <v>https://cleansheet5.sharepoint.com/sites/SalesFunnel//Lists/crmOpportunities/DispForm.aspx?ID=183</v>
      </c>
      <c r="X14" s="38">
        <f>_xlfn.XLOOKUP(Opportunities[[#This Row],[OpportunityStage]],stage[Stage Name],stage[Index],"")</f>
        <v>3</v>
      </c>
      <c r="Y14" s="38" t="str">
        <f>Opportunities[[#This Row],[StageNumber]]&amp;" - "&amp;Opportunities[[#This Row],[OpportunityStage]]</f>
        <v>3 - Proposal</v>
      </c>
      <c r="Z14" s="38">
        <f>Opportunities[[#This Row],[Amount]]*_xlfn.XLOOKUP(Opportunities[[#This Row],[Probability]],prob[Win Probability],prob[Value])</f>
        <v>470594.4</v>
      </c>
      <c r="AA14" s="38" t="str" cm="1">
        <f t="array" ref="AA14">_xlfn.SWITCH(Opportunities[[#This Row],[Status]],"At Risk","⚠","Active","✓","⮾")</f>
        <v>✓</v>
      </c>
      <c r="AB14" s="38" t="str">
        <f>_xlfn.XLOOKUP(Opportunities[[#This Row],[CustomerIdId]],Customers[Id],Customers[CustomerName])</f>
        <v>Mining Operations</v>
      </c>
      <c r="AC14" s="38" t="str">
        <f>_xlfn.XLOOKUP(Opportunities[[#This Row],[CustomerIdId]],Customers[Id],Customers[url2])</f>
        <v>https://cleansheet5.sharepoint.com/sites/SalesFunnel//Lists/crmCustomers/DispForm.aspx?ID=186</v>
      </c>
      <c r="AD14" s="38">
        <f>_xlfn.XLOOKUP(Opportunities[[#This Row],[Id]],View[Id],View[Visible])</f>
        <v>1</v>
      </c>
    </row>
    <row r="15" spans="1:30" x14ac:dyDescent="0.25">
      <c r="A15">
        <v>184</v>
      </c>
      <c r="C15" t="s">
        <v>188</v>
      </c>
      <c r="D15" t="s">
        <v>21</v>
      </c>
      <c r="E15" t="s">
        <v>184</v>
      </c>
      <c r="F15" t="s">
        <v>22</v>
      </c>
      <c r="G15">
        <v>487924</v>
      </c>
      <c r="H15" t="s">
        <v>93</v>
      </c>
      <c r="I15">
        <v>45954.73510416667</v>
      </c>
      <c r="J15">
        <v>45918.73510416667</v>
      </c>
      <c r="K15" t="s">
        <v>120</v>
      </c>
      <c r="L15">
        <v>171</v>
      </c>
      <c r="U15" s="38" t="str">
        <f>" FY"&amp;RIGHT(IF(MONTH(Opportunities[[#This Row],[Close]])&gt;=7,YEAR(Opportunities[[#This Row],[Close]])+1,YEAR(Opportunities[[#This Row],[Close]])),2)&amp;"-Q"&amp;IF(MONTH(Opportunities[[#This Row],[Close]])&gt;=7,CEILING((MONTH(Opportunities[[#This Row],[Close]])-6)/3,1),CEILING((MONTH(Opportunities[[#This Row],[Close]])+6)/3,1))</f>
        <v xml:space="preserve"> FY26-Q2</v>
      </c>
      <c r="V15" s="38" t="str">
        <f>"CY"&amp;RIGHT(YEAR(Opportunities[[#This Row],[Close]]),2)&amp;"-Q"&amp;ROUNDUP(MONTH(Opportunities[[#This Row],[Close]])/3, 0)</f>
        <v>CY25-Q4</v>
      </c>
      <c r="W15" s="38" t="str">
        <f>siteUrl&amp;"/Lists/"&amp;oppList&amp;"/DispForm.aspx?ID="&amp;Opportunities[[#This Row],[Id]]</f>
        <v>https://cleansheet5.sharepoint.com/sites/SalesFunnel//Lists/crmOpportunities/DispForm.aspx?ID=184</v>
      </c>
      <c r="X15" s="38">
        <f>_xlfn.XLOOKUP(Opportunities[[#This Row],[OpportunityStage]],stage[Stage Name],stage[Index],"")</f>
        <v>1</v>
      </c>
      <c r="Y15" s="38" t="str">
        <f>Opportunities[[#This Row],[StageNumber]]&amp;" - "&amp;Opportunities[[#This Row],[OpportunityStage]]</f>
        <v>1 - Lead Qualification</v>
      </c>
      <c r="Z15" s="38">
        <f>Opportunities[[#This Row],[Amount]]*_xlfn.XLOOKUP(Opportunities[[#This Row],[Probability]],prob[Win Probability],prob[Value])</f>
        <v>97584.8</v>
      </c>
      <c r="AA15" s="38" t="str" cm="1">
        <f t="array" ref="AA15">_xlfn.SWITCH(Opportunities[[#This Row],[Status]],"At Risk","⚠","Active","✓","⮾")</f>
        <v>✓</v>
      </c>
      <c r="AB15" s="38" t="str">
        <f>_xlfn.XLOOKUP(Opportunities[[#This Row],[CustomerIdId]],Customers[Id],Customers[CustomerName])</f>
        <v>Food Service Partners</v>
      </c>
      <c r="AC15" s="38" t="str">
        <f>_xlfn.XLOOKUP(Opportunities[[#This Row],[CustomerIdId]],Customers[Id],Customers[url2])</f>
        <v>https://cleansheet5.sharepoint.com/sites/SalesFunnel//Lists/crmCustomers/DispForm.aspx?ID=171</v>
      </c>
      <c r="AD15" s="38">
        <f>_xlfn.XLOOKUP(Opportunities[[#This Row],[Id]],View[Id],View[Visible])</f>
        <v>1</v>
      </c>
    </row>
    <row r="16" spans="1:30" x14ac:dyDescent="0.25">
      <c r="A16">
        <v>185</v>
      </c>
      <c r="C16" t="s">
        <v>189</v>
      </c>
      <c r="D16" t="s">
        <v>21</v>
      </c>
      <c r="E16" t="s">
        <v>184</v>
      </c>
      <c r="F16" t="s">
        <v>26</v>
      </c>
      <c r="G16">
        <v>1142457</v>
      </c>
      <c r="H16" t="s">
        <v>93</v>
      </c>
      <c r="I16">
        <v>46135.735127314816</v>
      </c>
      <c r="J16">
        <v>45907.735127314816</v>
      </c>
      <c r="K16" t="s">
        <v>117</v>
      </c>
      <c r="L16">
        <v>168</v>
      </c>
      <c r="U16" s="38" t="str">
        <f>" FY"&amp;RIGHT(IF(MONTH(Opportunities[[#This Row],[Close]])&gt;=7,YEAR(Opportunities[[#This Row],[Close]])+1,YEAR(Opportunities[[#This Row],[Close]])),2)&amp;"-Q"&amp;IF(MONTH(Opportunities[[#This Row],[Close]])&gt;=7,CEILING((MONTH(Opportunities[[#This Row],[Close]])-6)/3,1),CEILING((MONTH(Opportunities[[#This Row],[Close]])+6)/3,1))</f>
        <v xml:space="preserve"> FY26-Q4</v>
      </c>
      <c r="V16" s="38" t="str">
        <f>"CY"&amp;RIGHT(YEAR(Opportunities[[#This Row],[Close]]),2)&amp;"-Q"&amp;ROUNDUP(MONTH(Opportunities[[#This Row],[Close]])/3, 0)</f>
        <v>CY26-Q2</v>
      </c>
      <c r="W16" s="38" t="str">
        <f>siteUrl&amp;"/Lists/"&amp;oppList&amp;"/DispForm.aspx?ID="&amp;Opportunities[[#This Row],[Id]]</f>
        <v>https://cleansheet5.sharepoint.com/sites/SalesFunnel//Lists/crmOpportunities/DispForm.aspx?ID=185</v>
      </c>
      <c r="X16" s="38">
        <f>_xlfn.XLOOKUP(Opportunities[[#This Row],[OpportunityStage]],stage[Stage Name],stage[Index],"")</f>
        <v>6</v>
      </c>
      <c r="Y16" s="38" t="str">
        <f>Opportunities[[#This Row],[StageNumber]]&amp;" - "&amp;Opportunities[[#This Row],[OpportunityStage]]</f>
        <v>6 - Closeout</v>
      </c>
      <c r="Z16" s="38">
        <f>Opportunities[[#This Row],[Amount]]*_xlfn.XLOOKUP(Opportunities[[#This Row],[Probability]],prob[Win Probability],prob[Value])</f>
        <v>228491.40000000002</v>
      </c>
      <c r="AA16" s="38" t="str" cm="1">
        <f t="array" ref="AA16">_xlfn.SWITCH(Opportunities[[#This Row],[Status]],"At Risk","⚠","Active","✓","⮾")</f>
        <v>✓</v>
      </c>
      <c r="AB16" s="38" t="str">
        <f>_xlfn.XLOOKUP(Opportunities[[#This Row],[CustomerIdId]],Customers[Id],Customers[CustomerName])</f>
        <v>Construction Dynamics</v>
      </c>
      <c r="AC16" s="38" t="str">
        <f>_xlfn.XLOOKUP(Opportunities[[#This Row],[CustomerIdId]],Customers[Id],Customers[url2])</f>
        <v>https://cleansheet5.sharepoint.com/sites/SalesFunnel//Lists/crmCustomers/DispForm.aspx?ID=168</v>
      </c>
      <c r="AD16" s="38">
        <f>_xlfn.XLOOKUP(Opportunities[[#This Row],[Id]],View[Id],View[Visible])</f>
        <v>1</v>
      </c>
    </row>
    <row r="17" spans="1:30" x14ac:dyDescent="0.25">
      <c r="A17">
        <v>186</v>
      </c>
      <c r="C17" t="s">
        <v>190</v>
      </c>
      <c r="D17" t="s">
        <v>27</v>
      </c>
      <c r="E17" t="s">
        <v>119</v>
      </c>
      <c r="F17" t="s">
        <v>24</v>
      </c>
      <c r="G17">
        <v>1660696</v>
      </c>
      <c r="H17" t="s">
        <v>92</v>
      </c>
      <c r="I17">
        <v>45917.735150462962</v>
      </c>
      <c r="J17">
        <v>45936.735150462962</v>
      </c>
      <c r="K17" t="s">
        <v>111</v>
      </c>
      <c r="L17">
        <v>160</v>
      </c>
      <c r="U17" s="38" t="str">
        <f>" FY"&amp;RIGHT(IF(MONTH(Opportunities[[#This Row],[Close]])&gt;=7,YEAR(Opportunities[[#This Row],[Close]])+1,YEAR(Opportunities[[#This Row],[Close]])),2)&amp;"-Q"&amp;IF(MONTH(Opportunities[[#This Row],[Close]])&gt;=7,CEILING((MONTH(Opportunities[[#This Row],[Close]])-6)/3,1),CEILING((MONTH(Opportunities[[#This Row],[Close]])+6)/3,1))</f>
        <v xml:space="preserve"> FY26-Q1</v>
      </c>
      <c r="V17" s="38" t="str">
        <f>"CY"&amp;RIGHT(YEAR(Opportunities[[#This Row],[Close]]),2)&amp;"-Q"&amp;ROUNDUP(MONTH(Opportunities[[#This Row],[Close]])/3, 0)</f>
        <v>CY25-Q3</v>
      </c>
      <c r="W17" s="38" t="str">
        <f>siteUrl&amp;"/Lists/"&amp;oppList&amp;"/DispForm.aspx?ID="&amp;Opportunities[[#This Row],[Id]]</f>
        <v>https://cleansheet5.sharepoint.com/sites/SalesFunnel//Lists/crmOpportunities/DispForm.aspx?ID=186</v>
      </c>
      <c r="X17" s="38">
        <f>_xlfn.XLOOKUP(Opportunities[[#This Row],[OpportunityStage]],stage[Stage Name],stage[Index],"")</f>
        <v>3</v>
      </c>
      <c r="Y17" s="38" t="str">
        <f>Opportunities[[#This Row],[StageNumber]]&amp;" - "&amp;Opportunities[[#This Row],[OpportunityStage]]</f>
        <v>3 - Proposal</v>
      </c>
      <c r="Z17" s="38">
        <f>Opportunities[[#This Row],[Amount]]*_xlfn.XLOOKUP(Opportunities[[#This Row],[Probability]],prob[Win Probability],prob[Value])</f>
        <v>1494626.4000000001</v>
      </c>
      <c r="AA17" s="38" t="str" cm="1">
        <f t="array" ref="AA17">_xlfn.SWITCH(Opportunities[[#This Row],[Status]],"At Risk","⚠","Active","✓","⮾")</f>
        <v>⮾</v>
      </c>
      <c r="AB17" s="38" t="str">
        <f>_xlfn.XLOOKUP(Opportunities[[#This Row],[CustomerIdId]],Customers[Id],Customers[CustomerName])</f>
        <v>ACME Corporation</v>
      </c>
      <c r="AC17" s="38" t="str">
        <f>_xlfn.XLOOKUP(Opportunities[[#This Row],[CustomerIdId]],Customers[Id],Customers[url2])</f>
        <v>https://cleansheet5.sharepoint.com/sites/SalesFunnel//Lists/crmCustomers/DispForm.aspx?ID=160</v>
      </c>
      <c r="AD17" s="38">
        <f>_xlfn.XLOOKUP(Opportunities[[#This Row],[Id]],View[Id],View[Visible])</f>
        <v>1</v>
      </c>
    </row>
    <row r="18" spans="1:30" x14ac:dyDescent="0.25">
      <c r="A18">
        <v>187</v>
      </c>
      <c r="C18" t="s">
        <v>191</v>
      </c>
      <c r="D18" t="s">
        <v>21</v>
      </c>
      <c r="E18" t="s">
        <v>122</v>
      </c>
      <c r="F18" t="s">
        <v>26</v>
      </c>
      <c r="G18">
        <v>1926698</v>
      </c>
      <c r="H18" t="s">
        <v>92</v>
      </c>
      <c r="I18">
        <v>46079.77684027778</v>
      </c>
      <c r="J18">
        <v>45930.735173611109</v>
      </c>
      <c r="K18" t="s">
        <v>186</v>
      </c>
      <c r="L18">
        <v>168</v>
      </c>
      <c r="U18"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18" s="38" t="str">
        <f>"CY"&amp;RIGHT(YEAR(Opportunities[[#This Row],[Close]]),2)&amp;"-Q"&amp;ROUNDUP(MONTH(Opportunities[[#This Row],[Close]])/3, 0)</f>
        <v>CY26-Q1</v>
      </c>
      <c r="W18" s="38" t="str">
        <f>siteUrl&amp;"/Lists/"&amp;oppList&amp;"/DispForm.aspx?ID="&amp;Opportunities[[#This Row],[Id]]</f>
        <v>https://cleansheet5.sharepoint.com/sites/SalesFunnel//Lists/crmOpportunities/DispForm.aspx?ID=187</v>
      </c>
      <c r="X18" s="38">
        <f>_xlfn.XLOOKUP(Opportunities[[#This Row],[OpportunityStage]],stage[Stage Name],stage[Index],"")</f>
        <v>6</v>
      </c>
      <c r="Y18" s="38" t="str">
        <f>Opportunities[[#This Row],[StageNumber]]&amp;" - "&amp;Opportunities[[#This Row],[OpportunityStage]]</f>
        <v>6 - Closeout</v>
      </c>
      <c r="Z18" s="38">
        <f>Opportunities[[#This Row],[Amount]]*_xlfn.XLOOKUP(Opportunities[[#This Row],[Probability]],prob[Win Probability],prob[Value])</f>
        <v>1734028.2</v>
      </c>
      <c r="AA18" s="38" t="str" cm="1">
        <f t="array" ref="AA18">_xlfn.SWITCH(Opportunities[[#This Row],[Status]],"At Risk","⚠","Active","✓","⮾")</f>
        <v>✓</v>
      </c>
      <c r="AB18" s="38" t="str">
        <f>_xlfn.XLOOKUP(Opportunities[[#This Row],[CustomerIdId]],Customers[Id],Customers[CustomerName])</f>
        <v>Construction Dynamics</v>
      </c>
      <c r="AC18" s="38" t="str">
        <f>_xlfn.XLOOKUP(Opportunities[[#This Row],[CustomerIdId]],Customers[Id],Customers[url2])</f>
        <v>https://cleansheet5.sharepoint.com/sites/SalesFunnel//Lists/crmCustomers/DispForm.aspx?ID=168</v>
      </c>
      <c r="AD18" s="38">
        <f>_xlfn.XLOOKUP(Opportunities[[#This Row],[Id]],View[Id],View[Visible])</f>
        <v>1</v>
      </c>
    </row>
    <row r="19" spans="1:30" x14ac:dyDescent="0.25">
      <c r="A19">
        <v>188</v>
      </c>
      <c r="C19" t="s">
        <v>192</v>
      </c>
      <c r="D19" t="s">
        <v>21</v>
      </c>
      <c r="E19" t="s">
        <v>171</v>
      </c>
      <c r="F19" t="s">
        <v>23</v>
      </c>
      <c r="G19">
        <v>1177264</v>
      </c>
      <c r="H19" t="s">
        <v>91</v>
      </c>
      <c r="I19">
        <v>45947.735185185185</v>
      </c>
      <c r="J19">
        <v>45916.735185185185</v>
      </c>
      <c r="K19" t="s">
        <v>117</v>
      </c>
      <c r="L19">
        <v>169</v>
      </c>
      <c r="U19" s="38" t="str">
        <f>" FY"&amp;RIGHT(IF(MONTH(Opportunities[[#This Row],[Close]])&gt;=7,YEAR(Opportunities[[#This Row],[Close]])+1,YEAR(Opportunities[[#This Row],[Close]])),2)&amp;"-Q"&amp;IF(MONTH(Opportunities[[#This Row],[Close]])&gt;=7,CEILING((MONTH(Opportunities[[#This Row],[Close]])-6)/3,1),CEILING((MONTH(Opportunities[[#This Row],[Close]])+6)/3,1))</f>
        <v xml:space="preserve"> FY26-Q2</v>
      </c>
      <c r="V19" s="38" t="str">
        <f>"CY"&amp;RIGHT(YEAR(Opportunities[[#This Row],[Close]]),2)&amp;"-Q"&amp;ROUNDUP(MONTH(Opportunities[[#This Row],[Close]])/3, 0)</f>
        <v>CY25-Q4</v>
      </c>
      <c r="W19" s="38" t="str">
        <f>siteUrl&amp;"/Lists/"&amp;oppList&amp;"/DispForm.aspx?ID="&amp;Opportunities[[#This Row],[Id]]</f>
        <v>https://cleansheet5.sharepoint.com/sites/SalesFunnel//Lists/crmOpportunities/DispForm.aspx?ID=188</v>
      </c>
      <c r="X19" s="38">
        <f>_xlfn.XLOOKUP(Opportunities[[#This Row],[OpportunityStage]],stage[Stage Name],stage[Index],"")</f>
        <v>5</v>
      </c>
      <c r="Y19" s="38" t="str">
        <f>Opportunities[[#This Row],[StageNumber]]&amp;" - "&amp;Opportunities[[#This Row],[OpportunityStage]]</f>
        <v>5 - Project Execution</v>
      </c>
      <c r="Z19" s="38">
        <f>Opportunities[[#This Row],[Amount]]*_xlfn.XLOOKUP(Opportunities[[#This Row],[Probability]],prob[Win Probability],prob[Value])</f>
        <v>470905.60000000003</v>
      </c>
      <c r="AA19" s="38" t="str" cm="1">
        <f t="array" ref="AA19">_xlfn.SWITCH(Opportunities[[#This Row],[Status]],"At Risk","⚠","Active","✓","⮾")</f>
        <v>✓</v>
      </c>
      <c r="AB19" s="38" t="str">
        <f>_xlfn.XLOOKUP(Opportunities[[#This Row],[CustomerIdId]],Customers[Id],Customers[CustomerName])</f>
        <v>Education First</v>
      </c>
      <c r="AC19" s="38" t="str">
        <f>_xlfn.XLOOKUP(Opportunities[[#This Row],[CustomerIdId]],Customers[Id],Customers[url2])</f>
        <v>https://cleansheet5.sharepoint.com/sites/SalesFunnel//Lists/crmCustomers/DispForm.aspx?ID=169</v>
      </c>
      <c r="AD19" s="38">
        <f>_xlfn.XLOOKUP(Opportunities[[#This Row],[Id]],View[Id],View[Visible])</f>
        <v>1</v>
      </c>
    </row>
    <row r="20" spans="1:30" x14ac:dyDescent="0.25">
      <c r="A20">
        <v>189</v>
      </c>
      <c r="C20" t="s">
        <v>194</v>
      </c>
      <c r="D20" t="s">
        <v>21</v>
      </c>
      <c r="E20" t="s">
        <v>184</v>
      </c>
      <c r="F20" t="s">
        <v>20</v>
      </c>
      <c r="G20">
        <v>676093</v>
      </c>
      <c r="H20" t="s">
        <v>93</v>
      </c>
      <c r="I20">
        <v>46085.776875000003</v>
      </c>
      <c r="J20">
        <v>45936.735208333332</v>
      </c>
      <c r="K20" t="s">
        <v>173</v>
      </c>
      <c r="L20">
        <v>160</v>
      </c>
      <c r="U20"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20" s="38" t="str">
        <f>"CY"&amp;RIGHT(YEAR(Opportunities[[#This Row],[Close]]),2)&amp;"-Q"&amp;ROUNDUP(MONTH(Opportunities[[#This Row],[Close]])/3, 0)</f>
        <v>CY26-Q1</v>
      </c>
      <c r="W20" s="38" t="str">
        <f>siteUrl&amp;"/Lists/"&amp;oppList&amp;"/DispForm.aspx?ID="&amp;Opportunities[[#This Row],[Id]]</f>
        <v>https://cleansheet5.sharepoint.com/sites/SalesFunnel//Lists/crmOpportunities/DispForm.aspx?ID=189</v>
      </c>
      <c r="X20" s="38">
        <f>_xlfn.XLOOKUP(Opportunities[[#This Row],[OpportunityStage]],stage[Stage Name],stage[Index],"")</f>
        <v>4</v>
      </c>
      <c r="Y20" s="38" t="str">
        <f>Opportunities[[#This Row],[StageNumber]]&amp;" - "&amp;Opportunities[[#This Row],[OpportunityStage]]</f>
        <v>4 - Negotiation</v>
      </c>
      <c r="Z20" s="38">
        <f>Opportunities[[#This Row],[Amount]]*_xlfn.XLOOKUP(Opportunities[[#This Row],[Probability]],prob[Win Probability],prob[Value])</f>
        <v>135218.6</v>
      </c>
      <c r="AA20" s="38" t="str" cm="1">
        <f t="array" ref="AA20">_xlfn.SWITCH(Opportunities[[#This Row],[Status]],"At Risk","⚠","Active","✓","⮾")</f>
        <v>✓</v>
      </c>
      <c r="AB20" s="38" t="str">
        <f>_xlfn.XLOOKUP(Opportunities[[#This Row],[CustomerIdId]],Customers[Id],Customers[CustomerName])</f>
        <v>ACME Corporation</v>
      </c>
      <c r="AC20" s="38" t="str">
        <f>_xlfn.XLOOKUP(Opportunities[[#This Row],[CustomerIdId]],Customers[Id],Customers[url2])</f>
        <v>https://cleansheet5.sharepoint.com/sites/SalesFunnel//Lists/crmCustomers/DispForm.aspx?ID=160</v>
      </c>
      <c r="AD20" s="38">
        <f>_xlfn.XLOOKUP(Opportunities[[#This Row],[Id]],View[Id],View[Visible])</f>
        <v>1</v>
      </c>
    </row>
    <row r="21" spans="1:30" x14ac:dyDescent="0.25">
      <c r="A21">
        <v>190</v>
      </c>
      <c r="C21" t="s">
        <v>195</v>
      </c>
      <c r="D21" t="s">
        <v>21</v>
      </c>
      <c r="E21" t="s">
        <v>177</v>
      </c>
      <c r="F21" t="s">
        <v>22</v>
      </c>
      <c r="G21">
        <v>505095</v>
      </c>
      <c r="H21" t="s">
        <v>91</v>
      </c>
      <c r="I21">
        <v>46041.776898148149</v>
      </c>
      <c r="J21">
        <v>45907.735231481478</v>
      </c>
      <c r="K21" t="s">
        <v>173</v>
      </c>
      <c r="L21">
        <v>189</v>
      </c>
      <c r="U21"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21" s="38" t="str">
        <f>"CY"&amp;RIGHT(YEAR(Opportunities[[#This Row],[Close]]),2)&amp;"-Q"&amp;ROUNDUP(MONTH(Opportunities[[#This Row],[Close]])/3, 0)</f>
        <v>CY26-Q1</v>
      </c>
      <c r="W21" s="38" t="str">
        <f>siteUrl&amp;"/Lists/"&amp;oppList&amp;"/DispForm.aspx?ID="&amp;Opportunities[[#This Row],[Id]]</f>
        <v>https://cleansheet5.sharepoint.com/sites/SalesFunnel//Lists/crmOpportunities/DispForm.aspx?ID=190</v>
      </c>
      <c r="X21" s="38">
        <f>_xlfn.XLOOKUP(Opportunities[[#This Row],[OpportunityStage]],stage[Stage Name],stage[Index],"")</f>
        <v>1</v>
      </c>
      <c r="Y21" s="38" t="str">
        <f>Opportunities[[#This Row],[StageNumber]]&amp;" - "&amp;Opportunities[[#This Row],[OpportunityStage]]</f>
        <v>1 - Lead Qualification</v>
      </c>
      <c r="Z21" s="38">
        <f>Opportunities[[#This Row],[Amount]]*_xlfn.XLOOKUP(Opportunities[[#This Row],[Probability]],prob[Win Probability],prob[Value])</f>
        <v>202038</v>
      </c>
      <c r="AA21" s="38" t="str" cm="1">
        <f t="array" ref="AA21">_xlfn.SWITCH(Opportunities[[#This Row],[Status]],"At Risk","⚠","Active","✓","⮾")</f>
        <v>✓</v>
      </c>
      <c r="AB21" s="38" t="str">
        <f>_xlfn.XLOOKUP(Opportunities[[#This Row],[CustomerIdId]],Customers[Id],Customers[CustomerName])</f>
        <v>Consulting Experts</v>
      </c>
      <c r="AC21" s="38" t="str">
        <f>_xlfn.XLOOKUP(Opportunities[[#This Row],[CustomerIdId]],Customers[Id],Customers[url2])</f>
        <v>https://cleansheet5.sharepoint.com/sites/SalesFunnel//Lists/crmCustomers/DispForm.aspx?ID=189</v>
      </c>
      <c r="AD21" s="38">
        <f>_xlfn.XLOOKUP(Opportunities[[#This Row],[Id]],View[Id],View[Visible])</f>
        <v>1</v>
      </c>
    </row>
    <row r="22" spans="1:30" x14ac:dyDescent="0.25">
      <c r="A22">
        <v>191</v>
      </c>
      <c r="C22" t="s">
        <v>196</v>
      </c>
      <c r="D22" t="s">
        <v>21</v>
      </c>
      <c r="E22" t="s">
        <v>119</v>
      </c>
      <c r="F22" t="s">
        <v>20</v>
      </c>
      <c r="G22">
        <v>581826</v>
      </c>
      <c r="H22" t="s">
        <v>91</v>
      </c>
      <c r="I22">
        <v>46093.735254629632</v>
      </c>
      <c r="J22">
        <v>45897.735254629632</v>
      </c>
      <c r="K22" t="s">
        <v>175</v>
      </c>
      <c r="L22">
        <v>176</v>
      </c>
      <c r="U22"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22" s="38" t="str">
        <f>"CY"&amp;RIGHT(YEAR(Opportunities[[#This Row],[Close]]),2)&amp;"-Q"&amp;ROUNDUP(MONTH(Opportunities[[#This Row],[Close]])/3, 0)</f>
        <v>CY26-Q1</v>
      </c>
      <c r="W22" s="38" t="str">
        <f>siteUrl&amp;"/Lists/"&amp;oppList&amp;"/DispForm.aspx?ID="&amp;Opportunities[[#This Row],[Id]]</f>
        <v>https://cleansheet5.sharepoint.com/sites/SalesFunnel//Lists/crmOpportunities/DispForm.aspx?ID=191</v>
      </c>
      <c r="X22" s="38">
        <f>_xlfn.XLOOKUP(Opportunities[[#This Row],[OpportunityStage]],stage[Stage Name],stage[Index],"")</f>
        <v>4</v>
      </c>
      <c r="Y22" s="38" t="str">
        <f>Opportunities[[#This Row],[StageNumber]]&amp;" - "&amp;Opportunities[[#This Row],[OpportunityStage]]</f>
        <v>4 - Negotiation</v>
      </c>
      <c r="Z22" s="38">
        <f>Opportunities[[#This Row],[Amount]]*_xlfn.XLOOKUP(Opportunities[[#This Row],[Probability]],prob[Win Probability],prob[Value])</f>
        <v>232730.40000000002</v>
      </c>
      <c r="AA22" s="38" t="str" cm="1">
        <f t="array" ref="AA22">_xlfn.SWITCH(Opportunities[[#This Row],[Status]],"At Risk","⚠","Active","✓","⮾")</f>
        <v>✓</v>
      </c>
      <c r="AB22" s="38" t="str">
        <f>_xlfn.XLOOKUP(Opportunities[[#This Row],[CustomerIdId]],Customers[Id],Customers[CustomerName])</f>
        <v>Insurance Specialists</v>
      </c>
      <c r="AC22" s="38" t="str">
        <f>_xlfn.XLOOKUP(Opportunities[[#This Row],[CustomerIdId]],Customers[Id],Customers[url2])</f>
        <v>https://cleansheet5.sharepoint.com/sites/SalesFunnel//Lists/crmCustomers/DispForm.aspx?ID=176</v>
      </c>
      <c r="AD22" s="38">
        <f>_xlfn.XLOOKUP(Opportunities[[#This Row],[Id]],View[Id],View[Visible])</f>
        <v>1</v>
      </c>
    </row>
    <row r="23" spans="1:30" x14ac:dyDescent="0.25">
      <c r="A23">
        <v>192</v>
      </c>
      <c r="C23" t="s">
        <v>197</v>
      </c>
      <c r="D23" t="s">
        <v>21</v>
      </c>
      <c r="E23" t="s">
        <v>177</v>
      </c>
      <c r="F23" t="s">
        <v>25</v>
      </c>
      <c r="G23">
        <v>960544</v>
      </c>
      <c r="H23" t="s">
        <v>91</v>
      </c>
      <c r="I23">
        <v>46049.776932870373</v>
      </c>
      <c r="J23">
        <v>45898.735266203701</v>
      </c>
      <c r="K23" t="s">
        <v>180</v>
      </c>
      <c r="L23">
        <v>184</v>
      </c>
      <c r="U23"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23" s="38" t="str">
        <f>"CY"&amp;RIGHT(YEAR(Opportunities[[#This Row],[Close]]),2)&amp;"-Q"&amp;ROUNDUP(MONTH(Opportunities[[#This Row],[Close]])/3, 0)</f>
        <v>CY26-Q1</v>
      </c>
      <c r="W23" s="38" t="str">
        <f>siteUrl&amp;"/Lists/"&amp;oppList&amp;"/DispForm.aspx?ID="&amp;Opportunities[[#This Row],[Id]]</f>
        <v>https://cleansheet5.sharepoint.com/sites/SalesFunnel//Lists/crmOpportunities/DispForm.aspx?ID=192</v>
      </c>
      <c r="X23" s="38">
        <f>_xlfn.XLOOKUP(Opportunities[[#This Row],[OpportunityStage]],stage[Stage Name],stage[Index],"")</f>
        <v>2</v>
      </c>
      <c r="Y23" s="38" t="str">
        <f>Opportunities[[#This Row],[StageNumber]]&amp;" - "&amp;Opportunities[[#This Row],[OpportunityStage]]</f>
        <v>2 - Nurturing</v>
      </c>
      <c r="Z23" s="38">
        <f>Opportunities[[#This Row],[Amount]]*_xlfn.XLOOKUP(Opportunities[[#This Row],[Probability]],prob[Win Probability],prob[Value])</f>
        <v>384217.60000000003</v>
      </c>
      <c r="AA23" s="38" t="str" cm="1">
        <f t="array" ref="AA23">_xlfn.SWITCH(Opportunities[[#This Row],[Status]],"At Risk","⚠","Active","✓","⮾")</f>
        <v>✓</v>
      </c>
      <c r="AB23" s="38" t="str">
        <f>_xlfn.XLOOKUP(Opportunities[[#This Row],[CustomerIdId]],Customers[Id],Customers[CustomerName])</f>
        <v>Chemical Processing</v>
      </c>
      <c r="AC23" s="38" t="str">
        <f>_xlfn.XLOOKUP(Opportunities[[#This Row],[CustomerIdId]],Customers[Id],Customers[url2])</f>
        <v>https://cleansheet5.sharepoint.com/sites/SalesFunnel//Lists/crmCustomers/DispForm.aspx?ID=184</v>
      </c>
      <c r="AD23" s="38">
        <f>_xlfn.XLOOKUP(Opportunities[[#This Row],[Id]],View[Id],View[Visible])</f>
        <v>1</v>
      </c>
    </row>
    <row r="24" spans="1:30" x14ac:dyDescent="0.25">
      <c r="A24">
        <v>193</v>
      </c>
      <c r="C24" t="s">
        <v>198</v>
      </c>
      <c r="D24" t="s">
        <v>21</v>
      </c>
      <c r="E24" t="s">
        <v>193</v>
      </c>
      <c r="F24" t="s">
        <v>20</v>
      </c>
      <c r="G24">
        <v>878676</v>
      </c>
      <c r="H24" t="s">
        <v>93</v>
      </c>
      <c r="I24">
        <v>46388.776956018519</v>
      </c>
      <c r="J24">
        <v>45917.735289351855</v>
      </c>
      <c r="K24" t="s">
        <v>117</v>
      </c>
      <c r="L24">
        <v>173</v>
      </c>
      <c r="U24" s="38" t="str">
        <f>" FY"&amp;RIGHT(IF(MONTH(Opportunities[[#This Row],[Close]])&gt;=7,YEAR(Opportunities[[#This Row],[Close]])+1,YEAR(Opportunities[[#This Row],[Close]])),2)&amp;"-Q"&amp;IF(MONTH(Opportunities[[#This Row],[Close]])&gt;=7,CEILING((MONTH(Opportunities[[#This Row],[Close]])-6)/3,1),CEILING((MONTH(Opportunities[[#This Row],[Close]])+6)/3,1))</f>
        <v xml:space="preserve"> FY27-Q3</v>
      </c>
      <c r="V24" s="38" t="str">
        <f>"CY"&amp;RIGHT(YEAR(Opportunities[[#This Row],[Close]]),2)&amp;"-Q"&amp;ROUNDUP(MONTH(Opportunities[[#This Row],[Close]])/3, 0)</f>
        <v>CY27-Q1</v>
      </c>
      <c r="W24" s="38" t="str">
        <f>siteUrl&amp;"/Lists/"&amp;oppList&amp;"/DispForm.aspx?ID="&amp;Opportunities[[#This Row],[Id]]</f>
        <v>https://cleansheet5.sharepoint.com/sites/SalesFunnel//Lists/crmOpportunities/DispForm.aspx?ID=193</v>
      </c>
      <c r="X24" s="38">
        <f>_xlfn.XLOOKUP(Opportunities[[#This Row],[OpportunityStage]],stage[Stage Name],stage[Index],"")</f>
        <v>4</v>
      </c>
      <c r="Y24" s="38" t="str">
        <f>Opportunities[[#This Row],[StageNumber]]&amp;" - "&amp;Opportunities[[#This Row],[OpportunityStage]]</f>
        <v>4 - Negotiation</v>
      </c>
      <c r="Z24" s="38">
        <f>Opportunities[[#This Row],[Amount]]*_xlfn.XLOOKUP(Opportunities[[#This Row],[Probability]],prob[Win Probability],prob[Value])</f>
        <v>175735.2</v>
      </c>
      <c r="AA24" s="38" t="str" cm="1">
        <f t="array" ref="AA24">_xlfn.SWITCH(Opportunities[[#This Row],[Status]],"At Risk","⚠","Active","✓","⮾")</f>
        <v>✓</v>
      </c>
      <c r="AB24" s="38" t="str">
        <f>_xlfn.XLOOKUP(Opportunities[[#This Row],[CustomerIdId]],Customers[Id],Customers[CustomerName])</f>
        <v>Media Communications</v>
      </c>
      <c r="AC24" s="38" t="str">
        <f>_xlfn.XLOOKUP(Opportunities[[#This Row],[CustomerIdId]],Customers[Id],Customers[url2])</f>
        <v>https://cleansheet5.sharepoint.com/sites/SalesFunnel//Lists/crmCustomers/DispForm.aspx?ID=173</v>
      </c>
      <c r="AD24" s="38">
        <f>_xlfn.XLOOKUP(Opportunities[[#This Row],[Id]],View[Id],View[Visible])</f>
        <v>1</v>
      </c>
    </row>
    <row r="25" spans="1:30" x14ac:dyDescent="0.25">
      <c r="A25">
        <v>194</v>
      </c>
      <c r="C25" t="s">
        <v>199</v>
      </c>
      <c r="D25" t="s">
        <v>21</v>
      </c>
      <c r="E25" t="s">
        <v>119</v>
      </c>
      <c r="F25" t="s">
        <v>24</v>
      </c>
      <c r="G25">
        <v>1092599</v>
      </c>
      <c r="H25" t="s">
        <v>91</v>
      </c>
      <c r="I25">
        <v>46057.776979166665</v>
      </c>
      <c r="J25">
        <v>45892.735312500001</v>
      </c>
      <c r="K25" t="s">
        <v>114</v>
      </c>
      <c r="L25">
        <v>183</v>
      </c>
      <c r="U25"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25" s="38" t="str">
        <f>"CY"&amp;RIGHT(YEAR(Opportunities[[#This Row],[Close]]),2)&amp;"-Q"&amp;ROUNDUP(MONTH(Opportunities[[#This Row],[Close]])/3, 0)</f>
        <v>CY26-Q1</v>
      </c>
      <c r="W25" s="38" t="str">
        <f>siteUrl&amp;"/Lists/"&amp;oppList&amp;"/DispForm.aspx?ID="&amp;Opportunities[[#This Row],[Id]]</f>
        <v>https://cleansheet5.sharepoint.com/sites/SalesFunnel//Lists/crmOpportunities/DispForm.aspx?ID=194</v>
      </c>
      <c r="X25" s="38">
        <f>_xlfn.XLOOKUP(Opportunities[[#This Row],[OpportunityStage]],stage[Stage Name],stage[Index],"")</f>
        <v>3</v>
      </c>
      <c r="Y25" s="38" t="str">
        <f>Opportunities[[#This Row],[StageNumber]]&amp;" - "&amp;Opportunities[[#This Row],[OpportunityStage]]</f>
        <v>3 - Proposal</v>
      </c>
      <c r="Z25" s="38">
        <f>Opportunities[[#This Row],[Amount]]*_xlfn.XLOOKUP(Opportunities[[#This Row],[Probability]],prob[Win Probability],prob[Value])</f>
        <v>437039.60000000003</v>
      </c>
      <c r="AA25" s="38" t="str" cm="1">
        <f t="array" ref="AA25">_xlfn.SWITCH(Opportunities[[#This Row],[Status]],"At Risk","⚠","Active","✓","⮾")</f>
        <v>✓</v>
      </c>
      <c r="AB25" s="38" t="str">
        <f>_xlfn.XLOOKUP(Opportunities[[#This Row],[CustomerIdId]],Customers[Id],Customers[CustomerName])</f>
        <v>Security Solutions</v>
      </c>
      <c r="AC25" s="38" t="str">
        <f>_xlfn.XLOOKUP(Opportunities[[#This Row],[CustomerIdId]],Customers[Id],Customers[url2])</f>
        <v>https://cleansheet5.sharepoint.com/sites/SalesFunnel//Lists/crmCustomers/DispForm.aspx?ID=183</v>
      </c>
      <c r="AD25" s="38">
        <f>_xlfn.XLOOKUP(Opportunities[[#This Row],[Id]],View[Id],View[Visible])</f>
        <v>1</v>
      </c>
    </row>
    <row r="26" spans="1:30" x14ac:dyDescent="0.25">
      <c r="A26">
        <v>195</v>
      </c>
      <c r="C26" t="s">
        <v>200</v>
      </c>
      <c r="D26" t="s">
        <v>21</v>
      </c>
      <c r="E26" t="s">
        <v>177</v>
      </c>
      <c r="F26" t="s">
        <v>25</v>
      </c>
      <c r="G26">
        <v>1113978</v>
      </c>
      <c r="H26" t="s">
        <v>93</v>
      </c>
      <c r="I26">
        <v>45923.735335648147</v>
      </c>
      <c r="J26">
        <v>45885.735335648147</v>
      </c>
      <c r="K26" t="s">
        <v>120</v>
      </c>
      <c r="L26">
        <v>162</v>
      </c>
      <c r="U26" s="38" t="str">
        <f>" FY"&amp;RIGHT(IF(MONTH(Opportunities[[#This Row],[Close]])&gt;=7,YEAR(Opportunities[[#This Row],[Close]])+1,YEAR(Opportunities[[#This Row],[Close]])),2)&amp;"-Q"&amp;IF(MONTH(Opportunities[[#This Row],[Close]])&gt;=7,CEILING((MONTH(Opportunities[[#This Row],[Close]])-6)/3,1),CEILING((MONTH(Opportunities[[#This Row],[Close]])+6)/3,1))</f>
        <v xml:space="preserve"> FY26-Q1</v>
      </c>
      <c r="V26" s="38" t="str">
        <f>"CY"&amp;RIGHT(YEAR(Opportunities[[#This Row],[Close]]),2)&amp;"-Q"&amp;ROUNDUP(MONTH(Opportunities[[#This Row],[Close]])/3, 0)</f>
        <v>CY25-Q3</v>
      </c>
      <c r="W26" s="38" t="str">
        <f>siteUrl&amp;"/Lists/"&amp;oppList&amp;"/DispForm.aspx?ID="&amp;Opportunities[[#This Row],[Id]]</f>
        <v>https://cleansheet5.sharepoint.com/sites/SalesFunnel//Lists/crmOpportunities/DispForm.aspx?ID=195</v>
      </c>
      <c r="X26" s="38">
        <f>_xlfn.XLOOKUP(Opportunities[[#This Row],[OpportunityStage]],stage[Stage Name],stage[Index],"")</f>
        <v>2</v>
      </c>
      <c r="Y26" s="38" t="str">
        <f>Opportunities[[#This Row],[StageNumber]]&amp;" - "&amp;Opportunities[[#This Row],[OpportunityStage]]</f>
        <v>2 - Nurturing</v>
      </c>
      <c r="Z26" s="38">
        <f>Opportunities[[#This Row],[Amount]]*_xlfn.XLOOKUP(Opportunities[[#This Row],[Probability]],prob[Win Probability],prob[Value])</f>
        <v>222795.6</v>
      </c>
      <c r="AA26" s="38" t="str" cm="1">
        <f t="array" ref="AA26">_xlfn.SWITCH(Opportunities[[#This Row],[Status]],"At Risk","⚠","Active","✓","⮾")</f>
        <v>✓</v>
      </c>
      <c r="AB26" s="38" t="str">
        <f>_xlfn.XLOOKUP(Opportunities[[#This Row],[CustomerIdId]],Customers[Id],Customers[CustomerName])</f>
        <v>Tech Solutions Inc</v>
      </c>
      <c r="AC26" s="38" t="str">
        <f>_xlfn.XLOOKUP(Opportunities[[#This Row],[CustomerIdId]],Customers[Id],Customers[url2])</f>
        <v>https://cleansheet5.sharepoint.com/sites/SalesFunnel//Lists/crmCustomers/DispForm.aspx?ID=162</v>
      </c>
      <c r="AD26" s="38">
        <f>_xlfn.XLOOKUP(Opportunities[[#This Row],[Id]],View[Id],View[Visible])</f>
        <v>1</v>
      </c>
    </row>
    <row r="27" spans="1:30" x14ac:dyDescent="0.25">
      <c r="A27">
        <v>196</v>
      </c>
      <c r="C27" t="s">
        <v>201</v>
      </c>
      <c r="D27" t="s">
        <v>21</v>
      </c>
      <c r="E27" t="s">
        <v>110</v>
      </c>
      <c r="F27" t="s">
        <v>22</v>
      </c>
      <c r="G27">
        <v>2149843</v>
      </c>
      <c r="H27" t="s">
        <v>91</v>
      </c>
      <c r="I27">
        <v>46064.777013888888</v>
      </c>
      <c r="J27">
        <v>45935.735347222224</v>
      </c>
      <c r="K27" t="s">
        <v>180</v>
      </c>
      <c r="L27">
        <v>175</v>
      </c>
      <c r="U27"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27" s="38" t="str">
        <f>"CY"&amp;RIGHT(YEAR(Opportunities[[#This Row],[Close]]),2)&amp;"-Q"&amp;ROUNDUP(MONTH(Opportunities[[#This Row],[Close]])/3, 0)</f>
        <v>CY26-Q1</v>
      </c>
      <c r="W27" s="38" t="str">
        <f>siteUrl&amp;"/Lists/"&amp;oppList&amp;"/DispForm.aspx?ID="&amp;Opportunities[[#This Row],[Id]]</f>
        <v>https://cleansheet5.sharepoint.com/sites/SalesFunnel//Lists/crmOpportunities/DispForm.aspx?ID=196</v>
      </c>
      <c r="X27" s="38">
        <f>_xlfn.XLOOKUP(Opportunities[[#This Row],[OpportunityStage]],stage[Stage Name],stage[Index],"")</f>
        <v>1</v>
      </c>
      <c r="Y27" s="38" t="str">
        <f>Opportunities[[#This Row],[StageNumber]]&amp;" - "&amp;Opportunities[[#This Row],[OpportunityStage]]</f>
        <v>1 - Lead Qualification</v>
      </c>
      <c r="Z27" s="38">
        <f>Opportunities[[#This Row],[Amount]]*_xlfn.XLOOKUP(Opportunities[[#This Row],[Probability]],prob[Win Probability],prob[Value])</f>
        <v>859937.20000000007</v>
      </c>
      <c r="AA27" s="38" t="str" cm="1">
        <f t="array" ref="AA27">_xlfn.SWITCH(Opportunities[[#This Row],[Status]],"At Risk","⚠","Active","✓","⮾")</f>
        <v>✓</v>
      </c>
      <c r="AB27" s="38" t="str">
        <f>_xlfn.XLOOKUP(Opportunities[[#This Row],[CustomerIdId]],Customers[Id],Customers[CustomerName])</f>
        <v>Real Estate Ventures</v>
      </c>
      <c r="AC27" s="38" t="str">
        <f>_xlfn.XLOOKUP(Opportunities[[#This Row],[CustomerIdId]],Customers[Id],Customers[url2])</f>
        <v>https://cleansheet5.sharepoint.com/sites/SalesFunnel//Lists/crmCustomers/DispForm.aspx?ID=175</v>
      </c>
      <c r="AD27" s="38">
        <f>_xlfn.XLOOKUP(Opportunities[[#This Row],[Id]],View[Id],View[Visible])</f>
        <v>1</v>
      </c>
    </row>
    <row r="28" spans="1:30" x14ac:dyDescent="0.25">
      <c r="A28">
        <v>197</v>
      </c>
      <c r="C28" t="s">
        <v>202</v>
      </c>
      <c r="D28" t="s">
        <v>19</v>
      </c>
      <c r="E28" t="s">
        <v>116</v>
      </c>
      <c r="F28" t="s">
        <v>25</v>
      </c>
      <c r="G28">
        <v>1775478</v>
      </c>
      <c r="H28" t="s">
        <v>92</v>
      </c>
      <c r="I28">
        <v>46003.777037037034</v>
      </c>
      <c r="J28">
        <v>45911.73537037037</v>
      </c>
      <c r="K28" t="s">
        <v>117</v>
      </c>
      <c r="L28">
        <v>160</v>
      </c>
      <c r="U28" s="38" t="str">
        <f>" FY"&amp;RIGHT(IF(MONTH(Opportunities[[#This Row],[Close]])&gt;=7,YEAR(Opportunities[[#This Row],[Close]])+1,YEAR(Opportunities[[#This Row],[Close]])),2)&amp;"-Q"&amp;IF(MONTH(Opportunities[[#This Row],[Close]])&gt;=7,CEILING((MONTH(Opportunities[[#This Row],[Close]])-6)/3,1),CEILING((MONTH(Opportunities[[#This Row],[Close]])+6)/3,1))</f>
        <v xml:space="preserve"> FY26-Q2</v>
      </c>
      <c r="V28" s="38" t="str">
        <f>"CY"&amp;RIGHT(YEAR(Opportunities[[#This Row],[Close]]),2)&amp;"-Q"&amp;ROUNDUP(MONTH(Opportunities[[#This Row],[Close]])/3, 0)</f>
        <v>CY25-Q4</v>
      </c>
      <c r="W28" s="38" t="str">
        <f>siteUrl&amp;"/Lists/"&amp;oppList&amp;"/DispForm.aspx?ID="&amp;Opportunities[[#This Row],[Id]]</f>
        <v>https://cleansheet5.sharepoint.com/sites/SalesFunnel//Lists/crmOpportunities/DispForm.aspx?ID=197</v>
      </c>
      <c r="X28" s="38">
        <f>_xlfn.XLOOKUP(Opportunities[[#This Row],[OpportunityStage]],stage[Stage Name],stage[Index],"")</f>
        <v>2</v>
      </c>
      <c r="Y28" s="38" t="str">
        <f>Opportunities[[#This Row],[StageNumber]]&amp;" - "&amp;Opportunities[[#This Row],[OpportunityStage]]</f>
        <v>2 - Nurturing</v>
      </c>
      <c r="Z28" s="38">
        <f>Opportunities[[#This Row],[Amount]]*_xlfn.XLOOKUP(Opportunities[[#This Row],[Probability]],prob[Win Probability],prob[Value])</f>
        <v>1597930.2</v>
      </c>
      <c r="AA28" s="38" t="str" cm="1">
        <f t="array" ref="AA28">_xlfn.SWITCH(Opportunities[[#This Row],[Status]],"At Risk","⚠","Active","✓","⮾")</f>
        <v>⚠</v>
      </c>
      <c r="AB28" s="38" t="str">
        <f>_xlfn.XLOOKUP(Opportunities[[#This Row],[CustomerIdId]],Customers[Id],Customers[CustomerName])</f>
        <v>ACME Corporation</v>
      </c>
      <c r="AC28" s="38" t="str">
        <f>_xlfn.XLOOKUP(Opportunities[[#This Row],[CustomerIdId]],Customers[Id],Customers[url2])</f>
        <v>https://cleansheet5.sharepoint.com/sites/SalesFunnel//Lists/crmCustomers/DispForm.aspx?ID=160</v>
      </c>
      <c r="AD28" s="38">
        <f>_xlfn.XLOOKUP(Opportunities[[#This Row],[Id]],View[Id],View[Visible])</f>
        <v>1</v>
      </c>
    </row>
    <row r="29" spans="1:30" x14ac:dyDescent="0.25">
      <c r="A29">
        <v>198</v>
      </c>
      <c r="C29" t="s">
        <v>203</v>
      </c>
      <c r="D29" t="s">
        <v>21</v>
      </c>
      <c r="E29" t="s">
        <v>172</v>
      </c>
      <c r="F29" t="s">
        <v>26</v>
      </c>
      <c r="G29">
        <v>1802720</v>
      </c>
      <c r="H29" t="s">
        <v>91</v>
      </c>
      <c r="I29">
        <v>46322.735393518517</v>
      </c>
      <c r="J29">
        <v>45885.735393518517</v>
      </c>
      <c r="K29" t="s">
        <v>120</v>
      </c>
      <c r="L29">
        <v>169</v>
      </c>
      <c r="U29"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29" s="38" t="str">
        <f>"CY"&amp;RIGHT(YEAR(Opportunities[[#This Row],[Close]]),2)&amp;"-Q"&amp;ROUNDUP(MONTH(Opportunities[[#This Row],[Close]])/3, 0)</f>
        <v>CY26-Q4</v>
      </c>
      <c r="W29" s="38" t="str">
        <f>siteUrl&amp;"/Lists/"&amp;oppList&amp;"/DispForm.aspx?ID="&amp;Opportunities[[#This Row],[Id]]</f>
        <v>https://cleansheet5.sharepoint.com/sites/SalesFunnel//Lists/crmOpportunities/DispForm.aspx?ID=198</v>
      </c>
      <c r="X29" s="38">
        <f>_xlfn.XLOOKUP(Opportunities[[#This Row],[OpportunityStage]],stage[Stage Name],stage[Index],"")</f>
        <v>6</v>
      </c>
      <c r="Y29" s="38" t="str">
        <f>Opportunities[[#This Row],[StageNumber]]&amp;" - "&amp;Opportunities[[#This Row],[OpportunityStage]]</f>
        <v>6 - Closeout</v>
      </c>
      <c r="Z29" s="38">
        <f>Opportunities[[#This Row],[Amount]]*_xlfn.XLOOKUP(Opportunities[[#This Row],[Probability]],prob[Win Probability],prob[Value])</f>
        <v>721088</v>
      </c>
      <c r="AA29" s="38" t="str" cm="1">
        <f t="array" ref="AA29">_xlfn.SWITCH(Opportunities[[#This Row],[Status]],"At Risk","⚠","Active","✓","⮾")</f>
        <v>✓</v>
      </c>
      <c r="AB29" s="38" t="str">
        <f>_xlfn.XLOOKUP(Opportunities[[#This Row],[CustomerIdId]],Customers[Id],Customers[CustomerName])</f>
        <v>Education First</v>
      </c>
      <c r="AC29" s="38" t="str">
        <f>_xlfn.XLOOKUP(Opportunities[[#This Row],[CustomerIdId]],Customers[Id],Customers[url2])</f>
        <v>https://cleansheet5.sharepoint.com/sites/SalesFunnel//Lists/crmCustomers/DispForm.aspx?ID=169</v>
      </c>
      <c r="AD29" s="38">
        <f>_xlfn.XLOOKUP(Opportunities[[#This Row],[Id]],View[Id],View[Visible])</f>
        <v>1</v>
      </c>
    </row>
    <row r="30" spans="1:30" x14ac:dyDescent="0.25">
      <c r="A30">
        <v>199</v>
      </c>
      <c r="C30" t="s">
        <v>204</v>
      </c>
      <c r="D30" t="s">
        <v>21</v>
      </c>
      <c r="E30" t="s">
        <v>184</v>
      </c>
      <c r="F30" t="s">
        <v>23</v>
      </c>
      <c r="G30">
        <v>1229621</v>
      </c>
      <c r="H30" t="s">
        <v>91</v>
      </c>
      <c r="I30">
        <v>46107.73541666667</v>
      </c>
      <c r="J30">
        <v>45889.73541666667</v>
      </c>
      <c r="K30" t="s">
        <v>114</v>
      </c>
      <c r="L30">
        <v>188</v>
      </c>
      <c r="U30"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30" s="38" t="str">
        <f>"CY"&amp;RIGHT(YEAR(Opportunities[[#This Row],[Close]]),2)&amp;"-Q"&amp;ROUNDUP(MONTH(Opportunities[[#This Row],[Close]])/3, 0)</f>
        <v>CY26-Q1</v>
      </c>
      <c r="W30" s="38" t="str">
        <f>siteUrl&amp;"/Lists/"&amp;oppList&amp;"/DispForm.aspx?ID="&amp;Opportunities[[#This Row],[Id]]</f>
        <v>https://cleansheet5.sharepoint.com/sites/SalesFunnel//Lists/crmOpportunities/DispForm.aspx?ID=199</v>
      </c>
      <c r="X30" s="38">
        <f>_xlfn.XLOOKUP(Opportunities[[#This Row],[OpportunityStage]],stage[Stage Name],stage[Index],"")</f>
        <v>5</v>
      </c>
      <c r="Y30" s="38" t="str">
        <f>Opportunities[[#This Row],[StageNumber]]&amp;" - "&amp;Opportunities[[#This Row],[OpportunityStage]]</f>
        <v>5 - Project Execution</v>
      </c>
      <c r="Z30" s="38">
        <f>Opportunities[[#This Row],[Amount]]*_xlfn.XLOOKUP(Opportunities[[#This Row],[Probability]],prob[Win Probability],prob[Value])</f>
        <v>491848.4</v>
      </c>
      <c r="AA30" s="38" t="str" cm="1">
        <f t="array" ref="AA30">_xlfn.SWITCH(Opportunities[[#This Row],[Status]],"At Risk","⚠","Active","✓","⮾")</f>
        <v>✓</v>
      </c>
      <c r="AB30" s="38" t="str">
        <f>_xlfn.XLOOKUP(Opportunities[[#This Row],[CustomerIdId]],Customers[Id],Customers[CustomerName])</f>
        <v>Waste Management Co</v>
      </c>
      <c r="AC30" s="38" t="str">
        <f>_xlfn.XLOOKUP(Opportunities[[#This Row],[CustomerIdId]],Customers[Id],Customers[url2])</f>
        <v>https://cleansheet5.sharepoint.com/sites/SalesFunnel//Lists/crmCustomers/DispForm.aspx?ID=188</v>
      </c>
      <c r="AD30" s="38">
        <f>_xlfn.XLOOKUP(Opportunities[[#This Row],[Id]],View[Id],View[Visible])</f>
        <v>1</v>
      </c>
    </row>
    <row r="31" spans="1:30" x14ac:dyDescent="0.25">
      <c r="A31">
        <v>200</v>
      </c>
      <c r="C31" t="s">
        <v>205</v>
      </c>
      <c r="D31" t="s">
        <v>21</v>
      </c>
      <c r="E31" t="s">
        <v>122</v>
      </c>
      <c r="F31" t="s">
        <v>25</v>
      </c>
      <c r="G31">
        <v>1177825</v>
      </c>
      <c r="H31" t="s">
        <v>91</v>
      </c>
      <c r="I31">
        <v>46318.735439814816</v>
      </c>
      <c r="J31">
        <v>45918.735439814816</v>
      </c>
      <c r="K31" t="s">
        <v>114</v>
      </c>
      <c r="L31">
        <v>177</v>
      </c>
      <c r="U31"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31" s="38" t="str">
        <f>"CY"&amp;RIGHT(YEAR(Opportunities[[#This Row],[Close]]),2)&amp;"-Q"&amp;ROUNDUP(MONTH(Opportunities[[#This Row],[Close]])/3, 0)</f>
        <v>CY26-Q4</v>
      </c>
      <c r="W31" s="38" t="str">
        <f>siteUrl&amp;"/Lists/"&amp;oppList&amp;"/DispForm.aspx?ID="&amp;Opportunities[[#This Row],[Id]]</f>
        <v>https://cleansheet5.sharepoint.com/sites/SalesFunnel//Lists/crmOpportunities/DispForm.aspx?ID=200</v>
      </c>
      <c r="X31" s="38">
        <f>_xlfn.XLOOKUP(Opportunities[[#This Row],[OpportunityStage]],stage[Stage Name],stage[Index],"")</f>
        <v>2</v>
      </c>
      <c r="Y31" s="38" t="str">
        <f>Opportunities[[#This Row],[StageNumber]]&amp;" - "&amp;Opportunities[[#This Row],[OpportunityStage]]</f>
        <v>2 - Nurturing</v>
      </c>
      <c r="Z31" s="38">
        <f>Opportunities[[#This Row],[Amount]]*_xlfn.XLOOKUP(Opportunities[[#This Row],[Probability]],prob[Win Probability],prob[Value])</f>
        <v>471130</v>
      </c>
      <c r="AA31" s="38" t="str" cm="1">
        <f t="array" ref="AA31">_xlfn.SWITCH(Opportunities[[#This Row],[Status]],"At Risk","⚠","Active","✓","⮾")</f>
        <v>✓</v>
      </c>
      <c r="AB31" s="38" t="str">
        <f>_xlfn.XLOOKUP(Opportunities[[#This Row],[CustomerIdId]],Customers[Id],Customers[CustomerName])</f>
        <v>Agricultural Systems</v>
      </c>
      <c r="AC31" s="38" t="str">
        <f>_xlfn.XLOOKUP(Opportunities[[#This Row],[CustomerIdId]],Customers[Id],Customers[url2])</f>
        <v>https://cleansheet5.sharepoint.com/sites/SalesFunnel//Lists/crmCustomers/DispForm.aspx?ID=177</v>
      </c>
      <c r="AD31" s="38">
        <f>_xlfn.XLOOKUP(Opportunities[[#This Row],[Id]],View[Id],View[Visible])</f>
        <v>1</v>
      </c>
    </row>
    <row r="32" spans="1:30" x14ac:dyDescent="0.25">
      <c r="A32">
        <v>201</v>
      </c>
      <c r="C32" t="s">
        <v>206</v>
      </c>
      <c r="D32" t="s">
        <v>21</v>
      </c>
      <c r="E32" t="s">
        <v>177</v>
      </c>
      <c r="F32" t="s">
        <v>22</v>
      </c>
      <c r="G32">
        <v>827736</v>
      </c>
      <c r="H32" t="s">
        <v>93</v>
      </c>
      <c r="I32">
        <v>46387.777118055557</v>
      </c>
      <c r="J32">
        <v>45921.735451388886</v>
      </c>
      <c r="K32" t="s">
        <v>123</v>
      </c>
      <c r="L32">
        <v>172</v>
      </c>
      <c r="U32"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32" s="38" t="str">
        <f>"CY"&amp;RIGHT(YEAR(Opportunities[[#This Row],[Close]]),2)&amp;"-Q"&amp;ROUNDUP(MONTH(Opportunities[[#This Row],[Close]])/3, 0)</f>
        <v>CY26-Q4</v>
      </c>
      <c r="W32" s="38" t="str">
        <f>siteUrl&amp;"/Lists/"&amp;oppList&amp;"/DispForm.aspx?ID="&amp;Opportunities[[#This Row],[Id]]</f>
        <v>https://cleansheet5.sharepoint.com/sites/SalesFunnel//Lists/crmOpportunities/DispForm.aspx?ID=201</v>
      </c>
      <c r="X32" s="38">
        <f>_xlfn.XLOOKUP(Opportunities[[#This Row],[OpportunityStage]],stage[Stage Name],stage[Index],"")</f>
        <v>1</v>
      </c>
      <c r="Y32" s="38" t="str">
        <f>Opportunities[[#This Row],[StageNumber]]&amp;" - "&amp;Opportunities[[#This Row],[OpportunityStage]]</f>
        <v>1 - Lead Qualification</v>
      </c>
      <c r="Z32" s="38">
        <f>Opportunities[[#This Row],[Amount]]*_xlfn.XLOOKUP(Opportunities[[#This Row],[Probability]],prob[Win Probability],prob[Value])</f>
        <v>165547.20000000001</v>
      </c>
      <c r="AA32" s="38" t="str" cm="1">
        <f t="array" ref="AA32">_xlfn.SWITCH(Opportunities[[#This Row],[Status]],"At Risk","⚠","Active","✓","⮾")</f>
        <v>✓</v>
      </c>
      <c r="AB32" s="38" t="str">
        <f>_xlfn.XLOOKUP(Opportunities[[#This Row],[CustomerIdId]],Customers[Id],Customers[CustomerName])</f>
        <v>Professional Services Group</v>
      </c>
      <c r="AC32" s="38" t="str">
        <f>_xlfn.XLOOKUP(Opportunities[[#This Row],[CustomerIdId]],Customers[Id],Customers[url2])</f>
        <v>https://cleansheet5.sharepoint.com/sites/SalesFunnel//Lists/crmCustomers/DispForm.aspx?ID=172</v>
      </c>
      <c r="AD32" s="38">
        <f>_xlfn.XLOOKUP(Opportunities[[#This Row],[Id]],View[Id],View[Visible])</f>
        <v>1</v>
      </c>
    </row>
    <row r="33" spans="1:30" x14ac:dyDescent="0.25">
      <c r="A33">
        <v>202</v>
      </c>
      <c r="C33" t="s">
        <v>207</v>
      </c>
      <c r="D33" t="s">
        <v>21</v>
      </c>
      <c r="E33" t="s">
        <v>116</v>
      </c>
      <c r="F33" t="s">
        <v>24</v>
      </c>
      <c r="G33">
        <v>757687</v>
      </c>
      <c r="H33" t="s">
        <v>91</v>
      </c>
      <c r="I33">
        <v>46384.777141203704</v>
      </c>
      <c r="J33">
        <v>45907.735474537039</v>
      </c>
      <c r="K33" t="s">
        <v>178</v>
      </c>
      <c r="L33">
        <v>162</v>
      </c>
      <c r="U33"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33" s="38" t="str">
        <f>"CY"&amp;RIGHT(YEAR(Opportunities[[#This Row],[Close]]),2)&amp;"-Q"&amp;ROUNDUP(MONTH(Opportunities[[#This Row],[Close]])/3, 0)</f>
        <v>CY26-Q4</v>
      </c>
      <c r="W33" s="38" t="str">
        <f>siteUrl&amp;"/Lists/"&amp;oppList&amp;"/DispForm.aspx?ID="&amp;Opportunities[[#This Row],[Id]]</f>
        <v>https://cleansheet5.sharepoint.com/sites/SalesFunnel//Lists/crmOpportunities/DispForm.aspx?ID=202</v>
      </c>
      <c r="X33" s="38">
        <f>_xlfn.XLOOKUP(Opportunities[[#This Row],[OpportunityStage]],stage[Stage Name],stage[Index],"")</f>
        <v>3</v>
      </c>
      <c r="Y33" s="38" t="str">
        <f>Opportunities[[#This Row],[StageNumber]]&amp;" - "&amp;Opportunities[[#This Row],[OpportunityStage]]</f>
        <v>3 - Proposal</v>
      </c>
      <c r="Z33" s="38">
        <f>Opportunities[[#This Row],[Amount]]*_xlfn.XLOOKUP(Opportunities[[#This Row],[Probability]],prob[Win Probability],prob[Value])</f>
        <v>303074.8</v>
      </c>
      <c r="AA33" s="38" t="str" cm="1">
        <f t="array" ref="AA33">_xlfn.SWITCH(Opportunities[[#This Row],[Status]],"At Risk","⚠","Active","✓","⮾")</f>
        <v>✓</v>
      </c>
      <c r="AB33" s="38" t="str">
        <f>_xlfn.XLOOKUP(Opportunities[[#This Row],[CustomerIdId]],Customers[Id],Customers[CustomerName])</f>
        <v>Tech Solutions Inc</v>
      </c>
      <c r="AC33" s="38" t="str">
        <f>_xlfn.XLOOKUP(Opportunities[[#This Row],[CustomerIdId]],Customers[Id],Customers[url2])</f>
        <v>https://cleansheet5.sharepoint.com/sites/SalesFunnel//Lists/crmCustomers/DispForm.aspx?ID=162</v>
      </c>
      <c r="AD33" s="38">
        <f>_xlfn.XLOOKUP(Opportunities[[#This Row],[Id]],View[Id],View[Visible])</f>
        <v>1</v>
      </c>
    </row>
    <row r="34" spans="1:30" x14ac:dyDescent="0.25">
      <c r="A34">
        <v>203</v>
      </c>
      <c r="C34" t="s">
        <v>208</v>
      </c>
      <c r="D34" t="s">
        <v>21</v>
      </c>
      <c r="E34" t="s">
        <v>184</v>
      </c>
      <c r="F34" t="s">
        <v>20</v>
      </c>
      <c r="G34">
        <v>951476</v>
      </c>
      <c r="H34" t="s">
        <v>92</v>
      </c>
      <c r="I34">
        <v>46210.735497685186</v>
      </c>
      <c r="J34">
        <v>45897.735497685186</v>
      </c>
      <c r="K34" t="s">
        <v>173</v>
      </c>
      <c r="L34">
        <v>162</v>
      </c>
      <c r="U34" s="38" t="str">
        <f>" FY"&amp;RIGHT(IF(MONTH(Opportunities[[#This Row],[Close]])&gt;=7,YEAR(Opportunities[[#This Row],[Close]])+1,YEAR(Opportunities[[#This Row],[Close]])),2)&amp;"-Q"&amp;IF(MONTH(Opportunities[[#This Row],[Close]])&gt;=7,CEILING((MONTH(Opportunities[[#This Row],[Close]])-6)/3,1),CEILING((MONTH(Opportunities[[#This Row],[Close]])+6)/3,1))</f>
        <v xml:space="preserve"> FY27-Q1</v>
      </c>
      <c r="V34" s="38" t="str">
        <f>"CY"&amp;RIGHT(YEAR(Opportunities[[#This Row],[Close]]),2)&amp;"-Q"&amp;ROUNDUP(MONTH(Opportunities[[#This Row],[Close]])/3, 0)</f>
        <v>CY26-Q3</v>
      </c>
      <c r="W34" s="38" t="str">
        <f>siteUrl&amp;"/Lists/"&amp;oppList&amp;"/DispForm.aspx?ID="&amp;Opportunities[[#This Row],[Id]]</f>
        <v>https://cleansheet5.sharepoint.com/sites/SalesFunnel//Lists/crmOpportunities/DispForm.aspx?ID=203</v>
      </c>
      <c r="X34" s="38">
        <f>_xlfn.XLOOKUP(Opportunities[[#This Row],[OpportunityStage]],stage[Stage Name],stage[Index],"")</f>
        <v>4</v>
      </c>
      <c r="Y34" s="38" t="str">
        <f>Opportunities[[#This Row],[StageNumber]]&amp;" - "&amp;Opportunities[[#This Row],[OpportunityStage]]</f>
        <v>4 - Negotiation</v>
      </c>
      <c r="Z34" s="38">
        <f>Opportunities[[#This Row],[Amount]]*_xlfn.XLOOKUP(Opportunities[[#This Row],[Probability]],prob[Win Probability],prob[Value])</f>
        <v>856328.4</v>
      </c>
      <c r="AA34" s="38" t="str" cm="1">
        <f t="array" ref="AA34">_xlfn.SWITCH(Opportunities[[#This Row],[Status]],"At Risk","⚠","Active","✓","⮾")</f>
        <v>✓</v>
      </c>
      <c r="AB34" s="38" t="str">
        <f>_xlfn.XLOOKUP(Opportunities[[#This Row],[CustomerIdId]],Customers[Id],Customers[CustomerName])</f>
        <v>Tech Solutions Inc</v>
      </c>
      <c r="AC34" s="38" t="str">
        <f>_xlfn.XLOOKUP(Opportunities[[#This Row],[CustomerIdId]],Customers[Id],Customers[url2])</f>
        <v>https://cleansheet5.sharepoint.com/sites/SalesFunnel//Lists/crmCustomers/DispForm.aspx?ID=162</v>
      </c>
      <c r="AD34" s="38">
        <f>_xlfn.XLOOKUP(Opportunities[[#This Row],[Id]],View[Id],View[Visible])</f>
        <v>1</v>
      </c>
    </row>
    <row r="35" spans="1:30" x14ac:dyDescent="0.25">
      <c r="A35">
        <v>204</v>
      </c>
      <c r="C35" t="s">
        <v>209</v>
      </c>
      <c r="D35" t="s">
        <v>27</v>
      </c>
      <c r="E35" t="s">
        <v>119</v>
      </c>
      <c r="F35" t="s">
        <v>22</v>
      </c>
      <c r="G35">
        <v>1953763</v>
      </c>
      <c r="H35" t="s">
        <v>91</v>
      </c>
      <c r="I35">
        <v>46027.777187500003</v>
      </c>
      <c r="J35">
        <v>45929.735520833332</v>
      </c>
      <c r="K35" t="s">
        <v>120</v>
      </c>
      <c r="L35">
        <v>173</v>
      </c>
      <c r="U35"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35" s="38" t="str">
        <f>"CY"&amp;RIGHT(YEAR(Opportunities[[#This Row],[Close]]),2)&amp;"-Q"&amp;ROUNDUP(MONTH(Opportunities[[#This Row],[Close]])/3, 0)</f>
        <v>CY26-Q1</v>
      </c>
      <c r="W35" s="38" t="str">
        <f>siteUrl&amp;"/Lists/"&amp;oppList&amp;"/DispForm.aspx?ID="&amp;Opportunities[[#This Row],[Id]]</f>
        <v>https://cleansheet5.sharepoint.com/sites/SalesFunnel//Lists/crmOpportunities/DispForm.aspx?ID=204</v>
      </c>
      <c r="X35" s="38">
        <f>_xlfn.XLOOKUP(Opportunities[[#This Row],[OpportunityStage]],stage[Stage Name],stage[Index],"")</f>
        <v>1</v>
      </c>
      <c r="Y35" s="38" t="str">
        <f>Opportunities[[#This Row],[StageNumber]]&amp;" - "&amp;Opportunities[[#This Row],[OpportunityStage]]</f>
        <v>1 - Lead Qualification</v>
      </c>
      <c r="Z35" s="38">
        <f>Opportunities[[#This Row],[Amount]]*_xlfn.XLOOKUP(Opportunities[[#This Row],[Probability]],prob[Win Probability],prob[Value])</f>
        <v>781505.20000000007</v>
      </c>
      <c r="AA35" s="38" t="str" cm="1">
        <f t="array" ref="AA35">_xlfn.SWITCH(Opportunities[[#This Row],[Status]],"At Risk","⚠","Active","✓","⮾")</f>
        <v>⮾</v>
      </c>
      <c r="AB35" s="38" t="str">
        <f>_xlfn.XLOOKUP(Opportunities[[#This Row],[CustomerIdId]],Customers[Id],Customers[CustomerName])</f>
        <v>Media Communications</v>
      </c>
      <c r="AC35" s="38" t="str">
        <f>_xlfn.XLOOKUP(Opportunities[[#This Row],[CustomerIdId]],Customers[Id],Customers[url2])</f>
        <v>https://cleansheet5.sharepoint.com/sites/SalesFunnel//Lists/crmCustomers/DispForm.aspx?ID=173</v>
      </c>
      <c r="AD35" s="38">
        <f>_xlfn.XLOOKUP(Opportunities[[#This Row],[Id]],View[Id],View[Visible])</f>
        <v>1</v>
      </c>
    </row>
    <row r="36" spans="1:30" x14ac:dyDescent="0.25">
      <c r="A36">
        <v>205</v>
      </c>
      <c r="C36" t="s">
        <v>210</v>
      </c>
      <c r="D36" t="s">
        <v>21</v>
      </c>
      <c r="E36" t="s">
        <v>172</v>
      </c>
      <c r="F36" t="s">
        <v>25</v>
      </c>
      <c r="G36">
        <v>1498566</v>
      </c>
      <c r="H36" t="s">
        <v>92</v>
      </c>
      <c r="I36">
        <v>46335.77721064815</v>
      </c>
      <c r="J36">
        <v>45886.735543981478</v>
      </c>
      <c r="K36" t="s">
        <v>111</v>
      </c>
      <c r="L36">
        <v>174</v>
      </c>
      <c r="U36"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36" s="38" t="str">
        <f>"CY"&amp;RIGHT(YEAR(Opportunities[[#This Row],[Close]]),2)&amp;"-Q"&amp;ROUNDUP(MONTH(Opportunities[[#This Row],[Close]])/3, 0)</f>
        <v>CY26-Q4</v>
      </c>
      <c r="W36" s="38" t="str">
        <f>siteUrl&amp;"/Lists/"&amp;oppList&amp;"/DispForm.aspx?ID="&amp;Opportunities[[#This Row],[Id]]</f>
        <v>https://cleansheet5.sharepoint.com/sites/SalesFunnel//Lists/crmOpportunities/DispForm.aspx?ID=205</v>
      </c>
      <c r="X36" s="38">
        <f>_xlfn.XLOOKUP(Opportunities[[#This Row],[OpportunityStage]],stage[Stage Name],stage[Index],"")</f>
        <v>2</v>
      </c>
      <c r="Y36" s="38" t="str">
        <f>Opportunities[[#This Row],[StageNumber]]&amp;" - "&amp;Opportunities[[#This Row],[OpportunityStage]]</f>
        <v>2 - Nurturing</v>
      </c>
      <c r="Z36" s="38">
        <f>Opportunities[[#This Row],[Amount]]*_xlfn.XLOOKUP(Opportunities[[#This Row],[Probability]],prob[Win Probability],prob[Value])</f>
        <v>1348709.4000000001</v>
      </c>
      <c r="AA36" s="38" t="str" cm="1">
        <f t="array" ref="AA36">_xlfn.SWITCH(Opportunities[[#This Row],[Status]],"At Risk","⚠","Active","✓","⮾")</f>
        <v>✓</v>
      </c>
      <c r="AB36" s="38" t="str">
        <f>_xlfn.XLOOKUP(Opportunities[[#This Row],[CustomerIdId]],Customers[Id],Customers[CustomerName])</f>
        <v>Pharmaceutical Research</v>
      </c>
      <c r="AC36" s="38" t="str">
        <f>_xlfn.XLOOKUP(Opportunities[[#This Row],[CustomerIdId]],Customers[Id],Customers[url2])</f>
        <v>https://cleansheet5.sharepoint.com/sites/SalesFunnel//Lists/crmCustomers/DispForm.aspx?ID=174</v>
      </c>
      <c r="AD36" s="38">
        <f>_xlfn.XLOOKUP(Opportunities[[#This Row],[Id]],View[Id],View[Visible])</f>
        <v>1</v>
      </c>
    </row>
    <row r="37" spans="1:30" x14ac:dyDescent="0.25">
      <c r="A37">
        <v>206</v>
      </c>
      <c r="C37" t="s">
        <v>211</v>
      </c>
      <c r="D37" t="s">
        <v>21</v>
      </c>
      <c r="E37" t="s">
        <v>172</v>
      </c>
      <c r="F37" t="s">
        <v>24</v>
      </c>
      <c r="G37">
        <v>1451359</v>
      </c>
      <c r="H37" t="s">
        <v>92</v>
      </c>
      <c r="I37">
        <v>46310.735567129632</v>
      </c>
      <c r="J37">
        <v>45903.735567129632</v>
      </c>
      <c r="K37" t="s">
        <v>175</v>
      </c>
      <c r="L37">
        <v>187</v>
      </c>
      <c r="U37" s="38" t="str">
        <f>" FY"&amp;RIGHT(IF(MONTH(Opportunities[[#This Row],[Close]])&gt;=7,YEAR(Opportunities[[#This Row],[Close]])+1,YEAR(Opportunities[[#This Row],[Close]])),2)&amp;"-Q"&amp;IF(MONTH(Opportunities[[#This Row],[Close]])&gt;=7,CEILING((MONTH(Opportunities[[#This Row],[Close]])-6)/3,1),CEILING((MONTH(Opportunities[[#This Row],[Close]])+6)/3,1))</f>
        <v xml:space="preserve"> FY27-Q2</v>
      </c>
      <c r="V37" s="38" t="str">
        <f>"CY"&amp;RIGHT(YEAR(Opportunities[[#This Row],[Close]]),2)&amp;"-Q"&amp;ROUNDUP(MONTH(Opportunities[[#This Row],[Close]])/3, 0)</f>
        <v>CY26-Q4</v>
      </c>
      <c r="W37" s="38" t="str">
        <f>siteUrl&amp;"/Lists/"&amp;oppList&amp;"/DispForm.aspx?ID="&amp;Opportunities[[#This Row],[Id]]</f>
        <v>https://cleansheet5.sharepoint.com/sites/SalesFunnel//Lists/crmOpportunities/DispForm.aspx?ID=206</v>
      </c>
      <c r="X37" s="38">
        <f>_xlfn.XLOOKUP(Opportunities[[#This Row],[OpportunityStage]],stage[Stage Name],stage[Index],"")</f>
        <v>3</v>
      </c>
      <c r="Y37" s="38" t="str">
        <f>Opportunities[[#This Row],[StageNumber]]&amp;" - "&amp;Opportunities[[#This Row],[OpportunityStage]]</f>
        <v>3 - Proposal</v>
      </c>
      <c r="Z37" s="38">
        <f>Opportunities[[#This Row],[Amount]]*_xlfn.XLOOKUP(Opportunities[[#This Row],[Probability]],prob[Win Probability],prob[Value])</f>
        <v>1306223.1000000001</v>
      </c>
      <c r="AA37" s="38" t="str" cm="1">
        <f t="array" ref="AA37">_xlfn.SWITCH(Opportunities[[#This Row],[Status]],"At Risk","⚠","Active","✓","⮾")</f>
        <v>✓</v>
      </c>
      <c r="AB37" s="38" t="str">
        <f>_xlfn.XLOOKUP(Opportunities[[#This Row],[CustomerIdId]],Customers[Id],Customers[CustomerName])</f>
        <v>Telecommunications Inc</v>
      </c>
      <c r="AC37" s="38" t="str">
        <f>_xlfn.XLOOKUP(Opportunities[[#This Row],[CustomerIdId]],Customers[Id],Customers[url2])</f>
        <v>https://cleansheet5.sharepoint.com/sites/SalesFunnel//Lists/crmCustomers/DispForm.aspx?ID=187</v>
      </c>
      <c r="AD37" s="38">
        <f>_xlfn.XLOOKUP(Opportunities[[#This Row],[Id]],View[Id],View[Visible])</f>
        <v>1</v>
      </c>
    </row>
    <row r="38" spans="1:30" x14ac:dyDescent="0.25">
      <c r="A38">
        <v>207</v>
      </c>
      <c r="C38" t="s">
        <v>212</v>
      </c>
      <c r="D38" t="s">
        <v>21</v>
      </c>
      <c r="E38" t="s">
        <v>172</v>
      </c>
      <c r="F38" t="s">
        <v>26</v>
      </c>
      <c r="G38">
        <v>1137900</v>
      </c>
      <c r="H38" t="s">
        <v>93</v>
      </c>
      <c r="I38">
        <v>46100.735578703701</v>
      </c>
      <c r="J38">
        <v>45908.735578703701</v>
      </c>
      <c r="K38" t="s">
        <v>111</v>
      </c>
      <c r="L38">
        <v>178</v>
      </c>
      <c r="U38"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38" s="38" t="str">
        <f>"CY"&amp;RIGHT(YEAR(Opportunities[[#This Row],[Close]]),2)&amp;"-Q"&amp;ROUNDUP(MONTH(Opportunities[[#This Row],[Close]])/3, 0)</f>
        <v>CY26-Q1</v>
      </c>
      <c r="W38" s="38" t="str">
        <f>siteUrl&amp;"/Lists/"&amp;oppList&amp;"/DispForm.aspx?ID="&amp;Opportunities[[#This Row],[Id]]</f>
        <v>https://cleansheet5.sharepoint.com/sites/SalesFunnel//Lists/crmOpportunities/DispForm.aspx?ID=207</v>
      </c>
      <c r="X38" s="38">
        <f>_xlfn.XLOOKUP(Opportunities[[#This Row],[OpportunityStage]],stage[Stage Name],stage[Index],"")</f>
        <v>6</v>
      </c>
      <c r="Y38" s="38" t="str">
        <f>Opportunities[[#This Row],[StageNumber]]&amp;" - "&amp;Opportunities[[#This Row],[OpportunityStage]]</f>
        <v>6 - Closeout</v>
      </c>
      <c r="Z38" s="38">
        <f>Opportunities[[#This Row],[Amount]]*_xlfn.XLOOKUP(Opportunities[[#This Row],[Probability]],prob[Win Probability],prob[Value])</f>
        <v>227580</v>
      </c>
      <c r="AA38" s="38" t="str" cm="1">
        <f t="array" ref="AA38">_xlfn.SWITCH(Opportunities[[#This Row],[Status]],"At Risk","⚠","Active","✓","⮾")</f>
        <v>✓</v>
      </c>
      <c r="AB38" s="38" t="str">
        <f>_xlfn.XLOOKUP(Opportunities[[#This Row],[CustomerIdId]],Customers[Id],Customers[CustomerName])</f>
        <v>Hotel Management Group</v>
      </c>
      <c r="AC38" s="38" t="str">
        <f>_xlfn.XLOOKUP(Opportunities[[#This Row],[CustomerIdId]],Customers[Id],Customers[url2])</f>
        <v>https://cleansheet5.sharepoint.com/sites/SalesFunnel//Lists/crmCustomers/DispForm.aspx?ID=178</v>
      </c>
      <c r="AD38" s="38">
        <f>_xlfn.XLOOKUP(Opportunities[[#This Row],[Id]],View[Id],View[Visible])</f>
        <v>1</v>
      </c>
    </row>
    <row r="39" spans="1:30" x14ac:dyDescent="0.25">
      <c r="A39">
        <v>208</v>
      </c>
      <c r="C39" t="s">
        <v>213</v>
      </c>
      <c r="D39" t="s">
        <v>21</v>
      </c>
      <c r="E39" t="s">
        <v>177</v>
      </c>
      <c r="F39" t="s">
        <v>25</v>
      </c>
      <c r="G39">
        <v>1364535</v>
      </c>
      <c r="H39" t="s">
        <v>93</v>
      </c>
      <c r="I39">
        <v>46000.777268518519</v>
      </c>
      <c r="J39">
        <v>45909.735601851855</v>
      </c>
      <c r="K39" t="s">
        <v>114</v>
      </c>
      <c r="L39">
        <v>182</v>
      </c>
      <c r="U39" s="38" t="str">
        <f>" FY"&amp;RIGHT(IF(MONTH(Opportunities[[#This Row],[Close]])&gt;=7,YEAR(Opportunities[[#This Row],[Close]])+1,YEAR(Opportunities[[#This Row],[Close]])),2)&amp;"-Q"&amp;IF(MONTH(Opportunities[[#This Row],[Close]])&gt;=7,CEILING((MONTH(Opportunities[[#This Row],[Close]])-6)/3,1),CEILING((MONTH(Opportunities[[#This Row],[Close]])+6)/3,1))</f>
        <v xml:space="preserve"> FY26-Q2</v>
      </c>
      <c r="V39" s="38" t="str">
        <f>"CY"&amp;RIGHT(YEAR(Opportunities[[#This Row],[Close]]),2)&amp;"-Q"&amp;ROUNDUP(MONTH(Opportunities[[#This Row],[Close]])/3, 0)</f>
        <v>CY25-Q4</v>
      </c>
      <c r="W39" s="38" t="str">
        <f>siteUrl&amp;"/Lists/"&amp;oppList&amp;"/DispForm.aspx?ID="&amp;Opportunities[[#This Row],[Id]]</f>
        <v>https://cleansheet5.sharepoint.com/sites/SalesFunnel//Lists/crmOpportunities/DispForm.aspx?ID=208</v>
      </c>
      <c r="X39" s="38">
        <f>_xlfn.XLOOKUP(Opportunities[[#This Row],[OpportunityStage]],stage[Stage Name],stage[Index],"")</f>
        <v>2</v>
      </c>
      <c r="Y39" s="38" t="str">
        <f>Opportunities[[#This Row],[StageNumber]]&amp;" - "&amp;Opportunities[[#This Row],[OpportunityStage]]</f>
        <v>2 - Nurturing</v>
      </c>
      <c r="Z39" s="38">
        <f>Opportunities[[#This Row],[Amount]]*_xlfn.XLOOKUP(Opportunities[[#This Row],[Probability]],prob[Win Probability],prob[Value])</f>
        <v>272907</v>
      </c>
      <c r="AA39" s="38" t="str" cm="1">
        <f t="array" ref="AA39">_xlfn.SWITCH(Opportunities[[#This Row],[Status]],"At Risk","⚠","Active","✓","⮾")</f>
        <v>✓</v>
      </c>
      <c r="AB39" s="38" t="str">
        <f>_xlfn.XLOOKUP(Opportunities[[#This Row],[CustomerIdId]],Customers[Id],Customers[CustomerName])</f>
        <v>Sports &amp; Recreation</v>
      </c>
      <c r="AC39" s="38" t="str">
        <f>_xlfn.XLOOKUP(Opportunities[[#This Row],[CustomerIdId]],Customers[Id],Customers[url2])</f>
        <v>https://cleansheet5.sharepoint.com/sites/SalesFunnel//Lists/crmCustomers/DispForm.aspx?ID=182</v>
      </c>
      <c r="AD39" s="38">
        <f>_xlfn.XLOOKUP(Opportunities[[#This Row],[Id]],View[Id],View[Visible])</f>
        <v>1</v>
      </c>
    </row>
    <row r="40" spans="1:30" x14ac:dyDescent="0.25">
      <c r="A40">
        <v>209</v>
      </c>
      <c r="C40" t="s">
        <v>214</v>
      </c>
      <c r="D40" t="s">
        <v>21</v>
      </c>
      <c r="E40" t="s">
        <v>110</v>
      </c>
      <c r="F40" t="s">
        <v>24</v>
      </c>
      <c r="G40">
        <v>1380188</v>
      </c>
      <c r="H40" t="s">
        <v>93</v>
      </c>
      <c r="I40">
        <v>46056.777291666665</v>
      </c>
      <c r="J40">
        <v>45923.735625000001</v>
      </c>
      <c r="K40" t="s">
        <v>123</v>
      </c>
      <c r="L40">
        <v>160</v>
      </c>
      <c r="U40"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40" s="38" t="str">
        <f>"CY"&amp;RIGHT(YEAR(Opportunities[[#This Row],[Close]]),2)&amp;"-Q"&amp;ROUNDUP(MONTH(Opportunities[[#This Row],[Close]])/3, 0)</f>
        <v>CY26-Q1</v>
      </c>
      <c r="W40" s="38" t="str">
        <f>siteUrl&amp;"/Lists/"&amp;oppList&amp;"/DispForm.aspx?ID="&amp;Opportunities[[#This Row],[Id]]</f>
        <v>https://cleansheet5.sharepoint.com/sites/SalesFunnel//Lists/crmOpportunities/DispForm.aspx?ID=209</v>
      </c>
      <c r="X40" s="38">
        <f>_xlfn.XLOOKUP(Opportunities[[#This Row],[OpportunityStage]],stage[Stage Name],stage[Index],"")</f>
        <v>3</v>
      </c>
      <c r="Y40" s="38" t="str">
        <f>Opportunities[[#This Row],[StageNumber]]&amp;" - "&amp;Opportunities[[#This Row],[OpportunityStage]]</f>
        <v>3 - Proposal</v>
      </c>
      <c r="Z40" s="38">
        <f>Opportunities[[#This Row],[Amount]]*_xlfn.XLOOKUP(Opportunities[[#This Row],[Probability]],prob[Win Probability],prob[Value])</f>
        <v>276037.60000000003</v>
      </c>
      <c r="AA40" s="38" t="str" cm="1">
        <f t="array" ref="AA40">_xlfn.SWITCH(Opportunities[[#This Row],[Status]],"At Risk","⚠","Active","✓","⮾")</f>
        <v>✓</v>
      </c>
      <c r="AB40" s="38" t="str">
        <f>_xlfn.XLOOKUP(Opportunities[[#This Row],[CustomerIdId]],Customers[Id],Customers[CustomerName])</f>
        <v>ACME Corporation</v>
      </c>
      <c r="AC40" s="38" t="str">
        <f>_xlfn.XLOOKUP(Opportunities[[#This Row],[CustomerIdId]],Customers[Id],Customers[url2])</f>
        <v>https://cleansheet5.sharepoint.com/sites/SalesFunnel//Lists/crmCustomers/DispForm.aspx?ID=160</v>
      </c>
      <c r="AD40" s="38">
        <f>_xlfn.XLOOKUP(Opportunities[[#This Row],[Id]],View[Id],View[Visible])</f>
        <v>1</v>
      </c>
    </row>
    <row r="41" spans="1:30" x14ac:dyDescent="0.25">
      <c r="A41">
        <v>210</v>
      </c>
      <c r="C41" t="s">
        <v>215</v>
      </c>
      <c r="D41" t="s">
        <v>21</v>
      </c>
      <c r="E41" t="s">
        <v>193</v>
      </c>
      <c r="F41" t="s">
        <v>20</v>
      </c>
      <c r="G41">
        <v>901133</v>
      </c>
      <c r="H41" t="s">
        <v>91</v>
      </c>
      <c r="I41">
        <v>46112.735648148147</v>
      </c>
      <c r="J41">
        <v>45913.735648148147</v>
      </c>
      <c r="K41" t="s">
        <v>120</v>
      </c>
      <c r="L41">
        <v>174</v>
      </c>
      <c r="U41" s="38" t="str">
        <f>" FY"&amp;RIGHT(IF(MONTH(Opportunities[[#This Row],[Close]])&gt;=7,YEAR(Opportunities[[#This Row],[Close]])+1,YEAR(Opportunities[[#This Row],[Close]])),2)&amp;"-Q"&amp;IF(MONTH(Opportunities[[#This Row],[Close]])&gt;=7,CEILING((MONTH(Opportunities[[#This Row],[Close]])-6)/3,1),CEILING((MONTH(Opportunities[[#This Row],[Close]])+6)/3,1))</f>
        <v xml:space="preserve"> FY26-Q3</v>
      </c>
      <c r="V41" s="38" t="str">
        <f>"CY"&amp;RIGHT(YEAR(Opportunities[[#This Row],[Close]]),2)&amp;"-Q"&amp;ROUNDUP(MONTH(Opportunities[[#This Row],[Close]])/3, 0)</f>
        <v>CY26-Q1</v>
      </c>
      <c r="W41" s="38" t="str">
        <f>siteUrl&amp;"/Lists/"&amp;oppList&amp;"/DispForm.aspx?ID="&amp;Opportunities[[#This Row],[Id]]</f>
        <v>https://cleansheet5.sharepoint.com/sites/SalesFunnel//Lists/crmOpportunities/DispForm.aspx?ID=210</v>
      </c>
      <c r="X41" s="38">
        <f>_xlfn.XLOOKUP(Opportunities[[#This Row],[OpportunityStage]],stage[Stage Name],stage[Index],"")</f>
        <v>4</v>
      </c>
      <c r="Y41" s="38" t="str">
        <f>Opportunities[[#This Row],[StageNumber]]&amp;" - "&amp;Opportunities[[#This Row],[OpportunityStage]]</f>
        <v>4 - Negotiation</v>
      </c>
      <c r="Z41" s="38">
        <f>Opportunities[[#This Row],[Amount]]*_xlfn.XLOOKUP(Opportunities[[#This Row],[Probability]],prob[Win Probability],prob[Value])</f>
        <v>360453.2</v>
      </c>
      <c r="AA41" s="38" t="str" cm="1">
        <f t="array" ref="AA41">_xlfn.SWITCH(Opportunities[[#This Row],[Status]],"At Risk","⚠","Active","✓","⮾")</f>
        <v>✓</v>
      </c>
      <c r="AB41" s="38" t="str">
        <f>_xlfn.XLOOKUP(Opportunities[[#This Row],[CustomerIdId]],Customers[Id],Customers[CustomerName])</f>
        <v>Pharmaceutical Research</v>
      </c>
      <c r="AC41" s="38" t="str">
        <f>_xlfn.XLOOKUP(Opportunities[[#This Row],[CustomerIdId]],Customers[Id],Customers[url2])</f>
        <v>https://cleansheet5.sharepoint.com/sites/SalesFunnel//Lists/crmCustomers/DispForm.aspx?ID=174</v>
      </c>
      <c r="AD41" s="38">
        <f>_xlfn.XLOOKUP(Opportunities[[#This Row],[Id]],View[Id],View[Visible])</f>
        <v>1</v>
      </c>
    </row>
  </sheetData>
  <sheetProtection sheet="1" objects="1" scenarios="1"/>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M32"/>
  <sheetViews>
    <sheetView topLeftCell="H1" workbookViewId="0">
      <selection activeCell="W19" sqref="W19"/>
    </sheetView>
  </sheetViews>
  <sheetFormatPr defaultRowHeight="15" x14ac:dyDescent="0.25"/>
  <cols>
    <col min="1" max="1" width="5" bestFit="1" customWidth="1"/>
    <col min="2" max="2" width="7.28515625" bestFit="1" customWidth="1"/>
    <col min="3" max="3" width="26.140625" bestFit="1" customWidth="1"/>
    <col min="4" max="4" width="33.140625" bestFit="1" customWidth="1"/>
    <col min="5" max="5" width="14.85546875" bestFit="1" customWidth="1"/>
    <col min="6" max="6" width="18.140625" bestFit="1" customWidth="1"/>
    <col min="7" max="7" width="17.7109375" bestFit="1" customWidth="1"/>
    <col min="8" max="8" width="22.140625" bestFit="1" customWidth="1"/>
    <col min="9" max="9" width="18.85546875" bestFit="1" customWidth="1"/>
    <col min="10" max="10" width="23" bestFit="1" customWidth="1"/>
    <col min="11" max="11" width="20" bestFit="1" customWidth="1"/>
    <col min="12" max="12" width="24.5703125" bestFit="1" customWidth="1"/>
    <col min="13" max="14" width="12.42578125" bestFit="1" customWidth="1"/>
    <col min="15" max="15" width="81.140625" bestFit="1" customWidth="1"/>
    <col min="16" max="16" width="26.140625" bestFit="1" customWidth="1"/>
    <col min="17" max="17" width="81.140625" bestFit="1" customWidth="1"/>
    <col min="18" max="18" width="21.7109375" bestFit="1" customWidth="1"/>
    <col min="19" max="19" width="5.85546875" bestFit="1" customWidth="1"/>
    <col min="20" max="21" width="12.42578125" bestFit="1" customWidth="1"/>
    <col min="22" max="22" width="81.140625" bestFit="1" customWidth="1"/>
    <col min="23" max="23" width="20" bestFit="1" customWidth="1"/>
    <col min="24" max="24" width="24.140625" bestFit="1" customWidth="1"/>
    <col min="25" max="25" width="5.85546875" bestFit="1" customWidth="1"/>
    <col min="26" max="27" width="12.42578125" bestFit="1" customWidth="1"/>
    <col min="28" max="28" width="81.140625" bestFit="1" customWidth="1"/>
    <col min="29" max="29" width="25" bestFit="1" customWidth="1"/>
    <col min="30" max="30" width="14.7109375" bestFit="1" customWidth="1"/>
    <col min="31" max="31" width="38" bestFit="1" customWidth="1"/>
    <col min="32" max="32" width="19.28515625" bestFit="1" customWidth="1"/>
    <col min="33" max="33" width="19" bestFit="1" customWidth="1"/>
    <col min="34" max="34" width="18.7109375" bestFit="1" customWidth="1"/>
    <col min="35" max="35" width="18.42578125" bestFit="1" customWidth="1"/>
    <col min="36" max="36" width="81.140625" bestFit="1" customWidth="1"/>
    <col min="39" max="39" width="40.5703125" bestFit="1" customWidth="1"/>
  </cols>
  <sheetData>
    <row r="1" spans="1:25" x14ac:dyDescent="0.25">
      <c r="A1" t="s">
        <v>0</v>
      </c>
      <c r="B1" t="s">
        <v>1</v>
      </c>
      <c r="C1" t="s">
        <v>100</v>
      </c>
      <c r="D1" t="s">
        <v>77</v>
      </c>
      <c r="E1" t="s">
        <v>107</v>
      </c>
      <c r="F1" t="s">
        <v>108</v>
      </c>
      <c r="G1" t="s">
        <v>4</v>
      </c>
      <c r="H1" t="s">
        <v>5</v>
      </c>
      <c r="I1" t="s">
        <v>6</v>
      </c>
      <c r="J1" t="s">
        <v>7</v>
      </c>
      <c r="K1" t="s">
        <v>8</v>
      </c>
      <c r="L1" t="s">
        <v>9</v>
      </c>
      <c r="M1" t="s">
        <v>3</v>
      </c>
      <c r="N1" t="s">
        <v>2</v>
      </c>
      <c r="O1" t="s">
        <v>78</v>
      </c>
      <c r="P1" t="s">
        <v>94</v>
      </c>
      <c r="Q1" t="s">
        <v>166</v>
      </c>
      <c r="R1" t="s">
        <v>54</v>
      </c>
    </row>
    <row r="2" spans="1:25" x14ac:dyDescent="0.25">
      <c r="A2">
        <v>160</v>
      </c>
      <c r="C2" t="s">
        <v>124</v>
      </c>
      <c r="D2" t="s">
        <v>125</v>
      </c>
      <c r="E2" t="s">
        <v>126</v>
      </c>
      <c r="F2" t="s">
        <v>21</v>
      </c>
      <c r="G2" t="s">
        <v>127</v>
      </c>
      <c r="H2" t="s">
        <v>10</v>
      </c>
      <c r="I2" t="s">
        <v>128</v>
      </c>
      <c r="J2" t="s">
        <v>129</v>
      </c>
      <c r="K2" t="s">
        <v>130</v>
      </c>
      <c r="L2" t="s">
        <v>11</v>
      </c>
      <c r="M2">
        <v>45879.734236111108</v>
      </c>
      <c r="N2">
        <v>45879.734236111108</v>
      </c>
      <c r="O2" s="38" t="str">
        <f>siteUrl&amp;"/Lists/"&amp;custList&amp;"/DispForm.aspx?ID="&amp;Customers[[#This Row],[Id]]</f>
        <v>https://cleansheet5.sharepoint.com/sites/SalesFunnel//Lists/crmCustomers/DispForm.aspx?ID=160</v>
      </c>
      <c r="P2" s="38" t="str">
        <f>_xlfn.XLOOKUP(Customers[[#This Row],[Id]],Customers[Id],Customers[CustomerName])</f>
        <v>ACME Corporation</v>
      </c>
      <c r="Q2" s="38" t="str">
        <f>_xlfn.XLOOKUP(Customers[[#This Row],[Id]],Customers[Id],Customers[url2])</f>
        <v>https://cleansheet5.sharepoint.com/sites/SalesFunnel//Lists/crmCustomers/DispForm.aspx?ID=160</v>
      </c>
      <c r="R2" t="s">
        <v>55</v>
      </c>
    </row>
    <row r="3" spans="1:25" x14ac:dyDescent="0.25">
      <c r="A3">
        <v>161</v>
      </c>
      <c r="C3" t="s">
        <v>103</v>
      </c>
      <c r="D3" t="s">
        <v>131</v>
      </c>
      <c r="E3" t="s">
        <v>132</v>
      </c>
      <c r="F3" t="s">
        <v>133</v>
      </c>
      <c r="G3" t="s">
        <v>134</v>
      </c>
      <c r="H3" t="s">
        <v>135</v>
      </c>
      <c r="I3" t="s">
        <v>136</v>
      </c>
      <c r="J3" t="s">
        <v>137</v>
      </c>
      <c r="K3" t="s">
        <v>138</v>
      </c>
      <c r="L3" t="s">
        <v>139</v>
      </c>
      <c r="M3">
        <v>45879.734259259261</v>
      </c>
      <c r="N3">
        <v>45879.734259259261</v>
      </c>
      <c r="O3" s="38" t="str">
        <f>siteUrl&amp;"/Lists/"&amp;custList&amp;"/DispForm.aspx?ID="&amp;Customers[[#This Row],[Id]]</f>
        <v>https://cleansheet5.sharepoint.com/sites/SalesFunnel//Lists/crmCustomers/DispForm.aspx?ID=161</v>
      </c>
      <c r="P3" s="38" t="str">
        <f>_xlfn.XLOOKUP(Customers[[#This Row],[Id]],Customers[Id],Customers[CustomerName])</f>
        <v>Global Industries</v>
      </c>
      <c r="Q3" s="38" t="str">
        <f>_xlfn.XLOOKUP(Customers[[#This Row],[Id]],Customers[Id],Customers[url2])</f>
        <v>https://cleansheet5.sharepoint.com/sites/SalesFunnel//Lists/crmCustomers/DispForm.aspx?ID=161</v>
      </c>
      <c r="Y3" t="s">
        <v>56</v>
      </c>
    </row>
    <row r="4" spans="1:25" x14ac:dyDescent="0.25">
      <c r="A4">
        <v>162</v>
      </c>
      <c r="C4" t="s">
        <v>140</v>
      </c>
      <c r="D4" t="s">
        <v>141</v>
      </c>
      <c r="E4" t="s">
        <v>142</v>
      </c>
      <c r="F4" t="s">
        <v>21</v>
      </c>
      <c r="G4" t="s">
        <v>13</v>
      </c>
      <c r="H4" t="s">
        <v>143</v>
      </c>
      <c r="I4" t="s">
        <v>144</v>
      </c>
      <c r="J4" t="s">
        <v>145</v>
      </c>
      <c r="K4" t="s">
        <v>146</v>
      </c>
      <c r="L4" t="s">
        <v>147</v>
      </c>
      <c r="M4">
        <v>45879.734282407408</v>
      </c>
      <c r="N4">
        <v>45879.734282407408</v>
      </c>
      <c r="O4" s="38" t="str">
        <f>siteUrl&amp;"/Lists/"&amp;custList&amp;"/DispForm.aspx?ID="&amp;Customers[[#This Row],[Id]]</f>
        <v>https://cleansheet5.sharepoint.com/sites/SalesFunnel//Lists/crmCustomers/DispForm.aspx?ID=162</v>
      </c>
      <c r="P4" s="38" t="str">
        <f>_xlfn.XLOOKUP(Customers[[#This Row],[Id]],Customers[Id],Customers[CustomerName])</f>
        <v>Tech Solutions Inc</v>
      </c>
      <c r="Q4" s="38" t="str">
        <f>_xlfn.XLOOKUP(Customers[[#This Row],[Id]],Customers[Id],Customers[url2])</f>
        <v>https://cleansheet5.sharepoint.com/sites/SalesFunnel//Lists/crmCustomers/DispForm.aspx?ID=162</v>
      </c>
      <c r="Y4" t="s">
        <v>64</v>
      </c>
    </row>
    <row r="5" spans="1:25" x14ac:dyDescent="0.25">
      <c r="A5">
        <v>163</v>
      </c>
      <c r="C5" t="s">
        <v>148</v>
      </c>
      <c r="D5" t="s">
        <v>149</v>
      </c>
      <c r="E5" t="s">
        <v>150</v>
      </c>
      <c r="F5" t="s">
        <v>21</v>
      </c>
      <c r="G5" t="s">
        <v>151</v>
      </c>
      <c r="H5" t="s">
        <v>152</v>
      </c>
      <c r="I5" t="s">
        <v>153</v>
      </c>
      <c r="J5" t="s">
        <v>154</v>
      </c>
      <c r="K5" t="s">
        <v>155</v>
      </c>
      <c r="L5" t="s">
        <v>156</v>
      </c>
      <c r="M5">
        <v>45879.734293981484</v>
      </c>
      <c r="N5">
        <v>45879.734293981484</v>
      </c>
      <c r="O5" s="38" t="str">
        <f>siteUrl&amp;"/Lists/"&amp;custList&amp;"/DispForm.aspx?ID="&amp;Customers[[#This Row],[Id]]</f>
        <v>https://cleansheet5.sharepoint.com/sites/SalesFunnel//Lists/crmCustomers/DispForm.aspx?ID=163</v>
      </c>
      <c r="P5" s="38" t="str">
        <f>_xlfn.XLOOKUP(Customers[[#This Row],[Id]],Customers[Id],Customers[CustomerName])</f>
        <v>Manufacturing Plus</v>
      </c>
      <c r="Q5" s="38" t="str">
        <f>_xlfn.XLOOKUP(Customers[[#This Row],[Id]],Customers[Id],Customers[url2])</f>
        <v>https://cleansheet5.sharepoint.com/sites/SalesFunnel//Lists/crmCustomers/DispForm.aspx?ID=163</v>
      </c>
      <c r="Y5" t="s">
        <v>57</v>
      </c>
    </row>
    <row r="6" spans="1:25" x14ac:dyDescent="0.25">
      <c r="A6">
        <v>164</v>
      </c>
      <c r="C6" t="s">
        <v>157</v>
      </c>
      <c r="D6" t="s">
        <v>158</v>
      </c>
      <c r="E6" t="s">
        <v>159</v>
      </c>
      <c r="F6" t="s">
        <v>133</v>
      </c>
      <c r="G6" t="s">
        <v>160</v>
      </c>
      <c r="H6" t="s">
        <v>12</v>
      </c>
      <c r="I6" t="s">
        <v>161</v>
      </c>
      <c r="J6" t="s">
        <v>162</v>
      </c>
      <c r="K6" t="s">
        <v>163</v>
      </c>
      <c r="L6" t="s">
        <v>164</v>
      </c>
      <c r="M6">
        <v>45879.734317129631</v>
      </c>
      <c r="N6">
        <v>45879.734317129631</v>
      </c>
      <c r="O6" s="38" t="str">
        <f>siteUrl&amp;"/Lists/"&amp;custList&amp;"/DispForm.aspx?ID="&amp;Customers[[#This Row],[Id]]</f>
        <v>https://cleansheet5.sharepoint.com/sites/SalesFunnel//Lists/crmCustomers/DispForm.aspx?ID=164</v>
      </c>
      <c r="P6" s="38" t="str">
        <f>_xlfn.XLOOKUP(Customers[[#This Row],[Id]],Customers[Id],Customers[CustomerName])</f>
        <v>Healthcare Partners</v>
      </c>
      <c r="Q6" s="38" t="str">
        <f>_xlfn.XLOOKUP(Customers[[#This Row],[Id]],Customers[Id],Customers[url2])</f>
        <v>https://cleansheet5.sharepoint.com/sites/SalesFunnel//Lists/crmCustomers/DispForm.aspx?ID=164</v>
      </c>
      <c r="Y6" t="s">
        <v>58</v>
      </c>
    </row>
    <row r="7" spans="1:25" x14ac:dyDescent="0.25">
      <c r="A7">
        <v>165</v>
      </c>
      <c r="C7" t="s">
        <v>312</v>
      </c>
      <c r="D7" t="s">
        <v>313</v>
      </c>
      <c r="E7" t="s">
        <v>314</v>
      </c>
      <c r="F7" t="s">
        <v>21</v>
      </c>
      <c r="G7" t="s">
        <v>315</v>
      </c>
      <c r="H7" t="s">
        <v>316</v>
      </c>
      <c r="I7" t="s">
        <v>317</v>
      </c>
      <c r="J7" t="s">
        <v>318</v>
      </c>
      <c r="K7" t="s">
        <v>319</v>
      </c>
      <c r="L7" t="s">
        <v>147</v>
      </c>
      <c r="M7">
        <v>45879.734340277777</v>
      </c>
      <c r="N7">
        <v>45879.734340277777</v>
      </c>
      <c r="O7" s="38" t="str">
        <f>siteUrl&amp;"/Lists/"&amp;custList&amp;"/DispForm.aspx?ID="&amp;Customers[[#This Row],[Id]]</f>
        <v>https://cleansheet5.sharepoint.com/sites/SalesFunnel//Lists/crmCustomers/DispForm.aspx?ID=165</v>
      </c>
      <c r="P7" s="38" t="str">
        <f>_xlfn.XLOOKUP(Customers[[#This Row],[Id]],Customers[Id],Customers[CustomerName])</f>
        <v>Financial Dynamics</v>
      </c>
      <c r="Q7" s="38" t="str">
        <f>_xlfn.XLOOKUP(Customers[[#This Row],[Id]],Customers[Id],Customers[url2])</f>
        <v>https://cleansheet5.sharepoint.com/sites/SalesFunnel//Lists/crmCustomers/DispForm.aspx?ID=165</v>
      </c>
      <c r="Y7" t="s">
        <v>65</v>
      </c>
    </row>
    <row r="8" spans="1:25" x14ac:dyDescent="0.25">
      <c r="A8">
        <v>166</v>
      </c>
      <c r="C8" t="s">
        <v>320</v>
      </c>
      <c r="D8" t="s">
        <v>321</v>
      </c>
      <c r="E8" t="s">
        <v>322</v>
      </c>
      <c r="F8" t="s">
        <v>133</v>
      </c>
      <c r="G8" t="s">
        <v>323</v>
      </c>
      <c r="H8" t="s">
        <v>220</v>
      </c>
      <c r="I8" t="s">
        <v>324</v>
      </c>
      <c r="J8" t="s">
        <v>325</v>
      </c>
      <c r="K8" t="s">
        <v>326</v>
      </c>
      <c r="L8" t="s">
        <v>327</v>
      </c>
      <c r="M8">
        <v>45879.734351851854</v>
      </c>
      <c r="N8">
        <v>45879.734351851854</v>
      </c>
      <c r="O8" s="38" t="str">
        <f>siteUrl&amp;"/Lists/"&amp;custList&amp;"/DispForm.aspx?ID="&amp;Customers[[#This Row],[Id]]</f>
        <v>https://cleansheet5.sharepoint.com/sites/SalesFunnel//Lists/crmCustomers/DispForm.aspx?ID=166</v>
      </c>
      <c r="P8" s="38" t="str">
        <f>_xlfn.XLOOKUP(Customers[[#This Row],[Id]],Customers[Id],Customers[CustomerName])</f>
        <v>Retail Excellence</v>
      </c>
      <c r="Q8" s="38" t="str">
        <f>_xlfn.XLOOKUP(Customers[[#This Row],[Id]],Customers[Id],Customers[url2])</f>
        <v>https://cleansheet5.sharepoint.com/sites/SalesFunnel//Lists/crmCustomers/DispForm.aspx?ID=166</v>
      </c>
      <c r="Y8" t="s">
        <v>59</v>
      </c>
    </row>
    <row r="9" spans="1:25" x14ac:dyDescent="0.25">
      <c r="A9">
        <v>167</v>
      </c>
      <c r="C9" t="s">
        <v>328</v>
      </c>
      <c r="D9" t="s">
        <v>329</v>
      </c>
      <c r="E9" t="s">
        <v>330</v>
      </c>
      <c r="F9" t="s">
        <v>21</v>
      </c>
      <c r="G9" t="s">
        <v>331</v>
      </c>
      <c r="H9" t="s">
        <v>332</v>
      </c>
      <c r="I9" t="s">
        <v>333</v>
      </c>
      <c r="J9" t="s">
        <v>309</v>
      </c>
      <c r="K9" t="s">
        <v>334</v>
      </c>
      <c r="L9" t="s">
        <v>283</v>
      </c>
      <c r="M9">
        <v>45879.734375</v>
      </c>
      <c r="N9">
        <v>45879.734375</v>
      </c>
      <c r="O9" s="38" t="str">
        <f>siteUrl&amp;"/Lists/"&amp;custList&amp;"/DispForm.aspx?ID="&amp;Customers[[#This Row],[Id]]</f>
        <v>https://cleansheet5.sharepoint.com/sites/SalesFunnel//Lists/crmCustomers/DispForm.aspx?ID=167</v>
      </c>
      <c r="P9" s="38" t="str">
        <f>_xlfn.XLOOKUP(Customers[[#This Row],[Id]],Customers[Id],Customers[CustomerName])</f>
        <v>Energy Solutions Group</v>
      </c>
      <c r="Q9" s="38" t="str">
        <f>_xlfn.XLOOKUP(Customers[[#This Row],[Id]],Customers[Id],Customers[url2])</f>
        <v>https://cleansheet5.sharepoint.com/sites/SalesFunnel//Lists/crmCustomers/DispForm.aspx?ID=167</v>
      </c>
      <c r="Y9" t="s">
        <v>60</v>
      </c>
    </row>
    <row r="10" spans="1:25" x14ac:dyDescent="0.25">
      <c r="A10">
        <v>168</v>
      </c>
      <c r="C10" t="s">
        <v>335</v>
      </c>
      <c r="D10" t="s">
        <v>336</v>
      </c>
      <c r="E10" t="s">
        <v>337</v>
      </c>
      <c r="F10" t="s">
        <v>21</v>
      </c>
      <c r="G10" t="s">
        <v>338</v>
      </c>
      <c r="H10" t="s">
        <v>339</v>
      </c>
      <c r="I10" t="s">
        <v>340</v>
      </c>
      <c r="J10" t="s">
        <v>341</v>
      </c>
      <c r="K10" t="s">
        <v>342</v>
      </c>
      <c r="L10" t="s">
        <v>343</v>
      </c>
      <c r="M10">
        <v>45879.734386574077</v>
      </c>
      <c r="N10">
        <v>45879.734386574077</v>
      </c>
      <c r="O10" s="38" t="str">
        <f>siteUrl&amp;"/Lists/"&amp;custList&amp;"/DispForm.aspx?ID="&amp;Customers[[#This Row],[Id]]</f>
        <v>https://cleansheet5.sharepoint.com/sites/SalesFunnel//Lists/crmCustomers/DispForm.aspx?ID=168</v>
      </c>
      <c r="P10" s="38" t="str">
        <f>_xlfn.XLOOKUP(Customers[[#This Row],[Id]],Customers[Id],Customers[CustomerName])</f>
        <v>Construction Dynamics</v>
      </c>
      <c r="Q10" s="38" t="str">
        <f>_xlfn.XLOOKUP(Customers[[#This Row],[Id]],Customers[Id],Customers[url2])</f>
        <v>https://cleansheet5.sharepoint.com/sites/SalesFunnel//Lists/crmCustomers/DispForm.aspx?ID=168</v>
      </c>
      <c r="Y10" t="s">
        <v>56</v>
      </c>
    </row>
    <row r="11" spans="1:25" x14ac:dyDescent="0.25">
      <c r="A11">
        <v>169</v>
      </c>
      <c r="C11" t="s">
        <v>344</v>
      </c>
      <c r="D11" t="s">
        <v>345</v>
      </c>
      <c r="E11" t="s">
        <v>346</v>
      </c>
      <c r="F11" t="s">
        <v>133</v>
      </c>
      <c r="G11" t="s">
        <v>347</v>
      </c>
      <c r="H11" t="s">
        <v>348</v>
      </c>
      <c r="I11" t="s">
        <v>349</v>
      </c>
      <c r="J11" t="s">
        <v>350</v>
      </c>
      <c r="K11" t="s">
        <v>351</v>
      </c>
      <c r="L11" t="s">
        <v>352</v>
      </c>
      <c r="M11">
        <v>45879.734409722223</v>
      </c>
      <c r="N11">
        <v>45879.734409722223</v>
      </c>
      <c r="O11" s="38" t="str">
        <f>siteUrl&amp;"/Lists/"&amp;custList&amp;"/DispForm.aspx?ID="&amp;Customers[[#This Row],[Id]]</f>
        <v>https://cleansheet5.sharepoint.com/sites/SalesFunnel//Lists/crmCustomers/DispForm.aspx?ID=169</v>
      </c>
      <c r="P11" s="38" t="str">
        <f>_xlfn.XLOOKUP(Customers[[#This Row],[Id]],Customers[Id],Customers[CustomerName])</f>
        <v>Education First</v>
      </c>
      <c r="Q11" s="38" t="str">
        <f>_xlfn.XLOOKUP(Customers[[#This Row],[Id]],Customers[Id],Customers[url2])</f>
        <v>https://cleansheet5.sharepoint.com/sites/SalesFunnel//Lists/crmCustomers/DispForm.aspx?ID=169</v>
      </c>
      <c r="Y11" t="s">
        <v>66</v>
      </c>
    </row>
    <row r="12" spans="1:25" x14ac:dyDescent="0.25">
      <c r="A12">
        <v>170</v>
      </c>
      <c r="C12" t="s">
        <v>353</v>
      </c>
      <c r="D12" t="s">
        <v>354</v>
      </c>
      <c r="E12" t="s">
        <v>355</v>
      </c>
      <c r="F12" t="s">
        <v>21</v>
      </c>
      <c r="G12" t="s">
        <v>356</v>
      </c>
      <c r="H12" t="s">
        <v>357</v>
      </c>
      <c r="I12" t="s">
        <v>358</v>
      </c>
      <c r="J12" t="s">
        <v>258</v>
      </c>
      <c r="K12" t="s">
        <v>359</v>
      </c>
      <c r="L12" t="s">
        <v>360</v>
      </c>
      <c r="M12">
        <v>45879.734432870369</v>
      </c>
      <c r="N12">
        <v>45879.734432870369</v>
      </c>
      <c r="O12" s="38" t="str">
        <f>siteUrl&amp;"/Lists/"&amp;custList&amp;"/DispForm.aspx?ID="&amp;Customers[[#This Row],[Id]]</f>
        <v>https://cleansheet5.sharepoint.com/sites/SalesFunnel//Lists/crmCustomers/DispForm.aspx?ID=170</v>
      </c>
      <c r="P12" s="38" t="str">
        <f>_xlfn.XLOOKUP(Customers[[#This Row],[Id]],Customers[Id],Customers[CustomerName])</f>
        <v>Transport Logistics</v>
      </c>
      <c r="Q12" s="38" t="str">
        <f>_xlfn.XLOOKUP(Customers[[#This Row],[Id]],Customers[Id],Customers[url2])</f>
        <v>https://cleansheet5.sharepoint.com/sites/SalesFunnel//Lists/crmCustomers/DispForm.aspx?ID=170</v>
      </c>
      <c r="Y12" t="s">
        <v>57</v>
      </c>
    </row>
    <row r="13" spans="1:25" x14ac:dyDescent="0.25">
      <c r="A13">
        <v>171</v>
      </c>
      <c r="C13" t="s">
        <v>361</v>
      </c>
      <c r="D13" t="s">
        <v>362</v>
      </c>
      <c r="E13" t="s">
        <v>363</v>
      </c>
      <c r="F13" t="s">
        <v>133</v>
      </c>
      <c r="G13" t="s">
        <v>364</v>
      </c>
      <c r="H13" t="s">
        <v>339</v>
      </c>
      <c r="I13" t="s">
        <v>365</v>
      </c>
      <c r="J13" t="s">
        <v>366</v>
      </c>
      <c r="K13" t="s">
        <v>367</v>
      </c>
      <c r="L13" t="s">
        <v>368</v>
      </c>
      <c r="M13">
        <v>45879.734444444446</v>
      </c>
      <c r="N13">
        <v>45879.734444444446</v>
      </c>
      <c r="O13" s="38" t="str">
        <f>siteUrl&amp;"/Lists/"&amp;custList&amp;"/DispForm.aspx?ID="&amp;Customers[[#This Row],[Id]]</f>
        <v>https://cleansheet5.sharepoint.com/sites/SalesFunnel//Lists/crmCustomers/DispForm.aspx?ID=171</v>
      </c>
      <c r="P13" s="38" t="str">
        <f>_xlfn.XLOOKUP(Customers[[#This Row],[Id]],Customers[Id],Customers[CustomerName])</f>
        <v>Food Service Partners</v>
      </c>
      <c r="Q13" s="38" t="str">
        <f>_xlfn.XLOOKUP(Customers[[#This Row],[Id]],Customers[Id],Customers[url2])</f>
        <v>https://cleansheet5.sharepoint.com/sites/SalesFunnel//Lists/crmCustomers/DispForm.aspx?ID=171</v>
      </c>
      <c r="Y13" t="s">
        <v>67</v>
      </c>
    </row>
    <row r="14" spans="1:25" x14ac:dyDescent="0.25">
      <c r="A14">
        <v>172</v>
      </c>
      <c r="C14" t="s">
        <v>369</v>
      </c>
      <c r="D14" t="s">
        <v>370</v>
      </c>
      <c r="E14" t="s">
        <v>371</v>
      </c>
      <c r="F14" t="s">
        <v>21</v>
      </c>
      <c r="G14" t="s">
        <v>372</v>
      </c>
      <c r="H14" t="s">
        <v>373</v>
      </c>
      <c r="I14" t="s">
        <v>374</v>
      </c>
      <c r="J14" t="s">
        <v>375</v>
      </c>
      <c r="K14" t="s">
        <v>376</v>
      </c>
      <c r="L14" t="s">
        <v>258</v>
      </c>
      <c r="M14">
        <v>45879.734467592592</v>
      </c>
      <c r="N14">
        <v>45879.734467592592</v>
      </c>
      <c r="O14" s="38" t="str">
        <f>siteUrl&amp;"/Lists/"&amp;custList&amp;"/DispForm.aspx?ID="&amp;Customers[[#This Row],[Id]]</f>
        <v>https://cleansheet5.sharepoint.com/sites/SalesFunnel//Lists/crmCustomers/DispForm.aspx?ID=172</v>
      </c>
      <c r="P14" s="38" t="str">
        <f>_xlfn.XLOOKUP(Customers[[#This Row],[Id]],Customers[Id],Customers[CustomerName])</f>
        <v>Professional Services Group</v>
      </c>
      <c r="Q14" s="38" t="str">
        <f>_xlfn.XLOOKUP(Customers[[#This Row],[Id]],Customers[Id],Customers[url2])</f>
        <v>https://cleansheet5.sharepoint.com/sites/SalesFunnel//Lists/crmCustomers/DispForm.aspx?ID=172</v>
      </c>
      <c r="Y14" t="s">
        <v>68</v>
      </c>
    </row>
    <row r="15" spans="1:25" x14ac:dyDescent="0.25">
      <c r="A15">
        <v>173</v>
      </c>
      <c r="C15" t="s">
        <v>377</v>
      </c>
      <c r="D15" t="s">
        <v>378</v>
      </c>
      <c r="E15" t="s">
        <v>379</v>
      </c>
      <c r="F15" t="s">
        <v>21</v>
      </c>
      <c r="G15" t="s">
        <v>380</v>
      </c>
      <c r="H15" t="s">
        <v>381</v>
      </c>
      <c r="I15" t="s">
        <v>382</v>
      </c>
      <c r="J15" t="s">
        <v>229</v>
      </c>
      <c r="K15" t="s">
        <v>383</v>
      </c>
      <c r="L15" t="s">
        <v>384</v>
      </c>
      <c r="M15">
        <v>45879.734479166669</v>
      </c>
      <c r="N15">
        <v>45879.734479166669</v>
      </c>
      <c r="O15" s="38" t="str">
        <f>siteUrl&amp;"/Lists/"&amp;custList&amp;"/DispForm.aspx?ID="&amp;Customers[[#This Row],[Id]]</f>
        <v>https://cleansheet5.sharepoint.com/sites/SalesFunnel//Lists/crmCustomers/DispForm.aspx?ID=173</v>
      </c>
      <c r="P15" s="38" t="str">
        <f>_xlfn.XLOOKUP(Customers[[#This Row],[Id]],Customers[Id],Customers[CustomerName])</f>
        <v>Media Communications</v>
      </c>
      <c r="Q15" s="38" t="str">
        <f>_xlfn.XLOOKUP(Customers[[#This Row],[Id]],Customers[Id],Customers[url2])</f>
        <v>https://cleansheet5.sharepoint.com/sites/SalesFunnel//Lists/crmCustomers/DispForm.aspx?ID=173</v>
      </c>
      <c r="Y15" t="s">
        <v>59</v>
      </c>
    </row>
    <row r="16" spans="1:25" x14ac:dyDescent="0.25">
      <c r="A16">
        <v>174</v>
      </c>
      <c r="C16" t="s">
        <v>385</v>
      </c>
      <c r="D16" t="s">
        <v>386</v>
      </c>
      <c r="E16" t="s">
        <v>387</v>
      </c>
      <c r="F16" t="s">
        <v>133</v>
      </c>
      <c r="G16" t="s">
        <v>388</v>
      </c>
      <c r="H16" t="s">
        <v>389</v>
      </c>
      <c r="I16" t="s">
        <v>390</v>
      </c>
      <c r="J16" t="s">
        <v>391</v>
      </c>
      <c r="K16" t="s">
        <v>392</v>
      </c>
      <c r="L16" t="s">
        <v>393</v>
      </c>
      <c r="M16">
        <v>45879.734502314815</v>
      </c>
      <c r="N16">
        <v>45879.734502314815</v>
      </c>
      <c r="O16" s="38" t="str">
        <f>siteUrl&amp;"/Lists/"&amp;custList&amp;"/DispForm.aspx?ID="&amp;Customers[[#This Row],[Id]]</f>
        <v>https://cleansheet5.sharepoint.com/sites/SalesFunnel//Lists/crmCustomers/DispForm.aspx?ID=174</v>
      </c>
      <c r="P16" s="38" t="str">
        <f>_xlfn.XLOOKUP(Customers[[#This Row],[Id]],Customers[Id],Customers[CustomerName])</f>
        <v>Pharmaceutical Research</v>
      </c>
      <c r="Q16" s="38" t="str">
        <f>_xlfn.XLOOKUP(Customers[[#This Row],[Id]],Customers[Id],Customers[url2])</f>
        <v>https://cleansheet5.sharepoint.com/sites/SalesFunnel//Lists/crmCustomers/DispForm.aspx?ID=174</v>
      </c>
      <c r="Y16" t="s">
        <v>60</v>
      </c>
    </row>
    <row r="17" spans="1:39" x14ac:dyDescent="0.25">
      <c r="A17">
        <v>175</v>
      </c>
      <c r="C17" t="s">
        <v>394</v>
      </c>
      <c r="D17" t="s">
        <v>395</v>
      </c>
      <c r="E17" t="s">
        <v>396</v>
      </c>
      <c r="F17" t="s">
        <v>21</v>
      </c>
      <c r="G17" t="s">
        <v>397</v>
      </c>
      <c r="H17" t="s">
        <v>398</v>
      </c>
      <c r="I17" t="s">
        <v>399</v>
      </c>
      <c r="J17" t="s">
        <v>400</v>
      </c>
      <c r="K17" t="s">
        <v>401</v>
      </c>
      <c r="L17" t="s">
        <v>402</v>
      </c>
      <c r="M17">
        <v>45879.734513888892</v>
      </c>
      <c r="N17">
        <v>45879.734513888892</v>
      </c>
      <c r="O17" s="38" t="str">
        <f>siteUrl&amp;"/Lists/"&amp;custList&amp;"/DispForm.aspx?ID="&amp;Customers[[#This Row],[Id]]</f>
        <v>https://cleansheet5.sharepoint.com/sites/SalesFunnel//Lists/crmCustomers/DispForm.aspx?ID=175</v>
      </c>
      <c r="P17" s="38" t="str">
        <f>_xlfn.XLOOKUP(Customers[[#This Row],[Id]],Customers[Id],Customers[CustomerName])</f>
        <v>Real Estate Ventures</v>
      </c>
      <c r="Q17" s="38" t="str">
        <f>_xlfn.XLOOKUP(Customers[[#This Row],[Id]],Customers[Id],Customers[url2])</f>
        <v>https://cleansheet5.sharepoint.com/sites/SalesFunnel//Lists/crmCustomers/DispForm.aspx?ID=175</v>
      </c>
      <c r="Y17" t="s">
        <v>56</v>
      </c>
    </row>
    <row r="18" spans="1:39" x14ac:dyDescent="0.25">
      <c r="A18">
        <v>176</v>
      </c>
      <c r="C18" t="s">
        <v>403</v>
      </c>
      <c r="D18" t="s">
        <v>404</v>
      </c>
      <c r="E18" t="s">
        <v>405</v>
      </c>
      <c r="F18" t="s">
        <v>133</v>
      </c>
      <c r="G18" t="s">
        <v>406</v>
      </c>
      <c r="H18" t="s">
        <v>407</v>
      </c>
      <c r="I18" t="s">
        <v>408</v>
      </c>
      <c r="J18" t="s">
        <v>409</v>
      </c>
      <c r="K18" t="s">
        <v>410</v>
      </c>
      <c r="L18" t="s">
        <v>411</v>
      </c>
      <c r="M18">
        <v>45879.734537037039</v>
      </c>
      <c r="N18">
        <v>45879.734537037039</v>
      </c>
      <c r="O18" s="38" t="str">
        <f>siteUrl&amp;"/Lists/"&amp;custList&amp;"/DispForm.aspx?ID="&amp;Customers[[#This Row],[Id]]</f>
        <v>https://cleansheet5.sharepoint.com/sites/SalesFunnel//Lists/crmCustomers/DispForm.aspx?ID=176</v>
      </c>
      <c r="P18" s="38" t="str">
        <f>_xlfn.XLOOKUP(Customers[[#This Row],[Id]],Customers[Id],Customers[CustomerName])</f>
        <v>Insurance Specialists</v>
      </c>
      <c r="Q18" s="38" t="str">
        <f>_xlfn.XLOOKUP(Customers[[#This Row],[Id]],Customers[Id],Customers[url2])</f>
        <v>https://cleansheet5.sharepoint.com/sites/SalesFunnel//Lists/crmCustomers/DispForm.aspx?ID=176</v>
      </c>
      <c r="Y18" t="s">
        <v>69</v>
      </c>
    </row>
    <row r="19" spans="1:39" x14ac:dyDescent="0.25">
      <c r="A19">
        <v>177</v>
      </c>
      <c r="C19" t="s">
        <v>412</v>
      </c>
      <c r="D19" t="s">
        <v>413</v>
      </c>
      <c r="E19" t="s">
        <v>414</v>
      </c>
      <c r="F19" t="s">
        <v>21</v>
      </c>
      <c r="G19" t="s">
        <v>415</v>
      </c>
      <c r="H19" t="s">
        <v>416</v>
      </c>
      <c r="I19" t="s">
        <v>417</v>
      </c>
      <c r="J19" t="s">
        <v>418</v>
      </c>
      <c r="K19" t="s">
        <v>419</v>
      </c>
      <c r="L19" t="s">
        <v>420</v>
      </c>
      <c r="M19">
        <v>45879.734560185185</v>
      </c>
      <c r="N19">
        <v>45879.734560185185</v>
      </c>
      <c r="O19" s="38" t="str">
        <f>siteUrl&amp;"/Lists/"&amp;custList&amp;"/DispForm.aspx?ID="&amp;Customers[[#This Row],[Id]]</f>
        <v>https://cleansheet5.sharepoint.com/sites/SalesFunnel//Lists/crmCustomers/DispForm.aspx?ID=177</v>
      </c>
      <c r="P19" s="38" t="str">
        <f>_xlfn.XLOOKUP(Customers[[#This Row],[Id]],Customers[Id],Customers[CustomerName])</f>
        <v>Agricultural Systems</v>
      </c>
      <c r="Q19" s="38" t="str">
        <f>_xlfn.XLOOKUP(Customers[[#This Row],[Id]],Customers[Id],Customers[url2])</f>
        <v>https://cleansheet5.sharepoint.com/sites/SalesFunnel//Lists/crmCustomers/DispForm.aspx?ID=177</v>
      </c>
      <c r="Y19" t="s">
        <v>57</v>
      </c>
    </row>
    <row r="20" spans="1:39" x14ac:dyDescent="0.25">
      <c r="A20">
        <v>178</v>
      </c>
      <c r="C20" t="s">
        <v>421</v>
      </c>
      <c r="D20" t="s">
        <v>422</v>
      </c>
      <c r="E20" t="s">
        <v>423</v>
      </c>
      <c r="F20" t="s">
        <v>21</v>
      </c>
      <c r="G20" t="s">
        <v>424</v>
      </c>
      <c r="H20" t="s">
        <v>339</v>
      </c>
      <c r="I20" t="s">
        <v>425</v>
      </c>
      <c r="J20" t="s">
        <v>426</v>
      </c>
      <c r="K20" t="s">
        <v>427</v>
      </c>
      <c r="L20" t="s">
        <v>428</v>
      </c>
      <c r="M20">
        <v>45879.734571759262</v>
      </c>
      <c r="N20">
        <v>45879.734571759262</v>
      </c>
      <c r="O20" s="38" t="str">
        <f>siteUrl&amp;"/Lists/"&amp;custList&amp;"/DispForm.aspx?ID="&amp;Customers[[#This Row],[Id]]</f>
        <v>https://cleansheet5.sharepoint.com/sites/SalesFunnel//Lists/crmCustomers/DispForm.aspx?ID=178</v>
      </c>
      <c r="P20" s="38" t="str">
        <f>_xlfn.XLOOKUP(Customers[[#This Row],[Id]],Customers[Id],Customers[CustomerName])</f>
        <v>Hotel Management Group</v>
      </c>
      <c r="Q20" s="38" t="str">
        <f>_xlfn.XLOOKUP(Customers[[#This Row],[Id]],Customers[Id],Customers[url2])</f>
        <v>https://cleansheet5.sharepoint.com/sites/SalesFunnel//Lists/crmCustomers/DispForm.aspx?ID=178</v>
      </c>
      <c r="Y20" t="s">
        <v>70</v>
      </c>
    </row>
    <row r="21" spans="1:39" x14ac:dyDescent="0.25">
      <c r="A21">
        <v>179</v>
      </c>
      <c r="C21" t="s">
        <v>216</v>
      </c>
      <c r="D21" t="s">
        <v>217</v>
      </c>
      <c r="E21" t="s">
        <v>218</v>
      </c>
      <c r="F21" t="s">
        <v>133</v>
      </c>
      <c r="G21" t="s">
        <v>219</v>
      </c>
      <c r="H21" t="s">
        <v>220</v>
      </c>
      <c r="I21" t="s">
        <v>221</v>
      </c>
      <c r="J21" t="s">
        <v>222</v>
      </c>
      <c r="K21" t="s">
        <v>223</v>
      </c>
      <c r="L21" t="s">
        <v>224</v>
      </c>
      <c r="M21">
        <v>45879.734594907408</v>
      </c>
      <c r="N21">
        <v>45879.734594907408</v>
      </c>
      <c r="O21" s="38" t="str">
        <f>siteUrl&amp;"/Lists/"&amp;custList&amp;"/DispForm.aspx?ID="&amp;Customers[[#This Row],[Id]]</f>
        <v>https://cleansheet5.sharepoint.com/sites/SalesFunnel//Lists/crmCustomers/DispForm.aspx?ID=179</v>
      </c>
      <c r="P21" s="38" t="str">
        <f>_xlfn.XLOOKUP(Customers[[#This Row],[Id]],Customers[Id],Customers[CustomerName])</f>
        <v>Automotive Parts Plus</v>
      </c>
      <c r="Q21" s="38" t="str">
        <f>_xlfn.XLOOKUP(Customers[[#This Row],[Id]],Customers[Id],Customers[url2])</f>
        <v>https://cleansheet5.sharepoint.com/sites/SalesFunnel//Lists/crmCustomers/DispForm.aspx?ID=179</v>
      </c>
      <c r="Y21" t="s">
        <v>71</v>
      </c>
    </row>
    <row r="22" spans="1:39" x14ac:dyDescent="0.25">
      <c r="A22">
        <v>180</v>
      </c>
      <c r="C22" t="s">
        <v>225</v>
      </c>
      <c r="D22" t="s">
        <v>226</v>
      </c>
      <c r="E22" t="s">
        <v>227</v>
      </c>
      <c r="F22" t="s">
        <v>21</v>
      </c>
      <c r="G22" t="s">
        <v>228</v>
      </c>
      <c r="H22" t="s">
        <v>229</v>
      </c>
      <c r="I22" t="s">
        <v>230</v>
      </c>
      <c r="J22" t="s">
        <v>231</v>
      </c>
      <c r="K22" t="s">
        <v>232</v>
      </c>
      <c r="L22" t="s">
        <v>233</v>
      </c>
      <c r="M22">
        <v>45879.734618055554</v>
      </c>
      <c r="N22">
        <v>45879.734618055554</v>
      </c>
      <c r="O22" s="38" t="str">
        <f>siteUrl&amp;"/Lists/"&amp;custList&amp;"/DispForm.aspx?ID="&amp;Customers[[#This Row],[Id]]</f>
        <v>https://cleansheet5.sharepoint.com/sites/SalesFunnel//Lists/crmCustomers/DispForm.aspx?ID=180</v>
      </c>
      <c r="P22" s="38" t="str">
        <f>_xlfn.XLOOKUP(Customers[[#This Row],[Id]],Customers[Id],Customers[CustomerName])</f>
        <v>Textile Manufacturing</v>
      </c>
      <c r="Q22" s="38" t="str">
        <f>_xlfn.XLOOKUP(Customers[[#This Row],[Id]],Customers[Id],Customers[url2])</f>
        <v>https://cleansheet5.sharepoint.com/sites/SalesFunnel//Lists/crmCustomers/DispForm.aspx?ID=180</v>
      </c>
      <c r="Y22" t="s">
        <v>59</v>
      </c>
    </row>
    <row r="23" spans="1:39" x14ac:dyDescent="0.25">
      <c r="A23">
        <v>181</v>
      </c>
      <c r="C23" t="s">
        <v>234</v>
      </c>
      <c r="D23" t="s">
        <v>235</v>
      </c>
      <c r="E23" t="s">
        <v>236</v>
      </c>
      <c r="F23" t="s">
        <v>133</v>
      </c>
      <c r="G23" t="s">
        <v>237</v>
      </c>
      <c r="H23" t="s">
        <v>238</v>
      </c>
      <c r="I23" t="s">
        <v>239</v>
      </c>
      <c r="J23" t="s">
        <v>240</v>
      </c>
      <c r="K23" t="s">
        <v>241</v>
      </c>
      <c r="L23" t="s">
        <v>242</v>
      </c>
      <c r="M23">
        <v>45879.734629629631</v>
      </c>
      <c r="N23">
        <v>45879.734629629631</v>
      </c>
      <c r="O23" s="38" t="str">
        <f>siteUrl&amp;"/Lists/"&amp;custList&amp;"/DispForm.aspx?ID="&amp;Customers[[#This Row],[Id]]</f>
        <v>https://cleansheet5.sharepoint.com/sites/SalesFunnel//Lists/crmCustomers/DispForm.aspx?ID=181</v>
      </c>
      <c r="P23" s="38" t="str">
        <f>_xlfn.XLOOKUP(Customers[[#This Row],[Id]],Customers[Id],Customers[CustomerName])</f>
        <v>Environmental Services</v>
      </c>
      <c r="Q23" s="38" t="str">
        <f>_xlfn.XLOOKUP(Customers[[#This Row],[Id]],Customers[Id],Customers[url2])</f>
        <v>https://cleansheet5.sharepoint.com/sites/SalesFunnel//Lists/crmCustomers/DispForm.aspx?ID=181</v>
      </c>
      <c r="Y23" t="s">
        <v>60</v>
      </c>
    </row>
    <row r="24" spans="1:39" x14ac:dyDescent="0.25">
      <c r="A24">
        <v>182</v>
      </c>
      <c r="C24" t="s">
        <v>243</v>
      </c>
      <c r="D24" t="s">
        <v>244</v>
      </c>
      <c r="E24" t="s">
        <v>245</v>
      </c>
      <c r="F24" t="s">
        <v>21</v>
      </c>
      <c r="G24" t="s">
        <v>246</v>
      </c>
      <c r="H24" t="s">
        <v>247</v>
      </c>
      <c r="I24" t="s">
        <v>248</v>
      </c>
      <c r="J24" t="s">
        <v>249</v>
      </c>
      <c r="K24" t="s">
        <v>250</v>
      </c>
      <c r="L24" t="s">
        <v>251</v>
      </c>
      <c r="M24">
        <v>45879.734652777777</v>
      </c>
      <c r="N24">
        <v>45879.734652777777</v>
      </c>
      <c r="O24" s="38" t="str">
        <f>siteUrl&amp;"/Lists/"&amp;custList&amp;"/DispForm.aspx?ID="&amp;Customers[[#This Row],[Id]]</f>
        <v>https://cleansheet5.sharepoint.com/sites/SalesFunnel//Lists/crmCustomers/DispForm.aspx?ID=182</v>
      </c>
      <c r="P24" s="38" t="str">
        <f>_xlfn.XLOOKUP(Customers[[#This Row],[Id]],Customers[Id],Customers[CustomerName])</f>
        <v>Sports &amp; Recreation</v>
      </c>
      <c r="Q24" s="38" t="str">
        <f>_xlfn.XLOOKUP(Customers[[#This Row],[Id]],Customers[Id],Customers[url2])</f>
        <v>https://cleansheet5.sharepoint.com/sites/SalesFunnel//Lists/crmCustomers/DispForm.aspx?ID=182</v>
      </c>
      <c r="Y24" t="s">
        <v>56</v>
      </c>
    </row>
    <row r="25" spans="1:39" x14ac:dyDescent="0.25">
      <c r="A25">
        <v>183</v>
      </c>
      <c r="C25" t="s">
        <v>252</v>
      </c>
      <c r="D25" t="s">
        <v>253</v>
      </c>
      <c r="E25" t="s">
        <v>254</v>
      </c>
      <c r="F25" t="s">
        <v>21</v>
      </c>
      <c r="G25" t="s">
        <v>255</v>
      </c>
      <c r="H25" t="s">
        <v>256</v>
      </c>
      <c r="I25" t="s">
        <v>257</v>
      </c>
      <c r="J25" t="s">
        <v>258</v>
      </c>
      <c r="K25" t="s">
        <v>259</v>
      </c>
      <c r="L25" t="s">
        <v>260</v>
      </c>
      <c r="M25">
        <v>45879.734675925924</v>
      </c>
      <c r="N25">
        <v>45879.734675925924</v>
      </c>
      <c r="O25" s="38" t="str">
        <f>siteUrl&amp;"/Lists/"&amp;custList&amp;"/DispForm.aspx?ID="&amp;Customers[[#This Row],[Id]]</f>
        <v>https://cleansheet5.sharepoint.com/sites/SalesFunnel//Lists/crmCustomers/DispForm.aspx?ID=183</v>
      </c>
      <c r="P25" s="38" t="str">
        <f>_xlfn.XLOOKUP(Customers[[#This Row],[Id]],Customers[Id],Customers[CustomerName])</f>
        <v>Security Solutions</v>
      </c>
      <c r="Q25" s="38" t="str">
        <f>_xlfn.XLOOKUP(Customers[[#This Row],[Id]],Customers[Id],Customers[url2])</f>
        <v>https://cleansheet5.sharepoint.com/sites/SalesFunnel//Lists/crmCustomers/DispForm.aspx?ID=183</v>
      </c>
      <c r="Y25" t="s">
        <v>72</v>
      </c>
    </row>
    <row r="26" spans="1:39" x14ac:dyDescent="0.25">
      <c r="A26">
        <v>184</v>
      </c>
      <c r="C26" t="s">
        <v>261</v>
      </c>
      <c r="D26" t="s">
        <v>262</v>
      </c>
      <c r="E26" t="s">
        <v>263</v>
      </c>
      <c r="F26" t="s">
        <v>133</v>
      </c>
      <c r="G26" t="s">
        <v>264</v>
      </c>
      <c r="H26" t="s">
        <v>152</v>
      </c>
      <c r="I26" t="s">
        <v>265</v>
      </c>
      <c r="J26" t="s">
        <v>266</v>
      </c>
      <c r="K26" t="s">
        <v>267</v>
      </c>
      <c r="L26" t="s">
        <v>268</v>
      </c>
      <c r="M26">
        <v>45879.7346875</v>
      </c>
      <c r="N26">
        <v>45879.7346875</v>
      </c>
      <c r="O26" s="38" t="str">
        <f>siteUrl&amp;"/Lists/"&amp;custList&amp;"/DispForm.aspx?ID="&amp;Customers[[#This Row],[Id]]</f>
        <v>https://cleansheet5.sharepoint.com/sites/SalesFunnel//Lists/crmCustomers/DispForm.aspx?ID=184</v>
      </c>
      <c r="P26" s="38" t="str">
        <f>_xlfn.XLOOKUP(Customers[[#This Row],[Id]],Customers[Id],Customers[CustomerName])</f>
        <v>Chemical Processing</v>
      </c>
      <c r="Q26" s="38" t="str">
        <f>_xlfn.XLOOKUP(Customers[[#This Row],[Id]],Customers[Id],Customers[url2])</f>
        <v>https://cleansheet5.sharepoint.com/sites/SalesFunnel//Lists/crmCustomers/DispForm.aspx?ID=184</v>
      </c>
      <c r="Y26" t="s">
        <v>57</v>
      </c>
    </row>
    <row r="27" spans="1:39" x14ac:dyDescent="0.25">
      <c r="A27">
        <v>185</v>
      </c>
      <c r="C27" t="s">
        <v>269</v>
      </c>
      <c r="D27" t="s">
        <v>270</v>
      </c>
      <c r="E27" t="s">
        <v>271</v>
      </c>
      <c r="F27" t="s">
        <v>133</v>
      </c>
      <c r="G27" t="s">
        <v>272</v>
      </c>
      <c r="H27" t="s">
        <v>273</v>
      </c>
      <c r="I27" t="s">
        <v>274</v>
      </c>
      <c r="J27" t="s">
        <v>229</v>
      </c>
      <c r="K27" t="s">
        <v>275</v>
      </c>
      <c r="L27" t="s">
        <v>276</v>
      </c>
      <c r="M27">
        <v>45879.734710648147</v>
      </c>
      <c r="N27">
        <v>45879.734710648147</v>
      </c>
      <c r="O27" s="38" t="str">
        <f>siteUrl&amp;"/Lists/"&amp;custList&amp;"/DispForm.aspx?ID="&amp;Customers[[#This Row],[Id]]</f>
        <v>https://cleansheet5.sharepoint.com/sites/SalesFunnel//Lists/crmCustomers/DispForm.aspx?ID=185</v>
      </c>
      <c r="P27" s="38" t="str">
        <f>_xlfn.XLOOKUP(Customers[[#This Row],[Id]],Customers[Id],Customers[CustomerName])</f>
        <v>Publishing House</v>
      </c>
      <c r="Q27" s="38" t="str">
        <f>_xlfn.XLOOKUP(Customers[[#This Row],[Id]],Customers[Id],Customers[url2])</f>
        <v>https://cleansheet5.sharepoint.com/sites/SalesFunnel//Lists/crmCustomers/DispForm.aspx?ID=185</v>
      </c>
      <c r="Y27" t="s">
        <v>73</v>
      </c>
    </row>
    <row r="28" spans="1:39" x14ac:dyDescent="0.25">
      <c r="A28">
        <v>186</v>
      </c>
      <c r="C28" t="s">
        <v>277</v>
      </c>
      <c r="D28" t="s">
        <v>278</v>
      </c>
      <c r="E28" t="s">
        <v>279</v>
      </c>
      <c r="F28" t="s">
        <v>21</v>
      </c>
      <c r="G28" t="s">
        <v>280</v>
      </c>
      <c r="H28" t="s">
        <v>281</v>
      </c>
      <c r="I28" t="s">
        <v>282</v>
      </c>
      <c r="J28" t="s">
        <v>283</v>
      </c>
      <c r="K28" t="s">
        <v>284</v>
      </c>
      <c r="L28" t="s">
        <v>285</v>
      </c>
      <c r="M28">
        <v>45879.734722222223</v>
      </c>
      <c r="N28">
        <v>45879.734722222223</v>
      </c>
      <c r="O28" s="38" t="str">
        <f>siteUrl&amp;"/Lists/"&amp;custList&amp;"/DispForm.aspx?ID="&amp;Customers[[#This Row],[Id]]</f>
        <v>https://cleansheet5.sharepoint.com/sites/SalesFunnel//Lists/crmCustomers/DispForm.aspx?ID=186</v>
      </c>
      <c r="P28" s="38" t="str">
        <f>_xlfn.XLOOKUP(Customers[[#This Row],[Id]],Customers[Id],Customers[CustomerName])</f>
        <v>Mining Operations</v>
      </c>
      <c r="Q28" s="38" t="str">
        <f>_xlfn.XLOOKUP(Customers[[#This Row],[Id]],Customers[Id],Customers[url2])</f>
        <v>https://cleansheet5.sharepoint.com/sites/SalesFunnel//Lists/crmCustomers/DispForm.aspx?ID=186</v>
      </c>
      <c r="Y28" t="s">
        <v>74</v>
      </c>
    </row>
    <row r="29" spans="1:39" x14ac:dyDescent="0.25">
      <c r="A29">
        <v>187</v>
      </c>
      <c r="C29" t="s">
        <v>286</v>
      </c>
      <c r="D29" t="s">
        <v>287</v>
      </c>
      <c r="E29" t="s">
        <v>288</v>
      </c>
      <c r="F29" t="s">
        <v>21</v>
      </c>
      <c r="G29" t="s">
        <v>289</v>
      </c>
      <c r="H29" t="s">
        <v>290</v>
      </c>
      <c r="I29" t="s">
        <v>291</v>
      </c>
      <c r="J29" t="s">
        <v>292</v>
      </c>
      <c r="K29" t="s">
        <v>293</v>
      </c>
      <c r="L29" t="s">
        <v>294</v>
      </c>
      <c r="M29">
        <v>45879.73474537037</v>
      </c>
      <c r="N29">
        <v>45879.73474537037</v>
      </c>
      <c r="O29" s="38" t="str">
        <f>siteUrl&amp;"/Lists/"&amp;custList&amp;"/DispForm.aspx?ID="&amp;Customers[[#This Row],[Id]]</f>
        <v>https://cleansheet5.sharepoint.com/sites/SalesFunnel//Lists/crmCustomers/DispForm.aspx?ID=187</v>
      </c>
      <c r="P29" s="38" t="str">
        <f>_xlfn.XLOOKUP(Customers[[#This Row],[Id]],Customers[Id],Customers[CustomerName])</f>
        <v>Telecommunications Inc</v>
      </c>
      <c r="Q29" s="38" t="str">
        <f>_xlfn.XLOOKUP(Customers[[#This Row],[Id]],Customers[Id],Customers[url2])</f>
        <v>https://cleansheet5.sharepoint.com/sites/SalesFunnel//Lists/crmCustomers/DispForm.aspx?ID=187</v>
      </c>
      <c r="Y29" t="s">
        <v>59</v>
      </c>
    </row>
    <row r="30" spans="1:39" x14ac:dyDescent="0.25">
      <c r="A30">
        <v>188</v>
      </c>
      <c r="C30" t="s">
        <v>295</v>
      </c>
      <c r="D30" t="s">
        <v>296</v>
      </c>
      <c r="E30" t="s">
        <v>297</v>
      </c>
      <c r="F30" t="s">
        <v>133</v>
      </c>
      <c r="G30" t="s">
        <v>298</v>
      </c>
      <c r="H30" t="s">
        <v>154</v>
      </c>
      <c r="I30" t="s">
        <v>299</v>
      </c>
      <c r="J30" t="s">
        <v>300</v>
      </c>
      <c r="K30" t="s">
        <v>301</v>
      </c>
      <c r="L30" t="s">
        <v>302</v>
      </c>
      <c r="M30">
        <v>45879.734768518516</v>
      </c>
      <c r="N30">
        <v>45879.734768518516</v>
      </c>
      <c r="O30" s="38" t="str">
        <f>siteUrl&amp;"/Lists/"&amp;custList&amp;"/DispForm.aspx?ID="&amp;Customers[[#This Row],[Id]]</f>
        <v>https://cleansheet5.sharepoint.com/sites/SalesFunnel//Lists/crmCustomers/DispForm.aspx?ID=188</v>
      </c>
      <c r="P30" s="38" t="str">
        <f>_xlfn.XLOOKUP(Customers[[#This Row],[Id]],Customers[Id],Customers[CustomerName])</f>
        <v>Waste Management Co</v>
      </c>
      <c r="Q30" s="38" t="str">
        <f>_xlfn.XLOOKUP(Customers[[#This Row],[Id]],Customers[Id],Customers[url2])</f>
        <v>https://cleansheet5.sharepoint.com/sites/SalesFunnel//Lists/crmCustomers/DispForm.aspx?ID=188</v>
      </c>
      <c r="Y30" t="s">
        <v>61</v>
      </c>
    </row>
    <row r="31" spans="1:39" x14ac:dyDescent="0.25">
      <c r="A31">
        <v>189</v>
      </c>
      <c r="C31" t="s">
        <v>303</v>
      </c>
      <c r="D31" t="s">
        <v>304</v>
      </c>
      <c r="E31" t="s">
        <v>305</v>
      </c>
      <c r="F31" t="s">
        <v>21</v>
      </c>
      <c r="G31" t="s">
        <v>306</v>
      </c>
      <c r="H31" t="s">
        <v>307</v>
      </c>
      <c r="I31" t="s">
        <v>308</v>
      </c>
      <c r="J31" t="s">
        <v>309</v>
      </c>
      <c r="K31" t="s">
        <v>310</v>
      </c>
      <c r="L31" t="s">
        <v>311</v>
      </c>
      <c r="M31">
        <v>45879.734780092593</v>
      </c>
      <c r="N31">
        <v>45879.734780092593</v>
      </c>
      <c r="O31" s="38" t="str">
        <f>siteUrl&amp;"/Lists/"&amp;custList&amp;"/DispForm.aspx?ID="&amp;Customers[[#This Row],[Id]]</f>
        <v>https://cleansheet5.sharepoint.com/sites/SalesFunnel//Lists/crmCustomers/DispForm.aspx?ID=189</v>
      </c>
      <c r="P31" s="38" t="str">
        <f>_xlfn.XLOOKUP(Customers[[#This Row],[Id]],Customers[Id],Customers[CustomerName])</f>
        <v>Consulting Experts</v>
      </c>
      <c r="Q31" s="38" t="str">
        <f>_xlfn.XLOOKUP(Customers[[#This Row],[Id]],Customers[Id],Customers[url2])</f>
        <v>https://cleansheet5.sharepoint.com/sites/SalesFunnel//Lists/crmCustomers/DispForm.aspx?ID=189</v>
      </c>
      <c r="Y31" t="s">
        <v>62</v>
      </c>
    </row>
    <row r="32" spans="1:39" x14ac:dyDescent="0.25">
      <c r="AM32" t="s">
        <v>63</v>
      </c>
    </row>
  </sheetData>
  <sheetProtection sheet="1" objects="1" scenarios="1"/>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AN31"/>
  <sheetViews>
    <sheetView showGridLines="0" workbookViewId="0">
      <selection activeCell="W19" sqref="W19"/>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s>
  <sheetData>
    <row r="1" spans="1:40" x14ac:dyDescent="0.25">
      <c r="I1" t="str" cm="1">
        <f t="array" ref="I1:O1">TRANSPOSE(_xlfn.UNIQUE(_xlfn._xlws.FILTER(_xlfn.SORTBY(View[Close Quarter],View[Close Date],1),View[Visible]=1)))</f>
        <v>CY25-Q3</v>
      </c>
      <c r="J1" t="str">
        <v>CY25-Q4</v>
      </c>
      <c r="K1" t="str">
        <v>CY26-Q1</v>
      </c>
      <c r="L1" t="str">
        <v>CY26-Q2</v>
      </c>
      <c r="M1" t="str">
        <v>CY26-Q3</v>
      </c>
      <c r="N1" t="str">
        <v>CY26-Q4</v>
      </c>
      <c r="O1" t="str">
        <v>CY27-Q1</v>
      </c>
      <c r="R1" t="str" cm="1">
        <f t="array" ref="R1:X1">TRANSPOSE(_xlfn.UNIQUE(_xlfn._xlws.FILTER(_xlfn.SORTBY(View[Close Quarter],View[Close Date],-1),View[Visible]=1)))</f>
        <v>CY27-Q1</v>
      </c>
      <c r="S1" t="str">
        <v>CY26-Q4</v>
      </c>
      <c r="T1" t="str">
        <v>CY26-Q3</v>
      </c>
      <c r="U1" t="str">
        <v>CY26-Q2</v>
      </c>
      <c r="V1" t="str">
        <v>CY26-Q1</v>
      </c>
      <c r="W1" t="str">
        <v>CY25-Q4</v>
      </c>
      <c r="X1" t="str">
        <v>CY25-Q3</v>
      </c>
      <c r="AH1" t="str" cm="1">
        <f t="array" ref="AH1:AN1">TRANSPOSE(_xlfn.UNIQUE(_xlfn.SORTBY(View[Close Quarter],(View[Close Date]),-1)))</f>
        <v>CY27-Q1</v>
      </c>
      <c r="AI1" t="str">
        <v>CY26-Q4</v>
      </c>
      <c r="AJ1" t="str">
        <v>CY26-Q3</v>
      </c>
      <c r="AK1" t="str">
        <v>CY26-Q2</v>
      </c>
      <c r="AL1" t="str">
        <v>CY26-Q1</v>
      </c>
      <c r="AM1" t="str">
        <v>CY25-Q4</v>
      </c>
      <c r="AN1" t="str">
        <v>CY25-Q3</v>
      </c>
    </row>
    <row r="2" spans="1:40" x14ac:dyDescent="0.25">
      <c r="B2" s="14">
        <f>SUBTOTAL(9, View[Unweighted])/1000</f>
        <v>46.88771899999999</v>
      </c>
      <c r="C2" s="15">
        <f>SUBTOTAL(3,View[[🔗Customer ]])</f>
        <v>40</v>
      </c>
      <c r="D2" s="16">
        <f>(B2-(SUBTOTAL(9,View[Estmated Revenue])/1000))/B2</f>
        <v>0.53918594547113696</v>
      </c>
      <c r="E2" s="18">
        <f>SUMIFS(View[Unweighted],View[High Probability],TRUE,View[Visible],1)/1000</f>
        <v>11.365665000000002</v>
      </c>
      <c r="H2" t="s">
        <v>51</v>
      </c>
      <c r="I2">
        <f>IF(I1="","",COUNTIFS(View[Visible],1,View[Close Quarter],graphics!I1))</f>
        <v>3</v>
      </c>
      <c r="J2">
        <f>IF(J1="","",COUNTIFS(View[Visible],1,View[Close Quarter],graphics!J1))</f>
        <v>7</v>
      </c>
      <c r="K2">
        <f>IF(K1="","",COUNTIFS(View[Visible],1,View[Close Quarter],graphics!K1))</f>
        <v>13</v>
      </c>
      <c r="L2">
        <f>IF(L1="","",COUNTIFS(View[Visible],1,View[Close Quarter],graphics!L1))</f>
        <v>5</v>
      </c>
      <c r="M2">
        <f>IF(M1="","",COUNTIFS(View[Visible],1,View[Close Quarter],graphics!M1))</f>
        <v>2</v>
      </c>
      <c r="N2">
        <f>IF(N1="","",COUNTIFS(View[Visible],1,View[Close Quarter],graphics!N1))</f>
        <v>9</v>
      </c>
      <c r="Q2" t="str" cm="1">
        <f t="array" ref="Q2:Q7">(_xlfn._xlws.SORT(_xlfn.UNIQUE(View[Stage])))</f>
        <v>1 - Lead Qualification</v>
      </c>
      <c r="R2">
        <f>IF(R$1="","",SUMIFS(View[Unweighted],View[Close Quarter],R$1,View[Stage],$Q2,View[Visible],1)/1000)</f>
        <v>0</v>
      </c>
      <c r="S2">
        <f>IF(S$1="","",SUMIFS(View[Unweighted],View[Close Quarter],S$1,View[Stage],$Q2,View[Visible],1)/1000)</f>
        <v>2.2718539999999998</v>
      </c>
      <c r="T2">
        <f>IF(T$1="","",SUMIFS(View[Unweighted],View[Close Quarter],T$1,View[Stage],$Q2,View[Visible],1)/1000)</f>
        <v>0</v>
      </c>
      <c r="U2">
        <f>IF(U$1="","",SUMIFS(View[Unweighted],View[Close Quarter],U$1,View[Stage],$Q2,View[Visible],1)/1000)</f>
        <v>0.93926999999999994</v>
      </c>
      <c r="V2">
        <f>IF(V$1="","",SUMIFS(View[Unweighted],View[Close Quarter],V$1,View[Stage],$Q2,View[Visible],1)/1000)</f>
        <v>4.6087009999999999</v>
      </c>
      <c r="W2">
        <f>IF(W$1="","",SUMIFS(View[Unweighted],View[Close Quarter],W$1,View[Stage],$Q2,View[Visible],1)/1000)</f>
        <v>0.48792399999999997</v>
      </c>
      <c r="AF2" t="s">
        <v>83</v>
      </c>
      <c r="AG2" t="s">
        <v>27</v>
      </c>
      <c r="AH2" s="27">
        <f>IF(AH$1="","",SUMIFS(View[Unweighted],View[Close Quarter],AH$1,View[S],$AF2,View[Visible],1)/1000)</f>
        <v>0</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1.9537629999999999</v>
      </c>
      <c r="AM2" s="27">
        <f>IF(AM$1="","",SUMIFS(View[Unweighted],View[Close Quarter],AM$1,View[S],$AF2,View[Visible],1)/1000)</f>
        <v>0</v>
      </c>
    </row>
    <row r="3" spans="1:40" x14ac:dyDescent="0.25">
      <c r="B3" s="13" t="s">
        <v>28</v>
      </c>
      <c r="C3" s="13" t="s">
        <v>51</v>
      </c>
      <c r="D3" s="13" t="s">
        <v>29</v>
      </c>
      <c r="E3" s="5" t="s">
        <v>30</v>
      </c>
      <c r="H3" t="s">
        <v>45</v>
      </c>
      <c r="I3" s="4">
        <f>IF(I1="","",SUMIFS(View[Unweighted],View[Visible],1,View[Close Quarter],graphics!I$1)/1000)</f>
        <v>4.6786579999999995</v>
      </c>
      <c r="J3" s="4">
        <f>IF(J1="","",SUMIFS(View[Unweighted],View[Visible],1,View[Close Quarter],graphics!J$1)/1000)</f>
        <v>7.5334769999999995</v>
      </c>
      <c r="K3" s="4">
        <f>IF(K1="","",SUMIFS(View[Unweighted],View[Visible],1,View[Close Quarter],graphics!K$1)/1000)</f>
        <v>15.928585000000002</v>
      </c>
      <c r="L3" s="4">
        <f>IF(L1="","",SUMIFS(View[Unweighted],View[Visible],1,View[Close Quarter],graphics!L$1)/1000)</f>
        <v>4.9703479999999995</v>
      </c>
      <c r="M3" s="4">
        <f>IF(M1="","",SUMIFS(View[Unweighted],View[Visible],1,View[Close Quarter],graphics!M$1)/1000)</f>
        <v>2.175195</v>
      </c>
      <c r="N3" s="4">
        <f>IF(N1="","",SUMIFS(View[Unweighted],View[Visible],1,View[Close Quarter],graphics!N$1)/1000)</f>
        <v>10.72278</v>
      </c>
      <c r="Q3" t="str">
        <v>2 - Nurturing</v>
      </c>
      <c r="R3">
        <f>IF(R$1="","",SUMIFS(View[Unweighted],View[Close Quarter],R$1,View[Stage],$Q3,View[Visible],1)/1000)</f>
        <v>0</v>
      </c>
      <c r="S3">
        <f>IF(S$1="","",SUMIFS(View[Unweighted],View[Close Quarter],S$1,View[Stage],$Q3,View[Visible],1)/1000)</f>
        <v>2.6763910000000002</v>
      </c>
      <c r="T3">
        <f>IF(T$1="","",SUMIFS(View[Unweighted],View[Close Quarter],T$1,View[Stage],$Q3,View[Visible],1)/1000)</f>
        <v>0</v>
      </c>
      <c r="U3">
        <f>IF(U$1="","",SUMIFS(View[Unweighted],View[Close Quarter],U$1,View[Stage],$Q3,View[Visible],1)/1000)</f>
        <v>0</v>
      </c>
      <c r="V3">
        <f>IF(V$1="","",SUMIFS(View[Unweighted],View[Close Quarter],V$1,View[Stage],$Q3,View[Visible],1)/1000)</f>
        <v>0.96054399999999995</v>
      </c>
      <c r="W3">
        <f>IF(W$1="","",SUMIFS(View[Unweighted],View[Close Quarter],W$1,View[Stage],$Q3,View[Visible],1)/1000)</f>
        <v>3.5952190000000002</v>
      </c>
      <c r="AF3" t="s">
        <v>84</v>
      </c>
      <c r="AG3" t="s">
        <v>19</v>
      </c>
      <c r="AH3" s="27">
        <f>IF(AH$1="","",SUMIFS(View[Unweighted],View[Close Quarter],AH$1,View[S],$AF3,View[Visible],1)/1000)</f>
        <v>0</v>
      </c>
      <c r="AI3" s="27">
        <f>IF(AI$1="","",SUMIFS(View[Unweighted],View[Close Quarter],AI$1,View[S],$AF3,View[Visible],1)/1000)</f>
        <v>0</v>
      </c>
      <c r="AJ3" s="27">
        <f>IF(AJ$1="","",SUMIFS(View[Unweighted],View[Close Quarter],AJ$1,View[S],$AF3,View[Visible],1)/1000)</f>
        <v>0</v>
      </c>
      <c r="AK3" s="27">
        <f>IF(AK$1="","",SUMIFS(View[Unweighted],View[Close Quarter],AK$1,View[S],$AF3,View[Visible],1)/1000)</f>
        <v>0</v>
      </c>
      <c r="AL3" s="27">
        <f>IF(AL$1="","",SUMIFS(View[Unweighted],View[Close Quarter],AL$1,View[S],$AF3,View[Visible],1)/1000)</f>
        <v>1.4332819999999999</v>
      </c>
      <c r="AM3" s="27">
        <f>IF(AM$1="","",SUMIFS(View[Unweighted],View[Close Quarter],AM$1,View[S],$AF3,View[Visible],1)/1000)</f>
        <v>1.7754780000000001</v>
      </c>
    </row>
    <row r="4" spans="1:40" x14ac:dyDescent="0.25">
      <c r="H4" t="s">
        <v>43</v>
      </c>
      <c r="I4" s="4">
        <f>IF(I1="","",SUMIFS(View[Estmated Revenue],View[Visible],1,View[Close Quarter],graphics!I$1)/1000)</f>
        <v>2.4790156000000003</v>
      </c>
      <c r="J4" s="4">
        <f>IF(J1="","",SUMIFS(View[Estmated Revenue],View[Visible],1,View[Close Quarter],graphics!J$1)/1000)</f>
        <v>4.0175003</v>
      </c>
      <c r="K4" s="4">
        <f>IF(K1="","",SUMIFS(View[Estmated Revenue],View[Visible],1,View[Close Quarter],graphics!K$1)/1000)</f>
        <v>6.6959467999999998</v>
      </c>
      <c r="L4" s="4">
        <f>IF(L1="","",SUMIFS(View[Estmated Revenue],View[Visible],1,View[Close Quarter],graphics!L$1)/1000)</f>
        <v>1.6559791000000001</v>
      </c>
      <c r="M4" s="4">
        <f>IF(M1="","",SUMIFS(View[Estmated Revenue],View[Visible],1,View[Close Quarter],graphics!M$1)/1000)</f>
        <v>1.1010722000000002</v>
      </c>
      <c r="N4" s="4">
        <f>IF(N1="","",SUMIFS(View[Estmated Revenue],View[Visible],1,View[Close Quarter],graphics!N$1)/1000)</f>
        <v>5.4812707000000014</v>
      </c>
      <c r="Q4" t="str">
        <v>3 - Proposal</v>
      </c>
      <c r="R4">
        <f>IF(R$1="","",SUMIFS(View[Unweighted],View[Close Quarter],R$1,View[Stage],$Q4,View[Visible],1)/1000)</f>
        <v>0</v>
      </c>
      <c r="S4">
        <f>IF(S$1="","",SUMIFS(View[Unweighted],View[Close Quarter],S$1,View[Stage],$Q4,View[Visible],1)/1000)</f>
        <v>3.385532</v>
      </c>
      <c r="T4">
        <f>IF(T$1="","",SUMIFS(View[Unweighted],View[Close Quarter],T$1,View[Stage],$Q4,View[Visible],1)/1000)</f>
        <v>0</v>
      </c>
      <c r="U4">
        <f>IF(U$1="","",SUMIFS(View[Unweighted],View[Close Quarter],U$1,View[Stage],$Q4,View[Visible],1)/1000)</f>
        <v>0</v>
      </c>
      <c r="V4">
        <f>IF(V$1="","",SUMIFS(View[Unweighted],View[Close Quarter],V$1,View[Stage],$Q4,View[Visible],1)/1000)</f>
        <v>2.4727870000000003</v>
      </c>
      <c r="W4">
        <f>IF(W$1="","",SUMIFS(View[Unweighted],View[Close Quarter],W$1,View[Stage],$Q4,View[Visible],1)/1000)</f>
        <v>1.155807</v>
      </c>
      <c r="AF4" t="s">
        <v>85</v>
      </c>
      <c r="AG4" t="s">
        <v>21</v>
      </c>
      <c r="AH4" s="27">
        <f>IF(AH$1="","",SUMIFS(View[Unweighted],View[Close Quarter],AH$1,View[S],$AF4,View[Visible],1)/1000)</f>
        <v>0.87867600000000001</v>
      </c>
      <c r="AI4" s="27">
        <f>IF(AI$1="","",SUMIFS(View[Unweighted],View[Close Quarter],AI$1,View[S],$AF4,View[Visible],1)/1000)</f>
        <v>10.72278</v>
      </c>
      <c r="AJ4" s="27">
        <f>IF(AJ$1="","",SUMIFS(View[Unweighted],View[Close Quarter],AJ$1,View[S],$AF4,View[Visible],1)/1000)</f>
        <v>2.175195</v>
      </c>
      <c r="AK4" s="27">
        <f>IF(AK$1="","",SUMIFS(View[Unweighted],View[Close Quarter],AK$1,View[S],$AF4,View[Visible],1)/1000)</f>
        <v>4.9703479999999995</v>
      </c>
      <c r="AL4" s="27">
        <f>IF(AL$1="","",SUMIFS(View[Unweighted],View[Close Quarter],AL$1,View[S],$AF4,View[Visible],1)/1000)</f>
        <v>12.541540000000003</v>
      </c>
      <c r="AM4" s="27">
        <f>IF(AM$1="","",SUMIFS(View[Unweighted],View[Close Quarter],AM$1,View[S],$AF4,View[Visible],1)/1000)</f>
        <v>5.7579989999999999</v>
      </c>
    </row>
    <row r="5" spans="1:40" x14ac:dyDescent="0.25">
      <c r="Q5" t="str">
        <v>4 - Negotiation</v>
      </c>
      <c r="R5">
        <f>IF(R$1="","",SUMIFS(View[Unweighted],View[Close Quarter],R$1,View[Stage],$Q5,View[Visible],1)/1000)</f>
        <v>0.87867600000000001</v>
      </c>
      <c r="S5">
        <f>IF(S$1="","",SUMIFS(View[Unweighted],View[Close Quarter],S$1,View[Stage],$Q5,View[Visible],1)/1000)</f>
        <v>0</v>
      </c>
      <c r="T5">
        <f>IF(T$1="","",SUMIFS(View[Unweighted],View[Close Quarter],T$1,View[Stage],$Q5,View[Visible],1)/1000)</f>
        <v>2.175195</v>
      </c>
      <c r="U5">
        <f>IF(U$1="","",SUMIFS(View[Unweighted],View[Close Quarter],U$1,View[Stage],$Q5,View[Visible],1)/1000)</f>
        <v>0</v>
      </c>
      <c r="V5">
        <f>IF(V$1="","",SUMIFS(View[Unweighted],View[Close Quarter],V$1,View[Stage],$Q5,View[Visible],1)/1000)</f>
        <v>2.1590519999999995</v>
      </c>
      <c r="W5">
        <f>IF(W$1="","",SUMIFS(View[Unweighted],View[Close Quarter],W$1,View[Stage],$Q5,View[Visible],1)/1000)</f>
        <v>1.1172629999999999</v>
      </c>
    </row>
    <row r="6" spans="1:40" x14ac:dyDescent="0.25">
      <c r="Q6" t="str">
        <v>5 - Project Execution</v>
      </c>
      <c r="R6">
        <f>IF(R$1="","",SUMIFS(View[Unweighted],View[Close Quarter],R$1,View[Stage],$Q6,View[Visible],1)/1000)</f>
        <v>0</v>
      </c>
      <c r="S6">
        <f>IF(S$1="","",SUMIFS(View[Unweighted],View[Close Quarter],S$1,View[Stage],$Q6,View[Visible],1)/1000)</f>
        <v>0</v>
      </c>
      <c r="T6">
        <f>IF(T$1="","",SUMIFS(View[Unweighted],View[Close Quarter],T$1,View[Stage],$Q6,View[Visible],1)/1000)</f>
        <v>0</v>
      </c>
      <c r="U6">
        <f>IF(U$1="","",SUMIFS(View[Unweighted],View[Close Quarter],U$1,View[Stage],$Q6,View[Visible],1)/1000)</f>
        <v>2.4699589999999998</v>
      </c>
      <c r="V6">
        <f>IF(V$1="","",SUMIFS(View[Unweighted],View[Close Quarter],V$1,View[Stage],$Q6,View[Visible],1)/1000)</f>
        <v>2.6629030000000005</v>
      </c>
      <c r="W6">
        <f>IF(W$1="","",SUMIFS(View[Unweighted],View[Close Quarter],W$1,View[Stage],$Q6,View[Visible],1)/1000)</f>
        <v>1.1772639999999999</v>
      </c>
    </row>
    <row r="7" spans="1:40" x14ac:dyDescent="0.25">
      <c r="Q7" t="str">
        <v>6 - Closeout</v>
      </c>
      <c r="R7">
        <f>IF(R$1="","",SUMIFS(View[Unweighted],View[Close Quarter],R$1,View[Stage],$Q7,View[Visible],1)/1000)</f>
        <v>0</v>
      </c>
      <c r="S7">
        <f>IF(S$1="","",SUMIFS(View[Unweighted],View[Close Quarter],S$1,View[Stage],$Q7,View[Visible],1)/1000)</f>
        <v>2.3890030000000002</v>
      </c>
      <c r="T7">
        <f>IF(T$1="","",SUMIFS(View[Unweighted],View[Close Quarter],T$1,View[Stage],$Q7,View[Visible],1)/1000)</f>
        <v>0</v>
      </c>
      <c r="U7">
        <f>IF(U$1="","",SUMIFS(View[Unweighted],View[Close Quarter],U$1,View[Stage],$Q7,View[Visible],1)/1000)</f>
        <v>1.5611190000000001</v>
      </c>
      <c r="V7">
        <f>IF(V$1="","",SUMIFS(View[Unweighted],View[Close Quarter],V$1,View[Stage],$Q7,View[Visible],1)/1000)</f>
        <v>3.0645980000000002</v>
      </c>
      <c r="W7">
        <f>IF(W$1="","",SUMIFS(View[Unweighted],View[Close Quarter],W$1,View[Stage],$Q7,View[Visible],1)/1000)</f>
        <v>0</v>
      </c>
    </row>
    <row r="10" spans="1:40" x14ac:dyDescent="0.25">
      <c r="B10" t="s">
        <v>15</v>
      </c>
      <c r="C10" t="s">
        <v>51</v>
      </c>
      <c r="D10" t="s">
        <v>16</v>
      </c>
    </row>
    <row r="11" spans="1:40" x14ac:dyDescent="0.25">
      <c r="A11" t="str">
        <f>_xlfn.XLOOKUP(B11,stage[Display],stage[Stage Name])</f>
        <v>Lead Qualification</v>
      </c>
      <c r="B11" t="s">
        <v>430</v>
      </c>
      <c r="C11">
        <f>COUNTIFS(View[Stage],B11,View[Visible],1)</f>
        <v>7</v>
      </c>
      <c r="D11" s="22">
        <f>SUMIFS(View[Opportunity Value],View[Stage],B11,View[Visible],1)/1000</f>
        <v>8.3077490000000012</v>
      </c>
    </row>
    <row r="12" spans="1:40" x14ac:dyDescent="0.25">
      <c r="A12" t="str">
        <f>_xlfn.XLOOKUP(B12,stage[Display],stage[Stage Name])</f>
        <v>Nurturing</v>
      </c>
      <c r="B12" t="s">
        <v>431</v>
      </c>
      <c r="C12">
        <f>COUNTIF(View[Stage],B12)</f>
        <v>7</v>
      </c>
      <c r="D12" s="22">
        <f>SUMIFS(View[Opportunity Value],View[Stage],B12,View[Visible],1)/1000</f>
        <v>8.346131999999999</v>
      </c>
    </row>
    <row r="13" spans="1:40" x14ac:dyDescent="0.25">
      <c r="A13" t="str">
        <f>_xlfn.XLOOKUP(B13,stage[Display],stage[Stage Name])</f>
        <v>Proposal</v>
      </c>
      <c r="B13" t="s">
        <v>432</v>
      </c>
      <c r="C13">
        <f>COUNTIF(View[Stage],B13)</f>
        <v>7</v>
      </c>
      <c r="D13" s="22">
        <f>SUMIFS(View[Opportunity Value],View[Stage],B13,View[Visible],1)/1000</f>
        <v>8.6748220000000007</v>
      </c>
    </row>
    <row r="14" spans="1:40" x14ac:dyDescent="0.25">
      <c r="A14" t="str">
        <f>_xlfn.XLOOKUP(B14,stage[Display],stage[Stage Name])</f>
        <v>Negotiation</v>
      </c>
      <c r="B14" t="s">
        <v>433</v>
      </c>
      <c r="C14">
        <f>COUNTIF(View[Stage],B14)</f>
        <v>7</v>
      </c>
      <c r="D14" s="22">
        <f>SUMIFS(View[Opportunity Value],View[Stage],B14,View[Visible],1)/1000</f>
        <v>6.3301859999999994</v>
      </c>
    </row>
    <row r="15" spans="1:40" x14ac:dyDescent="0.25">
      <c r="A15" t="str">
        <f>_xlfn.XLOOKUP(B15,stage[Display],stage[Stage Name])</f>
        <v>Project Execution</v>
      </c>
      <c r="B15" t="s">
        <v>434</v>
      </c>
      <c r="C15">
        <f>COUNTIF(View[Stage],B15)</f>
        <v>6</v>
      </c>
      <c r="D15" s="22">
        <f>SUMIFS(View[Opportunity Value],View[Stage],B15,View[Visible],1)/1000</f>
        <v>8.2141099999999998</v>
      </c>
    </row>
    <row r="16" spans="1:40" x14ac:dyDescent="0.25">
      <c r="A16" t="str">
        <f>_xlfn.XLOOKUP(B16,stage[Display],stage[Stage Name])</f>
        <v>Closeout</v>
      </c>
      <c r="B16" t="s">
        <v>435</v>
      </c>
      <c r="C16">
        <f>COUNTIF(View[Stage],B16)</f>
        <v>6</v>
      </c>
      <c r="D16" s="22">
        <f>SUMIFS(View[Opportunity Value],View[Stage],B16,View[Visible],1)/1000</f>
        <v>7.0147200000000014</v>
      </c>
    </row>
    <row r="24" spans="9:15" x14ac:dyDescent="0.25">
      <c r="I24" t="str" cm="1">
        <f t="array" ref="I24:O24">TRANSPOSE(_xlfn.UNIQUE(_xlfn._xlws.FILTER(_xlfn.SORTBY(View[Close Quarter],View[Close Date],1),View[Visible]=1)))</f>
        <v>CY25-Q3</v>
      </c>
      <c r="J24" t="str">
        <v>CY25-Q4</v>
      </c>
      <c r="K24" t="str">
        <v>CY26-Q1</v>
      </c>
      <c r="L24" t="str">
        <v>CY26-Q2</v>
      </c>
      <c r="M24" t="str">
        <v>CY26-Q3</v>
      </c>
      <c r="N24" t="str">
        <v>CY26-Q4</v>
      </c>
      <c r="O24" t="str">
        <v>CY27-Q1</v>
      </c>
    </row>
    <row r="25" spans="9:15" x14ac:dyDescent="0.25">
      <c r="I25" t="str" cm="1">
        <f t="array" ref="I25:I27">_xlfn._xlws.FILTER(View[ [ 🔗Opportunity] ],View[Close Quarter]=graphics!I24)</f>
        <v>Healthcare Data Analytics Platform</v>
      </c>
      <c r="J25" t="str" cm="1">
        <f t="array" ref="J25:J31">" - "&amp;_xlfn._xlws.FILTER(View[ [ 🔗Opportunity] ],View[Close Quarter]=graphics!J24)</f>
        <v xml:space="preserve"> - Business Intelligence Solution</v>
      </c>
    </row>
    <row r="26" spans="9:15" x14ac:dyDescent="0.25">
      <c r="I26" t="str">
        <v>Quality Management System</v>
      </c>
      <c r="J26" t="str">
        <v xml:space="preserve"> - Financial Planning Software</v>
      </c>
    </row>
    <row r="27" spans="9:15" x14ac:dyDescent="0.25">
      <c r="I27" t="str">
        <v>Project Management Software</v>
      </c>
      <c r="J27" t="str">
        <v xml:space="preserve"> - Document Management System</v>
      </c>
    </row>
    <row r="28" spans="9:15" x14ac:dyDescent="0.25">
      <c r="J28" t="str">
        <v xml:space="preserve"> - Cybersecurity Enhancement</v>
      </c>
    </row>
    <row r="29" spans="9:15" x14ac:dyDescent="0.25">
      <c r="J29" t="str">
        <v xml:space="preserve"> - Legacy System Modernization</v>
      </c>
    </row>
    <row r="30" spans="9:15" x14ac:dyDescent="0.25">
      <c r="J30" t="str">
        <v xml:space="preserve"> - Backup &amp; Recovery System</v>
      </c>
    </row>
    <row r="31" spans="9:15" x14ac:dyDescent="0.25">
      <c r="J31" t="str">
        <v xml:space="preserve"> - Data Center Consolidation</v>
      </c>
    </row>
  </sheetData>
  <sheetProtection sheet="1" objects="1" scenario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Pipeline</vt:lpstr>
      <vt:lpstr>Settings</vt:lpstr>
      <vt:lpstr>Opportunities</vt:lpstr>
      <vt:lpstr>Customers</vt:lpstr>
      <vt:lpstr>graphics</vt:lpstr>
      <vt:lpstr>calendarType</vt:lpstr>
      <vt:lpstr>custList</vt:lpstr>
      <vt:lpstr>custListAppend</vt:lpstr>
      <vt:lpstr>dateRange</vt:lpstr>
      <vt:lpstr>fqStart</vt:lpstr>
      <vt:lpstr>listPrefix</vt:lpstr>
      <vt:lpstr>oppList</vt:lpstr>
      <vt:lpstr>oppListAppend</vt:lpstr>
      <vt:lpstr>pipelineType</vt:lpstr>
      <vt:lpstr>probabilityThreshold</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2025-08-10T20:42:48Z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