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1E42145A-B8FB-4FCF-9D69-B7F6D920EDB7}" xr6:coauthVersionLast="47" xr6:coauthVersionMax="47" xr10:uidLastSave="{00000000-0000-0000-0000-000000000000}"/>
  <bookViews>
    <workbookView xWindow="19090" yWindow="-110" windowWidth="38620" windowHeight="21100" activeTab="7" xr2:uid="{CDF61347-1E32-4F62-9AD6-B33051915A35}"/>
  </bookViews>
  <sheets>
    <sheet name="📈 Pipeline" sheetId="4" r:id="rId1"/>
    <sheet name="Roadmap" sheetId="8" state="hidden" r:id="rId2"/>
    <sheet name="Contacts" sheetId="11" state="hidden" r:id="rId3"/>
    <sheet name="Milestones" sheetId="10" state="hidden" r:id="rId4"/>
    <sheet name="⚡Risk Report " sheetId="14" r:id="rId5"/>
    <sheet name="⚙️ Settings" sheetId="6" r:id="rId6"/>
    <sheet name="🚀 Deploy" sheetId="13" r:id="rId7"/>
    <sheet name="recurrence" sheetId="12" r:id="rId8"/>
    <sheet name="Opportunities" sheetId="3" r:id="rId9"/>
    <sheet name="Customers" sheetId="2" state="hidden" r:id="rId10"/>
    <sheet name="graphics" sheetId="5" r:id="rId11"/>
    <sheet name="tables" sheetId="9" state="hidden" r:id="rId12"/>
  </sheets>
  <definedNames>
    <definedName name="_xlchart.v2.0" hidden="1">graphics!$A$11:$A$16</definedName>
    <definedName name="_xlchart.v2.1" hidden="1">graphics!$C$11:$C$16</definedName>
    <definedName name="_xlchart.v2.2" hidden="1">graphics!$A$11:$A$16</definedName>
    <definedName name="_xlchart.v2.3" hidden="1">graphics!$C$11:$C$16</definedName>
    <definedName name="calendarType">'📈 Pipeline'!$F$2</definedName>
    <definedName name="clientId">'🚀 Deploy'!$C$5</definedName>
    <definedName name="contactList">'🚀 Deploy'!$C$3</definedName>
    <definedName name="contactListAppend">'🚀 Deploy'!$B$3</definedName>
    <definedName name="custList">'🚀 Deploy'!$C$1</definedName>
    <definedName name="custListAppend">'🚀 Deploy'!$B$1</definedName>
    <definedName name="dateRange">'📈 Pipeline'!$H$2</definedName>
    <definedName name="deployType">'⚙️ Settings'!$F$1</definedName>
    <definedName name="ExternalData_1" localSheetId="9" hidden="1">'Customers'!$A$1:$K$31</definedName>
    <definedName name="ExternalData_1" localSheetId="3" hidden="1">Milestones!$A$1:$I$101</definedName>
    <definedName name="ExternalData_2" localSheetId="2" hidden="1">'Contacts'!$A$1:$J$76</definedName>
    <definedName name="ExternalData_2" localSheetId="8" hidden="1">Opportunities!$A$1:$P$41</definedName>
    <definedName name="ExternalData_3" localSheetId="7" hidden="1">recurrence!$A$1:$C$580</definedName>
    <definedName name="ExternalData_3" localSheetId="0" hidden="1">'📈 Pipeline'!$S$7:$S$47</definedName>
    <definedName name="fqStart">'⚙️ Settings'!$F$2</definedName>
    <definedName name="listPrefix">'⚙️ Settings'!$I$2</definedName>
    <definedName name="milestoneList">'🚀 Deploy'!$C$4</definedName>
    <definedName name="milestoneListAppend">'🚀 Deploy'!$B$4</definedName>
    <definedName name="oppList">'🚀 Deploy'!$C$2</definedName>
    <definedName name="oppListAppend">'🚀 Deploy'!$B$2</definedName>
    <definedName name="pipelineType">'📈 Pipeline'!$F$3</definedName>
    <definedName name="probabilityThreshold">'⚙️ Settings'!#REF!</definedName>
    <definedName name="psAftermetter">" -SiteUrl "&amp;""""&amp;siteUrl&amp;""""&amp;" -ListPrefix "&amp;""""&amp;listPrefix&amp;"""" &amp; " -ClientId "&amp;""""&amp;IF(clientId="","31359c7f-bd7e-475c-86db-fdb8c937548e",clientId)&amp;""""</definedName>
    <definedName name="siteUrl">'⚙️ Settings'!$I$1</definedName>
    <definedName name="Slicer_Close_Quarter">#N/A</definedName>
    <definedName name="Slicer_Stage">#N/A</definedName>
    <definedName name="tblTransaction">_xlfn.ANCHORARRAY(recurrence!$G$1)</definedName>
  </definedNames>
  <calcPr calcId="191029"/>
  <pivotCaches>
    <pivotCache cacheId="242" r:id="rId1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2" i="3" l="1"/>
  <c r="AM3" i="3"/>
  <c r="AM4" i="3"/>
  <c r="AM5" i="3"/>
  <c r="AM6" i="3"/>
  <c r="AM7" i="3"/>
  <c r="AM8" i="3"/>
  <c r="AM9" i="3"/>
  <c r="AM10" i="3"/>
  <c r="AM11" i="3"/>
  <c r="AM12" i="3"/>
  <c r="AM13" i="3"/>
  <c r="AM14" i="3"/>
  <c r="AM15" i="3"/>
  <c r="AM16" i="3"/>
  <c r="AM17" i="3"/>
  <c r="AM18" i="3"/>
  <c r="AM19" i="3"/>
  <c r="AM20" i="3"/>
  <c r="AM21" i="3"/>
  <c r="AM22" i="3"/>
  <c r="AM23" i="3"/>
  <c r="AM24" i="3"/>
  <c r="AM25" i="3"/>
  <c r="AM26" i="3"/>
  <c r="AM27" i="3"/>
  <c r="AM28" i="3"/>
  <c r="AM29" i="3"/>
  <c r="AM30" i="3"/>
  <c r="AM31" i="3"/>
  <c r="AM32" i="3"/>
  <c r="AM33" i="3"/>
  <c r="AM34" i="3"/>
  <c r="AM35" i="3"/>
  <c r="AM36" i="3"/>
  <c r="AM37" i="3"/>
  <c r="AM38" i="3"/>
  <c r="AM39" i="3"/>
  <c r="AM40" i="3"/>
  <c r="AM41" i="3"/>
  <c r="H45" i="4"/>
  <c r="H46" i="4"/>
  <c r="H47" i="4"/>
  <c r="Y47" i="4" s="1"/>
  <c r="Z30" i="3" s="1"/>
  <c r="H8" i="4"/>
  <c r="Y8" i="4" s="1"/>
  <c r="Z27" i="3" s="1"/>
  <c r="H9" i="4"/>
  <c r="H10" i="4"/>
  <c r="H11" i="4"/>
  <c r="Y11" i="4" s="1"/>
  <c r="H12" i="4"/>
  <c r="Y12" i="4" s="1"/>
  <c r="Z34" i="3" s="1"/>
  <c r="H13" i="4"/>
  <c r="H14" i="4"/>
  <c r="H15" i="4"/>
  <c r="Y15" i="4" s="1"/>
  <c r="H16" i="4"/>
  <c r="Y16" i="4" s="1"/>
  <c r="Z21" i="3" s="1"/>
  <c r="H17" i="4"/>
  <c r="H18" i="4"/>
  <c r="H19" i="4"/>
  <c r="Y19" i="4" s="1"/>
  <c r="H20" i="4"/>
  <c r="Y20" i="4" s="1"/>
  <c r="Z32" i="3" s="1"/>
  <c r="H21" i="4"/>
  <c r="H22" i="4"/>
  <c r="H23" i="4"/>
  <c r="Y23" i="4" s="1"/>
  <c r="H24" i="4"/>
  <c r="Y24" i="4" s="1"/>
  <c r="Z2" i="3" s="1"/>
  <c r="H25" i="4"/>
  <c r="H26" i="4"/>
  <c r="H27" i="4"/>
  <c r="Y27" i="4" s="1"/>
  <c r="Z35" i="3" s="1"/>
  <c r="H28" i="4"/>
  <c r="Y28" i="4" s="1"/>
  <c r="Z15" i="3" s="1"/>
  <c r="H29" i="4"/>
  <c r="H30" i="4"/>
  <c r="H31" i="4"/>
  <c r="Y31" i="4" s="1"/>
  <c r="Z31" i="3" s="1"/>
  <c r="H32" i="4"/>
  <c r="Y32" i="4" s="1"/>
  <c r="Z14" i="3" s="1"/>
  <c r="H33" i="4"/>
  <c r="H34" i="4"/>
  <c r="H35" i="4"/>
  <c r="Y35" i="4" s="1"/>
  <c r="H36" i="4"/>
  <c r="Y36" i="4" s="1"/>
  <c r="Z29" i="3" s="1"/>
  <c r="H37" i="4"/>
  <c r="H38" i="4"/>
  <c r="H39" i="4"/>
  <c r="Y39" i="4" s="1"/>
  <c r="H40" i="4"/>
  <c r="Y40" i="4" s="1"/>
  <c r="Z6" i="3" s="1"/>
  <c r="H41" i="4"/>
  <c r="H42" i="4"/>
  <c r="H43" i="4"/>
  <c r="Y43" i="4" s="1"/>
  <c r="Z26" i="3" s="1"/>
  <c r="H44" i="4"/>
  <c r="Y44" i="4" s="1"/>
  <c r="Z36" i="3" s="1"/>
  <c r="I45" i="4"/>
  <c r="I46" i="4"/>
  <c r="I4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J46" i="4"/>
  <c r="J10" i="4"/>
  <c r="J14" i="4"/>
  <c r="J20" i="4"/>
  <c r="J24" i="4"/>
  <c r="J31" i="4"/>
  <c r="J35" i="4"/>
  <c r="J36" i="4"/>
  <c r="J42" i="4"/>
  <c r="K47" i="4"/>
  <c r="K10" i="4"/>
  <c r="K11" i="4"/>
  <c r="K12" i="4"/>
  <c r="K20" i="4"/>
  <c r="K22" i="4"/>
  <c r="K26" i="4"/>
  <c r="K27" i="4"/>
  <c r="K28" i="4"/>
  <c r="K32" i="4"/>
  <c r="K34" i="4"/>
  <c r="K35" i="4"/>
  <c r="K38" i="4"/>
  <c r="K42" i="4"/>
  <c r="K43" i="4"/>
  <c r="K44" i="4"/>
  <c r="L45" i="4"/>
  <c r="L46" i="4"/>
  <c r="L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M12" i="4"/>
  <c r="M14" i="4"/>
  <c r="X14" i="4" s="1"/>
  <c r="M18" i="4"/>
  <c r="M19" i="4"/>
  <c r="X19" i="4" s="1"/>
  <c r="M20" i="4"/>
  <c r="M22" i="4"/>
  <c r="M24" i="4"/>
  <c r="M26" i="4"/>
  <c r="X26" i="4" s="1"/>
  <c r="M28" i="4"/>
  <c r="M31" i="4"/>
  <c r="M36" i="4"/>
  <c r="M39" i="4"/>
  <c r="N46" i="4"/>
  <c r="N47" i="4"/>
  <c r="N42" i="4"/>
  <c r="P45" i="4"/>
  <c r="P46" i="4"/>
  <c r="P47" i="4"/>
  <c r="U47" i="4" s="1"/>
  <c r="P8" i="4"/>
  <c r="U8" i="4" s="1"/>
  <c r="P9" i="4"/>
  <c r="P10" i="4"/>
  <c r="P11" i="4"/>
  <c r="U11" i="4" s="1"/>
  <c r="P12" i="4"/>
  <c r="U12" i="4" s="1"/>
  <c r="P13" i="4"/>
  <c r="P14" i="4"/>
  <c r="P15" i="4"/>
  <c r="U15" i="4" s="1"/>
  <c r="P16" i="4"/>
  <c r="U16" i="4" s="1"/>
  <c r="P17" i="4"/>
  <c r="P18" i="4"/>
  <c r="P19" i="4"/>
  <c r="U19" i="4" s="1"/>
  <c r="P20" i="4"/>
  <c r="U20" i="4" s="1"/>
  <c r="P21" i="4"/>
  <c r="P22" i="4"/>
  <c r="P23" i="4"/>
  <c r="U23" i="4" s="1"/>
  <c r="P24" i="4"/>
  <c r="U24" i="4" s="1"/>
  <c r="P25" i="4"/>
  <c r="P26" i="4"/>
  <c r="P27" i="4"/>
  <c r="U27" i="4" s="1"/>
  <c r="P28" i="4"/>
  <c r="U28" i="4" s="1"/>
  <c r="P29" i="4"/>
  <c r="P30" i="4"/>
  <c r="P31" i="4"/>
  <c r="U31" i="4" s="1"/>
  <c r="P32" i="4"/>
  <c r="U32" i="4" s="1"/>
  <c r="P33" i="4"/>
  <c r="P34" i="4"/>
  <c r="P35" i="4"/>
  <c r="U35" i="4" s="1"/>
  <c r="P36" i="4"/>
  <c r="U36" i="4" s="1"/>
  <c r="P37" i="4"/>
  <c r="P38" i="4"/>
  <c r="P39" i="4"/>
  <c r="U39" i="4" s="1"/>
  <c r="P40" i="4"/>
  <c r="U40" i="4" s="1"/>
  <c r="P41" i="4"/>
  <c r="P42" i="4"/>
  <c r="P43" i="4"/>
  <c r="U43" i="4" s="1"/>
  <c r="P44" i="4"/>
  <c r="U44" i="4" s="1"/>
  <c r="Q8" i="4"/>
  <c r="Q15" i="4"/>
  <c r="Q22" i="4"/>
  <c r="Q24" i="4"/>
  <c r="Q26" i="4"/>
  <c r="Q28" i="4"/>
  <c r="Q31" i="4"/>
  <c r="Q35" i="4"/>
  <c r="Q39" i="4"/>
  <c r="Q42" i="4"/>
  <c r="R45" i="4"/>
  <c r="R46" i="4"/>
  <c r="R4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T45" i="4"/>
  <c r="T46" i="4"/>
  <c r="T4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U45" i="4"/>
  <c r="U46" i="4"/>
  <c r="U9" i="4"/>
  <c r="U10" i="4"/>
  <c r="U13" i="4"/>
  <c r="U14" i="4"/>
  <c r="U17" i="4"/>
  <c r="U18" i="4"/>
  <c r="U21" i="4"/>
  <c r="U22" i="4"/>
  <c r="U25" i="4"/>
  <c r="U26" i="4"/>
  <c r="U29" i="4"/>
  <c r="U30" i="4"/>
  <c r="U33" i="4"/>
  <c r="U34" i="4"/>
  <c r="U37" i="4"/>
  <c r="U38" i="4"/>
  <c r="U41" i="4"/>
  <c r="U42" i="4"/>
  <c r="V47" i="4"/>
  <c r="O47" i="4" s="1"/>
  <c r="V10" i="4"/>
  <c r="O10" i="4" s="1"/>
  <c r="V11" i="4"/>
  <c r="O11" i="4" s="1"/>
  <c r="V12" i="4"/>
  <c r="O12" i="4" s="1"/>
  <c r="V14" i="4"/>
  <c r="O14" i="4" s="1"/>
  <c r="V16" i="4"/>
  <c r="O16" i="4" s="1"/>
  <c r="V18" i="4"/>
  <c r="O18" i="4" s="1"/>
  <c r="V20" i="4"/>
  <c r="O20" i="4" s="1"/>
  <c r="V23" i="4"/>
  <c r="O23" i="4" s="1"/>
  <c r="V24" i="4"/>
  <c r="O24" i="4" s="1"/>
  <c r="V26" i="4"/>
  <c r="O26" i="4" s="1"/>
  <c r="V28" i="4"/>
  <c r="O28" i="4" s="1"/>
  <c r="V32" i="4"/>
  <c r="O32" i="4" s="1"/>
  <c r="V34" i="4"/>
  <c r="O34" i="4" s="1"/>
  <c r="V40" i="4"/>
  <c r="O40" i="4" s="1"/>
  <c r="V42" i="4"/>
  <c r="O42" i="4" s="1"/>
  <c r="V43" i="4"/>
  <c r="O43" i="4" s="1"/>
  <c r="V44" i="4"/>
  <c r="O44" i="4" s="1"/>
  <c r="W45" i="4"/>
  <c r="W46" i="4"/>
  <c r="W4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W39" i="4"/>
  <c r="W40" i="4"/>
  <c r="W41" i="4"/>
  <c r="W42" i="4"/>
  <c r="W43" i="4"/>
  <c r="W44" i="4"/>
  <c r="X8" i="4"/>
  <c r="X12" i="4"/>
  <c r="X18" i="4"/>
  <c r="X20" i="4"/>
  <c r="X22" i="4"/>
  <c r="X24" i="4"/>
  <c r="X28" i="4"/>
  <c r="X30" i="4"/>
  <c r="X31" i="4"/>
  <c r="X36" i="4"/>
  <c r="X39" i="4"/>
  <c r="Y45" i="4"/>
  <c r="Y46" i="4"/>
  <c r="Y9" i="4"/>
  <c r="Y10" i="4"/>
  <c r="Y13" i="4"/>
  <c r="Y14" i="4"/>
  <c r="Y17" i="4"/>
  <c r="Y18" i="4"/>
  <c r="Y21" i="4"/>
  <c r="Y22" i="4"/>
  <c r="Y25" i="4"/>
  <c r="Y26" i="4"/>
  <c r="Y29" i="4"/>
  <c r="Y30" i="4"/>
  <c r="Y33" i="4"/>
  <c r="Y34" i="4"/>
  <c r="Y37" i="4"/>
  <c r="Y38" i="4"/>
  <c r="Y41" i="4"/>
  <c r="Y42" i="4"/>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N2" i="2"/>
  <c r="N3" i="2"/>
  <c r="Y28" i="3" s="1"/>
  <c r="J26" i="4" s="1"/>
  <c r="N4" i="2"/>
  <c r="Y12" i="3" s="1"/>
  <c r="N5" i="2"/>
  <c r="N6" i="2"/>
  <c r="N7" i="2"/>
  <c r="N8" i="2"/>
  <c r="N9" i="2"/>
  <c r="N10" i="2"/>
  <c r="N11" i="2"/>
  <c r="N12" i="2"/>
  <c r="Y24" i="3" s="1"/>
  <c r="N13" i="2"/>
  <c r="Y5" i="3" s="1"/>
  <c r="J29" i="4" s="1"/>
  <c r="N14" i="2"/>
  <c r="N15" i="2"/>
  <c r="Y8" i="3" s="1"/>
  <c r="J37" i="4" s="1"/>
  <c r="N16" i="2"/>
  <c r="Y32" i="3" s="1"/>
  <c r="N17" i="2"/>
  <c r="Y4" i="3" s="1"/>
  <c r="N18" i="2"/>
  <c r="N19" i="2"/>
  <c r="N20" i="2"/>
  <c r="N21" i="2"/>
  <c r="Y38" i="3" s="1"/>
  <c r="N22" i="2"/>
  <c r="N23" i="2"/>
  <c r="N24" i="2"/>
  <c r="Y20" i="3" s="1"/>
  <c r="N25" i="2"/>
  <c r="Y16" i="3" s="1"/>
  <c r="N26" i="2"/>
  <c r="N27" i="2"/>
  <c r="N28" i="2"/>
  <c r="Y25" i="3" s="1"/>
  <c r="J17" i="4" s="1"/>
  <c r="N29" i="2"/>
  <c r="Y21" i="3" s="1"/>
  <c r="J16" i="4" s="1"/>
  <c r="N30" i="2"/>
  <c r="N31" i="2"/>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R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S2"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T2" i="3"/>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U2" i="3"/>
  <c r="K24" i="4" s="1"/>
  <c r="U3" i="3"/>
  <c r="K15" i="4" s="1"/>
  <c r="U4" i="3"/>
  <c r="U5" i="3"/>
  <c r="K29" i="4" s="1"/>
  <c r="U6" i="3"/>
  <c r="K40" i="4" s="1"/>
  <c r="U7" i="3"/>
  <c r="U8" i="3"/>
  <c r="K37" i="4" s="1"/>
  <c r="U9" i="3"/>
  <c r="K46" i="4" s="1"/>
  <c r="U10" i="3"/>
  <c r="K21" i="4" s="1"/>
  <c r="U11" i="3"/>
  <c r="K19" i="4" s="1"/>
  <c r="U12" i="3"/>
  <c r="U13" i="3"/>
  <c r="K30" i="4" s="1"/>
  <c r="U14" i="3"/>
  <c r="U15" i="3"/>
  <c r="U16" i="3"/>
  <c r="U17" i="3"/>
  <c r="K18" i="4" s="1"/>
  <c r="U18" i="3"/>
  <c r="K13" i="4" s="1"/>
  <c r="U19" i="3"/>
  <c r="K23" i="4" s="1"/>
  <c r="U20" i="3"/>
  <c r="U21" i="3"/>
  <c r="K16" i="4" s="1"/>
  <c r="U22" i="3"/>
  <c r="K45" i="4" s="1"/>
  <c r="U23" i="3"/>
  <c r="K25" i="4" s="1"/>
  <c r="U24" i="3"/>
  <c r="U25" i="3"/>
  <c r="K17" i="4" s="1"/>
  <c r="U26" i="3"/>
  <c r="U27" i="3"/>
  <c r="K8" i="4" s="1"/>
  <c r="U28" i="3"/>
  <c r="U29" i="3"/>
  <c r="K36" i="4" s="1"/>
  <c r="U30" i="3"/>
  <c r="U31" i="3"/>
  <c r="K31" i="4" s="1"/>
  <c r="U32" i="3"/>
  <c r="U33" i="3"/>
  <c r="K9" i="4" s="1"/>
  <c r="U34" i="3"/>
  <c r="U35" i="3"/>
  <c r="U36" i="3"/>
  <c r="U37" i="3"/>
  <c r="K41" i="4" s="1"/>
  <c r="U38" i="3"/>
  <c r="K14" i="4" s="1"/>
  <c r="U39" i="3"/>
  <c r="K39" i="4" s="1"/>
  <c r="U40" i="3"/>
  <c r="K33" i="4" s="1"/>
  <c r="U41" i="3"/>
  <c r="W2" i="3" a="1"/>
  <c r="W2" i="3" s="1"/>
  <c r="W3" i="3" a="1"/>
  <c r="W3" i="3" s="1"/>
  <c r="AA3" i="3" s="1"/>
  <c r="W4" i="3" a="1"/>
  <c r="W4" i="3" s="1"/>
  <c r="W5" i="3" a="1"/>
  <c r="W5" i="3" s="1"/>
  <c r="W6" i="3" a="1"/>
  <c r="W6" i="3" s="1"/>
  <c r="W7" i="3" a="1"/>
  <c r="W7" i="3"/>
  <c r="W8" i="3" a="1"/>
  <c r="W8" i="3" s="1"/>
  <c r="W9" i="3" a="1"/>
  <c r="W9" i="3" s="1"/>
  <c r="W10" i="3" a="1"/>
  <c r="W10" i="3" s="1"/>
  <c r="W11" i="3" a="1"/>
  <c r="W11" i="3" s="1"/>
  <c r="W12" i="3" a="1"/>
  <c r="W12" i="3" s="1"/>
  <c r="W13" i="3" a="1"/>
  <c r="W13" i="3" s="1"/>
  <c r="W14" i="3" a="1"/>
  <c r="W14" i="3" s="1"/>
  <c r="W15" i="3" a="1"/>
  <c r="W15" i="3" s="1"/>
  <c r="W16" i="3" a="1"/>
  <c r="W16" i="3" s="1"/>
  <c r="W17" i="3" a="1"/>
  <c r="W17" i="3"/>
  <c r="AA17" i="3" s="1"/>
  <c r="W18" i="3" a="1"/>
  <c r="W18" i="3" s="1"/>
  <c r="W19" i="3" a="1"/>
  <c r="W19" i="3" s="1"/>
  <c r="W20" i="3" a="1"/>
  <c r="W20" i="3" s="1"/>
  <c r="W21" i="3" a="1"/>
  <c r="W21" i="3" s="1"/>
  <c r="W22" i="3" a="1"/>
  <c r="W22" i="3" s="1"/>
  <c r="W23" i="3" a="1"/>
  <c r="W23" i="3" s="1"/>
  <c r="W24" i="3" a="1"/>
  <c r="W24" i="3" s="1"/>
  <c r="W25" i="3" a="1"/>
  <c r="W25" i="3"/>
  <c r="W26" i="3" a="1"/>
  <c r="W26" i="3" s="1"/>
  <c r="W27" i="3" a="1"/>
  <c r="W27" i="3" s="1"/>
  <c r="W28" i="3" a="1"/>
  <c r="W28" i="3" s="1"/>
  <c r="W29" i="3" a="1"/>
  <c r="W29" i="3" s="1"/>
  <c r="W30" i="3" a="1"/>
  <c r="W30" i="3" s="1"/>
  <c r="W31" i="3" a="1"/>
  <c r="W31" i="3"/>
  <c r="W32" i="3" a="1"/>
  <c r="W32" i="3" s="1"/>
  <c r="W33" i="3" a="1"/>
  <c r="W33" i="3"/>
  <c r="W34" i="3" a="1"/>
  <c r="W34" i="3" s="1"/>
  <c r="W35" i="3" a="1"/>
  <c r="W35" i="3" s="1"/>
  <c r="W36" i="3" a="1"/>
  <c r="W36" i="3" s="1"/>
  <c r="W37" i="3" a="1"/>
  <c r="W37" i="3"/>
  <c r="W38" i="3" a="1"/>
  <c r="W38" i="3" s="1"/>
  <c r="W39" i="3" a="1"/>
  <c r="W39" i="3"/>
  <c r="W40" i="3" a="1"/>
  <c r="W40" i="3" s="1"/>
  <c r="W41" i="3" a="1"/>
  <c r="W41" i="3" s="1"/>
  <c r="X2" i="3"/>
  <c r="X3" i="3"/>
  <c r="X4" i="3"/>
  <c r="X5" i="3"/>
  <c r="X6" i="3"/>
  <c r="X7" i="3"/>
  <c r="X8" i="3"/>
  <c r="X9" i="3"/>
  <c r="X10" i="3"/>
  <c r="X11" i="3"/>
  <c r="X12" i="3"/>
  <c r="X13" i="3"/>
  <c r="X14" i="3"/>
  <c r="J32" i="4" s="1"/>
  <c r="X15" i="3"/>
  <c r="J28" i="4" s="1"/>
  <c r="X16" i="3"/>
  <c r="X17" i="3"/>
  <c r="X18" i="3"/>
  <c r="X19" i="3"/>
  <c r="J23" i="4" s="1"/>
  <c r="X20" i="3"/>
  <c r="X21" i="3"/>
  <c r="X22" i="3"/>
  <c r="X23" i="3"/>
  <c r="X24" i="3"/>
  <c r="X25" i="3"/>
  <c r="X26" i="3"/>
  <c r="X27" i="3"/>
  <c r="J8" i="4" s="1"/>
  <c r="X28" i="3"/>
  <c r="X29" i="3"/>
  <c r="X30" i="3"/>
  <c r="X31" i="3"/>
  <c r="X32" i="3"/>
  <c r="X33" i="3"/>
  <c r="X34" i="3"/>
  <c r="X35" i="3"/>
  <c r="X36" i="3"/>
  <c r="X37" i="3"/>
  <c r="X38" i="3"/>
  <c r="X39" i="3"/>
  <c r="J39" i="4" s="1"/>
  <c r="X40" i="3"/>
  <c r="X41" i="3"/>
  <c r="Y2" i="3"/>
  <c r="Y3" i="3"/>
  <c r="J15" i="4" s="1"/>
  <c r="Y7" i="3"/>
  <c r="J22" i="4" s="1"/>
  <c r="Y9" i="3"/>
  <c r="Y10" i="3"/>
  <c r="J21" i="4" s="1"/>
  <c r="Y11" i="3"/>
  <c r="J19" i="4" s="1"/>
  <c r="Y13" i="3"/>
  <c r="J30" i="4" s="1"/>
  <c r="Y14" i="3"/>
  <c r="Y15" i="3"/>
  <c r="Y17" i="3"/>
  <c r="J18" i="4" s="1"/>
  <c r="Y18" i="3"/>
  <c r="J13" i="4" s="1"/>
  <c r="Y19" i="3"/>
  <c r="Y22" i="3"/>
  <c r="J45" i="4" s="1"/>
  <c r="Y23" i="3"/>
  <c r="J25" i="4" s="1"/>
  <c r="Y26" i="3"/>
  <c r="J43" i="4" s="1"/>
  <c r="Y27" i="3"/>
  <c r="Y29" i="3"/>
  <c r="Y30" i="3"/>
  <c r="J47" i="4" s="1"/>
  <c r="Y31" i="3"/>
  <c r="Y33" i="3"/>
  <c r="J9" i="4" s="1"/>
  <c r="Y35" i="3"/>
  <c r="J27" i="4" s="1"/>
  <c r="Y36" i="3"/>
  <c r="Y37" i="3"/>
  <c r="J41" i="4" s="1"/>
  <c r="Y39" i="3"/>
  <c r="Y41" i="3"/>
  <c r="J38" i="4" s="1"/>
  <c r="AA33" i="3"/>
  <c r="AB2" i="3"/>
  <c r="AB3" i="3"/>
  <c r="AB4" i="3"/>
  <c r="AB5" i="3"/>
  <c r="AB6" i="3"/>
  <c r="AB7" i="3"/>
  <c r="AB8" i="3"/>
  <c r="AB9" i="3"/>
  <c r="AB10" i="3"/>
  <c r="AB11" i="3"/>
  <c r="AB12" i="3"/>
  <c r="AB13" i="3"/>
  <c r="AB14" i="3"/>
  <c r="AB15" i="3"/>
  <c r="AB16" i="3"/>
  <c r="AB17" i="3"/>
  <c r="AB18" i="3"/>
  <c r="AB19" i="3"/>
  <c r="AB20" i="3"/>
  <c r="AB21" i="3"/>
  <c r="AB22" i="3"/>
  <c r="AB23" i="3"/>
  <c r="AB24" i="3"/>
  <c r="AB25" i="3"/>
  <c r="AB26" i="3"/>
  <c r="AB27" i="3"/>
  <c r="AB28" i="3"/>
  <c r="AB29" i="3"/>
  <c r="AB30" i="3"/>
  <c r="AB31" i="3"/>
  <c r="AB32" i="3"/>
  <c r="AB33" i="3"/>
  <c r="AB34" i="3"/>
  <c r="AB35" i="3"/>
  <c r="AB36" i="3"/>
  <c r="AB37" i="3"/>
  <c r="AB38" i="3"/>
  <c r="AB39" i="3"/>
  <c r="AB40" i="3"/>
  <c r="AB41" i="3"/>
  <c r="AD2" i="3" a="1"/>
  <c r="AD2" i="3"/>
  <c r="AD3" i="3" a="1"/>
  <c r="AD3" i="3" s="1"/>
  <c r="M15" i="4" s="1"/>
  <c r="X15" i="4" s="1"/>
  <c r="AD4" i="3" a="1"/>
  <c r="AD4" i="3" s="1"/>
  <c r="M34" i="4" s="1"/>
  <c r="X34" i="4" s="1"/>
  <c r="AD5" i="3" a="1"/>
  <c r="AD5" i="3" s="1"/>
  <c r="M29" i="4" s="1"/>
  <c r="X29" i="4" s="1"/>
  <c r="AD6" i="3" a="1"/>
  <c r="AD6" i="3"/>
  <c r="M40" i="4" s="1"/>
  <c r="X40" i="4" s="1"/>
  <c r="AD7" i="3" a="1"/>
  <c r="AD7" i="3" s="1"/>
  <c r="AD8" i="3" a="1"/>
  <c r="AD8" i="3" s="1"/>
  <c r="M37" i="4" s="1"/>
  <c r="X37" i="4" s="1"/>
  <c r="AD9" i="3" a="1"/>
  <c r="AD9" i="3" s="1"/>
  <c r="M46" i="4" s="1"/>
  <c r="X46" i="4" s="1"/>
  <c r="AD10" i="3" a="1"/>
  <c r="AD10" i="3"/>
  <c r="M21" i="4" s="1"/>
  <c r="X21" i="4" s="1"/>
  <c r="AD11" i="3" a="1"/>
  <c r="AD11" i="3" s="1"/>
  <c r="AD12" i="3" a="1"/>
  <c r="AD12" i="3" s="1"/>
  <c r="M35" i="4" s="1"/>
  <c r="X35" i="4" s="1"/>
  <c r="AD13" i="3" a="1"/>
  <c r="AD13" i="3" s="1"/>
  <c r="M30" i="4" s="1"/>
  <c r="AD14" i="3" a="1"/>
  <c r="AD14" i="3" s="1"/>
  <c r="M32" i="4" s="1"/>
  <c r="X32" i="4" s="1"/>
  <c r="AD15" i="3" a="1"/>
  <c r="AD15" i="3" s="1"/>
  <c r="AD16" i="3" a="1"/>
  <c r="AD16" i="3" s="1"/>
  <c r="M42" i="4" s="1"/>
  <c r="X42" i="4" s="1"/>
  <c r="AD17" i="3" a="1"/>
  <c r="AD17" i="3" s="1"/>
  <c r="AD18" i="3" a="1"/>
  <c r="AD18" i="3"/>
  <c r="M13" i="4" s="1"/>
  <c r="X13" i="4" s="1"/>
  <c r="AD19" i="3" a="1"/>
  <c r="AD19" i="3" s="1"/>
  <c r="M23" i="4" s="1"/>
  <c r="X23" i="4" s="1"/>
  <c r="AD20" i="3" a="1"/>
  <c r="AD20" i="3" s="1"/>
  <c r="M11" i="4" s="1"/>
  <c r="X11" i="4" s="1"/>
  <c r="AD21" i="3" a="1"/>
  <c r="AD21" i="3" s="1"/>
  <c r="M16" i="4" s="1"/>
  <c r="X16" i="4" s="1"/>
  <c r="AD22" i="3" a="1"/>
  <c r="AD22" i="3" s="1"/>
  <c r="M45" i="4" s="1"/>
  <c r="X45" i="4" s="1"/>
  <c r="AD23" i="3" a="1"/>
  <c r="AD23" i="3" s="1"/>
  <c r="M25" i="4" s="1"/>
  <c r="X25" i="4" s="1"/>
  <c r="AD24" i="3" a="1"/>
  <c r="AD24" i="3" s="1"/>
  <c r="M10" i="4" s="1"/>
  <c r="X10" i="4" s="1"/>
  <c r="AD25" i="3" a="1"/>
  <c r="AD25" i="3" s="1"/>
  <c r="M17" i="4" s="1"/>
  <c r="X17" i="4" s="1"/>
  <c r="AD26" i="3" a="1"/>
  <c r="AD26" i="3"/>
  <c r="M43" i="4" s="1"/>
  <c r="X43" i="4" s="1"/>
  <c r="AD27" i="3" a="1"/>
  <c r="AD27" i="3" s="1"/>
  <c r="M8" i="4" s="1"/>
  <c r="AD28" i="3" a="1"/>
  <c r="AD28" i="3" s="1"/>
  <c r="AD29" i="3" a="1"/>
  <c r="AD29" i="3" s="1"/>
  <c r="AD30" i="3" a="1"/>
  <c r="AD30" i="3" s="1"/>
  <c r="M47" i="4" s="1"/>
  <c r="X47" i="4" s="1"/>
  <c r="AD31" i="3" a="1"/>
  <c r="AD31" i="3" s="1"/>
  <c r="AD32" i="3" a="1"/>
  <c r="AD32" i="3"/>
  <c r="AD33" i="3" a="1"/>
  <c r="AD33" i="3" s="1"/>
  <c r="M9" i="4" s="1"/>
  <c r="X9" i="4" s="1"/>
  <c r="AD34" i="3" a="1"/>
  <c r="AD34" i="3"/>
  <c r="AD35" i="3" a="1"/>
  <c r="AD35" i="3" s="1"/>
  <c r="M27" i="4" s="1"/>
  <c r="X27" i="4" s="1"/>
  <c r="AD36" i="3" a="1"/>
  <c r="AD36" i="3" s="1"/>
  <c r="M44" i="4" s="1"/>
  <c r="X44" i="4" s="1"/>
  <c r="AD37" i="3" a="1"/>
  <c r="AD37" i="3" s="1"/>
  <c r="M41" i="4" s="1"/>
  <c r="X41" i="4" s="1"/>
  <c r="AD38" i="3" a="1"/>
  <c r="AD38" i="3"/>
  <c r="AD39" i="3" a="1"/>
  <c r="AD39" i="3" s="1"/>
  <c r="AD40" i="3" a="1"/>
  <c r="AD40" i="3" s="1"/>
  <c r="M33" i="4" s="1"/>
  <c r="X33" i="4" s="1"/>
  <c r="AD41" i="3" a="1"/>
  <c r="AD41" i="3" s="1"/>
  <c r="M38" i="4" s="1"/>
  <c r="X38" i="4" s="1"/>
  <c r="AE2" i="3"/>
  <c r="AE3" i="3"/>
  <c r="AE4" i="3"/>
  <c r="AE5" i="3"/>
  <c r="AE6" i="3"/>
  <c r="AE7" i="3"/>
  <c r="AE8" i="3"/>
  <c r="AE9" i="3"/>
  <c r="AE10" i="3"/>
  <c r="AE11" i="3"/>
  <c r="AE12" i="3"/>
  <c r="AE13" i="3"/>
  <c r="AE14" i="3"/>
  <c r="AE15" i="3"/>
  <c r="AE16" i="3"/>
  <c r="AE17" i="3"/>
  <c r="AE18" i="3"/>
  <c r="AE19" i="3"/>
  <c r="AE20" i="3"/>
  <c r="AE21" i="3"/>
  <c r="AE22" i="3"/>
  <c r="AE23" i="3"/>
  <c r="AE24" i="3"/>
  <c r="AE25" i="3"/>
  <c r="AE26" i="3"/>
  <c r="AE27" i="3"/>
  <c r="AE28" i="3"/>
  <c r="AE29" i="3"/>
  <c r="AE30" i="3"/>
  <c r="AE31" i="3"/>
  <c r="AE32" i="3"/>
  <c r="AE33" i="3"/>
  <c r="AE34" i="3"/>
  <c r="AE35" i="3"/>
  <c r="AE36" i="3"/>
  <c r="AE37" i="3"/>
  <c r="AE38" i="3"/>
  <c r="AE39" i="3"/>
  <c r="AE40" i="3"/>
  <c r="AE41" i="3"/>
  <c r="AF2" i="3"/>
  <c r="V2" i="3" s="1"/>
  <c r="AF3" i="3"/>
  <c r="V3" i="3" s="1"/>
  <c r="V15" i="4" s="1"/>
  <c r="O15" i="4" s="1"/>
  <c r="AF4" i="3"/>
  <c r="V4" i="3" s="1"/>
  <c r="AF5" i="3"/>
  <c r="V5" i="3" s="1"/>
  <c r="V29" i="4" s="1"/>
  <c r="O29" i="4" s="1"/>
  <c r="AF6" i="3"/>
  <c r="V6" i="3" s="1"/>
  <c r="AF7" i="3"/>
  <c r="V7" i="3" s="1"/>
  <c r="V22" i="4" s="1"/>
  <c r="O22" i="4" s="1"/>
  <c r="AF8" i="3"/>
  <c r="V8" i="3" s="1"/>
  <c r="V37" i="4" s="1"/>
  <c r="O37" i="4" s="1"/>
  <c r="AF9" i="3"/>
  <c r="V9" i="3" s="1"/>
  <c r="V46" i="4" s="1"/>
  <c r="O46" i="4" s="1"/>
  <c r="AF10" i="3"/>
  <c r="V10" i="3" s="1"/>
  <c r="V21" i="4" s="1"/>
  <c r="O21" i="4" s="1"/>
  <c r="AF11" i="3"/>
  <c r="V11" i="3" s="1"/>
  <c r="V19" i="4" s="1"/>
  <c r="O19" i="4" s="1"/>
  <c r="AF12" i="3"/>
  <c r="V12" i="3" s="1"/>
  <c r="V35" i="4" s="1"/>
  <c r="O35" i="4" s="1"/>
  <c r="AF13" i="3"/>
  <c r="V13" i="3" s="1"/>
  <c r="V30" i="4" s="1"/>
  <c r="O30" i="4" s="1"/>
  <c r="AF14" i="3"/>
  <c r="V14" i="3" s="1"/>
  <c r="AF15" i="3"/>
  <c r="V15" i="3" s="1"/>
  <c r="AF16" i="3"/>
  <c r="V16" i="3" s="1"/>
  <c r="AF17" i="3"/>
  <c r="V17" i="3" s="1"/>
  <c r="AF18" i="3"/>
  <c r="V18" i="3" s="1"/>
  <c r="V13" i="4" s="1"/>
  <c r="O13" i="4" s="1"/>
  <c r="AF19" i="3"/>
  <c r="V19" i="3" s="1"/>
  <c r="AF20" i="3"/>
  <c r="V20" i="3" s="1"/>
  <c r="AF21" i="3"/>
  <c r="V21" i="3" s="1"/>
  <c r="AF22" i="3"/>
  <c r="V22" i="3" s="1"/>
  <c r="V45" i="4" s="1"/>
  <c r="O45" i="4" s="1"/>
  <c r="AF23" i="3"/>
  <c r="V23" i="3" s="1"/>
  <c r="V25" i="4" s="1"/>
  <c r="O25" i="4" s="1"/>
  <c r="AF24" i="3"/>
  <c r="V24" i="3" s="1"/>
  <c r="AF25" i="3"/>
  <c r="V25" i="3" s="1"/>
  <c r="V17" i="4" s="1"/>
  <c r="O17" i="4" s="1"/>
  <c r="AF26" i="3"/>
  <c r="V26" i="3" s="1"/>
  <c r="AF27" i="3"/>
  <c r="V27" i="3" s="1"/>
  <c r="V8" i="4" s="1"/>
  <c r="O8" i="4" s="1"/>
  <c r="AF28" i="3"/>
  <c r="V28" i="3" s="1"/>
  <c r="AF29" i="3"/>
  <c r="V29" i="3" s="1"/>
  <c r="V36" i="4" s="1"/>
  <c r="O36" i="4" s="1"/>
  <c r="AF30" i="3"/>
  <c r="V30" i="3" s="1"/>
  <c r="AF31" i="3"/>
  <c r="V31" i="3" s="1"/>
  <c r="V31" i="4" s="1"/>
  <c r="O31" i="4" s="1"/>
  <c r="AF32" i="3"/>
  <c r="V32" i="3" s="1"/>
  <c r="AF33" i="3"/>
  <c r="V33" i="3" s="1"/>
  <c r="V9" i="4" s="1"/>
  <c r="O9" i="4" s="1"/>
  <c r="AF34" i="3"/>
  <c r="V34" i="3" s="1"/>
  <c r="AF35" i="3"/>
  <c r="V35" i="3" s="1"/>
  <c r="V27" i="4" s="1"/>
  <c r="O27" i="4" s="1"/>
  <c r="AF36" i="3"/>
  <c r="V36" i="3" s="1"/>
  <c r="AF37" i="3"/>
  <c r="V37" i="3" s="1"/>
  <c r="V41" i="4" s="1"/>
  <c r="O41" i="4" s="1"/>
  <c r="AF38" i="3"/>
  <c r="V38" i="3" s="1"/>
  <c r="AF39" i="3"/>
  <c r="V39" i="3" s="1"/>
  <c r="V39" i="4" s="1"/>
  <c r="O39" i="4" s="1"/>
  <c r="AF40" i="3"/>
  <c r="V40" i="3" s="1"/>
  <c r="V33" i="4" s="1"/>
  <c r="O33" i="4" s="1"/>
  <c r="AF41" i="3"/>
  <c r="V41" i="3" s="1"/>
  <c r="V38" i="4" s="1"/>
  <c r="O38" i="4" s="1"/>
  <c r="AG2" i="3" a="1"/>
  <c r="AG2" i="3"/>
  <c r="AG3" i="3" a="1"/>
  <c r="AG3" i="3" s="1"/>
  <c r="AG4" i="3" a="1"/>
  <c r="AG4" i="3" s="1"/>
  <c r="Q34" i="4" s="1"/>
  <c r="AG5" i="3" a="1"/>
  <c r="AG5" i="3" s="1"/>
  <c r="Q29" i="4" s="1"/>
  <c r="AG6" i="3" a="1"/>
  <c r="AG6" i="3" s="1"/>
  <c r="Q40" i="4" s="1"/>
  <c r="AG7" i="3" a="1"/>
  <c r="AG7" i="3" s="1"/>
  <c r="AG8" i="3" a="1"/>
  <c r="AG8" i="3"/>
  <c r="Q37" i="4" s="1"/>
  <c r="AG9" i="3" a="1"/>
  <c r="AG9" i="3" s="1"/>
  <c r="Q46" i="4" s="1"/>
  <c r="AG10" i="3" a="1"/>
  <c r="AG10" i="3"/>
  <c r="Q21" i="4" s="1"/>
  <c r="AG11" i="3" a="1"/>
  <c r="AG11" i="3" s="1"/>
  <c r="Q19" i="4" s="1"/>
  <c r="AG12" i="3" a="1"/>
  <c r="AG12" i="3" s="1"/>
  <c r="AG13" i="3" a="1"/>
  <c r="AG13" i="3" s="1"/>
  <c r="Q30" i="4" s="1"/>
  <c r="AG14" i="3" a="1"/>
  <c r="AG14" i="3"/>
  <c r="Q32" i="4" s="1"/>
  <c r="AG15" i="3" a="1"/>
  <c r="AG15" i="3" s="1"/>
  <c r="AG16" i="3" a="1"/>
  <c r="AG16" i="3"/>
  <c r="AG17" i="3" a="1"/>
  <c r="AG17" i="3" s="1"/>
  <c r="Q18" i="4" s="1"/>
  <c r="AG18" i="3" a="1"/>
  <c r="AG18" i="3"/>
  <c r="Q13" i="4" s="1"/>
  <c r="AG19" i="3" a="1"/>
  <c r="AG19" i="3" s="1"/>
  <c r="Q23" i="4" s="1"/>
  <c r="AG20" i="3" a="1"/>
  <c r="AG20" i="3" s="1"/>
  <c r="Q11" i="4" s="1"/>
  <c r="AG21" i="3" a="1"/>
  <c r="AG21" i="3" s="1"/>
  <c r="Q16" i="4" s="1"/>
  <c r="AG22" i="3" a="1"/>
  <c r="AG22" i="3"/>
  <c r="Q45" i="4" s="1"/>
  <c r="AG23" i="3" a="1"/>
  <c r="AG23" i="3" s="1"/>
  <c r="Q25" i="4" s="1"/>
  <c r="AG24" i="3" a="1"/>
  <c r="AG24" i="3"/>
  <c r="Q10" i="4" s="1"/>
  <c r="AG25" i="3" a="1"/>
  <c r="AG25" i="3" s="1"/>
  <c r="Q17" i="4" s="1"/>
  <c r="AG26" i="3" a="1"/>
  <c r="AG26" i="3"/>
  <c r="Q43" i="4" s="1"/>
  <c r="AG27" i="3" a="1"/>
  <c r="AG27" i="3" s="1"/>
  <c r="AG28" i="3" a="1"/>
  <c r="AG28" i="3" s="1"/>
  <c r="AG29" i="3" a="1"/>
  <c r="AG29" i="3" s="1"/>
  <c r="Q36" i="4" s="1"/>
  <c r="AG30" i="3" a="1"/>
  <c r="AG30" i="3"/>
  <c r="Q47" i="4" s="1"/>
  <c r="AG31" i="3" a="1"/>
  <c r="AG31" i="3" s="1"/>
  <c r="AG32" i="3" a="1"/>
  <c r="AG32" i="3" s="1"/>
  <c r="Q20" i="4" s="1"/>
  <c r="AG33" i="3" a="1"/>
  <c r="AG33" i="3" s="1"/>
  <c r="Q9" i="4" s="1"/>
  <c r="AG34" i="3" a="1"/>
  <c r="AG34" i="3"/>
  <c r="Q12" i="4" s="1"/>
  <c r="AG35" i="3" a="1"/>
  <c r="AG35" i="3" s="1"/>
  <c r="Q27" i="4" s="1"/>
  <c r="AG36" i="3" a="1"/>
  <c r="AG36" i="3" s="1"/>
  <c r="Q44" i="4" s="1"/>
  <c r="AG37" i="3" a="1"/>
  <c r="AG37" i="3" s="1"/>
  <c r="Q41" i="4" s="1"/>
  <c r="AG38" i="3" a="1"/>
  <c r="AG38" i="3" s="1"/>
  <c r="Q14" i="4" s="1"/>
  <c r="AG39" i="3" a="1"/>
  <c r="AG39" i="3" s="1"/>
  <c r="AG40" i="3" a="1"/>
  <c r="AG40" i="3" s="1"/>
  <c r="Q33" i="4" s="1"/>
  <c r="AG41" i="3" a="1"/>
  <c r="AG41" i="3" s="1"/>
  <c r="Q38" i="4" s="1"/>
  <c r="AH2" i="3"/>
  <c r="AH3" i="3"/>
  <c r="AH4" i="3"/>
  <c r="AH5" i="3"/>
  <c r="AH6" i="3"/>
  <c r="AH7" i="3"/>
  <c r="AH8" i="3"/>
  <c r="AH9" i="3"/>
  <c r="AH10" i="3"/>
  <c r="AH11" i="3"/>
  <c r="AH12" i="3"/>
  <c r="AH13" i="3"/>
  <c r="AH14" i="3"/>
  <c r="AH15" i="3"/>
  <c r="AH16" i="3"/>
  <c r="AH17" i="3"/>
  <c r="AH18" i="3"/>
  <c r="AH19" i="3"/>
  <c r="AH20" i="3"/>
  <c r="AH21" i="3"/>
  <c r="AH22" i="3"/>
  <c r="AH23" i="3"/>
  <c r="AH24" i="3"/>
  <c r="AH25" i="3"/>
  <c r="AH26" i="3"/>
  <c r="AH27" i="3"/>
  <c r="AH28" i="3"/>
  <c r="AH29" i="3"/>
  <c r="AH30" i="3"/>
  <c r="AH31" i="3"/>
  <c r="AH32" i="3"/>
  <c r="AH33" i="3"/>
  <c r="AH34" i="3"/>
  <c r="AH35" i="3"/>
  <c r="AH36" i="3"/>
  <c r="AH37" i="3"/>
  <c r="AH38" i="3"/>
  <c r="AH39" i="3"/>
  <c r="AH40" i="3"/>
  <c r="AH41" i="3"/>
  <c r="AI2" i="3"/>
  <c r="AI3" i="3"/>
  <c r="AI4" i="3"/>
  <c r="AI5" i="3"/>
  <c r="AI6" i="3"/>
  <c r="AI7" i="3"/>
  <c r="AI8" i="3"/>
  <c r="AI9" i="3"/>
  <c r="AI10" i="3"/>
  <c r="AI11" i="3"/>
  <c r="AI12" i="3"/>
  <c r="AI13" i="3"/>
  <c r="AI14" i="3"/>
  <c r="AI15" i="3"/>
  <c r="AI16" i="3"/>
  <c r="AI17" i="3"/>
  <c r="AI18" i="3"/>
  <c r="AI19" i="3"/>
  <c r="AI20" i="3"/>
  <c r="AI21" i="3"/>
  <c r="AI22" i="3"/>
  <c r="AI23" i="3"/>
  <c r="AI24" i="3"/>
  <c r="AI25" i="3"/>
  <c r="AI26" i="3"/>
  <c r="AI27" i="3"/>
  <c r="AI28" i="3"/>
  <c r="AI29" i="3"/>
  <c r="AI30" i="3"/>
  <c r="AI31" i="3"/>
  <c r="AI32" i="3"/>
  <c r="AI33" i="3"/>
  <c r="AI34" i="3"/>
  <c r="AI35" i="3"/>
  <c r="AI36" i="3"/>
  <c r="AI37" i="3"/>
  <c r="AI38" i="3"/>
  <c r="AI39" i="3"/>
  <c r="AI40" i="3"/>
  <c r="AI41" i="3"/>
  <c r="AJ2" i="3"/>
  <c r="AJ3" i="3"/>
  <c r="AJ4" i="3"/>
  <c r="AJ5" i="3"/>
  <c r="AJ6" i="3"/>
  <c r="AJ7" i="3"/>
  <c r="AJ8" i="3"/>
  <c r="AJ9" i="3"/>
  <c r="AJ10" i="3"/>
  <c r="AJ11" i="3"/>
  <c r="AJ12" i="3"/>
  <c r="AJ13" i="3"/>
  <c r="AJ14" i="3"/>
  <c r="AJ15" i="3"/>
  <c r="AJ16" i="3"/>
  <c r="AJ17" i="3"/>
  <c r="AJ18" i="3"/>
  <c r="AJ19" i="3"/>
  <c r="AJ20" i="3"/>
  <c r="AJ21" i="3"/>
  <c r="AJ22" i="3"/>
  <c r="AJ23" i="3"/>
  <c r="AJ24" i="3"/>
  <c r="AJ25" i="3"/>
  <c r="AJ26" i="3"/>
  <c r="AJ27" i="3"/>
  <c r="AJ28" i="3"/>
  <c r="AJ29" i="3"/>
  <c r="AJ30" i="3"/>
  <c r="AJ31" i="3"/>
  <c r="AJ32" i="3"/>
  <c r="AJ33" i="3"/>
  <c r="AJ34" i="3"/>
  <c r="AJ35" i="3"/>
  <c r="AJ36" i="3"/>
  <c r="AJ37" i="3"/>
  <c r="AJ38" i="3"/>
  <c r="AJ39" i="3"/>
  <c r="AJ40" i="3"/>
  <c r="AJ41" i="3"/>
  <c r="AK2" i="3"/>
  <c r="AK3" i="3"/>
  <c r="AK4" i="3"/>
  <c r="AK5" i="3"/>
  <c r="AK6" i="3"/>
  <c r="AK7" i="3"/>
  <c r="AK8" i="3"/>
  <c r="AK9" i="3"/>
  <c r="AK10" i="3"/>
  <c r="AK11" i="3"/>
  <c r="AK12" i="3"/>
  <c r="AK13" i="3"/>
  <c r="AK14" i="3"/>
  <c r="AK15" i="3"/>
  <c r="AK16" i="3"/>
  <c r="AK17" i="3"/>
  <c r="AK18" i="3"/>
  <c r="AK19" i="3"/>
  <c r="AK20" i="3"/>
  <c r="AK21" i="3"/>
  <c r="AK22" i="3"/>
  <c r="AK23" i="3"/>
  <c r="AK24" i="3"/>
  <c r="AK25" i="3"/>
  <c r="AK26" i="3"/>
  <c r="AK27" i="3"/>
  <c r="AK28" i="3"/>
  <c r="AK29" i="3"/>
  <c r="AK30" i="3"/>
  <c r="AK31" i="3"/>
  <c r="AK32" i="3"/>
  <c r="AK33" i="3"/>
  <c r="AK34" i="3"/>
  <c r="AK35" i="3"/>
  <c r="AK36" i="3"/>
  <c r="AK37" i="3"/>
  <c r="AK38" i="3"/>
  <c r="AK39" i="3"/>
  <c r="AK40" i="3"/>
  <c r="AK41" i="3"/>
  <c r="AL2" i="3"/>
  <c r="N24" i="4" s="1"/>
  <c r="AL3" i="3"/>
  <c r="N15" i="4" s="1"/>
  <c r="AL4" i="3"/>
  <c r="N34" i="4" s="1"/>
  <c r="AL5" i="3"/>
  <c r="N29" i="4" s="1"/>
  <c r="AL6" i="3"/>
  <c r="N40" i="4" s="1"/>
  <c r="AL7" i="3"/>
  <c r="N22" i="4" s="1"/>
  <c r="AL8" i="3"/>
  <c r="N37" i="4" s="1"/>
  <c r="AL9" i="3"/>
  <c r="AL10" i="3"/>
  <c r="N21" i="4" s="1"/>
  <c r="AL11" i="3"/>
  <c r="N19" i="4" s="1"/>
  <c r="AL12" i="3"/>
  <c r="N35" i="4" s="1"/>
  <c r="AL13" i="3"/>
  <c r="N30" i="4" s="1"/>
  <c r="AL14" i="3"/>
  <c r="N32" i="4" s="1"/>
  <c r="AL15" i="3"/>
  <c r="N28" i="4" s="1"/>
  <c r="AL16" i="3"/>
  <c r="AL17" i="3"/>
  <c r="N18" i="4" s="1"/>
  <c r="AL18" i="3"/>
  <c r="N13" i="4" s="1"/>
  <c r="AL19" i="3"/>
  <c r="N23" i="4" s="1"/>
  <c r="AL20" i="3"/>
  <c r="N11" i="4" s="1"/>
  <c r="AL21" i="3"/>
  <c r="N16" i="4" s="1"/>
  <c r="AL22" i="3"/>
  <c r="N45" i="4" s="1"/>
  <c r="AL23" i="3"/>
  <c r="N25" i="4" s="1"/>
  <c r="AL24" i="3"/>
  <c r="N10" i="4" s="1"/>
  <c r="AL25" i="3"/>
  <c r="N17" i="4" s="1"/>
  <c r="AL26" i="3"/>
  <c r="N43" i="4" s="1"/>
  <c r="AL27" i="3"/>
  <c r="N8" i="4" s="1"/>
  <c r="AL28" i="3"/>
  <c r="N26" i="4" s="1"/>
  <c r="AL29" i="3"/>
  <c r="N36" i="4" s="1"/>
  <c r="AL30" i="3"/>
  <c r="AL31" i="3"/>
  <c r="N31" i="4" s="1"/>
  <c r="AL32" i="3"/>
  <c r="N20" i="4" s="1"/>
  <c r="AL33" i="3"/>
  <c r="N9" i="4" s="1"/>
  <c r="AL34" i="3"/>
  <c r="N12" i="4" s="1"/>
  <c r="AL35" i="3"/>
  <c r="N27" i="4" s="1"/>
  <c r="AL36" i="3"/>
  <c r="N44" i="4" s="1"/>
  <c r="AL37" i="3"/>
  <c r="N41" i="4" s="1"/>
  <c r="AL38" i="3"/>
  <c r="N14" i="4" s="1"/>
  <c r="AL39" i="3"/>
  <c r="N39" i="4" s="1"/>
  <c r="AL40" i="3"/>
  <c r="N33" i="4" s="1"/>
  <c r="AL41" i="3"/>
  <c r="N38" i="4" s="1"/>
  <c r="D2"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D227" i="12"/>
  <c r="D228" i="12"/>
  <c r="D229" i="12"/>
  <c r="D230" i="12"/>
  <c r="D231" i="12"/>
  <c r="D232" i="12"/>
  <c r="D233" i="12"/>
  <c r="D234" i="12"/>
  <c r="D235" i="12"/>
  <c r="D236" i="12"/>
  <c r="D237" i="12"/>
  <c r="D238" i="12"/>
  <c r="D239" i="12"/>
  <c r="D240" i="12"/>
  <c r="D241" i="12"/>
  <c r="D242" i="12"/>
  <c r="D243" i="12"/>
  <c r="D244" i="12"/>
  <c r="D245" i="12"/>
  <c r="D246" i="12"/>
  <c r="D247" i="12"/>
  <c r="D248" i="12"/>
  <c r="D249" i="12"/>
  <c r="D250" i="12"/>
  <c r="D251" i="12"/>
  <c r="D252" i="12"/>
  <c r="D253" i="12"/>
  <c r="D254" i="12"/>
  <c r="D255" i="12"/>
  <c r="D256" i="12"/>
  <c r="D257" i="12"/>
  <c r="D258" i="12"/>
  <c r="D259" i="12"/>
  <c r="D260" i="12"/>
  <c r="D261" i="12"/>
  <c r="D262" i="12"/>
  <c r="D263" i="12"/>
  <c r="D264" i="12"/>
  <c r="D265" i="12"/>
  <c r="D266" i="12"/>
  <c r="D267" i="12"/>
  <c r="D268" i="12"/>
  <c r="D269" i="12"/>
  <c r="D270" i="12"/>
  <c r="D271" i="12"/>
  <c r="D272" i="12"/>
  <c r="D273" i="12"/>
  <c r="D274" i="12"/>
  <c r="D275" i="12"/>
  <c r="D276" i="12"/>
  <c r="D277" i="12"/>
  <c r="D278" i="12"/>
  <c r="D279" i="12"/>
  <c r="D280" i="12"/>
  <c r="D281" i="12"/>
  <c r="D282" i="12"/>
  <c r="D283" i="12"/>
  <c r="D284" i="12"/>
  <c r="D285" i="12"/>
  <c r="D286" i="12"/>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3" i="12"/>
  <c r="D314" i="12"/>
  <c r="D315" i="12"/>
  <c r="D316" i="12"/>
  <c r="D317" i="12"/>
  <c r="D318" i="12"/>
  <c r="D319" i="12"/>
  <c r="D320" i="12"/>
  <c r="D321"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361" i="12"/>
  <c r="D362" i="12"/>
  <c r="D363" i="12"/>
  <c r="D364" i="12"/>
  <c r="D365" i="12"/>
  <c r="D366" i="12"/>
  <c r="D367" i="12"/>
  <c r="D368" i="12"/>
  <c r="D369" i="12"/>
  <c r="D370" i="12"/>
  <c r="D371" i="12"/>
  <c r="D372" i="12"/>
  <c r="D373" i="12"/>
  <c r="D374" i="12"/>
  <c r="D375" i="12"/>
  <c r="D376" i="12"/>
  <c r="D377" i="12"/>
  <c r="D378" i="12"/>
  <c r="D379" i="12"/>
  <c r="D380" i="12"/>
  <c r="D381" i="12"/>
  <c r="D382" i="12"/>
  <c r="D383" i="12"/>
  <c r="D384" i="12"/>
  <c r="D385" i="12"/>
  <c r="D386" i="12"/>
  <c r="D387" i="12"/>
  <c r="D388" i="12"/>
  <c r="D389" i="12"/>
  <c r="D390" i="12"/>
  <c r="D391" i="12"/>
  <c r="D392" i="12"/>
  <c r="D393" i="12"/>
  <c r="D394" i="12"/>
  <c r="D395" i="12"/>
  <c r="D396" i="12"/>
  <c r="D397" i="12"/>
  <c r="D398" i="12"/>
  <c r="D399" i="12"/>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D423" i="12"/>
  <c r="D424" i="12"/>
  <c r="D425" i="12"/>
  <c r="D426" i="12"/>
  <c r="D427" i="12"/>
  <c r="D428" i="12"/>
  <c r="D429" i="12"/>
  <c r="D430" i="12"/>
  <c r="D431" i="12"/>
  <c r="D432" i="12"/>
  <c r="D433" i="12"/>
  <c r="D434" i="12"/>
  <c r="D435" i="12"/>
  <c r="D436" i="12"/>
  <c r="D437" i="12"/>
  <c r="D438" i="12"/>
  <c r="D439" i="12"/>
  <c r="D440" i="12"/>
  <c r="D441" i="12"/>
  <c r="D442" i="12"/>
  <c r="D443" i="12"/>
  <c r="D444" i="12"/>
  <c r="D445" i="12"/>
  <c r="D446" i="12"/>
  <c r="D447" i="12"/>
  <c r="D448" i="12"/>
  <c r="D449" i="12"/>
  <c r="D450" i="12"/>
  <c r="D451" i="12"/>
  <c r="D452" i="12"/>
  <c r="D453" i="12"/>
  <c r="D454" i="12"/>
  <c r="D455" i="12"/>
  <c r="D456" i="12"/>
  <c r="D457" i="12"/>
  <c r="D458" i="12"/>
  <c r="D459" i="12"/>
  <c r="D460" i="12"/>
  <c r="D461" i="12"/>
  <c r="D462" i="12"/>
  <c r="D463" i="12"/>
  <c r="D464" i="12"/>
  <c r="D465" i="12"/>
  <c r="D466" i="12"/>
  <c r="D467" i="12"/>
  <c r="D468" i="12"/>
  <c r="D469" i="12"/>
  <c r="D470" i="12"/>
  <c r="D471" i="12"/>
  <c r="D472" i="12"/>
  <c r="D473" i="12"/>
  <c r="D474" i="12"/>
  <c r="D475" i="12"/>
  <c r="D476" i="12"/>
  <c r="D477" i="12"/>
  <c r="D478" i="12"/>
  <c r="D479" i="12"/>
  <c r="D480" i="12"/>
  <c r="D481" i="12"/>
  <c r="D482" i="12"/>
  <c r="D483" i="12"/>
  <c r="D484" i="12"/>
  <c r="D485" i="12"/>
  <c r="D486" i="12"/>
  <c r="D487" i="12"/>
  <c r="D488" i="12"/>
  <c r="D489" i="12"/>
  <c r="D490" i="12"/>
  <c r="D491" i="12"/>
  <c r="D492" i="12"/>
  <c r="D493" i="12"/>
  <c r="D494" i="12"/>
  <c r="D495" i="12"/>
  <c r="D496" i="12"/>
  <c r="D497" i="12"/>
  <c r="D498" i="12"/>
  <c r="D499" i="12"/>
  <c r="D500" i="12"/>
  <c r="D501" i="12"/>
  <c r="D502" i="12"/>
  <c r="D503" i="12"/>
  <c r="D504" i="12"/>
  <c r="D505" i="12"/>
  <c r="D506" i="12"/>
  <c r="D507" i="12"/>
  <c r="D508" i="12"/>
  <c r="D509" i="12"/>
  <c r="D510" i="12"/>
  <c r="D511" i="12"/>
  <c r="D512" i="12"/>
  <c r="D513" i="12"/>
  <c r="D514" i="12"/>
  <c r="D515" i="12"/>
  <c r="D516" i="12"/>
  <c r="D517" i="12"/>
  <c r="D518" i="12"/>
  <c r="D519" i="12"/>
  <c r="D520" i="12"/>
  <c r="D521" i="12"/>
  <c r="D522" i="12"/>
  <c r="D523" i="12"/>
  <c r="D524" i="12"/>
  <c r="D525" i="12"/>
  <c r="D526" i="12"/>
  <c r="D527" i="12"/>
  <c r="D528" i="12"/>
  <c r="D529" i="12"/>
  <c r="D530" i="12"/>
  <c r="D531" i="12"/>
  <c r="D532" i="12"/>
  <c r="D533" i="12"/>
  <c r="D534" i="12"/>
  <c r="D535" i="12"/>
  <c r="D536" i="12"/>
  <c r="D537" i="12"/>
  <c r="D538" i="12"/>
  <c r="D539" i="12"/>
  <c r="D540" i="12"/>
  <c r="D541" i="12"/>
  <c r="D542" i="12"/>
  <c r="D543" i="12"/>
  <c r="D544" i="12"/>
  <c r="D545" i="12"/>
  <c r="D546" i="12"/>
  <c r="D547" i="12"/>
  <c r="D548" i="12"/>
  <c r="D549" i="12"/>
  <c r="D550" i="12"/>
  <c r="D551" i="12"/>
  <c r="D552" i="12"/>
  <c r="D553" i="12"/>
  <c r="D554" i="12"/>
  <c r="D555" i="12"/>
  <c r="D556" i="12"/>
  <c r="D557" i="12"/>
  <c r="D558" i="12"/>
  <c r="D559" i="12"/>
  <c r="D560" i="12"/>
  <c r="D561" i="12"/>
  <c r="D562" i="12"/>
  <c r="D563" i="12"/>
  <c r="D564" i="12"/>
  <c r="D565" i="12"/>
  <c r="D566" i="12"/>
  <c r="D567" i="12"/>
  <c r="D568" i="12"/>
  <c r="D569" i="12"/>
  <c r="D570" i="12"/>
  <c r="D571" i="12"/>
  <c r="D572" i="12"/>
  <c r="D573" i="12"/>
  <c r="D574" i="12"/>
  <c r="D575" i="12"/>
  <c r="D576" i="12"/>
  <c r="D577" i="12"/>
  <c r="D578" i="12"/>
  <c r="D579" i="12"/>
  <c r="D580" i="12"/>
  <c r="E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361" i="12"/>
  <c r="E362" i="12"/>
  <c r="E363" i="12"/>
  <c r="E364" i="12"/>
  <c r="E365" i="12"/>
  <c r="E366" i="12"/>
  <c r="E367" i="12"/>
  <c r="E368" i="12"/>
  <c r="E369" i="12"/>
  <c r="E370" i="12"/>
  <c r="E371" i="12"/>
  <c r="E372" i="12"/>
  <c r="E373" i="12"/>
  <c r="E374" i="12"/>
  <c r="E375" i="12"/>
  <c r="E376" i="12"/>
  <c r="E377" i="12"/>
  <c r="E378" i="12"/>
  <c r="E379" i="12"/>
  <c r="E380" i="12"/>
  <c r="E381" i="12"/>
  <c r="E382" i="12"/>
  <c r="E383" i="12"/>
  <c r="E384" i="12"/>
  <c r="E385" i="12"/>
  <c r="E386"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E427" i="12"/>
  <c r="E428" i="12"/>
  <c r="E429" i="12"/>
  <c r="E430" i="12"/>
  <c r="E431" i="12"/>
  <c r="E432" i="12"/>
  <c r="E433" i="12"/>
  <c r="E434" i="12"/>
  <c r="E435" i="12"/>
  <c r="E436" i="12"/>
  <c r="E437" i="12"/>
  <c r="E438" i="12"/>
  <c r="E439" i="12"/>
  <c r="E440" i="12"/>
  <c r="E441" i="12"/>
  <c r="E442" i="12"/>
  <c r="E443" i="12"/>
  <c r="E444" i="12"/>
  <c r="E445" i="12"/>
  <c r="E446" i="12"/>
  <c r="E447" i="12"/>
  <c r="E448" i="12"/>
  <c r="E449" i="12"/>
  <c r="E450" i="12"/>
  <c r="E451" i="12"/>
  <c r="E452" i="12"/>
  <c r="E453" i="12"/>
  <c r="E454" i="12"/>
  <c r="E455" i="12"/>
  <c r="E456" i="12"/>
  <c r="E457" i="12"/>
  <c r="E458" i="12"/>
  <c r="E459" i="12"/>
  <c r="E460" i="12"/>
  <c r="E461" i="12"/>
  <c r="E462" i="12"/>
  <c r="E463" i="12"/>
  <c r="E464" i="12"/>
  <c r="E465" i="12"/>
  <c r="E466" i="12"/>
  <c r="E467" i="12"/>
  <c r="E468" i="12"/>
  <c r="E469" i="12"/>
  <c r="E470" i="12"/>
  <c r="E471" i="12"/>
  <c r="E472" i="12"/>
  <c r="E473" i="12"/>
  <c r="E474" i="12"/>
  <c r="E475" i="12"/>
  <c r="E476" i="12"/>
  <c r="E477" i="12"/>
  <c r="E478" i="12"/>
  <c r="E479" i="12"/>
  <c r="E480" i="12"/>
  <c r="E481" i="12"/>
  <c r="E482" i="12"/>
  <c r="E483" i="12"/>
  <c r="E484" i="12"/>
  <c r="E485" i="12"/>
  <c r="E486" i="12"/>
  <c r="E487" i="12"/>
  <c r="E488" i="12"/>
  <c r="E489" i="12"/>
  <c r="E490" i="12"/>
  <c r="E491" i="12"/>
  <c r="E492" i="12"/>
  <c r="E493" i="12"/>
  <c r="E494" i="12"/>
  <c r="E495" i="12"/>
  <c r="E496" i="12"/>
  <c r="E497" i="12"/>
  <c r="E498" i="12"/>
  <c r="E499" i="12"/>
  <c r="E500" i="12"/>
  <c r="E501" i="12"/>
  <c r="E502" i="12"/>
  <c r="E503" i="12"/>
  <c r="E504" i="12"/>
  <c r="E505" i="12"/>
  <c r="E506" i="12"/>
  <c r="E507" i="12"/>
  <c r="E508" i="12"/>
  <c r="E509" i="12"/>
  <c r="E510" i="12"/>
  <c r="E511" i="12"/>
  <c r="E512" i="12"/>
  <c r="E513" i="12"/>
  <c r="E514" i="12"/>
  <c r="E515" i="12"/>
  <c r="E516" i="12"/>
  <c r="E517" i="12"/>
  <c r="E518" i="12"/>
  <c r="E519" i="12"/>
  <c r="E520" i="12"/>
  <c r="E521" i="12"/>
  <c r="E522" i="12"/>
  <c r="E523" i="12"/>
  <c r="E524" i="12"/>
  <c r="E525" i="12"/>
  <c r="E526" i="12"/>
  <c r="E527" i="12"/>
  <c r="E528" i="12"/>
  <c r="E529" i="12"/>
  <c r="E530" i="12"/>
  <c r="E531" i="12"/>
  <c r="E532" i="12"/>
  <c r="E533" i="12"/>
  <c r="E534" i="12"/>
  <c r="E535" i="12"/>
  <c r="E536" i="12"/>
  <c r="E537" i="12"/>
  <c r="E538" i="12"/>
  <c r="E539" i="12"/>
  <c r="E540" i="12"/>
  <c r="E541" i="12"/>
  <c r="E542" i="12"/>
  <c r="E543" i="12"/>
  <c r="E544" i="12"/>
  <c r="E545" i="12"/>
  <c r="E546" i="12"/>
  <c r="E547" i="12"/>
  <c r="E548" i="12"/>
  <c r="E549" i="12"/>
  <c r="E550" i="12"/>
  <c r="E551" i="12"/>
  <c r="E552" i="12"/>
  <c r="E553" i="12"/>
  <c r="E554" i="12"/>
  <c r="E555" i="12"/>
  <c r="E556" i="12"/>
  <c r="E557" i="12"/>
  <c r="E558" i="12"/>
  <c r="E559" i="12"/>
  <c r="E560" i="12"/>
  <c r="E561" i="12"/>
  <c r="E562" i="12"/>
  <c r="E563" i="12"/>
  <c r="E564" i="12"/>
  <c r="E565" i="12"/>
  <c r="E566" i="12"/>
  <c r="E567" i="12"/>
  <c r="E568" i="12"/>
  <c r="E569" i="12"/>
  <c r="E570" i="12"/>
  <c r="E571" i="12"/>
  <c r="E572" i="12"/>
  <c r="E573" i="12"/>
  <c r="E574" i="12"/>
  <c r="E575" i="12"/>
  <c r="E576" i="12"/>
  <c r="E577" i="12"/>
  <c r="E578" i="12"/>
  <c r="E579" i="12"/>
  <c r="E580" i="12"/>
  <c r="G2" i="12"/>
  <c r="G3" i="12"/>
  <c r="G4" i="12"/>
  <c r="F4" i="12" s="1"/>
  <c r="G5" i="12"/>
  <c r="F5" i="12" s="1"/>
  <c r="G6" i="12"/>
  <c r="G7" i="12"/>
  <c r="G8" i="12"/>
  <c r="G9" i="12"/>
  <c r="N9" i="12" s="1"/>
  <c r="P9" i="12" s="1"/>
  <c r="G10" i="12"/>
  <c r="F10" i="12" s="1"/>
  <c r="G11" i="12"/>
  <c r="G12" i="12"/>
  <c r="F12" i="12" s="1"/>
  <c r="G13" i="12"/>
  <c r="N13" i="12" s="1"/>
  <c r="P13" i="12" s="1"/>
  <c r="G14" i="12"/>
  <c r="F14" i="12" s="1"/>
  <c r="G15" i="12"/>
  <c r="G16" i="12"/>
  <c r="F16" i="12" s="1"/>
  <c r="G17" i="12"/>
  <c r="G18" i="12"/>
  <c r="G19" i="12"/>
  <c r="G20" i="12"/>
  <c r="F20" i="12" s="1"/>
  <c r="G21" i="12"/>
  <c r="F21" i="12" s="1"/>
  <c r="G22" i="12"/>
  <c r="N22" i="12" s="1"/>
  <c r="P22" i="12" s="1"/>
  <c r="G23" i="12"/>
  <c r="G24" i="12"/>
  <c r="G25" i="12"/>
  <c r="G26" i="12"/>
  <c r="F26" i="12" s="1"/>
  <c r="G27" i="12"/>
  <c r="G28" i="12"/>
  <c r="G29" i="12"/>
  <c r="G30" i="12"/>
  <c r="F30" i="12" s="1"/>
  <c r="G31" i="12"/>
  <c r="G32" i="12"/>
  <c r="G33" i="12"/>
  <c r="F33" i="12" s="1"/>
  <c r="G34" i="12"/>
  <c r="G35" i="12"/>
  <c r="G36" i="12"/>
  <c r="F36" i="12" s="1"/>
  <c r="G37" i="12"/>
  <c r="G38" i="12"/>
  <c r="F38" i="12" s="1"/>
  <c r="G39" i="12"/>
  <c r="G40" i="12"/>
  <c r="G41" i="12"/>
  <c r="G42" i="12"/>
  <c r="F42" i="12" s="1"/>
  <c r="G43" i="12"/>
  <c r="G44" i="12"/>
  <c r="G45" i="12"/>
  <c r="G46" i="12"/>
  <c r="F46" i="12" s="1"/>
  <c r="G47" i="12"/>
  <c r="G48" i="12"/>
  <c r="F48" i="12" s="1"/>
  <c r="G49" i="12"/>
  <c r="F49" i="12" s="1"/>
  <c r="G50" i="12"/>
  <c r="G51" i="12"/>
  <c r="G52" i="12"/>
  <c r="G53" i="12"/>
  <c r="G54" i="12"/>
  <c r="G55" i="12"/>
  <c r="G56" i="12"/>
  <c r="G57" i="12"/>
  <c r="G58" i="12"/>
  <c r="F58" i="12" s="1"/>
  <c r="G59" i="12"/>
  <c r="G60" i="12"/>
  <c r="F60" i="12" s="1"/>
  <c r="G61" i="12"/>
  <c r="N61" i="12" s="1"/>
  <c r="G62" i="12"/>
  <c r="F62" i="12" s="1"/>
  <c r="G63" i="12"/>
  <c r="G64" i="12"/>
  <c r="G65" i="12"/>
  <c r="F65" i="12" s="1"/>
  <c r="G66" i="12"/>
  <c r="G67" i="12"/>
  <c r="G68" i="12"/>
  <c r="G69" i="12"/>
  <c r="G70" i="12"/>
  <c r="F70" i="12" s="1"/>
  <c r="G71" i="12"/>
  <c r="G72" i="12"/>
  <c r="G73" i="12"/>
  <c r="G74" i="12"/>
  <c r="F74" i="12" s="1"/>
  <c r="G75" i="12"/>
  <c r="G76" i="12"/>
  <c r="G77" i="12"/>
  <c r="N77" i="12" s="1"/>
  <c r="G78" i="12"/>
  <c r="F78" i="12" s="1"/>
  <c r="G79" i="12"/>
  <c r="G80" i="12"/>
  <c r="G81" i="12"/>
  <c r="G82" i="12"/>
  <c r="G83" i="12"/>
  <c r="G84" i="12"/>
  <c r="G85" i="12"/>
  <c r="F85" i="12" s="1"/>
  <c r="G86" i="12"/>
  <c r="G87" i="12"/>
  <c r="G88" i="12"/>
  <c r="G89" i="12"/>
  <c r="F89" i="12" s="1"/>
  <c r="G90" i="12"/>
  <c r="F90" i="12" s="1"/>
  <c r="G91" i="12"/>
  <c r="G92" i="12"/>
  <c r="G93" i="12"/>
  <c r="G94" i="12"/>
  <c r="G95" i="12"/>
  <c r="G96" i="12"/>
  <c r="G97" i="12"/>
  <c r="F97" i="12" s="1"/>
  <c r="G98" i="12"/>
  <c r="N98" i="12" s="1"/>
  <c r="P98" i="12" s="1"/>
  <c r="G99" i="12"/>
  <c r="G100" i="12"/>
  <c r="G101" i="12"/>
  <c r="G102" i="12"/>
  <c r="F102" i="12" s="1"/>
  <c r="G103" i="12"/>
  <c r="G104" i="12"/>
  <c r="G105" i="12"/>
  <c r="N105" i="12" s="1"/>
  <c r="G106" i="12"/>
  <c r="F106" i="12" s="1"/>
  <c r="G107" i="12"/>
  <c r="G108" i="12"/>
  <c r="G109" i="12"/>
  <c r="N109" i="12" s="1"/>
  <c r="P109" i="12" s="1"/>
  <c r="G110" i="12"/>
  <c r="F110" i="12" s="1"/>
  <c r="G111" i="12"/>
  <c r="G112" i="12"/>
  <c r="F112" i="12" s="1"/>
  <c r="G113" i="12"/>
  <c r="F113" i="12" s="1"/>
  <c r="G114" i="12"/>
  <c r="G115" i="12"/>
  <c r="G116" i="12"/>
  <c r="G117" i="12"/>
  <c r="G118" i="12"/>
  <c r="G119" i="12"/>
  <c r="G120" i="12"/>
  <c r="G121" i="12"/>
  <c r="F121" i="12" s="1"/>
  <c r="G122" i="12"/>
  <c r="F122" i="12" s="1"/>
  <c r="G123" i="12"/>
  <c r="G124" i="12"/>
  <c r="G125" i="12"/>
  <c r="N125" i="12" s="1"/>
  <c r="P125" i="12" s="1"/>
  <c r="G126" i="12"/>
  <c r="G127" i="12"/>
  <c r="G128" i="12"/>
  <c r="F128" i="12" s="1"/>
  <c r="G129" i="12"/>
  <c r="F129" i="12" s="1"/>
  <c r="G130" i="12"/>
  <c r="N130" i="12" s="1"/>
  <c r="P130" i="12" s="1"/>
  <c r="G131" i="12"/>
  <c r="G132" i="12"/>
  <c r="G133" i="12"/>
  <c r="F133" i="12" s="1"/>
  <c r="G134" i="12"/>
  <c r="F134" i="12" s="1"/>
  <c r="G135" i="12"/>
  <c r="G136" i="12"/>
  <c r="N136" i="12" s="1"/>
  <c r="P136" i="12" s="1"/>
  <c r="G137" i="12"/>
  <c r="G138" i="12"/>
  <c r="G139" i="12"/>
  <c r="G140" i="12"/>
  <c r="F140" i="12" s="1"/>
  <c r="O140" i="12" s="1"/>
  <c r="G141" i="12"/>
  <c r="G142" i="12"/>
  <c r="F142" i="12" s="1"/>
  <c r="G143" i="12"/>
  <c r="G144" i="12"/>
  <c r="F144" i="12" s="1"/>
  <c r="O144" i="12" s="1"/>
  <c r="G145" i="12"/>
  <c r="N145" i="12" s="1"/>
  <c r="P145" i="12" s="1"/>
  <c r="G146" i="12"/>
  <c r="G147" i="12"/>
  <c r="G148" i="12"/>
  <c r="F148" i="12" s="1"/>
  <c r="O148" i="12" s="1"/>
  <c r="G149" i="12"/>
  <c r="G150" i="12"/>
  <c r="F150" i="12" s="1"/>
  <c r="G151" i="12"/>
  <c r="G152" i="12"/>
  <c r="N152" i="12" s="1"/>
  <c r="P152" i="12" s="1"/>
  <c r="G153" i="12"/>
  <c r="N153" i="12" s="1"/>
  <c r="G154" i="12"/>
  <c r="F154" i="12" s="1"/>
  <c r="G155" i="12"/>
  <c r="G156" i="12"/>
  <c r="F156" i="12" s="1"/>
  <c r="O156" i="12" s="1"/>
  <c r="G157" i="12"/>
  <c r="G158" i="12"/>
  <c r="F158" i="12" s="1"/>
  <c r="G159" i="12"/>
  <c r="G160" i="12"/>
  <c r="G161" i="12"/>
  <c r="F161" i="12" s="1"/>
  <c r="G162" i="12"/>
  <c r="G163" i="12"/>
  <c r="G164" i="12"/>
  <c r="N164" i="12" s="1"/>
  <c r="P164" i="12" s="1"/>
  <c r="G165" i="12"/>
  <c r="G166" i="12"/>
  <c r="G167" i="12"/>
  <c r="G168" i="12"/>
  <c r="G169" i="12"/>
  <c r="G170" i="12"/>
  <c r="F170" i="12" s="1"/>
  <c r="G171" i="12"/>
  <c r="G172" i="12"/>
  <c r="N172" i="12" s="1"/>
  <c r="P172" i="12" s="1"/>
  <c r="G173" i="12"/>
  <c r="G174" i="12"/>
  <c r="G175" i="12"/>
  <c r="G176" i="12"/>
  <c r="F176" i="12" s="1"/>
  <c r="O176" i="12" s="1"/>
  <c r="G177" i="12"/>
  <c r="F177" i="12" s="1"/>
  <c r="G178" i="12"/>
  <c r="G179" i="12"/>
  <c r="G180" i="12"/>
  <c r="N180" i="12" s="1"/>
  <c r="P180" i="12" s="1"/>
  <c r="G181" i="12"/>
  <c r="G182" i="12"/>
  <c r="F182" i="12" s="1"/>
  <c r="G183" i="12"/>
  <c r="G184" i="12"/>
  <c r="N184" i="12" s="1"/>
  <c r="P184" i="12" s="1"/>
  <c r="G185" i="12"/>
  <c r="F185" i="12" s="1"/>
  <c r="G186" i="12"/>
  <c r="F186" i="12" s="1"/>
  <c r="G187" i="12"/>
  <c r="G188" i="12"/>
  <c r="G189" i="12"/>
  <c r="G190" i="12"/>
  <c r="F190" i="12" s="1"/>
  <c r="G191" i="12"/>
  <c r="G192" i="12"/>
  <c r="N192" i="12" s="1"/>
  <c r="P192" i="12" s="1"/>
  <c r="G193" i="12"/>
  <c r="F193" i="12" s="1"/>
  <c r="G194" i="12"/>
  <c r="G195" i="12"/>
  <c r="G196" i="12"/>
  <c r="G197" i="12"/>
  <c r="G198" i="12"/>
  <c r="F198" i="12" s="1"/>
  <c r="G199" i="12"/>
  <c r="G200" i="12"/>
  <c r="N200" i="12" s="1"/>
  <c r="P200" i="12" s="1"/>
  <c r="G201" i="12"/>
  <c r="G202" i="12"/>
  <c r="G203" i="12"/>
  <c r="G204" i="12"/>
  <c r="F204" i="12" s="1"/>
  <c r="G205" i="12"/>
  <c r="N205" i="12" s="1"/>
  <c r="P205" i="12" s="1"/>
  <c r="G206" i="12"/>
  <c r="F206" i="12" s="1"/>
  <c r="G207" i="12"/>
  <c r="G208" i="12"/>
  <c r="F208" i="12" s="1"/>
  <c r="O208" i="12" s="1"/>
  <c r="G209" i="12"/>
  <c r="G210" i="12"/>
  <c r="N210" i="12" s="1"/>
  <c r="P210" i="12" s="1"/>
  <c r="G211" i="12"/>
  <c r="G212" i="12"/>
  <c r="F212" i="12" s="1"/>
  <c r="O212" i="12" s="1"/>
  <c r="G213" i="12"/>
  <c r="G214" i="12"/>
  <c r="G215" i="12"/>
  <c r="G216" i="12"/>
  <c r="G217" i="12"/>
  <c r="G218" i="12"/>
  <c r="F218" i="12" s="1"/>
  <c r="G219" i="12"/>
  <c r="G220" i="12"/>
  <c r="F220" i="12" s="1"/>
  <c r="O220" i="12" s="1"/>
  <c r="G221" i="12"/>
  <c r="N221" i="12" s="1"/>
  <c r="P221" i="12" s="1"/>
  <c r="G222" i="12"/>
  <c r="F222" i="12" s="1"/>
  <c r="G223" i="12"/>
  <c r="G224" i="12"/>
  <c r="N224" i="12" s="1"/>
  <c r="P224" i="12" s="1"/>
  <c r="G225" i="12"/>
  <c r="F225" i="12" s="1"/>
  <c r="O225" i="12" s="1"/>
  <c r="G226" i="12"/>
  <c r="G227" i="12"/>
  <c r="G228" i="12"/>
  <c r="N228" i="12" s="1"/>
  <c r="P228" i="12" s="1"/>
  <c r="G229" i="12"/>
  <c r="G230" i="12"/>
  <c r="G231" i="12"/>
  <c r="F231" i="12" s="1"/>
  <c r="G232" i="12"/>
  <c r="G233" i="12"/>
  <c r="F233" i="12" s="1"/>
  <c r="O233" i="12" s="1"/>
  <c r="G234" i="12"/>
  <c r="F234" i="12" s="1"/>
  <c r="G235" i="12"/>
  <c r="F235" i="12" s="1"/>
  <c r="G236" i="12"/>
  <c r="F236" i="12" s="1"/>
  <c r="O236" i="12" s="1"/>
  <c r="G237" i="12"/>
  <c r="G238" i="12"/>
  <c r="G239" i="12"/>
  <c r="G240" i="12"/>
  <c r="N240" i="12" s="1"/>
  <c r="P240" i="12" s="1"/>
  <c r="G241" i="12"/>
  <c r="G242" i="12"/>
  <c r="G243" i="12"/>
  <c r="G244" i="12"/>
  <c r="N244" i="12" s="1"/>
  <c r="P244" i="12" s="1"/>
  <c r="G245" i="12"/>
  <c r="N245" i="12" s="1"/>
  <c r="G246" i="12"/>
  <c r="F246" i="12" s="1"/>
  <c r="G247" i="12"/>
  <c r="G248" i="12"/>
  <c r="G249" i="12"/>
  <c r="G250" i="12"/>
  <c r="F250" i="12" s="1"/>
  <c r="G251" i="12"/>
  <c r="G252" i="12"/>
  <c r="N252" i="12" s="1"/>
  <c r="P252" i="12" s="1"/>
  <c r="G253" i="12"/>
  <c r="N253" i="12" s="1"/>
  <c r="G254" i="12"/>
  <c r="F254" i="12" s="1"/>
  <c r="G255" i="12"/>
  <c r="G256" i="12"/>
  <c r="F256" i="12" s="1"/>
  <c r="O256" i="12" s="1"/>
  <c r="G257" i="12"/>
  <c r="F257" i="12" s="1"/>
  <c r="O257" i="12" s="1"/>
  <c r="G258" i="12"/>
  <c r="N258" i="12" s="1"/>
  <c r="P258" i="12" s="1"/>
  <c r="G259" i="12"/>
  <c r="G260" i="12"/>
  <c r="G261" i="12"/>
  <c r="F261" i="12" s="1"/>
  <c r="G262" i="12"/>
  <c r="F262" i="12" s="1"/>
  <c r="G263" i="12"/>
  <c r="G264" i="12"/>
  <c r="N264" i="12" s="1"/>
  <c r="P264" i="12" s="1"/>
  <c r="G265" i="12"/>
  <c r="G266" i="12"/>
  <c r="N266" i="12" s="1"/>
  <c r="P266" i="12" s="1"/>
  <c r="G267" i="12"/>
  <c r="G268" i="12"/>
  <c r="F268" i="12" s="1"/>
  <c r="O268" i="12" s="1"/>
  <c r="G269" i="12"/>
  <c r="G270" i="12"/>
  <c r="F270" i="12" s="1"/>
  <c r="G271" i="12"/>
  <c r="G272" i="12"/>
  <c r="N272" i="12" s="1"/>
  <c r="P272" i="12" s="1"/>
  <c r="G273" i="12"/>
  <c r="G274" i="12"/>
  <c r="G275" i="12"/>
  <c r="G276" i="12"/>
  <c r="N276" i="12" s="1"/>
  <c r="P276" i="12" s="1"/>
  <c r="G277" i="12"/>
  <c r="F277" i="12" s="1"/>
  <c r="O277" i="12" s="1"/>
  <c r="G278" i="12"/>
  <c r="F278" i="12" s="1"/>
  <c r="G279" i="12"/>
  <c r="G280" i="12"/>
  <c r="G281" i="12"/>
  <c r="G282" i="12"/>
  <c r="F282" i="12" s="1"/>
  <c r="O282" i="12" s="1"/>
  <c r="G283" i="12"/>
  <c r="G284" i="12"/>
  <c r="N284" i="12" s="1"/>
  <c r="P284" i="12" s="1"/>
  <c r="G285" i="12"/>
  <c r="N285" i="12" s="1"/>
  <c r="G286" i="12"/>
  <c r="F286" i="12" s="1"/>
  <c r="G287" i="12"/>
  <c r="G288" i="12"/>
  <c r="G289" i="12"/>
  <c r="F289" i="12" s="1"/>
  <c r="G290" i="12"/>
  <c r="G291" i="12"/>
  <c r="G292" i="12"/>
  <c r="F292" i="12" s="1"/>
  <c r="O292" i="12" s="1"/>
  <c r="G293" i="12"/>
  <c r="G294" i="12"/>
  <c r="G295" i="12"/>
  <c r="G296" i="12"/>
  <c r="N296" i="12" s="1"/>
  <c r="P296" i="12" s="1"/>
  <c r="G297" i="12"/>
  <c r="F297" i="12" s="1"/>
  <c r="G298" i="12"/>
  <c r="F298" i="12" s="1"/>
  <c r="O298" i="12" s="1"/>
  <c r="G299" i="12"/>
  <c r="G300" i="12"/>
  <c r="N300" i="12" s="1"/>
  <c r="P300" i="12" s="1"/>
  <c r="G301" i="12"/>
  <c r="N301" i="12" s="1"/>
  <c r="G302" i="12"/>
  <c r="G303" i="12"/>
  <c r="G304" i="12"/>
  <c r="F304" i="12" s="1"/>
  <c r="O304" i="12" s="1"/>
  <c r="G305" i="12"/>
  <c r="F305" i="12" s="1"/>
  <c r="O305" i="12" s="1"/>
  <c r="G306" i="12"/>
  <c r="G307" i="12"/>
  <c r="G308" i="12"/>
  <c r="F308" i="12" s="1"/>
  <c r="O308" i="12" s="1"/>
  <c r="G309" i="12"/>
  <c r="G310" i="12"/>
  <c r="F310" i="12" s="1"/>
  <c r="O310" i="12" s="1"/>
  <c r="G311" i="12"/>
  <c r="G312" i="12"/>
  <c r="N312" i="12" s="1"/>
  <c r="P312" i="12" s="1"/>
  <c r="G313" i="12"/>
  <c r="G314" i="12"/>
  <c r="F314" i="12" s="1"/>
  <c r="O314" i="12" s="1"/>
  <c r="G315" i="12"/>
  <c r="G316" i="12"/>
  <c r="N316" i="12" s="1"/>
  <c r="P316" i="12" s="1"/>
  <c r="G317" i="12"/>
  <c r="G318" i="12"/>
  <c r="F318" i="12" s="1"/>
  <c r="G319" i="12"/>
  <c r="G320" i="12"/>
  <c r="F320" i="12" s="1"/>
  <c r="G321" i="12"/>
  <c r="G322" i="12"/>
  <c r="G323" i="12"/>
  <c r="G324" i="12"/>
  <c r="G325" i="12"/>
  <c r="G326" i="12"/>
  <c r="G327" i="12"/>
  <c r="G328" i="12"/>
  <c r="G329" i="12"/>
  <c r="F329" i="12" s="1"/>
  <c r="G330" i="12"/>
  <c r="G331" i="12"/>
  <c r="G332" i="12"/>
  <c r="N332" i="12" s="1"/>
  <c r="P332" i="12" s="1"/>
  <c r="G333" i="12"/>
  <c r="G334" i="12"/>
  <c r="F334" i="12" s="1"/>
  <c r="G335" i="12"/>
  <c r="G336" i="12"/>
  <c r="F336" i="12" s="1"/>
  <c r="O336" i="12" s="1"/>
  <c r="G337" i="12"/>
  <c r="N337" i="12" s="1"/>
  <c r="P337" i="12" s="1"/>
  <c r="G338" i="12"/>
  <c r="N338" i="12" s="1"/>
  <c r="P338" i="12" s="1"/>
  <c r="G339" i="12"/>
  <c r="G340" i="12"/>
  <c r="F340" i="12" s="1"/>
  <c r="G341" i="12"/>
  <c r="F341" i="12" s="1"/>
  <c r="O341" i="12" s="1"/>
  <c r="G342" i="12"/>
  <c r="F342" i="12" s="1"/>
  <c r="O342" i="12" s="1"/>
  <c r="G343" i="12"/>
  <c r="G344" i="12"/>
  <c r="N344" i="12" s="1"/>
  <c r="P344" i="12" s="1"/>
  <c r="G345" i="12"/>
  <c r="G346" i="12"/>
  <c r="F346" i="12" s="1"/>
  <c r="O346" i="12" s="1"/>
  <c r="G347" i="12"/>
  <c r="G348" i="12"/>
  <c r="N348" i="12" s="1"/>
  <c r="P348" i="12" s="1"/>
  <c r="G349" i="12"/>
  <c r="G350" i="12"/>
  <c r="F350" i="12" s="1"/>
  <c r="O350" i="12" s="1"/>
  <c r="G351" i="12"/>
  <c r="G352" i="12"/>
  <c r="G353" i="12"/>
  <c r="G354" i="12"/>
  <c r="G355" i="12"/>
  <c r="G356" i="12"/>
  <c r="G357" i="12"/>
  <c r="G358" i="12"/>
  <c r="G359" i="12"/>
  <c r="G360" i="12"/>
  <c r="N360" i="12" s="1"/>
  <c r="P360" i="12" s="1"/>
  <c r="G361" i="12"/>
  <c r="G362" i="12"/>
  <c r="F362" i="12" s="1"/>
  <c r="O362" i="12" s="1"/>
  <c r="G363" i="12"/>
  <c r="G364" i="12"/>
  <c r="F364" i="12" s="1"/>
  <c r="O364" i="12" s="1"/>
  <c r="G365" i="12"/>
  <c r="N365" i="12" s="1"/>
  <c r="G366" i="12"/>
  <c r="G367" i="12"/>
  <c r="G368" i="12"/>
  <c r="N368" i="12" s="1"/>
  <c r="P368" i="12" s="1"/>
  <c r="G369" i="12"/>
  <c r="G370" i="12"/>
  <c r="G371" i="12"/>
  <c r="G372" i="12"/>
  <c r="N372" i="12" s="1"/>
  <c r="P372" i="12" s="1"/>
  <c r="G373" i="12"/>
  <c r="N373" i="12" s="1"/>
  <c r="P373" i="12" s="1"/>
  <c r="G374" i="12"/>
  <c r="F374" i="12" s="1"/>
  <c r="O374" i="12" s="1"/>
  <c r="G375" i="12"/>
  <c r="G376" i="12"/>
  <c r="G377" i="12"/>
  <c r="F377" i="12" s="1"/>
  <c r="O377" i="12" s="1"/>
  <c r="G378" i="12"/>
  <c r="F378" i="12" s="1"/>
  <c r="O378" i="12" s="1"/>
  <c r="G379" i="12"/>
  <c r="G380" i="12"/>
  <c r="G381" i="12"/>
  <c r="N381" i="12" s="1"/>
  <c r="G382" i="12"/>
  <c r="G383" i="12"/>
  <c r="G384" i="12"/>
  <c r="F384" i="12" s="1"/>
  <c r="O384" i="12" s="1"/>
  <c r="G385" i="12"/>
  <c r="G386" i="12"/>
  <c r="G387" i="12"/>
  <c r="G388" i="12"/>
  <c r="G389" i="12"/>
  <c r="G390" i="12"/>
  <c r="F390" i="12" s="1"/>
  <c r="O390" i="12" s="1"/>
  <c r="G391" i="12"/>
  <c r="G392" i="12"/>
  <c r="N392" i="12" s="1"/>
  <c r="P392" i="12" s="1"/>
  <c r="G393" i="12"/>
  <c r="G394" i="12"/>
  <c r="G395" i="12"/>
  <c r="G396" i="12"/>
  <c r="F396" i="12" s="1"/>
  <c r="O396" i="12" s="1"/>
  <c r="G397" i="12"/>
  <c r="N397" i="12" s="1"/>
  <c r="G398" i="12"/>
  <c r="F398" i="12" s="1"/>
  <c r="O398" i="12" s="1"/>
  <c r="G399" i="12"/>
  <c r="G400" i="12"/>
  <c r="F400" i="12" s="1"/>
  <c r="G401" i="12"/>
  <c r="G402" i="12"/>
  <c r="G403" i="12"/>
  <c r="G404" i="12"/>
  <c r="G405" i="12"/>
  <c r="G406" i="12"/>
  <c r="F406" i="12" s="1"/>
  <c r="O406" i="12" s="1"/>
  <c r="G407" i="12"/>
  <c r="G408" i="12"/>
  <c r="G409" i="12"/>
  <c r="N409" i="12" s="1"/>
  <c r="G410" i="12"/>
  <c r="F410" i="12" s="1"/>
  <c r="O410" i="12" s="1"/>
  <c r="G411" i="12"/>
  <c r="G412" i="12"/>
  <c r="G413" i="12"/>
  <c r="G414" i="12"/>
  <c r="F414" i="12" s="1"/>
  <c r="O414" i="12" s="1"/>
  <c r="G415" i="12"/>
  <c r="G416" i="12"/>
  <c r="G417" i="12"/>
  <c r="G418" i="12"/>
  <c r="G419" i="12"/>
  <c r="G420" i="12"/>
  <c r="N420" i="12" s="1"/>
  <c r="P420" i="12" s="1"/>
  <c r="G421" i="12"/>
  <c r="F421" i="12" s="1"/>
  <c r="O421" i="12" s="1"/>
  <c r="G422" i="12"/>
  <c r="G423" i="12"/>
  <c r="G424" i="12"/>
  <c r="N424" i="12" s="1"/>
  <c r="P424" i="12" s="1"/>
  <c r="G425" i="12"/>
  <c r="F425" i="12" s="1"/>
  <c r="O425" i="12" s="1"/>
  <c r="G426" i="12"/>
  <c r="F426" i="12" s="1"/>
  <c r="O426" i="12" s="1"/>
  <c r="G427" i="12"/>
  <c r="G428" i="12"/>
  <c r="N428" i="12" s="1"/>
  <c r="P428" i="12" s="1"/>
  <c r="G429" i="12"/>
  <c r="G430" i="12"/>
  <c r="G431" i="12"/>
  <c r="G432" i="12"/>
  <c r="G433" i="12"/>
  <c r="F433" i="12" s="1"/>
  <c r="O433" i="12" s="1"/>
  <c r="G434" i="12"/>
  <c r="G435" i="12"/>
  <c r="G436" i="12"/>
  <c r="F436" i="12" s="1"/>
  <c r="O436" i="12" s="1"/>
  <c r="G437" i="12"/>
  <c r="G438" i="12"/>
  <c r="F438" i="12" s="1"/>
  <c r="O438" i="12" s="1"/>
  <c r="G439" i="12"/>
  <c r="G440" i="12"/>
  <c r="N440" i="12" s="1"/>
  <c r="P440" i="12" s="1"/>
  <c r="G441" i="12"/>
  <c r="G442" i="12"/>
  <c r="F442" i="12" s="1"/>
  <c r="O442" i="12" s="1"/>
  <c r="G443" i="12"/>
  <c r="G444" i="12"/>
  <c r="G445" i="12"/>
  <c r="N445" i="12" s="1"/>
  <c r="G446" i="12"/>
  <c r="F446" i="12" s="1"/>
  <c r="O446" i="12" s="1"/>
  <c r="G447" i="12"/>
  <c r="G448" i="12"/>
  <c r="F448" i="12" s="1"/>
  <c r="O448" i="12" s="1"/>
  <c r="G449" i="12"/>
  <c r="F449" i="12" s="1"/>
  <c r="O449" i="12" s="1"/>
  <c r="G450" i="12"/>
  <c r="G451" i="12"/>
  <c r="G452" i="12"/>
  <c r="G453" i="12"/>
  <c r="F453" i="12" s="1"/>
  <c r="O453" i="12" s="1"/>
  <c r="G454" i="12"/>
  <c r="G455" i="12"/>
  <c r="G456" i="12"/>
  <c r="G457" i="12"/>
  <c r="F457" i="12" s="1"/>
  <c r="O457" i="12" s="1"/>
  <c r="G458" i="12"/>
  <c r="G459" i="12"/>
  <c r="G460" i="12"/>
  <c r="G461" i="12"/>
  <c r="G462" i="12"/>
  <c r="F462" i="12" s="1"/>
  <c r="O462" i="12" s="1"/>
  <c r="G463" i="12"/>
  <c r="G464" i="12"/>
  <c r="N464" i="12" s="1"/>
  <c r="P464" i="12" s="1"/>
  <c r="G465" i="12"/>
  <c r="N465" i="12" s="1"/>
  <c r="G466" i="12"/>
  <c r="G467" i="12"/>
  <c r="G468" i="12"/>
  <c r="N468" i="12" s="1"/>
  <c r="P468" i="12" s="1"/>
  <c r="G469" i="12"/>
  <c r="F469" i="12" s="1"/>
  <c r="G470" i="12"/>
  <c r="F470" i="12" s="1"/>
  <c r="G471" i="12"/>
  <c r="G472" i="12"/>
  <c r="N472" i="12" s="1"/>
  <c r="P472" i="12" s="1"/>
  <c r="G473" i="12"/>
  <c r="N473" i="12" s="1"/>
  <c r="G474" i="12"/>
  <c r="F474" i="12" s="1"/>
  <c r="G475" i="12"/>
  <c r="G476" i="12"/>
  <c r="F476" i="12" s="1"/>
  <c r="O476" i="12" s="1"/>
  <c r="G477" i="12"/>
  <c r="N477" i="12" s="1"/>
  <c r="G478" i="12"/>
  <c r="F478" i="12" s="1"/>
  <c r="G479" i="12"/>
  <c r="G480" i="12"/>
  <c r="N480" i="12" s="1"/>
  <c r="P480" i="12" s="1"/>
  <c r="G481" i="12"/>
  <c r="F481" i="12" s="1"/>
  <c r="G482" i="12"/>
  <c r="G483" i="12"/>
  <c r="G484" i="12"/>
  <c r="F484" i="12" s="1"/>
  <c r="O484" i="12" s="1"/>
  <c r="G485" i="12"/>
  <c r="F485" i="12" s="1"/>
  <c r="G486" i="12"/>
  <c r="G487" i="12"/>
  <c r="G488" i="12"/>
  <c r="G489" i="12"/>
  <c r="N489" i="12" s="1"/>
  <c r="P489" i="12" s="1"/>
  <c r="G490" i="12"/>
  <c r="F490" i="12" s="1"/>
  <c r="G491" i="12"/>
  <c r="F491" i="12" s="1"/>
  <c r="O491" i="12" s="1"/>
  <c r="G492" i="12"/>
  <c r="G493" i="12"/>
  <c r="F493" i="12" s="1"/>
  <c r="G494" i="12"/>
  <c r="G495" i="12"/>
  <c r="G496" i="12"/>
  <c r="G497" i="12"/>
  <c r="G498" i="12"/>
  <c r="F498" i="12" s="1"/>
  <c r="G499" i="12"/>
  <c r="G500" i="12"/>
  <c r="G501" i="12"/>
  <c r="F501" i="12" s="1"/>
  <c r="G502" i="12"/>
  <c r="G503" i="12"/>
  <c r="G504" i="12"/>
  <c r="G505" i="12"/>
  <c r="F505" i="12" s="1"/>
  <c r="O505" i="12" s="1"/>
  <c r="G506" i="12"/>
  <c r="G507" i="12"/>
  <c r="G508" i="12"/>
  <c r="G509" i="12"/>
  <c r="N509" i="12" s="1"/>
  <c r="G510" i="12"/>
  <c r="F510" i="12" s="1"/>
  <c r="G511" i="12"/>
  <c r="G512" i="12"/>
  <c r="F512" i="12" s="1"/>
  <c r="O512" i="12" s="1"/>
  <c r="G513" i="12"/>
  <c r="G514" i="12"/>
  <c r="G515" i="12"/>
  <c r="F515" i="12" s="1"/>
  <c r="O515" i="12" s="1"/>
  <c r="G516" i="12"/>
  <c r="F516" i="12" s="1"/>
  <c r="O516" i="12" s="1"/>
  <c r="G517" i="12"/>
  <c r="G518" i="12"/>
  <c r="G519" i="12"/>
  <c r="G520" i="12"/>
  <c r="F520" i="12" s="1"/>
  <c r="O520" i="12" s="1"/>
  <c r="G521" i="12"/>
  <c r="G522" i="12"/>
  <c r="F522" i="12" s="1"/>
  <c r="G523" i="12"/>
  <c r="G524" i="12"/>
  <c r="F524" i="12" s="1"/>
  <c r="O524" i="12" s="1"/>
  <c r="G525" i="12"/>
  <c r="F525" i="12" s="1"/>
  <c r="O525" i="12" s="1"/>
  <c r="G526" i="12"/>
  <c r="F526" i="12" s="1"/>
  <c r="G527" i="12"/>
  <c r="G528" i="12"/>
  <c r="G529" i="12"/>
  <c r="G530" i="12"/>
  <c r="G531" i="12"/>
  <c r="F531" i="12" s="1"/>
  <c r="O531" i="12" s="1"/>
  <c r="G532" i="12"/>
  <c r="G533" i="12"/>
  <c r="G534" i="12"/>
  <c r="F534" i="12" s="1"/>
  <c r="G535" i="12"/>
  <c r="G536" i="12"/>
  <c r="G537" i="12"/>
  <c r="G538" i="12"/>
  <c r="G539" i="12"/>
  <c r="G540" i="12"/>
  <c r="G541" i="12"/>
  <c r="G542" i="12"/>
  <c r="F542" i="12" s="1"/>
  <c r="G543" i="12"/>
  <c r="G544" i="12"/>
  <c r="F544" i="12" s="1"/>
  <c r="O544" i="12" s="1"/>
  <c r="G545" i="12"/>
  <c r="G546" i="12"/>
  <c r="G547" i="12"/>
  <c r="F547" i="12" s="1"/>
  <c r="O547" i="12" s="1"/>
  <c r="G548" i="12"/>
  <c r="G549" i="12"/>
  <c r="F549" i="12" s="1"/>
  <c r="O549" i="12" s="1"/>
  <c r="G550" i="12"/>
  <c r="G551" i="12"/>
  <c r="G552" i="12"/>
  <c r="F552" i="12" s="1"/>
  <c r="O552" i="12" s="1"/>
  <c r="G553" i="12"/>
  <c r="G554" i="12"/>
  <c r="G555" i="12"/>
  <c r="F555" i="12" s="1"/>
  <c r="G556" i="12"/>
  <c r="G557" i="12"/>
  <c r="F557" i="12" s="1"/>
  <c r="O557" i="12" s="1"/>
  <c r="G558" i="12"/>
  <c r="G559" i="12"/>
  <c r="G560" i="12"/>
  <c r="F560" i="12" s="1"/>
  <c r="O560" i="12" s="1"/>
  <c r="G561" i="12"/>
  <c r="G562" i="12"/>
  <c r="G563" i="12"/>
  <c r="G564" i="12"/>
  <c r="G565" i="12"/>
  <c r="F565" i="12" s="1"/>
  <c r="O565" i="12" s="1"/>
  <c r="G566" i="12"/>
  <c r="G567" i="12"/>
  <c r="G568" i="12"/>
  <c r="G569" i="12"/>
  <c r="F569" i="12" s="1"/>
  <c r="O569" i="12" s="1"/>
  <c r="G570" i="12"/>
  <c r="G571" i="12"/>
  <c r="G572" i="12"/>
  <c r="F572" i="12" s="1"/>
  <c r="O572" i="12" s="1"/>
  <c r="G573" i="12"/>
  <c r="N573" i="12" s="1"/>
  <c r="G574" i="12"/>
  <c r="G575" i="12"/>
  <c r="G576" i="12"/>
  <c r="F576" i="12" s="1"/>
  <c r="O576" i="12" s="1"/>
  <c r="G577" i="12"/>
  <c r="G578" i="12"/>
  <c r="F578" i="12" s="1"/>
  <c r="G579" i="12"/>
  <c r="G580" i="12"/>
  <c r="F580" i="12" s="1"/>
  <c r="O580" i="12" s="1"/>
  <c r="H2" i="12"/>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437" i="12"/>
  <c r="H438" i="12"/>
  <c r="H439" i="12"/>
  <c r="H440" i="12"/>
  <c r="H441" i="12"/>
  <c r="H442" i="12"/>
  <c r="H443" i="12"/>
  <c r="H444" i="12"/>
  <c r="H445" i="12"/>
  <c r="H446" i="12"/>
  <c r="H447" i="12"/>
  <c r="H448" i="12"/>
  <c r="H449" i="12"/>
  <c r="H450" i="12"/>
  <c r="H451" i="12"/>
  <c r="H452" i="12"/>
  <c r="H453" i="12"/>
  <c r="H454" i="12"/>
  <c r="H455" i="12"/>
  <c r="H456" i="12"/>
  <c r="H457" i="12"/>
  <c r="H458" i="12"/>
  <c r="H459" i="12"/>
  <c r="H460" i="12"/>
  <c r="H461" i="12"/>
  <c r="H462" i="12"/>
  <c r="H463" i="12"/>
  <c r="H464" i="12"/>
  <c r="H465" i="12"/>
  <c r="H466" i="12"/>
  <c r="H467" i="12"/>
  <c r="H468" i="12"/>
  <c r="H469" i="12"/>
  <c r="H470" i="12"/>
  <c r="H471" i="12"/>
  <c r="H472" i="12"/>
  <c r="H473" i="12"/>
  <c r="H474" i="12"/>
  <c r="H475" i="12"/>
  <c r="H476" i="12"/>
  <c r="H477" i="12"/>
  <c r="H478" i="12"/>
  <c r="H479" i="12"/>
  <c r="H480" i="12"/>
  <c r="H481" i="12"/>
  <c r="H482" i="12"/>
  <c r="H483" i="12"/>
  <c r="H484" i="12"/>
  <c r="H485" i="12"/>
  <c r="H486" i="12"/>
  <c r="H487" i="12"/>
  <c r="H488" i="12"/>
  <c r="H489" i="12"/>
  <c r="H490" i="12"/>
  <c r="H491" i="12"/>
  <c r="H492" i="12"/>
  <c r="H493" i="12"/>
  <c r="H494" i="12"/>
  <c r="H495" i="12"/>
  <c r="H496" i="12"/>
  <c r="H497" i="12"/>
  <c r="H498" i="12"/>
  <c r="H499" i="12"/>
  <c r="H500" i="12"/>
  <c r="H501" i="12"/>
  <c r="H502" i="12"/>
  <c r="H503" i="12"/>
  <c r="H504" i="12"/>
  <c r="H505" i="12"/>
  <c r="H506" i="12"/>
  <c r="H507" i="12"/>
  <c r="H508" i="12"/>
  <c r="H509" i="12"/>
  <c r="H510" i="12"/>
  <c r="H511" i="12"/>
  <c r="H512" i="12"/>
  <c r="H513" i="12"/>
  <c r="H514" i="12"/>
  <c r="H515" i="12"/>
  <c r="H516" i="12"/>
  <c r="H517" i="12"/>
  <c r="H518" i="12"/>
  <c r="H519" i="12"/>
  <c r="H520" i="12"/>
  <c r="H521" i="12"/>
  <c r="H522" i="12"/>
  <c r="H523" i="12"/>
  <c r="H524" i="12"/>
  <c r="H525" i="12"/>
  <c r="H526" i="12"/>
  <c r="H527" i="12"/>
  <c r="H528" i="12"/>
  <c r="H529" i="12"/>
  <c r="H530" i="12"/>
  <c r="H531" i="12"/>
  <c r="H532" i="12"/>
  <c r="H533" i="12"/>
  <c r="H534" i="12"/>
  <c r="H535" i="12"/>
  <c r="H536" i="12"/>
  <c r="H537" i="12"/>
  <c r="H538" i="12"/>
  <c r="H539" i="12"/>
  <c r="H540" i="12"/>
  <c r="H541" i="12"/>
  <c r="H542" i="12"/>
  <c r="H543" i="12"/>
  <c r="H544" i="12"/>
  <c r="H545" i="12"/>
  <c r="H546" i="12"/>
  <c r="H547" i="12"/>
  <c r="H548" i="12"/>
  <c r="H549" i="12"/>
  <c r="H550" i="12"/>
  <c r="H551" i="12"/>
  <c r="H552" i="12"/>
  <c r="H553" i="12"/>
  <c r="H554" i="12"/>
  <c r="H555" i="12"/>
  <c r="H556" i="12"/>
  <c r="H557" i="12"/>
  <c r="H558" i="12"/>
  <c r="H559" i="12"/>
  <c r="H560" i="12"/>
  <c r="H561" i="12"/>
  <c r="H562" i="12"/>
  <c r="H563" i="12"/>
  <c r="H564" i="12"/>
  <c r="H565" i="12"/>
  <c r="H566" i="12"/>
  <c r="H567" i="12"/>
  <c r="H568" i="12"/>
  <c r="H569" i="12"/>
  <c r="H570" i="12"/>
  <c r="H571" i="12"/>
  <c r="H572" i="12"/>
  <c r="H573" i="12"/>
  <c r="H574" i="12"/>
  <c r="H575" i="12"/>
  <c r="H576" i="12"/>
  <c r="H577" i="12"/>
  <c r="H578" i="12"/>
  <c r="H579" i="12"/>
  <c r="H580" i="12"/>
  <c r="I2" i="12"/>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I367" i="12"/>
  <c r="I368" i="12"/>
  <c r="I369" i="12"/>
  <c r="I370" i="12"/>
  <c r="I371" i="12"/>
  <c r="I372" i="12"/>
  <c r="I373" i="12"/>
  <c r="I374" i="12"/>
  <c r="I375" i="12"/>
  <c r="I376" i="12"/>
  <c r="I377" i="12"/>
  <c r="I378" i="12"/>
  <c r="I379" i="12"/>
  <c r="I380" i="12"/>
  <c r="I381" i="12"/>
  <c r="I382" i="12"/>
  <c r="I383" i="12"/>
  <c r="I384" i="12"/>
  <c r="I385" i="12"/>
  <c r="I386" i="12"/>
  <c r="I387" i="12"/>
  <c r="I388" i="12"/>
  <c r="I389" i="12"/>
  <c r="I390" i="12"/>
  <c r="I391" i="12"/>
  <c r="I392" i="12"/>
  <c r="I393" i="12"/>
  <c r="I394" i="12"/>
  <c r="I395" i="12"/>
  <c r="I396" i="12"/>
  <c r="I397" i="12"/>
  <c r="I398" i="12"/>
  <c r="I399" i="12"/>
  <c r="I400" i="12"/>
  <c r="I401" i="12"/>
  <c r="I402" i="12"/>
  <c r="I403" i="12"/>
  <c r="I404" i="12"/>
  <c r="I405" i="12"/>
  <c r="I406" i="12"/>
  <c r="I407" i="12"/>
  <c r="I408" i="12"/>
  <c r="I409" i="12"/>
  <c r="I410" i="12"/>
  <c r="I411" i="12"/>
  <c r="I412" i="12"/>
  <c r="I413" i="12"/>
  <c r="I414" i="12"/>
  <c r="I415" i="12"/>
  <c r="I416" i="12"/>
  <c r="I417" i="12"/>
  <c r="I418" i="12"/>
  <c r="I419" i="12"/>
  <c r="I420" i="12"/>
  <c r="I421" i="12"/>
  <c r="I422" i="12"/>
  <c r="I423" i="12"/>
  <c r="I424" i="12"/>
  <c r="I425" i="12"/>
  <c r="I426" i="12"/>
  <c r="I427" i="12"/>
  <c r="I428" i="12"/>
  <c r="I429" i="12"/>
  <c r="I430" i="12"/>
  <c r="I431" i="12"/>
  <c r="I432" i="12"/>
  <c r="I433" i="12"/>
  <c r="I434" i="12"/>
  <c r="I435" i="12"/>
  <c r="I436" i="12"/>
  <c r="I437" i="12"/>
  <c r="I438" i="12"/>
  <c r="I439" i="12"/>
  <c r="I440" i="12"/>
  <c r="I441" i="12"/>
  <c r="I442" i="12"/>
  <c r="I443" i="12"/>
  <c r="I444" i="12"/>
  <c r="I445" i="12"/>
  <c r="I446" i="12"/>
  <c r="I447" i="12"/>
  <c r="I448" i="12"/>
  <c r="I449" i="12"/>
  <c r="I450" i="12"/>
  <c r="I451" i="12"/>
  <c r="I452" i="12"/>
  <c r="I453" i="12"/>
  <c r="I454" i="12"/>
  <c r="I455" i="12"/>
  <c r="I456" i="12"/>
  <c r="I457" i="12"/>
  <c r="I458" i="12"/>
  <c r="I459" i="12"/>
  <c r="I460" i="12"/>
  <c r="I461" i="12"/>
  <c r="I462" i="12"/>
  <c r="I463" i="12"/>
  <c r="I464" i="12"/>
  <c r="I465" i="12"/>
  <c r="I466" i="12"/>
  <c r="I467" i="12"/>
  <c r="I468" i="12"/>
  <c r="I469" i="12"/>
  <c r="I470" i="12"/>
  <c r="I471" i="12"/>
  <c r="I472" i="12"/>
  <c r="I473" i="12"/>
  <c r="I474" i="12"/>
  <c r="I475" i="12"/>
  <c r="I476" i="12"/>
  <c r="I477" i="12"/>
  <c r="I478" i="12"/>
  <c r="I479" i="12"/>
  <c r="I480" i="12"/>
  <c r="I481" i="12"/>
  <c r="I482" i="12"/>
  <c r="I483" i="12"/>
  <c r="I484" i="12"/>
  <c r="I485" i="12"/>
  <c r="I486" i="12"/>
  <c r="I487" i="12"/>
  <c r="I488" i="12"/>
  <c r="I489" i="12"/>
  <c r="I490" i="12"/>
  <c r="I491" i="12"/>
  <c r="I492" i="12"/>
  <c r="I493" i="12"/>
  <c r="I494" i="12"/>
  <c r="I495" i="12"/>
  <c r="I496" i="12"/>
  <c r="I497" i="12"/>
  <c r="I498" i="12"/>
  <c r="I499" i="12"/>
  <c r="I500" i="12"/>
  <c r="I501" i="12"/>
  <c r="I502" i="12"/>
  <c r="I503" i="12"/>
  <c r="I504" i="12"/>
  <c r="I505" i="12"/>
  <c r="I506" i="12"/>
  <c r="I507" i="12"/>
  <c r="I508" i="12"/>
  <c r="I509" i="12"/>
  <c r="I510" i="12"/>
  <c r="I511" i="12"/>
  <c r="I512" i="12"/>
  <c r="I513" i="12"/>
  <c r="I514" i="12"/>
  <c r="I515" i="12"/>
  <c r="I516" i="12"/>
  <c r="I517" i="12"/>
  <c r="I518" i="12"/>
  <c r="I519" i="12"/>
  <c r="I520" i="12"/>
  <c r="I521" i="12"/>
  <c r="I522" i="12"/>
  <c r="I523" i="12"/>
  <c r="I524" i="12"/>
  <c r="I525" i="12"/>
  <c r="I526" i="12"/>
  <c r="I527" i="12"/>
  <c r="I528" i="12"/>
  <c r="I529" i="12"/>
  <c r="I530" i="12"/>
  <c r="I531" i="12"/>
  <c r="I532" i="12"/>
  <c r="I533" i="12"/>
  <c r="I534" i="12"/>
  <c r="I535" i="12"/>
  <c r="I536" i="12"/>
  <c r="I537" i="12"/>
  <c r="I538" i="12"/>
  <c r="I539" i="12"/>
  <c r="I540" i="12"/>
  <c r="I541" i="12"/>
  <c r="I542" i="12"/>
  <c r="I543" i="12"/>
  <c r="I544" i="12"/>
  <c r="I545" i="12"/>
  <c r="I546" i="12"/>
  <c r="I547" i="12"/>
  <c r="I548" i="12"/>
  <c r="I549" i="12"/>
  <c r="I550" i="12"/>
  <c r="I551" i="12"/>
  <c r="I552" i="12"/>
  <c r="I553" i="12"/>
  <c r="I554" i="12"/>
  <c r="I555" i="12"/>
  <c r="I556" i="12"/>
  <c r="I557" i="12"/>
  <c r="I558" i="12"/>
  <c r="I559" i="12"/>
  <c r="I560" i="12"/>
  <c r="I561" i="12"/>
  <c r="I562" i="12"/>
  <c r="I563" i="12"/>
  <c r="I564" i="12"/>
  <c r="I565" i="12"/>
  <c r="I566" i="12"/>
  <c r="I567" i="12"/>
  <c r="I568" i="12"/>
  <c r="I569" i="12"/>
  <c r="I570" i="12"/>
  <c r="I571" i="12"/>
  <c r="I572" i="12"/>
  <c r="I573" i="12"/>
  <c r="I574" i="12"/>
  <c r="I575" i="12"/>
  <c r="I576" i="12"/>
  <c r="I577" i="12"/>
  <c r="I578" i="12"/>
  <c r="I579" i="12"/>
  <c r="I580" i="12"/>
  <c r="J2" i="12"/>
  <c r="J3" i="12"/>
  <c r="J4" i="12"/>
  <c r="J5" i="12"/>
  <c r="J6"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48" i="12"/>
  <c r="J49" i="12"/>
  <c r="J50" i="12"/>
  <c r="J51" i="12"/>
  <c r="J52" i="12"/>
  <c r="J53" i="12"/>
  <c r="J54" i="12"/>
  <c r="J55" i="12"/>
  <c r="J56" i="12"/>
  <c r="J57" i="12"/>
  <c r="J58" i="12"/>
  <c r="J59" i="12"/>
  <c r="J60" i="12"/>
  <c r="J61" i="12"/>
  <c r="J62" i="12"/>
  <c r="J63" i="12"/>
  <c r="J64" i="12"/>
  <c r="J65" i="12"/>
  <c r="J66" i="12"/>
  <c r="J67" i="12"/>
  <c r="J68" i="12"/>
  <c r="J69" i="12"/>
  <c r="J70" i="12"/>
  <c r="J71" i="12"/>
  <c r="J72" i="12"/>
  <c r="J73" i="12"/>
  <c r="J74" i="12"/>
  <c r="J75" i="12"/>
  <c r="J76" i="12"/>
  <c r="J77" i="12"/>
  <c r="J78" i="12"/>
  <c r="J79" i="12"/>
  <c r="J80" i="12"/>
  <c r="J81" i="12"/>
  <c r="J82" i="12"/>
  <c r="J83" i="12"/>
  <c r="J84" i="12"/>
  <c r="J85" i="12"/>
  <c r="J86" i="12"/>
  <c r="J87" i="12"/>
  <c r="J88" i="12"/>
  <c r="J89" i="12"/>
  <c r="J90" i="12"/>
  <c r="J91" i="12"/>
  <c r="J92" i="12"/>
  <c r="J93" i="12"/>
  <c r="J94" i="12"/>
  <c r="J95" i="12"/>
  <c r="J96" i="12"/>
  <c r="J97" i="12"/>
  <c r="J98" i="12"/>
  <c r="J99" i="12"/>
  <c r="J100" i="12"/>
  <c r="J101" i="12"/>
  <c r="J102" i="12"/>
  <c r="J103" i="12"/>
  <c r="J104" i="12"/>
  <c r="J105" i="12"/>
  <c r="J106" i="12"/>
  <c r="J107" i="12"/>
  <c r="J108" i="12"/>
  <c r="J109" i="12"/>
  <c r="J110" i="12"/>
  <c r="J111" i="12"/>
  <c r="J112" i="12"/>
  <c r="J113" i="12"/>
  <c r="J114" i="12"/>
  <c r="J115" i="12"/>
  <c r="J116" i="12"/>
  <c r="J117" i="12"/>
  <c r="J118" i="12"/>
  <c r="J119" i="12"/>
  <c r="J120" i="12"/>
  <c r="J121" i="12"/>
  <c r="J122" i="12"/>
  <c r="J123" i="12"/>
  <c r="J124" i="12"/>
  <c r="J125" i="12"/>
  <c r="J126" i="12"/>
  <c r="J127" i="12"/>
  <c r="J128" i="12"/>
  <c r="J129" i="12"/>
  <c r="J130" i="12"/>
  <c r="J131" i="12"/>
  <c r="J132" i="12"/>
  <c r="J133" i="12"/>
  <c r="J134" i="12"/>
  <c r="J135" i="12"/>
  <c r="J136" i="12"/>
  <c r="J137" i="12"/>
  <c r="J138" i="12"/>
  <c r="J139" i="12"/>
  <c r="J140" i="12"/>
  <c r="J141" i="12"/>
  <c r="J142" i="12"/>
  <c r="J143" i="12"/>
  <c r="J144" i="12"/>
  <c r="J145" i="12"/>
  <c r="J146" i="12"/>
  <c r="J147" i="12"/>
  <c r="J148" i="12"/>
  <c r="J149" i="12"/>
  <c r="J150" i="12"/>
  <c r="J151" i="12"/>
  <c r="J152" i="12"/>
  <c r="J153" i="12"/>
  <c r="J154" i="12"/>
  <c r="J155" i="12"/>
  <c r="J156" i="12"/>
  <c r="J157" i="12"/>
  <c r="J158" i="12"/>
  <c r="J159" i="12"/>
  <c r="J160" i="12"/>
  <c r="J161" i="12"/>
  <c r="J162" i="12"/>
  <c r="J163" i="12"/>
  <c r="J164" i="12"/>
  <c r="J165" i="12"/>
  <c r="J166" i="12"/>
  <c r="J167" i="12"/>
  <c r="J168" i="12"/>
  <c r="J169" i="12"/>
  <c r="J170" i="12"/>
  <c r="J171" i="12"/>
  <c r="J172" i="12"/>
  <c r="J173" i="12"/>
  <c r="J174" i="12"/>
  <c r="J175" i="12"/>
  <c r="J176" i="12"/>
  <c r="J177" i="12"/>
  <c r="J178" i="12"/>
  <c r="J179" i="12"/>
  <c r="J180" i="12"/>
  <c r="J181" i="12"/>
  <c r="J182" i="12"/>
  <c r="J183" i="12"/>
  <c r="J184" i="12"/>
  <c r="J185" i="12"/>
  <c r="J186" i="12"/>
  <c r="J187" i="12"/>
  <c r="J188" i="12"/>
  <c r="J189" i="12"/>
  <c r="J190" i="12"/>
  <c r="J191" i="12"/>
  <c r="J192" i="12"/>
  <c r="J193" i="12"/>
  <c r="J194" i="12"/>
  <c r="J195" i="12"/>
  <c r="J196" i="12"/>
  <c r="J197" i="12"/>
  <c r="J198" i="12"/>
  <c r="J199" i="12"/>
  <c r="J200" i="12"/>
  <c r="J201" i="12"/>
  <c r="J202" i="12"/>
  <c r="J203" i="12"/>
  <c r="J204" i="12"/>
  <c r="J205" i="12"/>
  <c r="J206" i="12"/>
  <c r="J207" i="12"/>
  <c r="J208" i="12"/>
  <c r="J209" i="12"/>
  <c r="J210" i="12"/>
  <c r="J211" i="12"/>
  <c r="J212" i="12"/>
  <c r="J213" i="12"/>
  <c r="J214" i="12"/>
  <c r="J215" i="12"/>
  <c r="J216" i="12"/>
  <c r="J217" i="12"/>
  <c r="J218" i="12"/>
  <c r="J219" i="12"/>
  <c r="J220" i="12"/>
  <c r="J221" i="12"/>
  <c r="J222" i="12"/>
  <c r="J223" i="12"/>
  <c r="J224" i="12"/>
  <c r="J225" i="12"/>
  <c r="J226" i="12"/>
  <c r="J227" i="12"/>
  <c r="J228" i="12"/>
  <c r="J229" i="12"/>
  <c r="J230" i="12"/>
  <c r="J231" i="12"/>
  <c r="J232" i="12"/>
  <c r="J233" i="12"/>
  <c r="J234" i="12"/>
  <c r="J235" i="12"/>
  <c r="J236" i="12"/>
  <c r="J237" i="12"/>
  <c r="J238" i="12"/>
  <c r="J239" i="12"/>
  <c r="J240" i="12"/>
  <c r="J241" i="12"/>
  <c r="J242" i="12"/>
  <c r="J243" i="12"/>
  <c r="J244" i="12"/>
  <c r="J245" i="12"/>
  <c r="J246" i="12"/>
  <c r="J247" i="12"/>
  <c r="J248" i="12"/>
  <c r="J249" i="12"/>
  <c r="J250" i="12"/>
  <c r="J251" i="12"/>
  <c r="J252" i="12"/>
  <c r="J253" i="12"/>
  <c r="J254" i="12"/>
  <c r="J255" i="12"/>
  <c r="J256" i="12"/>
  <c r="J257" i="12"/>
  <c r="J258" i="12"/>
  <c r="J259" i="12"/>
  <c r="J260" i="12"/>
  <c r="J261" i="12"/>
  <c r="J262" i="12"/>
  <c r="J263" i="12"/>
  <c r="J264" i="12"/>
  <c r="J265" i="12"/>
  <c r="J266" i="12"/>
  <c r="J267" i="12"/>
  <c r="J268" i="12"/>
  <c r="J269" i="12"/>
  <c r="J270" i="12"/>
  <c r="J271" i="12"/>
  <c r="J272" i="12"/>
  <c r="J273" i="12"/>
  <c r="J274" i="12"/>
  <c r="J275" i="12"/>
  <c r="J276" i="12"/>
  <c r="J277" i="12"/>
  <c r="J278" i="12"/>
  <c r="J279" i="12"/>
  <c r="J280" i="12"/>
  <c r="J281" i="12"/>
  <c r="J282" i="12"/>
  <c r="J283" i="12"/>
  <c r="J284" i="12"/>
  <c r="J285" i="12"/>
  <c r="J286" i="12"/>
  <c r="J287" i="12"/>
  <c r="J288" i="12"/>
  <c r="J289" i="12"/>
  <c r="J290" i="12"/>
  <c r="J291" i="12"/>
  <c r="J292" i="12"/>
  <c r="J293" i="12"/>
  <c r="J294" i="12"/>
  <c r="J295" i="12"/>
  <c r="J296" i="12"/>
  <c r="J297" i="12"/>
  <c r="J298" i="12"/>
  <c r="J299" i="12"/>
  <c r="J300" i="12"/>
  <c r="J301" i="12"/>
  <c r="J302" i="12"/>
  <c r="J303" i="12"/>
  <c r="J304" i="12"/>
  <c r="J305" i="12"/>
  <c r="J306" i="12"/>
  <c r="J307" i="12"/>
  <c r="J308" i="12"/>
  <c r="J309" i="12"/>
  <c r="J310" i="12"/>
  <c r="J311" i="12"/>
  <c r="J312" i="12"/>
  <c r="J313" i="12"/>
  <c r="J314" i="12"/>
  <c r="J315" i="12"/>
  <c r="J316" i="12"/>
  <c r="J317" i="12"/>
  <c r="J318" i="12"/>
  <c r="J319" i="12"/>
  <c r="J320" i="12"/>
  <c r="J321" i="12"/>
  <c r="J322" i="12"/>
  <c r="J323" i="12"/>
  <c r="J324" i="12"/>
  <c r="J325" i="12"/>
  <c r="J326" i="12"/>
  <c r="J327" i="12"/>
  <c r="J328" i="12"/>
  <c r="J329" i="12"/>
  <c r="J330" i="12"/>
  <c r="J331" i="12"/>
  <c r="J332" i="12"/>
  <c r="J333" i="12"/>
  <c r="J334" i="12"/>
  <c r="J335" i="12"/>
  <c r="J336" i="12"/>
  <c r="J337" i="12"/>
  <c r="J338" i="12"/>
  <c r="J339" i="12"/>
  <c r="J340" i="12"/>
  <c r="J341" i="12"/>
  <c r="J342" i="12"/>
  <c r="J343" i="12"/>
  <c r="J344" i="12"/>
  <c r="J345" i="12"/>
  <c r="J346" i="12"/>
  <c r="J347" i="12"/>
  <c r="J348" i="12"/>
  <c r="J349" i="12"/>
  <c r="J350" i="12"/>
  <c r="J351" i="12"/>
  <c r="J352" i="12"/>
  <c r="J353" i="12"/>
  <c r="J354" i="12"/>
  <c r="J355" i="12"/>
  <c r="J356" i="12"/>
  <c r="J357" i="12"/>
  <c r="J358" i="12"/>
  <c r="J359" i="12"/>
  <c r="J360" i="12"/>
  <c r="J361" i="12"/>
  <c r="J362" i="12"/>
  <c r="J363" i="12"/>
  <c r="J364" i="12"/>
  <c r="J365" i="12"/>
  <c r="J366" i="12"/>
  <c r="J367" i="12"/>
  <c r="J368" i="12"/>
  <c r="J369" i="12"/>
  <c r="J370" i="12"/>
  <c r="J371" i="12"/>
  <c r="J372" i="12"/>
  <c r="J373" i="12"/>
  <c r="J374" i="12"/>
  <c r="J375" i="12"/>
  <c r="J376" i="12"/>
  <c r="J377" i="12"/>
  <c r="J378" i="12"/>
  <c r="J379" i="12"/>
  <c r="J380" i="12"/>
  <c r="J381" i="12"/>
  <c r="J382" i="12"/>
  <c r="J383" i="12"/>
  <c r="J384" i="12"/>
  <c r="J385" i="12"/>
  <c r="J386" i="12"/>
  <c r="J387" i="12"/>
  <c r="J388" i="12"/>
  <c r="J389" i="12"/>
  <c r="J390" i="12"/>
  <c r="J391" i="12"/>
  <c r="J392" i="12"/>
  <c r="J393" i="12"/>
  <c r="J394" i="12"/>
  <c r="J395" i="12"/>
  <c r="J396" i="12"/>
  <c r="J397" i="12"/>
  <c r="J398" i="12"/>
  <c r="J399" i="12"/>
  <c r="J400" i="12"/>
  <c r="J401" i="12"/>
  <c r="J402" i="12"/>
  <c r="J403" i="12"/>
  <c r="J404" i="12"/>
  <c r="J405" i="12"/>
  <c r="J406" i="12"/>
  <c r="J407" i="12"/>
  <c r="J408" i="12"/>
  <c r="J409" i="12"/>
  <c r="J410" i="12"/>
  <c r="J411" i="12"/>
  <c r="J412" i="12"/>
  <c r="J413" i="12"/>
  <c r="J414" i="12"/>
  <c r="J415" i="12"/>
  <c r="J416" i="12"/>
  <c r="J417" i="12"/>
  <c r="J418" i="12"/>
  <c r="J419" i="12"/>
  <c r="J420" i="12"/>
  <c r="J421" i="12"/>
  <c r="J422" i="12"/>
  <c r="J423" i="12"/>
  <c r="J424" i="12"/>
  <c r="J425" i="12"/>
  <c r="J426" i="12"/>
  <c r="J427" i="12"/>
  <c r="J428" i="12"/>
  <c r="J429" i="12"/>
  <c r="J430" i="12"/>
  <c r="J431" i="12"/>
  <c r="J432" i="12"/>
  <c r="J433" i="12"/>
  <c r="J434" i="12"/>
  <c r="J435" i="12"/>
  <c r="J436" i="12"/>
  <c r="J437" i="12"/>
  <c r="J438" i="12"/>
  <c r="J439" i="12"/>
  <c r="J440" i="12"/>
  <c r="J441" i="12"/>
  <c r="J442" i="12"/>
  <c r="J443" i="12"/>
  <c r="J444" i="12"/>
  <c r="J445" i="12"/>
  <c r="J446" i="12"/>
  <c r="J447" i="12"/>
  <c r="J448" i="12"/>
  <c r="J449" i="12"/>
  <c r="J450" i="12"/>
  <c r="J451" i="12"/>
  <c r="J452" i="12"/>
  <c r="J453" i="12"/>
  <c r="J454" i="12"/>
  <c r="J455" i="12"/>
  <c r="J456" i="12"/>
  <c r="J457" i="12"/>
  <c r="J458" i="12"/>
  <c r="J459" i="12"/>
  <c r="J460" i="12"/>
  <c r="J461" i="12"/>
  <c r="J462" i="12"/>
  <c r="J463" i="12"/>
  <c r="J464" i="12"/>
  <c r="J465" i="12"/>
  <c r="J466" i="12"/>
  <c r="J467" i="12"/>
  <c r="J468" i="12"/>
  <c r="J469" i="12"/>
  <c r="J470" i="12"/>
  <c r="J471" i="12"/>
  <c r="J472" i="12"/>
  <c r="J473" i="12"/>
  <c r="J474" i="12"/>
  <c r="J475" i="12"/>
  <c r="J476" i="12"/>
  <c r="J477" i="12"/>
  <c r="J478" i="12"/>
  <c r="J479" i="12"/>
  <c r="J480" i="12"/>
  <c r="J481" i="12"/>
  <c r="J482" i="12"/>
  <c r="J483" i="12"/>
  <c r="J484" i="12"/>
  <c r="J485" i="12"/>
  <c r="J486" i="12"/>
  <c r="J487" i="12"/>
  <c r="J488" i="12"/>
  <c r="J489" i="12"/>
  <c r="J490" i="12"/>
  <c r="J491" i="12"/>
  <c r="J492" i="12"/>
  <c r="J493" i="12"/>
  <c r="J494" i="12"/>
  <c r="J495" i="12"/>
  <c r="J496" i="12"/>
  <c r="J497" i="12"/>
  <c r="J498" i="12"/>
  <c r="J499" i="12"/>
  <c r="J500" i="12"/>
  <c r="J501" i="12"/>
  <c r="J502" i="12"/>
  <c r="J503" i="12"/>
  <c r="J504" i="12"/>
  <c r="J505" i="12"/>
  <c r="J506" i="12"/>
  <c r="J507" i="12"/>
  <c r="J508" i="12"/>
  <c r="J509" i="12"/>
  <c r="J510" i="12"/>
  <c r="J511" i="12"/>
  <c r="J512" i="12"/>
  <c r="J513" i="12"/>
  <c r="J514" i="12"/>
  <c r="J515" i="12"/>
  <c r="J516" i="12"/>
  <c r="J517" i="12"/>
  <c r="J518" i="12"/>
  <c r="J519" i="12"/>
  <c r="J520" i="12"/>
  <c r="J521" i="12"/>
  <c r="J522" i="12"/>
  <c r="J523" i="12"/>
  <c r="J524" i="12"/>
  <c r="J525" i="12"/>
  <c r="J526" i="12"/>
  <c r="J527" i="12"/>
  <c r="J528" i="12"/>
  <c r="J529" i="12"/>
  <c r="J530" i="12"/>
  <c r="J531" i="12"/>
  <c r="J532" i="12"/>
  <c r="J533" i="12"/>
  <c r="J534" i="12"/>
  <c r="J535" i="12"/>
  <c r="J536" i="12"/>
  <c r="J537" i="12"/>
  <c r="J538" i="12"/>
  <c r="J539" i="12"/>
  <c r="J540" i="12"/>
  <c r="J541" i="12"/>
  <c r="J542" i="12"/>
  <c r="J543" i="12"/>
  <c r="J544" i="12"/>
  <c r="J545" i="12"/>
  <c r="J546" i="12"/>
  <c r="J547" i="12"/>
  <c r="J548" i="12"/>
  <c r="J549" i="12"/>
  <c r="J550" i="12"/>
  <c r="J551" i="12"/>
  <c r="J552" i="12"/>
  <c r="J553" i="12"/>
  <c r="J554" i="12"/>
  <c r="J555" i="12"/>
  <c r="J556" i="12"/>
  <c r="J557" i="12"/>
  <c r="J558" i="12"/>
  <c r="J559" i="12"/>
  <c r="J560" i="12"/>
  <c r="J561" i="12"/>
  <c r="J562" i="12"/>
  <c r="J563" i="12"/>
  <c r="J564" i="12"/>
  <c r="J565" i="12"/>
  <c r="J566" i="12"/>
  <c r="J567" i="12"/>
  <c r="J568" i="12"/>
  <c r="J569" i="12"/>
  <c r="J570" i="12"/>
  <c r="J571" i="12"/>
  <c r="J572" i="12"/>
  <c r="J573" i="12"/>
  <c r="J574" i="12"/>
  <c r="J575" i="12"/>
  <c r="J576" i="12"/>
  <c r="J577" i="12"/>
  <c r="J578" i="12"/>
  <c r="J579" i="12"/>
  <c r="J580" i="12"/>
  <c r="K2" i="12"/>
  <c r="K3" i="12"/>
  <c r="K4" i="12"/>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5"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K459" i="12"/>
  <c r="K460" i="12"/>
  <c r="K461" i="12"/>
  <c r="K462" i="12"/>
  <c r="K463" i="12"/>
  <c r="K464" i="12"/>
  <c r="K465" i="12"/>
  <c r="K466" i="12"/>
  <c r="K467" i="12"/>
  <c r="K468" i="12"/>
  <c r="K469" i="12"/>
  <c r="K470" i="12"/>
  <c r="K471" i="12"/>
  <c r="K472" i="12"/>
  <c r="K473" i="12"/>
  <c r="K474" i="12"/>
  <c r="K475" i="12"/>
  <c r="K476" i="12"/>
  <c r="K477" i="12"/>
  <c r="K478" i="12"/>
  <c r="K479" i="12"/>
  <c r="K480" i="12"/>
  <c r="K481" i="12"/>
  <c r="K482" i="12"/>
  <c r="K483" i="12"/>
  <c r="K484" i="12"/>
  <c r="K485" i="12"/>
  <c r="K486" i="12"/>
  <c r="K487" i="12"/>
  <c r="K488" i="12"/>
  <c r="K489" i="12"/>
  <c r="K490" i="12"/>
  <c r="K491" i="12"/>
  <c r="K492" i="12"/>
  <c r="K493" i="12"/>
  <c r="K494" i="12"/>
  <c r="K495" i="12"/>
  <c r="K496" i="12"/>
  <c r="K497" i="12"/>
  <c r="K498" i="12"/>
  <c r="K499" i="12"/>
  <c r="K500" i="12"/>
  <c r="K501" i="12"/>
  <c r="K502" i="12"/>
  <c r="K503" i="12"/>
  <c r="K504" i="12"/>
  <c r="K505" i="12"/>
  <c r="K506" i="12"/>
  <c r="K507" i="12"/>
  <c r="K508" i="12"/>
  <c r="K509" i="12"/>
  <c r="K510" i="12"/>
  <c r="K511" i="12"/>
  <c r="K512" i="12"/>
  <c r="K513" i="12"/>
  <c r="K514" i="12"/>
  <c r="K515" i="12"/>
  <c r="K516" i="12"/>
  <c r="K517" i="12"/>
  <c r="K518" i="12"/>
  <c r="K519" i="12"/>
  <c r="K520" i="12"/>
  <c r="K521" i="12"/>
  <c r="K522" i="12"/>
  <c r="K523" i="12"/>
  <c r="K524" i="12"/>
  <c r="K525" i="12"/>
  <c r="K526" i="12"/>
  <c r="K527" i="12"/>
  <c r="K528" i="12"/>
  <c r="K529" i="12"/>
  <c r="K530" i="12"/>
  <c r="K531" i="12"/>
  <c r="K532" i="12"/>
  <c r="K533" i="12"/>
  <c r="K534" i="12"/>
  <c r="K535" i="12"/>
  <c r="K536" i="12"/>
  <c r="K537" i="12"/>
  <c r="K538" i="12"/>
  <c r="K539" i="12"/>
  <c r="K540" i="12"/>
  <c r="K541" i="12"/>
  <c r="K542" i="12"/>
  <c r="K543" i="12"/>
  <c r="K544" i="12"/>
  <c r="K545" i="12"/>
  <c r="K546" i="12"/>
  <c r="K547" i="12"/>
  <c r="K548" i="12"/>
  <c r="K549" i="12"/>
  <c r="K550" i="12"/>
  <c r="K551" i="12"/>
  <c r="K552" i="12"/>
  <c r="K553" i="12"/>
  <c r="K554" i="12"/>
  <c r="K555" i="12"/>
  <c r="K556" i="12"/>
  <c r="K557" i="12"/>
  <c r="K558" i="12"/>
  <c r="K559" i="12"/>
  <c r="K560" i="12"/>
  <c r="K561" i="12"/>
  <c r="K562" i="12"/>
  <c r="K563" i="12"/>
  <c r="K564" i="12"/>
  <c r="K565" i="12"/>
  <c r="K566" i="12"/>
  <c r="K567" i="12"/>
  <c r="K568" i="12"/>
  <c r="K569" i="12"/>
  <c r="K570" i="12"/>
  <c r="K571" i="12"/>
  <c r="K572" i="12"/>
  <c r="K573" i="12"/>
  <c r="K574" i="12"/>
  <c r="K575" i="12"/>
  <c r="K576" i="12"/>
  <c r="K577" i="12"/>
  <c r="K578" i="12"/>
  <c r="K579" i="12"/>
  <c r="K580" i="12"/>
  <c r="L2" i="12"/>
  <c r="L3" i="12"/>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L70" i="12"/>
  <c r="L71" i="12"/>
  <c r="L72" i="12"/>
  <c r="L73" i="12"/>
  <c r="L74" i="12"/>
  <c r="L75" i="12"/>
  <c r="L76" i="12"/>
  <c r="L77" i="12"/>
  <c r="L78" i="12"/>
  <c r="L79" i="12"/>
  <c r="L80" i="12"/>
  <c r="L81" i="12"/>
  <c r="L82" i="12"/>
  <c r="L83" i="12"/>
  <c r="L84" i="12"/>
  <c r="L85" i="12"/>
  <c r="L86" i="12"/>
  <c r="L87" i="12"/>
  <c r="L88" i="12"/>
  <c r="L89" i="12"/>
  <c r="L90" i="12"/>
  <c r="L91" i="12"/>
  <c r="L92" i="12"/>
  <c r="L93" i="12"/>
  <c r="L94" i="12"/>
  <c r="L95" i="12"/>
  <c r="L96" i="12"/>
  <c r="L97" i="12"/>
  <c r="L98" i="12"/>
  <c r="L99" i="12"/>
  <c r="L100" i="12"/>
  <c r="L101" i="12"/>
  <c r="L102" i="12"/>
  <c r="L103" i="12"/>
  <c r="L104" i="12"/>
  <c r="L105" i="12"/>
  <c r="L106" i="12"/>
  <c r="L107" i="12"/>
  <c r="L108" i="12"/>
  <c r="L109" i="12"/>
  <c r="L110" i="12"/>
  <c r="L111" i="12"/>
  <c r="L112" i="12"/>
  <c r="L113" i="12"/>
  <c r="L114" i="12"/>
  <c r="L115" i="12"/>
  <c r="L116" i="12"/>
  <c r="L117" i="12"/>
  <c r="L118" i="12"/>
  <c r="L119" i="12"/>
  <c r="L120" i="12"/>
  <c r="L121" i="12"/>
  <c r="L122" i="12"/>
  <c r="L123" i="12"/>
  <c r="L124" i="12"/>
  <c r="L125" i="12"/>
  <c r="L126" i="12"/>
  <c r="L127" i="12"/>
  <c r="L128" i="12"/>
  <c r="L129" i="12"/>
  <c r="L130" i="12"/>
  <c r="L131" i="12"/>
  <c r="L132" i="12"/>
  <c r="L133" i="12"/>
  <c r="L134" i="12"/>
  <c r="L135" i="12"/>
  <c r="L136" i="12"/>
  <c r="L137" i="12"/>
  <c r="L138" i="12"/>
  <c r="L139" i="12"/>
  <c r="L140" i="12"/>
  <c r="L141" i="12"/>
  <c r="L142" i="12"/>
  <c r="L143" i="12"/>
  <c r="L144" i="12"/>
  <c r="L145" i="12"/>
  <c r="L146" i="12"/>
  <c r="L147" i="12"/>
  <c r="L148" i="12"/>
  <c r="L149" i="12"/>
  <c r="L150" i="12"/>
  <c r="L151" i="12"/>
  <c r="L152" i="12"/>
  <c r="L153" i="12"/>
  <c r="L154" i="12"/>
  <c r="L155" i="12"/>
  <c r="L156" i="12"/>
  <c r="L157" i="12"/>
  <c r="L158" i="12"/>
  <c r="L159" i="12"/>
  <c r="L160" i="12"/>
  <c r="L161" i="12"/>
  <c r="L162" i="12"/>
  <c r="L163" i="12"/>
  <c r="L164" i="12"/>
  <c r="L165" i="12"/>
  <c r="L166" i="12"/>
  <c r="L167" i="12"/>
  <c r="L168" i="12"/>
  <c r="L169" i="12"/>
  <c r="L170" i="12"/>
  <c r="L171" i="12"/>
  <c r="L172" i="12"/>
  <c r="L173" i="12"/>
  <c r="L174" i="12"/>
  <c r="L175" i="12"/>
  <c r="L176" i="12"/>
  <c r="L177" i="12"/>
  <c r="L178" i="12"/>
  <c r="L179" i="12"/>
  <c r="L180" i="12"/>
  <c r="L181" i="12"/>
  <c r="L182" i="12"/>
  <c r="L183" i="12"/>
  <c r="L184" i="12"/>
  <c r="L185" i="12"/>
  <c r="L186" i="12"/>
  <c r="L187" i="12"/>
  <c r="L188" i="12"/>
  <c r="L189" i="12"/>
  <c r="L190" i="12"/>
  <c r="L191" i="12"/>
  <c r="L192" i="12"/>
  <c r="L193" i="12"/>
  <c r="L194" i="12"/>
  <c r="L195" i="12"/>
  <c r="L196" i="12"/>
  <c r="L197" i="12"/>
  <c r="L198" i="12"/>
  <c r="L199" i="12"/>
  <c r="L200" i="12"/>
  <c r="L201" i="12"/>
  <c r="L202" i="12"/>
  <c r="L203" i="12"/>
  <c r="L204" i="12"/>
  <c r="L205" i="12"/>
  <c r="L206" i="12"/>
  <c r="L207" i="12"/>
  <c r="L208" i="12"/>
  <c r="L209" i="12"/>
  <c r="L210" i="12"/>
  <c r="L211" i="12"/>
  <c r="L212" i="12"/>
  <c r="L213" i="12"/>
  <c r="L214" i="12"/>
  <c r="L215" i="12"/>
  <c r="L216" i="12"/>
  <c r="L217" i="12"/>
  <c r="L218" i="12"/>
  <c r="L219" i="12"/>
  <c r="L220" i="12"/>
  <c r="L221" i="12"/>
  <c r="L222" i="12"/>
  <c r="L223" i="12"/>
  <c r="L224" i="12"/>
  <c r="L225" i="12"/>
  <c r="L226" i="12"/>
  <c r="L227" i="12"/>
  <c r="L228" i="12"/>
  <c r="L229" i="12"/>
  <c r="L230" i="12"/>
  <c r="L231" i="12"/>
  <c r="L232" i="12"/>
  <c r="L233" i="12"/>
  <c r="L234" i="12"/>
  <c r="L235" i="12"/>
  <c r="L236" i="12"/>
  <c r="L237" i="12"/>
  <c r="L238" i="12"/>
  <c r="L239" i="12"/>
  <c r="L240" i="12"/>
  <c r="L241" i="12"/>
  <c r="L242" i="12"/>
  <c r="L243" i="12"/>
  <c r="L244" i="12"/>
  <c r="L245" i="12"/>
  <c r="L246" i="12"/>
  <c r="L247" i="12"/>
  <c r="L248" i="12"/>
  <c r="L249" i="12"/>
  <c r="L250" i="12"/>
  <c r="L251" i="12"/>
  <c r="L252" i="12"/>
  <c r="L253" i="12"/>
  <c r="L254" i="12"/>
  <c r="L255" i="12"/>
  <c r="L256" i="12"/>
  <c r="L257" i="12"/>
  <c r="L258" i="12"/>
  <c r="L259" i="12"/>
  <c r="L260" i="12"/>
  <c r="L261" i="12"/>
  <c r="L262" i="12"/>
  <c r="L263" i="12"/>
  <c r="L264" i="12"/>
  <c r="L265" i="12"/>
  <c r="L266" i="12"/>
  <c r="L267" i="12"/>
  <c r="L268" i="12"/>
  <c r="L269" i="12"/>
  <c r="L270" i="12"/>
  <c r="L271" i="12"/>
  <c r="L272" i="12"/>
  <c r="L273" i="12"/>
  <c r="L274" i="12"/>
  <c r="L275" i="12"/>
  <c r="L276" i="12"/>
  <c r="L277" i="12"/>
  <c r="L278" i="12"/>
  <c r="L279" i="12"/>
  <c r="L280" i="12"/>
  <c r="L281" i="12"/>
  <c r="L282" i="12"/>
  <c r="L283" i="12"/>
  <c r="L284" i="12"/>
  <c r="L285" i="12"/>
  <c r="L286" i="12"/>
  <c r="L287" i="12"/>
  <c r="L288" i="12"/>
  <c r="L289" i="12"/>
  <c r="L290" i="12"/>
  <c r="L291" i="12"/>
  <c r="L292" i="12"/>
  <c r="L293" i="12"/>
  <c r="L294" i="12"/>
  <c r="L295" i="12"/>
  <c r="L296" i="12"/>
  <c r="L297" i="12"/>
  <c r="L298" i="12"/>
  <c r="L299" i="12"/>
  <c r="L300" i="12"/>
  <c r="L301" i="12"/>
  <c r="L302" i="12"/>
  <c r="L303" i="12"/>
  <c r="L304" i="12"/>
  <c r="L305" i="12"/>
  <c r="L306" i="12"/>
  <c r="L307" i="12"/>
  <c r="L308" i="12"/>
  <c r="L309" i="12"/>
  <c r="L310" i="12"/>
  <c r="L311" i="12"/>
  <c r="L312" i="12"/>
  <c r="L313" i="12"/>
  <c r="L314" i="12"/>
  <c r="L315" i="12"/>
  <c r="L316" i="12"/>
  <c r="L317" i="12"/>
  <c r="L318" i="12"/>
  <c r="L319" i="12"/>
  <c r="L320" i="12"/>
  <c r="L321" i="12"/>
  <c r="L322" i="12"/>
  <c r="L323" i="12"/>
  <c r="L324" i="12"/>
  <c r="L325" i="12"/>
  <c r="L326" i="12"/>
  <c r="L327" i="12"/>
  <c r="L328" i="12"/>
  <c r="L329" i="12"/>
  <c r="L330" i="12"/>
  <c r="L331" i="12"/>
  <c r="L332" i="12"/>
  <c r="L333" i="12"/>
  <c r="L334" i="12"/>
  <c r="L335" i="12"/>
  <c r="L336" i="12"/>
  <c r="L337" i="12"/>
  <c r="L338" i="12"/>
  <c r="L339" i="12"/>
  <c r="L340" i="12"/>
  <c r="L341" i="12"/>
  <c r="L342" i="12"/>
  <c r="L343" i="12"/>
  <c r="L344" i="12"/>
  <c r="L345" i="12"/>
  <c r="L346" i="12"/>
  <c r="L347" i="12"/>
  <c r="L348" i="12"/>
  <c r="L349" i="12"/>
  <c r="L350" i="12"/>
  <c r="L351" i="12"/>
  <c r="L352" i="12"/>
  <c r="L353" i="12"/>
  <c r="L354" i="12"/>
  <c r="L355" i="12"/>
  <c r="L356" i="12"/>
  <c r="L357" i="12"/>
  <c r="L358" i="12"/>
  <c r="L359" i="12"/>
  <c r="L360" i="12"/>
  <c r="L361" i="12"/>
  <c r="L362" i="12"/>
  <c r="L363" i="12"/>
  <c r="L364" i="12"/>
  <c r="L365" i="12"/>
  <c r="L366" i="12"/>
  <c r="L367" i="12"/>
  <c r="L368" i="12"/>
  <c r="L369" i="12"/>
  <c r="L370" i="12"/>
  <c r="L371" i="12"/>
  <c r="L372" i="12"/>
  <c r="L373" i="12"/>
  <c r="L374" i="12"/>
  <c r="L375" i="12"/>
  <c r="L376" i="12"/>
  <c r="L377" i="12"/>
  <c r="L378" i="12"/>
  <c r="L379" i="12"/>
  <c r="L380" i="12"/>
  <c r="L381" i="12"/>
  <c r="L382" i="12"/>
  <c r="L383" i="12"/>
  <c r="L384" i="12"/>
  <c r="L385" i="12"/>
  <c r="L386" i="12"/>
  <c r="L387" i="12"/>
  <c r="L388" i="12"/>
  <c r="L389" i="12"/>
  <c r="L390" i="12"/>
  <c r="L391" i="12"/>
  <c r="L392" i="12"/>
  <c r="L393" i="12"/>
  <c r="L394" i="12"/>
  <c r="L395" i="12"/>
  <c r="L396" i="12"/>
  <c r="L397" i="12"/>
  <c r="L398" i="12"/>
  <c r="L399" i="12"/>
  <c r="L400" i="12"/>
  <c r="L401" i="12"/>
  <c r="L402" i="12"/>
  <c r="L403" i="12"/>
  <c r="L404" i="12"/>
  <c r="L405" i="12"/>
  <c r="L406" i="12"/>
  <c r="L407" i="12"/>
  <c r="L408" i="12"/>
  <c r="L409" i="12"/>
  <c r="L410" i="12"/>
  <c r="L411" i="12"/>
  <c r="L412" i="12"/>
  <c r="L413" i="12"/>
  <c r="L414" i="12"/>
  <c r="L415" i="12"/>
  <c r="L416" i="12"/>
  <c r="L417" i="12"/>
  <c r="L418" i="12"/>
  <c r="L419" i="12"/>
  <c r="L420" i="12"/>
  <c r="L421" i="12"/>
  <c r="L422" i="12"/>
  <c r="L423" i="12"/>
  <c r="L424" i="12"/>
  <c r="L425" i="12"/>
  <c r="L426" i="12"/>
  <c r="L427" i="12"/>
  <c r="L428" i="12"/>
  <c r="L429" i="12"/>
  <c r="L430" i="12"/>
  <c r="L431" i="12"/>
  <c r="L432" i="12"/>
  <c r="L433" i="12"/>
  <c r="L434" i="12"/>
  <c r="L435" i="12"/>
  <c r="L436" i="12"/>
  <c r="L437" i="12"/>
  <c r="L438" i="12"/>
  <c r="L439" i="12"/>
  <c r="L440" i="12"/>
  <c r="L441" i="12"/>
  <c r="L442" i="12"/>
  <c r="L443" i="12"/>
  <c r="L444" i="12"/>
  <c r="L445" i="12"/>
  <c r="L446" i="12"/>
  <c r="L447" i="12"/>
  <c r="L448" i="12"/>
  <c r="L449" i="12"/>
  <c r="L450" i="12"/>
  <c r="L451" i="12"/>
  <c r="L452" i="12"/>
  <c r="L453" i="12"/>
  <c r="L454" i="12"/>
  <c r="L455" i="12"/>
  <c r="L456" i="12"/>
  <c r="L457" i="12"/>
  <c r="L458" i="12"/>
  <c r="L459" i="12"/>
  <c r="L460" i="12"/>
  <c r="L461" i="12"/>
  <c r="L462" i="12"/>
  <c r="L463" i="12"/>
  <c r="L464" i="12"/>
  <c r="L465" i="12"/>
  <c r="L466" i="12"/>
  <c r="L467" i="12"/>
  <c r="L468" i="12"/>
  <c r="L469" i="12"/>
  <c r="L470" i="12"/>
  <c r="L471" i="12"/>
  <c r="L472" i="12"/>
  <c r="L473" i="12"/>
  <c r="L474" i="12"/>
  <c r="L475" i="12"/>
  <c r="L476" i="12"/>
  <c r="L477" i="12"/>
  <c r="L478" i="12"/>
  <c r="L479" i="12"/>
  <c r="L480" i="12"/>
  <c r="L481" i="12"/>
  <c r="L482" i="12"/>
  <c r="L483" i="12"/>
  <c r="L484" i="12"/>
  <c r="L485" i="12"/>
  <c r="L486" i="12"/>
  <c r="L487" i="12"/>
  <c r="L488" i="12"/>
  <c r="L489" i="12"/>
  <c r="L490" i="12"/>
  <c r="L491" i="12"/>
  <c r="L492" i="12"/>
  <c r="L493" i="12"/>
  <c r="L494" i="12"/>
  <c r="L495" i="12"/>
  <c r="L496" i="12"/>
  <c r="L497" i="12"/>
  <c r="L498" i="12"/>
  <c r="L499" i="12"/>
  <c r="L500" i="12"/>
  <c r="L501" i="12"/>
  <c r="L502" i="12"/>
  <c r="L503" i="12"/>
  <c r="L504" i="12"/>
  <c r="L505" i="12"/>
  <c r="L506" i="12"/>
  <c r="L507" i="12"/>
  <c r="L508" i="12"/>
  <c r="L509" i="12"/>
  <c r="L510" i="12"/>
  <c r="L511" i="12"/>
  <c r="L512" i="12"/>
  <c r="L513" i="12"/>
  <c r="L514" i="12"/>
  <c r="L515" i="12"/>
  <c r="L516" i="12"/>
  <c r="L517" i="12"/>
  <c r="L518" i="12"/>
  <c r="L519" i="12"/>
  <c r="L520" i="12"/>
  <c r="L521" i="12"/>
  <c r="L522" i="12"/>
  <c r="L523" i="12"/>
  <c r="L524" i="12"/>
  <c r="L525" i="12"/>
  <c r="L526" i="12"/>
  <c r="L527" i="12"/>
  <c r="L528" i="12"/>
  <c r="L529" i="12"/>
  <c r="L530" i="12"/>
  <c r="L531" i="12"/>
  <c r="L532" i="12"/>
  <c r="L533" i="12"/>
  <c r="L534" i="12"/>
  <c r="L535" i="12"/>
  <c r="L536" i="12"/>
  <c r="L537" i="12"/>
  <c r="L538" i="12"/>
  <c r="L539" i="12"/>
  <c r="L540" i="12"/>
  <c r="L541" i="12"/>
  <c r="L542" i="12"/>
  <c r="L543" i="12"/>
  <c r="L544" i="12"/>
  <c r="L545" i="12"/>
  <c r="L546" i="12"/>
  <c r="L547" i="12"/>
  <c r="L548" i="12"/>
  <c r="L549" i="12"/>
  <c r="L550" i="12"/>
  <c r="L551" i="12"/>
  <c r="L552" i="12"/>
  <c r="L553" i="12"/>
  <c r="L554" i="12"/>
  <c r="L555" i="12"/>
  <c r="L556" i="12"/>
  <c r="L557" i="12"/>
  <c r="L558" i="12"/>
  <c r="L559" i="12"/>
  <c r="L560" i="12"/>
  <c r="L561" i="12"/>
  <c r="L562" i="12"/>
  <c r="L563" i="12"/>
  <c r="L564" i="12"/>
  <c r="L565" i="12"/>
  <c r="L566" i="12"/>
  <c r="L567" i="12"/>
  <c r="L568" i="12"/>
  <c r="L569" i="12"/>
  <c r="L570" i="12"/>
  <c r="L571" i="12"/>
  <c r="L572" i="12"/>
  <c r="L573" i="12"/>
  <c r="L574" i="12"/>
  <c r="L575" i="12"/>
  <c r="L576" i="12"/>
  <c r="L577" i="12"/>
  <c r="L578" i="12"/>
  <c r="L579" i="12"/>
  <c r="L580" i="12"/>
  <c r="M2" i="12"/>
  <c r="M3" i="12"/>
  <c r="M4" i="12"/>
  <c r="M5" i="12"/>
  <c r="M6" i="12"/>
  <c r="M7" i="12"/>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67" i="12"/>
  <c r="M68" i="12"/>
  <c r="M69" i="12"/>
  <c r="M70" i="12"/>
  <c r="M71" i="12"/>
  <c r="M72" i="12"/>
  <c r="M73" i="12"/>
  <c r="M74" i="12"/>
  <c r="M75" i="12"/>
  <c r="M76" i="12"/>
  <c r="M77" i="12"/>
  <c r="M78" i="12"/>
  <c r="M79" i="12"/>
  <c r="M80" i="12"/>
  <c r="M81" i="12"/>
  <c r="M82" i="12"/>
  <c r="M83" i="12"/>
  <c r="M84" i="12"/>
  <c r="M85" i="12"/>
  <c r="M86" i="12"/>
  <c r="M87" i="12"/>
  <c r="M88" i="12"/>
  <c r="M89" i="12"/>
  <c r="M90" i="12"/>
  <c r="M91" i="12"/>
  <c r="M92" i="12"/>
  <c r="M93" i="12"/>
  <c r="M94" i="12"/>
  <c r="M95" i="12"/>
  <c r="M96" i="12"/>
  <c r="M97" i="12"/>
  <c r="M98" i="12"/>
  <c r="M99" i="12"/>
  <c r="M100" i="12"/>
  <c r="M101" i="12"/>
  <c r="M102" i="12"/>
  <c r="M103" i="12"/>
  <c r="M104" i="12"/>
  <c r="M105" i="12"/>
  <c r="M106" i="12"/>
  <c r="M107" i="12"/>
  <c r="M108" i="12"/>
  <c r="M109" i="12"/>
  <c r="M110" i="12"/>
  <c r="M111" i="12"/>
  <c r="M112" i="12"/>
  <c r="M113" i="12"/>
  <c r="M114" i="12"/>
  <c r="M115" i="12"/>
  <c r="M116" i="12"/>
  <c r="M117" i="12"/>
  <c r="M118" i="12"/>
  <c r="M119" i="12"/>
  <c r="M120" i="12"/>
  <c r="M121" i="12"/>
  <c r="M122" i="12"/>
  <c r="M123" i="12"/>
  <c r="M124" i="12"/>
  <c r="M125" i="12"/>
  <c r="M126" i="12"/>
  <c r="M127" i="12"/>
  <c r="M128" i="12"/>
  <c r="M129" i="12"/>
  <c r="M130" i="12"/>
  <c r="M131" i="12"/>
  <c r="M132" i="12"/>
  <c r="M133" i="12"/>
  <c r="M134" i="12"/>
  <c r="M135" i="12"/>
  <c r="M136" i="12"/>
  <c r="M137" i="12"/>
  <c r="M138" i="12"/>
  <c r="M139" i="12"/>
  <c r="M140" i="12"/>
  <c r="M141" i="12"/>
  <c r="M142" i="12"/>
  <c r="M143" i="12"/>
  <c r="M144" i="12"/>
  <c r="M145" i="12"/>
  <c r="M146" i="12"/>
  <c r="M147" i="12"/>
  <c r="M148" i="12"/>
  <c r="M149" i="12"/>
  <c r="M150" i="12"/>
  <c r="M151" i="12"/>
  <c r="M152" i="12"/>
  <c r="M153" i="12"/>
  <c r="M154" i="12"/>
  <c r="M155" i="12"/>
  <c r="M156" i="12"/>
  <c r="M157" i="12"/>
  <c r="M158" i="12"/>
  <c r="M159" i="12"/>
  <c r="M160" i="12"/>
  <c r="M161" i="12"/>
  <c r="M162" i="12"/>
  <c r="M163" i="12"/>
  <c r="M164" i="12"/>
  <c r="M165" i="12"/>
  <c r="M166" i="12"/>
  <c r="M167" i="12"/>
  <c r="M168" i="12"/>
  <c r="M169" i="12"/>
  <c r="M170" i="12"/>
  <c r="M171" i="12"/>
  <c r="M172" i="12"/>
  <c r="M173" i="12"/>
  <c r="M174" i="12"/>
  <c r="M175" i="12"/>
  <c r="M176" i="12"/>
  <c r="M177" i="12"/>
  <c r="M178" i="12"/>
  <c r="M179" i="12"/>
  <c r="M180" i="12"/>
  <c r="M181" i="12"/>
  <c r="M182" i="12"/>
  <c r="M183" i="12"/>
  <c r="M184" i="12"/>
  <c r="M185" i="12"/>
  <c r="M186" i="12"/>
  <c r="M187" i="12"/>
  <c r="M188" i="12"/>
  <c r="M189" i="12"/>
  <c r="M190" i="12"/>
  <c r="M191" i="12"/>
  <c r="M192" i="12"/>
  <c r="M193" i="12"/>
  <c r="M194" i="12"/>
  <c r="M195" i="12"/>
  <c r="M196" i="12"/>
  <c r="M197" i="12"/>
  <c r="M198" i="12"/>
  <c r="M199" i="12"/>
  <c r="M200" i="12"/>
  <c r="M201" i="12"/>
  <c r="M202" i="12"/>
  <c r="M203" i="12"/>
  <c r="M204" i="12"/>
  <c r="M205" i="12"/>
  <c r="M206" i="12"/>
  <c r="M207" i="12"/>
  <c r="M208" i="12"/>
  <c r="M209" i="12"/>
  <c r="M210" i="12"/>
  <c r="M211" i="12"/>
  <c r="M212" i="12"/>
  <c r="M213" i="12"/>
  <c r="M214" i="12"/>
  <c r="M215" i="12"/>
  <c r="M216" i="12"/>
  <c r="M217" i="12"/>
  <c r="M218" i="12"/>
  <c r="M219" i="12"/>
  <c r="M220" i="12"/>
  <c r="M221" i="12"/>
  <c r="M222" i="12"/>
  <c r="M223" i="12"/>
  <c r="M224" i="12"/>
  <c r="M225" i="12"/>
  <c r="M226" i="12"/>
  <c r="M227" i="12"/>
  <c r="M228" i="12"/>
  <c r="M229" i="12"/>
  <c r="M230" i="12"/>
  <c r="M231" i="12"/>
  <c r="M232" i="12"/>
  <c r="M233" i="12"/>
  <c r="M234" i="12"/>
  <c r="M235" i="12"/>
  <c r="M236" i="12"/>
  <c r="M237" i="12"/>
  <c r="M238" i="12"/>
  <c r="M239" i="12"/>
  <c r="M240" i="12"/>
  <c r="M241" i="12"/>
  <c r="M242" i="12"/>
  <c r="M243" i="12"/>
  <c r="M244" i="12"/>
  <c r="M245" i="12"/>
  <c r="M246" i="12"/>
  <c r="M247" i="12"/>
  <c r="M248" i="12"/>
  <c r="M249" i="12"/>
  <c r="M250" i="12"/>
  <c r="M251" i="12"/>
  <c r="M252" i="12"/>
  <c r="M253" i="12"/>
  <c r="M254" i="12"/>
  <c r="M255" i="12"/>
  <c r="M256" i="12"/>
  <c r="M257" i="12"/>
  <c r="M258" i="12"/>
  <c r="M259" i="12"/>
  <c r="M260" i="12"/>
  <c r="M261" i="12"/>
  <c r="M262" i="12"/>
  <c r="M263" i="12"/>
  <c r="M264" i="12"/>
  <c r="M265" i="12"/>
  <c r="M266" i="12"/>
  <c r="M267" i="12"/>
  <c r="M268" i="12"/>
  <c r="M269" i="12"/>
  <c r="M270" i="12"/>
  <c r="M271" i="12"/>
  <c r="M272" i="12"/>
  <c r="M273" i="12"/>
  <c r="M274" i="12"/>
  <c r="M275" i="12"/>
  <c r="M276" i="12"/>
  <c r="M277" i="12"/>
  <c r="M278" i="12"/>
  <c r="M279" i="12"/>
  <c r="M280" i="12"/>
  <c r="M281" i="12"/>
  <c r="M282" i="12"/>
  <c r="M283" i="12"/>
  <c r="M284" i="12"/>
  <c r="M285" i="12"/>
  <c r="M286" i="12"/>
  <c r="M287" i="12"/>
  <c r="M288" i="12"/>
  <c r="M289" i="12"/>
  <c r="M290" i="12"/>
  <c r="M291" i="12"/>
  <c r="M292" i="12"/>
  <c r="M293" i="12"/>
  <c r="M294" i="12"/>
  <c r="M295" i="12"/>
  <c r="M296" i="12"/>
  <c r="M297" i="12"/>
  <c r="M298" i="12"/>
  <c r="M299" i="12"/>
  <c r="M300" i="12"/>
  <c r="M301" i="12"/>
  <c r="M302" i="12"/>
  <c r="M303" i="12"/>
  <c r="M304" i="12"/>
  <c r="M305" i="12"/>
  <c r="M306" i="12"/>
  <c r="M307" i="12"/>
  <c r="M308" i="12"/>
  <c r="M309" i="12"/>
  <c r="M310" i="12"/>
  <c r="M311" i="12"/>
  <c r="M312" i="12"/>
  <c r="M313" i="12"/>
  <c r="M314" i="12"/>
  <c r="M315" i="12"/>
  <c r="M316" i="12"/>
  <c r="M317" i="12"/>
  <c r="M318" i="12"/>
  <c r="M319" i="12"/>
  <c r="M320" i="12"/>
  <c r="M321" i="12"/>
  <c r="M322" i="12"/>
  <c r="M323" i="12"/>
  <c r="M324" i="12"/>
  <c r="M325" i="12"/>
  <c r="M326" i="12"/>
  <c r="M327" i="12"/>
  <c r="M328" i="12"/>
  <c r="M329" i="12"/>
  <c r="M330" i="12"/>
  <c r="M331" i="12"/>
  <c r="M332" i="12"/>
  <c r="M333" i="12"/>
  <c r="M334" i="12"/>
  <c r="M335" i="12"/>
  <c r="M336" i="12"/>
  <c r="M337" i="12"/>
  <c r="M338" i="12"/>
  <c r="M339" i="12"/>
  <c r="M340" i="12"/>
  <c r="M341" i="12"/>
  <c r="M342" i="12"/>
  <c r="M343" i="12"/>
  <c r="M344" i="12"/>
  <c r="M345" i="12"/>
  <c r="M346" i="12"/>
  <c r="M347" i="12"/>
  <c r="M348" i="12"/>
  <c r="M349" i="12"/>
  <c r="M350" i="12"/>
  <c r="M351" i="12"/>
  <c r="M352" i="12"/>
  <c r="M353" i="12"/>
  <c r="M354" i="12"/>
  <c r="M355" i="12"/>
  <c r="M356" i="12"/>
  <c r="M357" i="12"/>
  <c r="M358" i="12"/>
  <c r="M359" i="12"/>
  <c r="M360" i="12"/>
  <c r="M361" i="12"/>
  <c r="M362" i="12"/>
  <c r="M363" i="12"/>
  <c r="M364" i="12"/>
  <c r="M365" i="12"/>
  <c r="M366" i="12"/>
  <c r="M367" i="12"/>
  <c r="M368" i="12"/>
  <c r="M369" i="12"/>
  <c r="M370" i="12"/>
  <c r="M371" i="12"/>
  <c r="M372" i="12"/>
  <c r="M373" i="12"/>
  <c r="M374" i="12"/>
  <c r="M375" i="12"/>
  <c r="M376" i="12"/>
  <c r="M377" i="12"/>
  <c r="M378" i="12"/>
  <c r="M379" i="12"/>
  <c r="M380" i="12"/>
  <c r="M381" i="12"/>
  <c r="M382" i="12"/>
  <c r="M383" i="12"/>
  <c r="M384" i="12"/>
  <c r="M385" i="12"/>
  <c r="M386" i="12"/>
  <c r="M387" i="12"/>
  <c r="M388" i="12"/>
  <c r="M389" i="12"/>
  <c r="M390" i="12"/>
  <c r="M391" i="12"/>
  <c r="M392" i="12"/>
  <c r="M393" i="12"/>
  <c r="M394" i="12"/>
  <c r="M395" i="12"/>
  <c r="M396" i="12"/>
  <c r="M397" i="12"/>
  <c r="M398" i="12"/>
  <c r="M399" i="12"/>
  <c r="M400" i="12"/>
  <c r="M401" i="12"/>
  <c r="M402" i="12"/>
  <c r="M403" i="12"/>
  <c r="M404" i="12"/>
  <c r="M405" i="12"/>
  <c r="M406" i="12"/>
  <c r="M407" i="12"/>
  <c r="M408" i="12"/>
  <c r="M409" i="12"/>
  <c r="M410" i="12"/>
  <c r="M411" i="12"/>
  <c r="M412" i="12"/>
  <c r="M413" i="12"/>
  <c r="M414" i="12"/>
  <c r="M415" i="12"/>
  <c r="M416" i="12"/>
  <c r="M417" i="12"/>
  <c r="M418" i="12"/>
  <c r="M419" i="12"/>
  <c r="M420" i="12"/>
  <c r="M421" i="12"/>
  <c r="M422" i="12"/>
  <c r="M423" i="12"/>
  <c r="M424" i="12"/>
  <c r="M425" i="12"/>
  <c r="M426" i="12"/>
  <c r="M427" i="12"/>
  <c r="M428" i="12"/>
  <c r="M429" i="12"/>
  <c r="M430" i="12"/>
  <c r="M431" i="12"/>
  <c r="M432" i="12"/>
  <c r="M433" i="12"/>
  <c r="M434" i="12"/>
  <c r="M435" i="12"/>
  <c r="M436" i="12"/>
  <c r="M437" i="12"/>
  <c r="M438" i="12"/>
  <c r="M439" i="12"/>
  <c r="M440" i="12"/>
  <c r="M441" i="12"/>
  <c r="M442" i="12"/>
  <c r="M443" i="12"/>
  <c r="M444" i="12"/>
  <c r="M445" i="12"/>
  <c r="M446" i="12"/>
  <c r="M447" i="12"/>
  <c r="M448" i="12"/>
  <c r="M449" i="12"/>
  <c r="M450" i="12"/>
  <c r="M451" i="12"/>
  <c r="M452" i="12"/>
  <c r="M453" i="12"/>
  <c r="M454" i="12"/>
  <c r="M455" i="12"/>
  <c r="M456" i="12"/>
  <c r="M457" i="12"/>
  <c r="M458" i="12"/>
  <c r="M459" i="12"/>
  <c r="M460" i="12"/>
  <c r="M461" i="12"/>
  <c r="M462" i="12"/>
  <c r="M463" i="12"/>
  <c r="M464" i="12"/>
  <c r="M465" i="12"/>
  <c r="M466" i="12"/>
  <c r="M467" i="12"/>
  <c r="M468" i="12"/>
  <c r="M469" i="12"/>
  <c r="M470" i="12"/>
  <c r="M471" i="12"/>
  <c r="M472" i="12"/>
  <c r="M473" i="12"/>
  <c r="M474" i="12"/>
  <c r="M475" i="12"/>
  <c r="M476" i="12"/>
  <c r="M477" i="12"/>
  <c r="M478" i="12"/>
  <c r="M479" i="12"/>
  <c r="M480" i="12"/>
  <c r="M481" i="12"/>
  <c r="M482" i="12"/>
  <c r="M483" i="12"/>
  <c r="M484" i="12"/>
  <c r="M485" i="12"/>
  <c r="M486" i="12"/>
  <c r="M487" i="12"/>
  <c r="M488" i="12"/>
  <c r="M489" i="12"/>
  <c r="M490" i="12"/>
  <c r="M491" i="12"/>
  <c r="M492" i="12"/>
  <c r="M493" i="12"/>
  <c r="M494" i="12"/>
  <c r="M495" i="12"/>
  <c r="M496" i="12"/>
  <c r="M497" i="12"/>
  <c r="M498" i="12"/>
  <c r="M499" i="12"/>
  <c r="M500" i="12"/>
  <c r="M501" i="12"/>
  <c r="M502" i="12"/>
  <c r="M503" i="12"/>
  <c r="M504" i="12"/>
  <c r="M505" i="12"/>
  <c r="M506" i="12"/>
  <c r="M507" i="12"/>
  <c r="M508" i="12"/>
  <c r="M509" i="12"/>
  <c r="M510" i="12"/>
  <c r="M511" i="12"/>
  <c r="M512" i="12"/>
  <c r="M513" i="12"/>
  <c r="M514" i="12"/>
  <c r="M515" i="12"/>
  <c r="M516" i="12"/>
  <c r="M517" i="12"/>
  <c r="M518" i="12"/>
  <c r="M519" i="12"/>
  <c r="M520" i="12"/>
  <c r="M521" i="12"/>
  <c r="M522" i="12"/>
  <c r="M523" i="12"/>
  <c r="M524" i="12"/>
  <c r="M525" i="12"/>
  <c r="M526" i="12"/>
  <c r="M527" i="12"/>
  <c r="M528" i="12"/>
  <c r="M529" i="12"/>
  <c r="M530" i="12"/>
  <c r="M531" i="12"/>
  <c r="M532" i="12"/>
  <c r="M533" i="12"/>
  <c r="M534" i="12"/>
  <c r="M535" i="12"/>
  <c r="M536" i="12"/>
  <c r="M537" i="12"/>
  <c r="M538" i="12"/>
  <c r="M539" i="12"/>
  <c r="M540" i="12"/>
  <c r="M541" i="12"/>
  <c r="M542" i="12"/>
  <c r="M543" i="12"/>
  <c r="M544" i="12"/>
  <c r="M545" i="12"/>
  <c r="M546" i="12"/>
  <c r="M547" i="12"/>
  <c r="M548" i="12"/>
  <c r="M549" i="12"/>
  <c r="M550" i="12"/>
  <c r="M551" i="12"/>
  <c r="M552" i="12"/>
  <c r="M553" i="12"/>
  <c r="M554" i="12"/>
  <c r="M555" i="12"/>
  <c r="M556" i="12"/>
  <c r="M557" i="12"/>
  <c r="M558" i="12"/>
  <c r="M559" i="12"/>
  <c r="M560" i="12"/>
  <c r="M561" i="12"/>
  <c r="M562" i="12"/>
  <c r="M563" i="12"/>
  <c r="M564" i="12"/>
  <c r="M565" i="12"/>
  <c r="M566" i="12"/>
  <c r="M567" i="12"/>
  <c r="M568" i="12"/>
  <c r="M569" i="12"/>
  <c r="M570" i="12"/>
  <c r="M571" i="12"/>
  <c r="M572" i="12"/>
  <c r="M573" i="12"/>
  <c r="M574" i="12"/>
  <c r="M575" i="12"/>
  <c r="M576" i="12"/>
  <c r="M577" i="12"/>
  <c r="M578" i="12"/>
  <c r="M579" i="12"/>
  <c r="M580" i="12"/>
  <c r="N4" i="12"/>
  <c r="P4" i="12" s="1"/>
  <c r="N5" i="12"/>
  <c r="P5" i="12" s="1"/>
  <c r="N6" i="12"/>
  <c r="P6" i="12" s="1"/>
  <c r="N8" i="12"/>
  <c r="P8" i="12" s="1"/>
  <c r="N10" i="12"/>
  <c r="P10" i="12" s="1"/>
  <c r="N12" i="12"/>
  <c r="P12" i="12" s="1"/>
  <c r="N14" i="12"/>
  <c r="P14" i="12" s="1"/>
  <c r="N16" i="12"/>
  <c r="P16" i="12" s="1"/>
  <c r="N17" i="12"/>
  <c r="P17" i="12" s="1"/>
  <c r="N20" i="12"/>
  <c r="P20" i="12" s="1"/>
  <c r="N21" i="12"/>
  <c r="P21" i="12" s="1"/>
  <c r="N24" i="12"/>
  <c r="P24" i="12" s="1"/>
  <c r="N25" i="12"/>
  <c r="N26" i="12"/>
  <c r="P26" i="12" s="1"/>
  <c r="N28" i="12"/>
  <c r="P28" i="12" s="1"/>
  <c r="N30" i="12"/>
  <c r="P30" i="12" s="1"/>
  <c r="N32" i="12"/>
  <c r="P32" i="12" s="1"/>
  <c r="N33" i="12"/>
  <c r="P33" i="12" s="1"/>
  <c r="N36" i="12"/>
  <c r="P36" i="12" s="1"/>
  <c r="N37" i="12"/>
  <c r="P37" i="12" s="1"/>
  <c r="N38" i="12"/>
  <c r="P38" i="12" s="1"/>
  <c r="N40" i="12"/>
  <c r="P40" i="12" s="1"/>
  <c r="N42" i="12"/>
  <c r="P42" i="12" s="1"/>
  <c r="N44" i="12"/>
  <c r="P44" i="12" s="1"/>
  <c r="N46" i="12"/>
  <c r="P46" i="12" s="1"/>
  <c r="N48" i="12"/>
  <c r="P48" i="12" s="1"/>
  <c r="N49" i="12"/>
  <c r="P49" i="12" s="1"/>
  <c r="N52" i="12"/>
  <c r="P52" i="12" s="1"/>
  <c r="N53" i="12"/>
  <c r="P53" i="12" s="1"/>
  <c r="N56" i="12"/>
  <c r="P56" i="12" s="1"/>
  <c r="N57" i="12"/>
  <c r="P57" i="12" s="1"/>
  <c r="N58" i="12"/>
  <c r="P58" i="12" s="1"/>
  <c r="N60" i="12"/>
  <c r="P60" i="12" s="1"/>
  <c r="N62" i="12"/>
  <c r="P62" i="12" s="1"/>
  <c r="N64" i="12"/>
  <c r="P64" i="12" s="1"/>
  <c r="N65" i="12"/>
  <c r="P65" i="12" s="1"/>
  <c r="N68" i="12"/>
  <c r="P68" i="12" s="1"/>
  <c r="N69" i="12"/>
  <c r="P69" i="12" s="1"/>
  <c r="N70" i="12"/>
  <c r="P70" i="12" s="1"/>
  <c r="N72" i="12"/>
  <c r="P72" i="12" s="1"/>
  <c r="N74" i="12"/>
  <c r="P74" i="12" s="1"/>
  <c r="N76" i="12"/>
  <c r="P76" i="12" s="1"/>
  <c r="N78" i="12"/>
  <c r="P78" i="12" s="1"/>
  <c r="N80" i="12"/>
  <c r="P80" i="12" s="1"/>
  <c r="N81" i="12"/>
  <c r="N84" i="12"/>
  <c r="P84" i="12" s="1"/>
  <c r="N85" i="12"/>
  <c r="P85" i="12" s="1"/>
  <c r="N88" i="12"/>
  <c r="P88" i="12" s="1"/>
  <c r="N89" i="12"/>
  <c r="P89" i="12" s="1"/>
  <c r="N90" i="12"/>
  <c r="P90" i="12" s="1"/>
  <c r="N92" i="12"/>
  <c r="P92" i="12" s="1"/>
  <c r="N94" i="12"/>
  <c r="P94" i="12" s="1"/>
  <c r="N96" i="12"/>
  <c r="P96" i="12" s="1"/>
  <c r="N97" i="12"/>
  <c r="P97" i="12" s="1"/>
  <c r="N100" i="12"/>
  <c r="P100" i="12" s="1"/>
  <c r="N101" i="12"/>
  <c r="P101" i="12" s="1"/>
  <c r="N102" i="12"/>
  <c r="P102" i="12" s="1"/>
  <c r="N104" i="12"/>
  <c r="P104" i="12" s="1"/>
  <c r="N106" i="12"/>
  <c r="P106" i="12" s="1"/>
  <c r="N108" i="12"/>
  <c r="P108" i="12" s="1"/>
  <c r="N110" i="12"/>
  <c r="P110" i="12" s="1"/>
  <c r="N112" i="12"/>
  <c r="P112" i="12" s="1"/>
  <c r="N113" i="12"/>
  <c r="P113" i="12" s="1"/>
  <c r="N116" i="12"/>
  <c r="P116" i="12" s="1"/>
  <c r="N117" i="12"/>
  <c r="P117" i="12" s="1"/>
  <c r="N120" i="12"/>
  <c r="P120" i="12" s="1"/>
  <c r="N121" i="12"/>
  <c r="N122" i="12"/>
  <c r="P122" i="12" s="1"/>
  <c r="N126" i="12"/>
  <c r="P126" i="12" s="1"/>
  <c r="N128" i="12"/>
  <c r="P128" i="12" s="1"/>
  <c r="N129" i="12"/>
  <c r="P129" i="12" s="1"/>
  <c r="N133" i="12"/>
  <c r="P133" i="12" s="1"/>
  <c r="N134" i="12"/>
  <c r="P134" i="12" s="1"/>
  <c r="N137" i="12"/>
  <c r="P137" i="12" s="1"/>
  <c r="N142" i="12"/>
  <c r="P142" i="12" s="1"/>
  <c r="N148" i="12"/>
  <c r="P148" i="12" s="1"/>
  <c r="N149" i="12"/>
  <c r="P149" i="12" s="1"/>
  <c r="N150" i="12"/>
  <c r="P150" i="12" s="1"/>
  <c r="N154" i="12"/>
  <c r="P154" i="12" s="1"/>
  <c r="N156" i="12"/>
  <c r="P156" i="12" s="1"/>
  <c r="N158" i="12"/>
  <c r="P158" i="12" s="1"/>
  <c r="N161" i="12"/>
  <c r="P161" i="12" s="1"/>
  <c r="N165" i="12"/>
  <c r="P165" i="12" s="1"/>
  <c r="N169" i="12"/>
  <c r="N170" i="12"/>
  <c r="P170" i="12" s="1"/>
  <c r="N176" i="12"/>
  <c r="P176" i="12" s="1"/>
  <c r="N177" i="12"/>
  <c r="P177" i="12" s="1"/>
  <c r="N182" i="12"/>
  <c r="P182" i="12" s="1"/>
  <c r="N185" i="12"/>
  <c r="P185" i="12" s="1"/>
  <c r="N186" i="12"/>
  <c r="P186" i="12" s="1"/>
  <c r="N190" i="12"/>
  <c r="P190" i="12" s="1"/>
  <c r="N193" i="12"/>
  <c r="P193" i="12" s="1"/>
  <c r="N197" i="12"/>
  <c r="N198" i="12"/>
  <c r="P198" i="12" s="1"/>
  <c r="N201" i="12"/>
  <c r="P201" i="12" s="1"/>
  <c r="N204" i="12"/>
  <c r="P204" i="12" s="1"/>
  <c r="N206" i="12"/>
  <c r="P206" i="12" s="1"/>
  <c r="N213" i="12"/>
  <c r="P213" i="12" s="1"/>
  <c r="N214" i="12"/>
  <c r="P214" i="12" s="1"/>
  <c r="N218" i="12"/>
  <c r="P218" i="12" s="1"/>
  <c r="N222" i="12"/>
  <c r="P222" i="12" s="1"/>
  <c r="N225" i="12"/>
  <c r="P225" i="12" s="1"/>
  <c r="N229" i="12"/>
  <c r="N233" i="12"/>
  <c r="N234" i="12"/>
  <c r="P234" i="12" s="1"/>
  <c r="N241" i="12"/>
  <c r="P241" i="12" s="1"/>
  <c r="N246" i="12"/>
  <c r="P246" i="12" s="1"/>
  <c r="N249" i="12"/>
  <c r="N250" i="12"/>
  <c r="P250" i="12" s="1"/>
  <c r="N254" i="12"/>
  <c r="P254" i="12" s="1"/>
  <c r="N257" i="12"/>
  <c r="P257" i="12" s="1"/>
  <c r="N261" i="12"/>
  <c r="P261" i="12" s="1"/>
  <c r="N262" i="12"/>
  <c r="P262" i="12" s="1"/>
  <c r="N265" i="12"/>
  <c r="N270" i="12"/>
  <c r="P270" i="12" s="1"/>
  <c r="N277" i="12"/>
  <c r="P277" i="12" s="1"/>
  <c r="N278" i="12"/>
  <c r="P278" i="12" s="1"/>
  <c r="N282" i="12"/>
  <c r="P282" i="12" s="1"/>
  <c r="N286" i="12"/>
  <c r="P286" i="12" s="1"/>
  <c r="N289" i="12"/>
  <c r="P289" i="12" s="1"/>
  <c r="N293" i="12"/>
  <c r="P293" i="12" s="1"/>
  <c r="N297" i="12"/>
  <c r="N298" i="12"/>
  <c r="P298" i="12" s="1"/>
  <c r="N305" i="12"/>
  <c r="P305" i="12" s="1"/>
  <c r="N308" i="12"/>
  <c r="P308" i="12" s="1"/>
  <c r="N310" i="12"/>
  <c r="P310" i="12" s="1"/>
  <c r="N313" i="12"/>
  <c r="N314" i="12"/>
  <c r="P314" i="12" s="1"/>
  <c r="N318" i="12"/>
  <c r="P318" i="12" s="1"/>
  <c r="N321" i="12"/>
  <c r="P321" i="12" s="1"/>
  <c r="N325" i="12"/>
  <c r="P325" i="12" s="1"/>
  <c r="N326" i="12"/>
  <c r="P326" i="12" s="1"/>
  <c r="N329" i="12"/>
  <c r="N334" i="12"/>
  <c r="P334" i="12" s="1"/>
  <c r="N336" i="12"/>
  <c r="P336" i="12" s="1"/>
  <c r="N341" i="12"/>
  <c r="N342" i="12"/>
  <c r="P342" i="12" s="1"/>
  <c r="N346" i="12"/>
  <c r="P346" i="12" s="1"/>
  <c r="N350" i="12"/>
  <c r="P350" i="12" s="1"/>
  <c r="N353" i="12"/>
  <c r="P353" i="12" s="1"/>
  <c r="N356" i="12"/>
  <c r="P356" i="12" s="1"/>
  <c r="N357" i="12"/>
  <c r="N361" i="12"/>
  <c r="P361" i="12" s="1"/>
  <c r="N362" i="12"/>
  <c r="P362" i="12" s="1"/>
  <c r="N364" i="12"/>
  <c r="P364" i="12" s="1"/>
  <c r="N369" i="12"/>
  <c r="P369" i="12" s="1"/>
  <c r="N374" i="12"/>
  <c r="P374" i="12" s="1"/>
  <c r="N377" i="12"/>
  <c r="P377" i="12" s="1"/>
  <c r="N378" i="12"/>
  <c r="P378" i="12" s="1"/>
  <c r="N382" i="12"/>
  <c r="P382" i="12" s="1"/>
  <c r="N384" i="12"/>
  <c r="P384" i="12" s="1"/>
  <c r="N385" i="12"/>
  <c r="N389" i="12"/>
  <c r="N390" i="12"/>
  <c r="P390" i="12" s="1"/>
  <c r="N393" i="12"/>
  <c r="P393" i="12" s="1"/>
  <c r="N398" i="12"/>
  <c r="P398" i="12" s="1"/>
  <c r="N404" i="12"/>
  <c r="P404" i="12" s="1"/>
  <c r="N405" i="12"/>
  <c r="N406" i="12"/>
  <c r="P406" i="12" s="1"/>
  <c r="N410" i="12"/>
  <c r="P410" i="12" s="1"/>
  <c r="N412" i="12"/>
  <c r="P412" i="12" s="1"/>
  <c r="N414" i="12"/>
  <c r="P414" i="12" s="1"/>
  <c r="N417" i="12"/>
  <c r="P417" i="12" s="1"/>
  <c r="N421" i="12"/>
  <c r="N425" i="12"/>
  <c r="N426" i="12"/>
  <c r="P426" i="12" s="1"/>
  <c r="N432" i="12"/>
  <c r="P432" i="12" s="1"/>
  <c r="N433" i="12"/>
  <c r="P433" i="12" s="1"/>
  <c r="N438" i="12"/>
  <c r="P438" i="12" s="1"/>
  <c r="N441" i="12"/>
  <c r="N442" i="12"/>
  <c r="P442" i="12" s="1"/>
  <c r="N446" i="12"/>
  <c r="P446" i="12" s="1"/>
  <c r="N449" i="12"/>
  <c r="P449" i="12" s="1"/>
  <c r="N453" i="12"/>
  <c r="P453" i="12" s="1"/>
  <c r="N454" i="12"/>
  <c r="P454" i="12" s="1"/>
  <c r="N457" i="12"/>
  <c r="N460" i="12"/>
  <c r="P460" i="12" s="1"/>
  <c r="N462" i="12"/>
  <c r="P462" i="12" s="1"/>
  <c r="N469" i="12"/>
  <c r="P469" i="12" s="1"/>
  <c r="N470" i="12"/>
  <c r="P470" i="12" s="1"/>
  <c r="N474" i="12"/>
  <c r="P474" i="12" s="1"/>
  <c r="N478" i="12"/>
  <c r="P478" i="12" s="1"/>
  <c r="N481" i="12"/>
  <c r="P481" i="12" s="1"/>
  <c r="N485" i="12"/>
  <c r="P485" i="12" s="1"/>
  <c r="N490" i="12"/>
  <c r="P490" i="12" s="1"/>
  <c r="N491" i="12"/>
  <c r="P491" i="12" s="1"/>
  <c r="N493" i="12"/>
  <c r="P493" i="12" s="1"/>
  <c r="N498" i="12"/>
  <c r="P498" i="12" s="1"/>
  <c r="N501" i="12"/>
  <c r="P501" i="12" s="1"/>
  <c r="N505" i="12"/>
  <c r="N507" i="12"/>
  <c r="P507" i="12" s="1"/>
  <c r="N510" i="12"/>
  <c r="P510" i="12" s="1"/>
  <c r="N513" i="12"/>
  <c r="P513" i="12" s="1"/>
  <c r="N518" i="12"/>
  <c r="P518" i="12" s="1"/>
  <c r="N521" i="12"/>
  <c r="P521" i="12" s="1"/>
  <c r="N522" i="12"/>
  <c r="P522" i="12" s="1"/>
  <c r="N523" i="12"/>
  <c r="N525" i="12"/>
  <c r="P525" i="12" s="1"/>
  <c r="N526" i="12"/>
  <c r="P526" i="12" s="1"/>
  <c r="N529" i="12"/>
  <c r="P529" i="12" s="1"/>
  <c r="N534" i="12"/>
  <c r="P534" i="12" s="1"/>
  <c r="N537" i="12"/>
  <c r="P537" i="12" s="1"/>
  <c r="N539" i="12"/>
  <c r="P539" i="12" s="1"/>
  <c r="N542" i="12"/>
  <c r="P542" i="12" s="1"/>
  <c r="N546" i="12"/>
  <c r="P546" i="12" s="1"/>
  <c r="N549" i="12"/>
  <c r="N554" i="12"/>
  <c r="P554" i="12" s="1"/>
  <c r="N555" i="12"/>
  <c r="P555" i="12" s="1"/>
  <c r="N557" i="12"/>
  <c r="P557" i="12" s="1"/>
  <c r="N562" i="12"/>
  <c r="P562" i="12" s="1"/>
  <c r="N565" i="12"/>
  <c r="P565" i="12" s="1"/>
  <c r="N569" i="12"/>
  <c r="P569" i="12" s="1"/>
  <c r="N570" i="12"/>
  <c r="P570" i="12" s="1"/>
  <c r="N571" i="12"/>
  <c r="P571" i="12" s="1"/>
  <c r="N574" i="12"/>
  <c r="P574" i="12" s="1"/>
  <c r="N577" i="12"/>
  <c r="P577" i="12" s="1"/>
  <c r="N578" i="12"/>
  <c r="P578" i="12" s="1"/>
  <c r="O4" i="12"/>
  <c r="O5" i="12"/>
  <c r="O10" i="12"/>
  <c r="O12" i="12"/>
  <c r="O14" i="12"/>
  <c r="O16" i="12"/>
  <c r="O20" i="12"/>
  <c r="O21" i="12"/>
  <c r="O26" i="12"/>
  <c r="O30" i="12"/>
  <c r="O33" i="12"/>
  <c r="O36" i="12"/>
  <c r="O38" i="12"/>
  <c r="O42" i="12"/>
  <c r="O46" i="12"/>
  <c r="O48" i="12"/>
  <c r="O49" i="12"/>
  <c r="O58" i="12"/>
  <c r="O60" i="12"/>
  <c r="O62" i="12"/>
  <c r="O65" i="12"/>
  <c r="O70" i="12"/>
  <c r="O74" i="12"/>
  <c r="O78" i="12"/>
  <c r="O85" i="12"/>
  <c r="O89" i="12"/>
  <c r="O90" i="12"/>
  <c r="O97" i="12"/>
  <c r="O102" i="12"/>
  <c r="O106" i="12"/>
  <c r="O110" i="12"/>
  <c r="O112" i="12"/>
  <c r="O113" i="12"/>
  <c r="O121" i="12"/>
  <c r="O122" i="12"/>
  <c r="O128" i="12"/>
  <c r="O129" i="12"/>
  <c r="O133" i="12"/>
  <c r="O134" i="12"/>
  <c r="O142" i="12"/>
  <c r="O150" i="12"/>
  <c r="O154" i="12"/>
  <c r="O158" i="12"/>
  <c r="O161" i="12"/>
  <c r="O170" i="12"/>
  <c r="O177" i="12"/>
  <c r="O182" i="12"/>
  <c r="O185" i="12"/>
  <c r="O186" i="12"/>
  <c r="O190" i="12"/>
  <c r="O193" i="12"/>
  <c r="O198" i="12"/>
  <c r="O204" i="12"/>
  <c r="O206" i="12"/>
  <c r="O218" i="12"/>
  <c r="O222" i="12"/>
  <c r="O231" i="12"/>
  <c r="O234" i="12"/>
  <c r="O235" i="12"/>
  <c r="O246" i="12"/>
  <c r="O250" i="12"/>
  <c r="O254" i="12"/>
  <c r="O261" i="12"/>
  <c r="O262" i="12"/>
  <c r="O270" i="12"/>
  <c r="O278" i="12"/>
  <c r="O286" i="12"/>
  <c r="O289" i="12"/>
  <c r="O297" i="12"/>
  <c r="O318" i="12"/>
  <c r="O320" i="12"/>
  <c r="O329" i="12"/>
  <c r="O334" i="12"/>
  <c r="O340" i="12"/>
  <c r="O400" i="12"/>
  <c r="O469" i="12"/>
  <c r="O470" i="12"/>
  <c r="O474" i="12"/>
  <c r="O478" i="12"/>
  <c r="O481" i="12"/>
  <c r="O485" i="12"/>
  <c r="O490" i="12"/>
  <c r="O493" i="12"/>
  <c r="O498" i="12"/>
  <c r="O501" i="12"/>
  <c r="O510" i="12"/>
  <c r="O522" i="12"/>
  <c r="O526" i="12"/>
  <c r="O534" i="12"/>
  <c r="O542" i="12"/>
  <c r="O555" i="12"/>
  <c r="O578" i="12"/>
  <c r="P25" i="12"/>
  <c r="P61" i="12"/>
  <c r="P77" i="12"/>
  <c r="P81" i="12"/>
  <c r="P105" i="12"/>
  <c r="P121" i="12"/>
  <c r="P153" i="12"/>
  <c r="P169" i="12"/>
  <c r="P197" i="12"/>
  <c r="P229" i="12"/>
  <c r="P233" i="12"/>
  <c r="P245" i="12"/>
  <c r="P249" i="12"/>
  <c r="P253" i="12"/>
  <c r="P265" i="12"/>
  <c r="P285" i="12"/>
  <c r="P297" i="12"/>
  <c r="P301" i="12"/>
  <c r="P313" i="12"/>
  <c r="P329" i="12"/>
  <c r="P341" i="12"/>
  <c r="P357" i="12"/>
  <c r="P365" i="12"/>
  <c r="P381" i="12"/>
  <c r="P385" i="12"/>
  <c r="P389" i="12"/>
  <c r="P397" i="12"/>
  <c r="P405" i="12"/>
  <c r="P409" i="12"/>
  <c r="P421" i="12"/>
  <c r="P425" i="12"/>
  <c r="P441" i="12"/>
  <c r="P445" i="12"/>
  <c r="P457" i="12"/>
  <c r="P465" i="12"/>
  <c r="P473" i="12"/>
  <c r="P477" i="12"/>
  <c r="P505" i="12"/>
  <c r="P509" i="12"/>
  <c r="P523" i="12"/>
  <c r="P549" i="12"/>
  <c r="P573" i="12"/>
  <c r="Q2" i="12"/>
  <c r="Q3" i="12"/>
  <c r="Q4" i="12"/>
  <c r="Q5" i="12"/>
  <c r="Q6" i="12"/>
  <c r="Q7" i="12"/>
  <c r="Q8" i="12"/>
  <c r="Q9" i="12"/>
  <c r="Q10" i="12"/>
  <c r="Q11" i="12"/>
  <c r="Q12" i="12"/>
  <c r="Q13" i="12"/>
  <c r="Q14" i="12"/>
  <c r="Q15" i="12"/>
  <c r="Q16" i="12"/>
  <c r="Q17" i="12"/>
  <c r="Q18" i="12"/>
  <c r="Q19" i="12"/>
  <c r="Q20" i="12"/>
  <c r="Q21" i="12"/>
  <c r="Q22" i="12"/>
  <c r="Q23" i="12"/>
  <c r="Q24" i="12"/>
  <c r="Q25" i="12"/>
  <c r="Q26" i="12"/>
  <c r="Q27" i="12"/>
  <c r="Q28" i="12"/>
  <c r="Q29" i="12"/>
  <c r="Q30" i="12"/>
  <c r="Q31" i="12"/>
  <c r="Q32" i="12"/>
  <c r="Q33" i="12"/>
  <c r="Q34" i="12"/>
  <c r="Q35" i="12"/>
  <c r="Q36" i="12"/>
  <c r="Q37" i="12"/>
  <c r="Q38" i="12"/>
  <c r="Q39" i="12"/>
  <c r="Q40" i="12"/>
  <c r="Q41" i="12"/>
  <c r="Q42" i="12"/>
  <c r="Q43" i="12"/>
  <c r="Q44" i="12"/>
  <c r="Q45" i="12"/>
  <c r="Q46" i="12"/>
  <c r="Q47" i="12"/>
  <c r="Q48" i="12"/>
  <c r="Q49" i="12"/>
  <c r="Q50" i="12"/>
  <c r="Q51" i="12"/>
  <c r="Q52" i="12"/>
  <c r="Q53" i="12"/>
  <c r="Q54" i="12"/>
  <c r="Q55" i="12"/>
  <c r="Q56" i="12"/>
  <c r="Q57" i="12"/>
  <c r="Q58" i="12"/>
  <c r="Q59" i="12"/>
  <c r="Q60" i="12"/>
  <c r="Q61" i="12"/>
  <c r="Q62" i="12"/>
  <c r="Q63" i="12"/>
  <c r="Q64" i="12"/>
  <c r="Q65" i="12"/>
  <c r="Q66" i="12"/>
  <c r="Q67" i="12"/>
  <c r="Q68" i="12"/>
  <c r="Q69" i="12"/>
  <c r="Q70" i="12"/>
  <c r="Q71" i="12"/>
  <c r="Q72" i="12"/>
  <c r="Q73" i="12"/>
  <c r="Q74" i="12"/>
  <c r="Q75" i="12"/>
  <c r="Q76" i="12"/>
  <c r="Q77" i="12"/>
  <c r="Q78" i="12"/>
  <c r="Q79" i="12"/>
  <c r="Q80" i="12"/>
  <c r="Q81" i="12"/>
  <c r="Q82" i="12"/>
  <c r="Q83" i="12"/>
  <c r="Q84" i="12"/>
  <c r="Q85" i="12"/>
  <c r="Q86" i="12"/>
  <c r="Q87" i="12"/>
  <c r="Q88" i="12"/>
  <c r="Q89" i="12"/>
  <c r="Q90" i="12"/>
  <c r="Q91" i="12"/>
  <c r="Q92" i="12"/>
  <c r="Q93" i="12"/>
  <c r="Q94" i="12"/>
  <c r="Q95" i="12"/>
  <c r="Q96" i="12"/>
  <c r="Q97" i="12"/>
  <c r="Q98" i="12"/>
  <c r="Q99" i="12"/>
  <c r="Q100" i="12"/>
  <c r="Q101" i="12"/>
  <c r="Q102" i="12"/>
  <c r="Q103" i="12"/>
  <c r="Q104" i="12"/>
  <c r="Q105" i="12"/>
  <c r="Q106" i="12"/>
  <c r="Q107" i="12"/>
  <c r="Q108" i="12"/>
  <c r="Q109" i="12"/>
  <c r="Q110" i="12"/>
  <c r="Q111" i="12"/>
  <c r="Q112" i="12"/>
  <c r="Q113" i="12"/>
  <c r="Q114" i="12"/>
  <c r="Q115" i="12"/>
  <c r="Q116" i="12"/>
  <c r="Q117" i="12"/>
  <c r="Q118" i="12"/>
  <c r="Q119" i="12"/>
  <c r="Q120" i="12"/>
  <c r="Q121" i="12"/>
  <c r="Q122" i="12"/>
  <c r="Q123" i="12"/>
  <c r="Q124" i="12"/>
  <c r="Q125" i="12"/>
  <c r="Q126" i="12"/>
  <c r="Q127" i="12"/>
  <c r="Q128" i="12"/>
  <c r="Q129" i="12"/>
  <c r="Q130" i="12"/>
  <c r="Q131" i="12"/>
  <c r="Q132" i="12"/>
  <c r="Q133" i="12"/>
  <c r="Q134" i="12"/>
  <c r="Q135" i="12"/>
  <c r="Q136" i="12"/>
  <c r="Q137" i="12"/>
  <c r="Q138" i="12"/>
  <c r="Q139" i="12"/>
  <c r="Q140" i="12"/>
  <c r="Q141" i="12"/>
  <c r="Q142" i="12"/>
  <c r="Q143" i="12"/>
  <c r="Q144" i="12"/>
  <c r="Q145" i="12"/>
  <c r="Q146" i="12"/>
  <c r="Q147" i="12"/>
  <c r="Q148" i="12"/>
  <c r="Q149" i="12"/>
  <c r="Q150" i="12"/>
  <c r="Q151" i="12"/>
  <c r="Q152" i="12"/>
  <c r="Q153" i="12"/>
  <c r="Q154" i="12"/>
  <c r="Q155" i="12"/>
  <c r="Q156" i="12"/>
  <c r="Q157" i="12"/>
  <c r="Q158" i="12"/>
  <c r="Q159" i="12"/>
  <c r="Q160" i="12"/>
  <c r="Q161" i="12"/>
  <c r="Q162" i="12"/>
  <c r="Q163" i="12"/>
  <c r="Q164" i="12"/>
  <c r="Q165" i="12"/>
  <c r="Q166" i="12"/>
  <c r="Q167" i="12"/>
  <c r="Q168" i="12"/>
  <c r="Q169" i="12"/>
  <c r="Q170" i="12"/>
  <c r="Q171" i="12"/>
  <c r="Q172" i="12"/>
  <c r="Q173" i="12"/>
  <c r="Q174" i="12"/>
  <c r="Q175" i="12"/>
  <c r="Q176" i="12"/>
  <c r="Q177" i="12"/>
  <c r="Q178" i="12"/>
  <c r="Q179" i="12"/>
  <c r="Q180" i="12"/>
  <c r="Q181" i="12"/>
  <c r="Q182" i="12"/>
  <c r="Q183" i="12"/>
  <c r="Q184" i="12"/>
  <c r="Q185" i="12"/>
  <c r="Q186" i="12"/>
  <c r="Q187" i="12"/>
  <c r="Q188" i="12"/>
  <c r="Q189" i="12"/>
  <c r="Q190" i="12"/>
  <c r="Q191" i="12"/>
  <c r="Q192" i="12"/>
  <c r="Q193" i="12"/>
  <c r="Q194" i="12"/>
  <c r="Q195" i="12"/>
  <c r="Q196" i="12"/>
  <c r="Q197" i="12"/>
  <c r="Q198" i="12"/>
  <c r="Q199" i="12"/>
  <c r="Q200" i="12"/>
  <c r="Q201" i="12"/>
  <c r="Q202" i="12"/>
  <c r="Q203" i="12"/>
  <c r="Q204" i="12"/>
  <c r="Q205" i="12"/>
  <c r="Q206" i="12"/>
  <c r="Q207" i="12"/>
  <c r="Q208" i="12"/>
  <c r="Q209" i="12"/>
  <c r="Q210" i="12"/>
  <c r="Q211" i="12"/>
  <c r="Q212" i="12"/>
  <c r="Q213" i="12"/>
  <c r="Q214" i="12"/>
  <c r="Q215" i="12"/>
  <c r="Q216" i="12"/>
  <c r="Q217" i="12"/>
  <c r="Q218" i="12"/>
  <c r="Q219" i="12"/>
  <c r="Q220" i="12"/>
  <c r="Q221" i="12"/>
  <c r="Q222" i="12"/>
  <c r="Q223" i="12"/>
  <c r="Q224" i="12"/>
  <c r="Q225" i="12"/>
  <c r="Q226" i="12"/>
  <c r="Q227" i="12"/>
  <c r="Q228" i="12"/>
  <c r="Q229" i="12"/>
  <c r="Q230" i="12"/>
  <c r="Q231" i="12"/>
  <c r="Q232" i="12"/>
  <c r="Q233" i="12"/>
  <c r="Q234" i="12"/>
  <c r="Q235" i="12"/>
  <c r="Q236" i="12"/>
  <c r="Q237" i="12"/>
  <c r="Q238" i="12"/>
  <c r="Q239" i="12"/>
  <c r="Q240" i="12"/>
  <c r="Q241" i="12"/>
  <c r="Q242" i="12"/>
  <c r="Q243" i="12"/>
  <c r="Q244" i="12"/>
  <c r="Q245" i="12"/>
  <c r="Q246" i="12"/>
  <c r="Q247" i="12"/>
  <c r="Q248" i="12"/>
  <c r="Q249" i="12"/>
  <c r="Q250" i="12"/>
  <c r="Q251" i="12"/>
  <c r="Q252" i="12"/>
  <c r="Q253" i="12"/>
  <c r="Q254" i="12"/>
  <c r="Q255" i="12"/>
  <c r="Q256" i="12"/>
  <c r="Q257" i="12"/>
  <c r="Q258" i="12"/>
  <c r="Q259" i="12"/>
  <c r="Q260" i="12"/>
  <c r="Q261" i="12"/>
  <c r="Q262" i="12"/>
  <c r="Q263" i="12"/>
  <c r="Q264" i="12"/>
  <c r="Q265" i="12"/>
  <c r="Q266" i="12"/>
  <c r="Q267" i="12"/>
  <c r="Q268" i="12"/>
  <c r="Q269" i="12"/>
  <c r="Q270" i="12"/>
  <c r="Q271" i="12"/>
  <c r="Q272" i="12"/>
  <c r="Q273" i="12"/>
  <c r="Q274" i="12"/>
  <c r="Q275" i="12"/>
  <c r="Q276" i="12"/>
  <c r="Q277" i="12"/>
  <c r="Q278" i="12"/>
  <c r="Q279" i="12"/>
  <c r="Q280" i="12"/>
  <c r="Q281" i="12"/>
  <c r="Q282" i="12"/>
  <c r="Q283" i="12"/>
  <c r="Q284" i="12"/>
  <c r="Q285" i="12"/>
  <c r="Q286" i="12"/>
  <c r="Q287" i="12"/>
  <c r="Q288" i="12"/>
  <c r="Q289" i="12"/>
  <c r="Q290" i="12"/>
  <c r="Q291" i="12"/>
  <c r="Q292" i="12"/>
  <c r="Q293" i="12"/>
  <c r="Q294" i="12"/>
  <c r="Q295" i="12"/>
  <c r="Q296" i="12"/>
  <c r="Q297" i="12"/>
  <c r="Q298" i="12"/>
  <c r="Q299" i="12"/>
  <c r="Q300" i="12"/>
  <c r="Q301" i="12"/>
  <c r="Q302" i="12"/>
  <c r="Q303" i="12"/>
  <c r="Q304" i="12"/>
  <c r="Q305" i="12"/>
  <c r="Q306" i="12"/>
  <c r="Q307" i="12"/>
  <c r="Q308" i="12"/>
  <c r="Q309" i="12"/>
  <c r="Q310" i="12"/>
  <c r="Q311" i="12"/>
  <c r="Q312" i="12"/>
  <c r="Q313" i="12"/>
  <c r="Q314" i="12"/>
  <c r="Q315" i="12"/>
  <c r="Q316" i="12"/>
  <c r="Q317" i="12"/>
  <c r="Q318" i="12"/>
  <c r="Q319" i="12"/>
  <c r="Q320" i="12"/>
  <c r="Q321" i="12"/>
  <c r="Q322" i="12"/>
  <c r="Q323" i="12"/>
  <c r="Q324" i="12"/>
  <c r="Q325" i="12"/>
  <c r="Q326" i="12"/>
  <c r="Q327" i="12"/>
  <c r="Q328" i="12"/>
  <c r="Q329" i="12"/>
  <c r="Q330" i="12"/>
  <c r="Q331" i="12"/>
  <c r="Q332" i="12"/>
  <c r="Q333" i="12"/>
  <c r="Q334" i="12"/>
  <c r="Q335" i="12"/>
  <c r="Q336" i="12"/>
  <c r="Q337" i="12"/>
  <c r="Q338" i="12"/>
  <c r="Q339" i="12"/>
  <c r="Q340" i="12"/>
  <c r="Q341" i="12"/>
  <c r="Q342" i="12"/>
  <c r="Q343" i="12"/>
  <c r="Q344" i="12"/>
  <c r="Q345" i="12"/>
  <c r="Q346" i="12"/>
  <c r="Q347" i="12"/>
  <c r="Q348" i="12"/>
  <c r="Q349" i="12"/>
  <c r="Q350" i="12"/>
  <c r="Q351" i="12"/>
  <c r="Q352" i="12"/>
  <c r="Q353" i="12"/>
  <c r="Q354" i="12"/>
  <c r="Q355" i="12"/>
  <c r="Q356" i="12"/>
  <c r="Q357" i="12"/>
  <c r="Q358" i="12"/>
  <c r="Q359" i="12"/>
  <c r="Q360" i="12"/>
  <c r="Q361" i="12"/>
  <c r="Q362" i="12"/>
  <c r="Q363" i="12"/>
  <c r="Q364" i="12"/>
  <c r="Q365" i="12"/>
  <c r="Q366" i="12"/>
  <c r="Q367" i="12"/>
  <c r="Q368" i="12"/>
  <c r="Q369" i="12"/>
  <c r="Q370" i="12"/>
  <c r="Q371" i="12"/>
  <c r="Q372" i="12"/>
  <c r="Q373" i="12"/>
  <c r="Q374" i="12"/>
  <c r="Q375" i="12"/>
  <c r="Q376" i="12"/>
  <c r="Q377" i="12"/>
  <c r="Q378" i="12"/>
  <c r="Q379" i="12"/>
  <c r="Q380" i="12"/>
  <c r="Q381" i="12"/>
  <c r="Q382" i="12"/>
  <c r="Q383" i="12"/>
  <c r="Q384" i="12"/>
  <c r="Q385" i="12"/>
  <c r="Q386" i="12"/>
  <c r="Q387" i="12"/>
  <c r="Q388" i="12"/>
  <c r="Q389" i="12"/>
  <c r="Q390" i="12"/>
  <c r="Q391" i="12"/>
  <c r="Q392" i="12"/>
  <c r="Q393" i="12"/>
  <c r="Q394" i="12"/>
  <c r="Q395" i="12"/>
  <c r="Q396" i="12"/>
  <c r="Q397" i="12"/>
  <c r="Q398" i="12"/>
  <c r="Q399" i="12"/>
  <c r="Q400" i="12"/>
  <c r="Q401" i="12"/>
  <c r="Q402" i="12"/>
  <c r="Q403" i="12"/>
  <c r="Q404" i="12"/>
  <c r="Q405" i="12"/>
  <c r="Q406" i="12"/>
  <c r="Q407" i="12"/>
  <c r="Q408" i="12"/>
  <c r="Q409" i="12"/>
  <c r="Q410" i="12"/>
  <c r="Q411" i="12"/>
  <c r="Q412" i="12"/>
  <c r="Q413" i="12"/>
  <c r="Q414" i="12"/>
  <c r="Q415" i="12"/>
  <c r="Q416" i="12"/>
  <c r="Q417" i="12"/>
  <c r="Q418" i="12"/>
  <c r="Q419" i="12"/>
  <c r="Q420" i="12"/>
  <c r="Q421" i="12"/>
  <c r="Q422" i="12"/>
  <c r="Q423" i="12"/>
  <c r="Q424" i="12"/>
  <c r="Q425" i="12"/>
  <c r="Q426" i="12"/>
  <c r="Q427" i="12"/>
  <c r="Q428" i="12"/>
  <c r="Q429" i="12"/>
  <c r="Q430" i="12"/>
  <c r="Q431" i="12"/>
  <c r="Q432" i="12"/>
  <c r="Q433" i="12"/>
  <c r="Q434" i="12"/>
  <c r="Q435" i="12"/>
  <c r="Q436" i="12"/>
  <c r="Q437" i="12"/>
  <c r="Q438" i="12"/>
  <c r="Q439" i="12"/>
  <c r="Q440" i="12"/>
  <c r="Q441" i="12"/>
  <c r="Q442" i="12"/>
  <c r="Q443" i="12"/>
  <c r="Q444" i="12"/>
  <c r="Q445" i="12"/>
  <c r="Q446" i="12"/>
  <c r="Q447" i="12"/>
  <c r="Q448" i="12"/>
  <c r="Q449" i="12"/>
  <c r="Q450" i="12"/>
  <c r="Q451" i="12"/>
  <c r="Q452" i="12"/>
  <c r="Q453" i="12"/>
  <c r="Q454" i="12"/>
  <c r="Q455" i="12"/>
  <c r="Q456" i="12"/>
  <c r="Q457" i="12"/>
  <c r="Q458" i="12"/>
  <c r="Q459" i="12"/>
  <c r="Q460" i="12"/>
  <c r="Q461" i="12"/>
  <c r="Q462" i="12"/>
  <c r="Q463" i="12"/>
  <c r="Q464" i="12"/>
  <c r="Q465" i="12"/>
  <c r="Q466" i="12"/>
  <c r="Q467" i="12"/>
  <c r="Q468" i="12"/>
  <c r="Q469" i="12"/>
  <c r="Q470" i="12"/>
  <c r="Q471" i="12"/>
  <c r="Q472" i="12"/>
  <c r="Q473" i="12"/>
  <c r="Q474" i="12"/>
  <c r="Q475" i="12"/>
  <c r="Q476" i="12"/>
  <c r="Q477" i="12"/>
  <c r="Q478" i="12"/>
  <c r="Q479" i="12"/>
  <c r="Q480" i="12"/>
  <c r="Q481" i="12"/>
  <c r="Q482" i="12"/>
  <c r="Q483" i="12"/>
  <c r="Q484" i="12"/>
  <c r="Q485" i="12"/>
  <c r="Q486" i="12"/>
  <c r="Q487" i="12"/>
  <c r="Q488" i="12"/>
  <c r="Q489" i="12"/>
  <c r="Q490" i="12"/>
  <c r="Q491" i="12"/>
  <c r="Q492" i="12"/>
  <c r="Q493" i="12"/>
  <c r="Q494" i="12"/>
  <c r="Q495" i="12"/>
  <c r="Q496" i="12"/>
  <c r="Q497" i="12"/>
  <c r="Q498" i="12"/>
  <c r="Q499" i="12"/>
  <c r="Q500" i="12"/>
  <c r="Q501" i="12"/>
  <c r="Q502" i="12"/>
  <c r="Q503" i="12"/>
  <c r="Q504" i="12"/>
  <c r="Q505" i="12"/>
  <c r="Q506" i="12"/>
  <c r="Q507" i="12"/>
  <c r="Q508" i="12"/>
  <c r="Q509" i="12"/>
  <c r="Q510" i="12"/>
  <c r="Q511" i="12"/>
  <c r="Q512" i="12"/>
  <c r="Q513" i="12"/>
  <c r="Q514" i="12"/>
  <c r="Q515" i="12"/>
  <c r="Q516" i="12"/>
  <c r="Q517" i="12"/>
  <c r="Q518" i="12"/>
  <c r="Q519" i="12"/>
  <c r="Q520" i="12"/>
  <c r="Q521" i="12"/>
  <c r="Q522" i="12"/>
  <c r="Q523" i="12"/>
  <c r="Q524" i="12"/>
  <c r="Q525" i="12"/>
  <c r="Q526" i="12"/>
  <c r="Q527" i="12"/>
  <c r="Q528" i="12"/>
  <c r="Q529" i="12"/>
  <c r="Q530" i="12"/>
  <c r="Q531" i="12"/>
  <c r="Q532" i="12"/>
  <c r="Q533" i="12"/>
  <c r="Q534" i="12"/>
  <c r="Q535" i="12"/>
  <c r="Q536" i="12"/>
  <c r="Q537" i="12"/>
  <c r="Q538" i="12"/>
  <c r="Q539" i="12"/>
  <c r="Q540" i="12"/>
  <c r="Q541" i="12"/>
  <c r="Q542" i="12"/>
  <c r="Q543" i="12"/>
  <c r="Q544" i="12"/>
  <c r="Q545" i="12"/>
  <c r="Q546" i="12"/>
  <c r="Q547" i="12"/>
  <c r="Q548" i="12"/>
  <c r="Q549" i="12"/>
  <c r="Q550" i="12"/>
  <c r="Q551" i="12"/>
  <c r="Q552" i="12"/>
  <c r="Q553" i="12"/>
  <c r="Q554" i="12"/>
  <c r="Q555" i="12"/>
  <c r="Q556" i="12"/>
  <c r="Q557" i="12"/>
  <c r="Q558" i="12"/>
  <c r="Q559" i="12"/>
  <c r="Q560" i="12"/>
  <c r="Q561" i="12"/>
  <c r="Q562" i="12"/>
  <c r="Q563" i="12"/>
  <c r="Q564" i="12"/>
  <c r="Q565" i="12"/>
  <c r="Q566" i="12"/>
  <c r="Q567" i="12"/>
  <c r="Q568" i="12"/>
  <c r="Q569" i="12"/>
  <c r="Q570" i="12"/>
  <c r="Q571" i="12"/>
  <c r="Q572" i="12"/>
  <c r="Q573" i="12"/>
  <c r="Q574" i="12"/>
  <c r="Q575" i="12"/>
  <c r="Q576" i="12"/>
  <c r="Q577" i="12"/>
  <c r="Q578" i="12"/>
  <c r="Q579" i="12"/>
  <c r="Q580" i="12"/>
  <c r="Z22" i="3"/>
  <c r="Z9" i="3"/>
  <c r="Z33" i="3"/>
  <c r="Z24" i="3"/>
  <c r="Z20" i="3"/>
  <c r="Z18" i="3"/>
  <c r="Z38" i="3"/>
  <c r="Z3" i="3"/>
  <c r="Z25" i="3"/>
  <c r="Z10" i="3"/>
  <c r="Z7" i="3"/>
  <c r="Z23" i="3"/>
  <c r="Z28" i="3"/>
  <c r="Z13" i="3"/>
  <c r="Z40" i="3"/>
  <c r="Z4" i="3"/>
  <c r="Z8" i="3"/>
  <c r="Z41" i="3"/>
  <c r="Z39" i="3"/>
  <c r="Z37" i="3"/>
  <c r="Z16" i="3"/>
  <c r="Z5" i="3"/>
  <c r="Z17" i="3"/>
  <c r="Z11" i="3"/>
  <c r="Z19" i="3"/>
  <c r="Z12" i="3"/>
  <c r="A1" i="6"/>
  <c r="C1" i="13"/>
  <c r="C2" i="13"/>
  <c r="C3" i="13"/>
  <c r="A3" i="13" s="1"/>
  <c r="C4" i="13"/>
  <c r="A4" i="13" s="1"/>
  <c r="F11" i="13" a="1"/>
  <c r="F11" i="13" s="1"/>
  <c r="F10" i="13" a="1"/>
  <c r="F10" i="13" s="1"/>
  <c r="F8" i="13" a="1"/>
  <c r="F8" i="13" s="1"/>
  <c r="F7" i="13" a="1"/>
  <c r="F7" i="13" s="1"/>
  <c r="F6" i="13" a="1"/>
  <c r="F6" i="13" s="1"/>
  <c r="F5" i="13" a="1"/>
  <c r="F5" i="13" s="1"/>
  <c r="F2" i="13"/>
  <c r="F456" i="12" l="1"/>
  <c r="O456" i="12" s="1"/>
  <c r="N456" i="12"/>
  <c r="P456" i="12" s="1"/>
  <c r="F452" i="12"/>
  <c r="O452" i="12" s="1"/>
  <c r="N452" i="12"/>
  <c r="P452" i="12" s="1"/>
  <c r="F444" i="12"/>
  <c r="O444" i="12" s="1"/>
  <c r="N444" i="12"/>
  <c r="P444" i="12" s="1"/>
  <c r="F324" i="12"/>
  <c r="O324" i="12" s="1"/>
  <c r="N324" i="12"/>
  <c r="P324" i="12" s="1"/>
  <c r="F288" i="12"/>
  <c r="O288" i="12" s="1"/>
  <c r="N288" i="12"/>
  <c r="P288" i="12" s="1"/>
  <c r="F280" i="12"/>
  <c r="O280" i="12" s="1"/>
  <c r="N280" i="12"/>
  <c r="P280" i="12" s="1"/>
  <c r="F260" i="12"/>
  <c r="O260" i="12" s="1"/>
  <c r="N260" i="12"/>
  <c r="P260" i="12" s="1"/>
  <c r="F232" i="12"/>
  <c r="O232" i="12" s="1"/>
  <c r="N232" i="12"/>
  <c r="P232" i="12" s="1"/>
  <c r="F196" i="12"/>
  <c r="O196" i="12" s="1"/>
  <c r="N196" i="12"/>
  <c r="P196" i="12" s="1"/>
  <c r="F132" i="12"/>
  <c r="O132" i="12" s="1"/>
  <c r="N132" i="12"/>
  <c r="P132" i="12" s="1"/>
  <c r="F124" i="12"/>
  <c r="O124" i="12" s="1"/>
  <c r="N124" i="12"/>
  <c r="P124" i="12" s="1"/>
  <c r="N476" i="12"/>
  <c r="P476" i="12" s="1"/>
  <c r="N448" i="12"/>
  <c r="P448" i="12" s="1"/>
  <c r="N400" i="12"/>
  <c r="P400" i="12" s="1"/>
  <c r="N268" i="12"/>
  <c r="P268" i="12" s="1"/>
  <c r="N220" i="12"/>
  <c r="P220" i="12" s="1"/>
  <c r="N212" i="12"/>
  <c r="P212" i="12" s="1"/>
  <c r="N144" i="12"/>
  <c r="P144" i="12" s="1"/>
  <c r="N484" i="12"/>
  <c r="P484" i="12" s="1"/>
  <c r="N436" i="12"/>
  <c r="P436" i="12" s="1"/>
  <c r="N304" i="12"/>
  <c r="P304" i="12" s="1"/>
  <c r="N256" i="12"/>
  <c r="P256" i="12" s="1"/>
  <c r="N236" i="12"/>
  <c r="P236" i="12" s="1"/>
  <c r="N208" i="12"/>
  <c r="P208" i="12" s="1"/>
  <c r="F566" i="12"/>
  <c r="O566" i="12" s="1"/>
  <c r="N566" i="12"/>
  <c r="P566" i="12" s="1"/>
  <c r="F558" i="12"/>
  <c r="O558" i="12" s="1"/>
  <c r="N558" i="12"/>
  <c r="P558" i="12" s="1"/>
  <c r="F550" i="12"/>
  <c r="O550" i="12" s="1"/>
  <c r="N550" i="12"/>
  <c r="P550" i="12" s="1"/>
  <c r="F538" i="12"/>
  <c r="O538" i="12" s="1"/>
  <c r="N538" i="12"/>
  <c r="P538" i="12" s="1"/>
  <c r="F530" i="12"/>
  <c r="O530" i="12" s="1"/>
  <c r="N530" i="12"/>
  <c r="P530" i="12" s="1"/>
  <c r="F514" i="12"/>
  <c r="O514" i="12" s="1"/>
  <c r="N514" i="12"/>
  <c r="P514" i="12" s="1"/>
  <c r="F506" i="12"/>
  <c r="O506" i="12" s="1"/>
  <c r="N506" i="12"/>
  <c r="P506" i="12" s="1"/>
  <c r="F502" i="12"/>
  <c r="O502" i="12" s="1"/>
  <c r="N502" i="12"/>
  <c r="P502" i="12" s="1"/>
  <c r="F494" i="12"/>
  <c r="O494" i="12" s="1"/>
  <c r="N494" i="12"/>
  <c r="P494" i="12" s="1"/>
  <c r="F486" i="12"/>
  <c r="O486" i="12" s="1"/>
  <c r="N486" i="12"/>
  <c r="P486" i="12" s="1"/>
  <c r="F482" i="12"/>
  <c r="O482" i="12" s="1"/>
  <c r="N482" i="12"/>
  <c r="P482" i="12" s="1"/>
  <c r="F466" i="12"/>
  <c r="O466" i="12" s="1"/>
  <c r="N466" i="12"/>
  <c r="P466" i="12" s="1"/>
  <c r="F458" i="12"/>
  <c r="O458" i="12" s="1"/>
  <c r="N458" i="12"/>
  <c r="P458" i="12" s="1"/>
  <c r="F450" i="12"/>
  <c r="O450" i="12" s="1"/>
  <c r="N450" i="12"/>
  <c r="P450" i="12" s="1"/>
  <c r="F434" i="12"/>
  <c r="O434" i="12" s="1"/>
  <c r="N434" i="12"/>
  <c r="P434" i="12" s="1"/>
  <c r="F430" i="12"/>
  <c r="O430" i="12" s="1"/>
  <c r="N430" i="12"/>
  <c r="P430" i="12" s="1"/>
  <c r="F422" i="12"/>
  <c r="O422" i="12" s="1"/>
  <c r="N422" i="12"/>
  <c r="P422" i="12" s="1"/>
  <c r="F418" i="12"/>
  <c r="O418" i="12" s="1"/>
  <c r="N418" i="12"/>
  <c r="P418" i="12" s="1"/>
  <c r="F402" i="12"/>
  <c r="O402" i="12" s="1"/>
  <c r="N402" i="12"/>
  <c r="P402" i="12" s="1"/>
  <c r="F394" i="12"/>
  <c r="O394" i="12" s="1"/>
  <c r="N394" i="12"/>
  <c r="P394" i="12" s="1"/>
  <c r="F386" i="12"/>
  <c r="O386" i="12" s="1"/>
  <c r="N386" i="12"/>
  <c r="P386" i="12" s="1"/>
  <c r="F370" i="12"/>
  <c r="O370" i="12" s="1"/>
  <c r="N370" i="12"/>
  <c r="P370" i="12" s="1"/>
  <c r="F366" i="12"/>
  <c r="O366" i="12" s="1"/>
  <c r="N366" i="12"/>
  <c r="P366" i="12" s="1"/>
  <c r="F358" i="12"/>
  <c r="O358" i="12" s="1"/>
  <c r="N358" i="12"/>
  <c r="P358" i="12" s="1"/>
  <c r="F354" i="12"/>
  <c r="O354" i="12" s="1"/>
  <c r="N354" i="12"/>
  <c r="P354" i="12" s="1"/>
  <c r="F330" i="12"/>
  <c r="O330" i="12" s="1"/>
  <c r="N330" i="12"/>
  <c r="P330" i="12" s="1"/>
  <c r="F322" i="12"/>
  <c r="O322" i="12" s="1"/>
  <c r="N322" i="12"/>
  <c r="P322" i="12" s="1"/>
  <c r="F306" i="12"/>
  <c r="O306" i="12" s="1"/>
  <c r="N306" i="12"/>
  <c r="P306" i="12" s="1"/>
  <c r="F302" i="12"/>
  <c r="O302" i="12" s="1"/>
  <c r="N302" i="12"/>
  <c r="P302" i="12" s="1"/>
  <c r="F294" i="12"/>
  <c r="O294" i="12" s="1"/>
  <c r="N294" i="12"/>
  <c r="P294" i="12" s="1"/>
  <c r="F290" i="12"/>
  <c r="O290" i="12" s="1"/>
  <c r="N290" i="12"/>
  <c r="P290" i="12" s="1"/>
  <c r="F274" i="12"/>
  <c r="O274" i="12" s="1"/>
  <c r="N274" i="12"/>
  <c r="P274" i="12" s="1"/>
  <c r="F242" i="12"/>
  <c r="O242" i="12" s="1"/>
  <c r="N242" i="12"/>
  <c r="P242" i="12" s="1"/>
  <c r="F238" i="12"/>
  <c r="O238" i="12" s="1"/>
  <c r="N238" i="12"/>
  <c r="P238" i="12" s="1"/>
  <c r="F230" i="12"/>
  <c r="O230" i="12" s="1"/>
  <c r="N230" i="12"/>
  <c r="P230" i="12" s="1"/>
  <c r="F226" i="12"/>
  <c r="O226" i="12" s="1"/>
  <c r="N226" i="12"/>
  <c r="P226" i="12" s="1"/>
  <c r="F202" i="12"/>
  <c r="O202" i="12" s="1"/>
  <c r="N202" i="12"/>
  <c r="P202" i="12" s="1"/>
  <c r="F194" i="12"/>
  <c r="O194" i="12" s="1"/>
  <c r="N194" i="12"/>
  <c r="P194" i="12" s="1"/>
  <c r="F178" i="12"/>
  <c r="O178" i="12" s="1"/>
  <c r="N178" i="12"/>
  <c r="P178" i="12" s="1"/>
  <c r="F174" i="12"/>
  <c r="O174" i="12" s="1"/>
  <c r="N174" i="12"/>
  <c r="P174" i="12" s="1"/>
  <c r="F166" i="12"/>
  <c r="O166" i="12" s="1"/>
  <c r="N166" i="12"/>
  <c r="P166" i="12" s="1"/>
  <c r="F162" i="12"/>
  <c r="O162" i="12" s="1"/>
  <c r="N162" i="12"/>
  <c r="P162" i="12" s="1"/>
  <c r="F146" i="12"/>
  <c r="O146" i="12" s="1"/>
  <c r="N146" i="12"/>
  <c r="P146" i="12" s="1"/>
  <c r="F138" i="12"/>
  <c r="O138" i="12" s="1"/>
  <c r="N138" i="12"/>
  <c r="P138" i="12" s="1"/>
  <c r="F118" i="12"/>
  <c r="O118" i="12" s="1"/>
  <c r="N118" i="12"/>
  <c r="P118" i="12" s="1"/>
  <c r="F114" i="12"/>
  <c r="O114" i="12" s="1"/>
  <c r="N114" i="12"/>
  <c r="P114" i="12" s="1"/>
  <c r="F86" i="12"/>
  <c r="O86" i="12" s="1"/>
  <c r="N86" i="12"/>
  <c r="P86" i="12" s="1"/>
  <c r="F82" i="12"/>
  <c r="O82" i="12" s="1"/>
  <c r="N82" i="12"/>
  <c r="P82" i="12" s="1"/>
  <c r="F66" i="12"/>
  <c r="O66" i="12" s="1"/>
  <c r="N66" i="12"/>
  <c r="P66" i="12" s="1"/>
  <c r="F54" i="12"/>
  <c r="O54" i="12" s="1"/>
  <c r="N54" i="12"/>
  <c r="P54" i="12" s="1"/>
  <c r="F50" i="12"/>
  <c r="O50" i="12" s="1"/>
  <c r="N50" i="12"/>
  <c r="P50" i="12" s="1"/>
  <c r="F34" i="12"/>
  <c r="O34" i="12" s="1"/>
  <c r="N34" i="12"/>
  <c r="P34" i="12" s="1"/>
  <c r="F18" i="12"/>
  <c r="O18" i="12" s="1"/>
  <c r="N18" i="12"/>
  <c r="P18" i="12" s="1"/>
  <c r="F2" i="12"/>
  <c r="O2" i="12" s="1"/>
  <c r="N2" i="12"/>
  <c r="P2" i="12" s="1"/>
  <c r="F416" i="12"/>
  <c r="O416" i="12" s="1"/>
  <c r="N416" i="12"/>
  <c r="P416" i="12" s="1"/>
  <c r="F408" i="12"/>
  <c r="O408" i="12" s="1"/>
  <c r="N408" i="12"/>
  <c r="P408" i="12" s="1"/>
  <c r="F388" i="12"/>
  <c r="O388" i="12" s="1"/>
  <c r="N388" i="12"/>
  <c r="P388" i="12" s="1"/>
  <c r="F380" i="12"/>
  <c r="O380" i="12" s="1"/>
  <c r="N380" i="12"/>
  <c r="P380" i="12" s="1"/>
  <c r="F376" i="12"/>
  <c r="O376" i="12" s="1"/>
  <c r="N376" i="12"/>
  <c r="P376" i="12" s="1"/>
  <c r="F352" i="12"/>
  <c r="O352" i="12" s="1"/>
  <c r="N352" i="12"/>
  <c r="P352" i="12" s="1"/>
  <c r="F328" i="12"/>
  <c r="O328" i="12" s="1"/>
  <c r="N328" i="12"/>
  <c r="P328" i="12" s="1"/>
  <c r="F248" i="12"/>
  <c r="O248" i="12" s="1"/>
  <c r="N248" i="12"/>
  <c r="P248" i="12" s="1"/>
  <c r="F216" i="12"/>
  <c r="O216" i="12" s="1"/>
  <c r="N216" i="12"/>
  <c r="P216" i="12" s="1"/>
  <c r="F188" i="12"/>
  <c r="O188" i="12" s="1"/>
  <c r="N188" i="12"/>
  <c r="P188" i="12" s="1"/>
  <c r="F168" i="12"/>
  <c r="O168" i="12" s="1"/>
  <c r="N168" i="12"/>
  <c r="P168" i="12" s="1"/>
  <c r="F160" i="12"/>
  <c r="O160" i="12" s="1"/>
  <c r="N160" i="12"/>
  <c r="P160" i="12" s="1"/>
  <c r="N396" i="12"/>
  <c r="P396" i="12" s="1"/>
  <c r="N340" i="12"/>
  <c r="P340" i="12" s="1"/>
  <c r="N320" i="12"/>
  <c r="P320" i="12" s="1"/>
  <c r="N292" i="12"/>
  <c r="P292" i="12" s="1"/>
  <c r="N140" i="12"/>
  <c r="P140" i="12" s="1"/>
  <c r="F561" i="12"/>
  <c r="O561" i="12" s="1"/>
  <c r="N561" i="12"/>
  <c r="P561" i="12" s="1"/>
  <c r="F553" i="12"/>
  <c r="O553" i="12" s="1"/>
  <c r="N553" i="12"/>
  <c r="P553" i="12" s="1"/>
  <c r="F545" i="12"/>
  <c r="O545" i="12" s="1"/>
  <c r="N545" i="12"/>
  <c r="P545" i="12" s="1"/>
  <c r="F541" i="12"/>
  <c r="O541" i="12" s="1"/>
  <c r="N541" i="12"/>
  <c r="P541" i="12" s="1"/>
  <c r="F533" i="12"/>
  <c r="O533" i="12" s="1"/>
  <c r="N533" i="12"/>
  <c r="P533" i="12" s="1"/>
  <c r="F517" i="12"/>
  <c r="O517" i="12" s="1"/>
  <c r="N517" i="12"/>
  <c r="P517" i="12" s="1"/>
  <c r="F497" i="12"/>
  <c r="O497" i="12" s="1"/>
  <c r="N497" i="12"/>
  <c r="P497" i="12" s="1"/>
  <c r="F461" i="12"/>
  <c r="O461" i="12" s="1"/>
  <c r="N461" i="12"/>
  <c r="P461" i="12" s="1"/>
  <c r="F437" i="12"/>
  <c r="O437" i="12" s="1"/>
  <c r="N437" i="12"/>
  <c r="P437" i="12" s="1"/>
  <c r="F429" i="12"/>
  <c r="O429" i="12" s="1"/>
  <c r="N429" i="12"/>
  <c r="P429" i="12" s="1"/>
  <c r="F413" i="12"/>
  <c r="O413" i="12" s="1"/>
  <c r="N413" i="12"/>
  <c r="P413" i="12" s="1"/>
  <c r="F401" i="12"/>
  <c r="O401" i="12" s="1"/>
  <c r="N401" i="12"/>
  <c r="P401" i="12" s="1"/>
  <c r="F349" i="12"/>
  <c r="O349" i="12" s="1"/>
  <c r="N349" i="12"/>
  <c r="P349" i="12" s="1"/>
  <c r="F345" i="12"/>
  <c r="O345" i="12" s="1"/>
  <c r="N345" i="12"/>
  <c r="P345" i="12" s="1"/>
  <c r="F333" i="12"/>
  <c r="O333" i="12" s="1"/>
  <c r="N333" i="12"/>
  <c r="P333" i="12" s="1"/>
  <c r="F317" i="12"/>
  <c r="O317" i="12" s="1"/>
  <c r="N317" i="12"/>
  <c r="P317" i="12" s="1"/>
  <c r="F309" i="12"/>
  <c r="O309" i="12" s="1"/>
  <c r="N309" i="12"/>
  <c r="P309" i="12" s="1"/>
  <c r="F281" i="12"/>
  <c r="O281" i="12" s="1"/>
  <c r="N281" i="12"/>
  <c r="P281" i="12" s="1"/>
  <c r="F273" i="12"/>
  <c r="O273" i="12" s="1"/>
  <c r="N273" i="12"/>
  <c r="P273" i="12" s="1"/>
  <c r="F269" i="12"/>
  <c r="O269" i="12" s="1"/>
  <c r="N269" i="12"/>
  <c r="P269" i="12" s="1"/>
  <c r="F237" i="12"/>
  <c r="O237" i="12" s="1"/>
  <c r="N237" i="12"/>
  <c r="P237" i="12" s="1"/>
  <c r="F217" i="12"/>
  <c r="O217" i="12" s="1"/>
  <c r="N217" i="12"/>
  <c r="P217" i="12" s="1"/>
  <c r="F209" i="12"/>
  <c r="O209" i="12" s="1"/>
  <c r="N209" i="12"/>
  <c r="P209" i="12" s="1"/>
  <c r="F189" i="12"/>
  <c r="O189" i="12" s="1"/>
  <c r="N189" i="12"/>
  <c r="P189" i="12" s="1"/>
  <c r="F181" i="12"/>
  <c r="O181" i="12" s="1"/>
  <c r="N181" i="12"/>
  <c r="P181" i="12" s="1"/>
  <c r="F173" i="12"/>
  <c r="O173" i="12" s="1"/>
  <c r="N173" i="12"/>
  <c r="P173" i="12" s="1"/>
  <c r="F157" i="12"/>
  <c r="O157" i="12" s="1"/>
  <c r="N157" i="12"/>
  <c r="P157" i="12" s="1"/>
  <c r="F141" i="12"/>
  <c r="O141" i="12" s="1"/>
  <c r="N141" i="12"/>
  <c r="P141" i="12" s="1"/>
  <c r="F93" i="12"/>
  <c r="O93" i="12" s="1"/>
  <c r="N93" i="12"/>
  <c r="P93" i="12" s="1"/>
  <c r="F73" i="12"/>
  <c r="O73" i="12" s="1"/>
  <c r="N73" i="12"/>
  <c r="P73" i="12" s="1"/>
  <c r="F45" i="12"/>
  <c r="O45" i="12" s="1"/>
  <c r="N45" i="12"/>
  <c r="P45" i="12" s="1"/>
  <c r="F41" i="12"/>
  <c r="O41" i="12" s="1"/>
  <c r="N41" i="12"/>
  <c r="P41" i="12" s="1"/>
  <c r="F29" i="12"/>
  <c r="O29" i="12" s="1"/>
  <c r="N29" i="12"/>
  <c r="P29" i="12" s="1"/>
  <c r="J34" i="4"/>
  <c r="J44" i="4"/>
  <c r="J11" i="4"/>
  <c r="F579" i="12"/>
  <c r="O579" i="12" s="1"/>
  <c r="F571" i="12"/>
  <c r="O571" i="12" s="1"/>
  <c r="F563" i="12"/>
  <c r="O563" i="12" s="1"/>
  <c r="F539" i="12"/>
  <c r="O539" i="12" s="1"/>
  <c r="F523" i="12"/>
  <c r="O523" i="12" s="1"/>
  <c r="F507" i="12"/>
  <c r="O507" i="12" s="1"/>
  <c r="F499" i="12"/>
  <c r="O499" i="12" s="1"/>
  <c r="F227" i="12"/>
  <c r="O227" i="12" s="1"/>
  <c r="F120" i="12"/>
  <c r="O120" i="12" s="1"/>
  <c r="F108" i="12"/>
  <c r="O108" i="12" s="1"/>
  <c r="F88" i="12"/>
  <c r="O88" i="12" s="1"/>
  <c r="F84" i="12"/>
  <c r="O84" i="12" s="1"/>
  <c r="F68" i="12"/>
  <c r="O68" i="12" s="1"/>
  <c r="F56" i="12"/>
  <c r="O56" i="12" s="1"/>
  <c r="F52" i="12"/>
  <c r="O52" i="12" s="1"/>
  <c r="F44" i="12"/>
  <c r="O44" i="12" s="1"/>
  <c r="F40" i="12"/>
  <c r="O40" i="12" s="1"/>
  <c r="AA35" i="3"/>
  <c r="AA40" i="3"/>
  <c r="AA11" i="3"/>
  <c r="AA8" i="3"/>
  <c r="AA32" i="3"/>
  <c r="Y34" i="3"/>
  <c r="J12" i="4" s="1"/>
  <c r="AA19" i="3"/>
  <c r="AA16" i="3"/>
  <c r="AA27" i="3"/>
  <c r="AA24" i="3"/>
  <c r="Y6" i="3"/>
  <c r="J40" i="4" s="1"/>
  <c r="AA39" i="3"/>
  <c r="AA34" i="3"/>
  <c r="AA31" i="3"/>
  <c r="AA26" i="3"/>
  <c r="AA23" i="3"/>
  <c r="AA18" i="3"/>
  <c r="AA15" i="3"/>
  <c r="AA10" i="3"/>
  <c r="AA7" i="3"/>
  <c r="AA2" i="3"/>
  <c r="AA41" i="3"/>
  <c r="AA25" i="3"/>
  <c r="AA9" i="3"/>
  <c r="Y40" i="3"/>
  <c r="J33" i="4" s="1"/>
  <c r="AA38" i="3"/>
  <c r="AA30" i="3"/>
  <c r="AA22" i="3"/>
  <c r="AA14" i="3"/>
  <c r="AA6" i="3"/>
  <c r="AA36" i="3"/>
  <c r="AA28" i="3"/>
  <c r="AA20" i="3"/>
  <c r="AA12" i="3"/>
  <c r="AA4" i="3"/>
  <c r="N579" i="12"/>
  <c r="P579" i="12" s="1"/>
  <c r="N547" i="12"/>
  <c r="P547" i="12" s="1"/>
  <c r="N515" i="12"/>
  <c r="P515" i="12" s="1"/>
  <c r="F575" i="12"/>
  <c r="O575" i="12" s="1"/>
  <c r="N575" i="12"/>
  <c r="P575" i="12" s="1"/>
  <c r="F567" i="12"/>
  <c r="O567" i="12" s="1"/>
  <c r="N567" i="12"/>
  <c r="P567" i="12" s="1"/>
  <c r="F559" i="12"/>
  <c r="O559" i="12" s="1"/>
  <c r="N559" i="12"/>
  <c r="P559" i="12" s="1"/>
  <c r="F551" i="12"/>
  <c r="O551" i="12" s="1"/>
  <c r="N551" i="12"/>
  <c r="P551" i="12" s="1"/>
  <c r="F543" i="12"/>
  <c r="O543" i="12" s="1"/>
  <c r="N543" i="12"/>
  <c r="P543" i="12" s="1"/>
  <c r="F535" i="12"/>
  <c r="O535" i="12" s="1"/>
  <c r="N535" i="12"/>
  <c r="P535" i="12" s="1"/>
  <c r="F527" i="12"/>
  <c r="O527" i="12" s="1"/>
  <c r="N527" i="12"/>
  <c r="P527" i="12" s="1"/>
  <c r="F519" i="12"/>
  <c r="O519" i="12" s="1"/>
  <c r="N519" i="12"/>
  <c r="P519" i="12" s="1"/>
  <c r="F511" i="12"/>
  <c r="O511" i="12" s="1"/>
  <c r="N511" i="12"/>
  <c r="P511" i="12" s="1"/>
  <c r="F503" i="12"/>
  <c r="O503" i="12" s="1"/>
  <c r="N503" i="12"/>
  <c r="P503" i="12" s="1"/>
  <c r="F495" i="12"/>
  <c r="O495" i="12" s="1"/>
  <c r="N495" i="12"/>
  <c r="P495" i="12" s="1"/>
  <c r="F487" i="12"/>
  <c r="O487" i="12" s="1"/>
  <c r="N487" i="12"/>
  <c r="P487" i="12" s="1"/>
  <c r="F483" i="12"/>
  <c r="O483" i="12" s="1"/>
  <c r="N483" i="12"/>
  <c r="P483" i="12" s="1"/>
  <c r="F479" i="12"/>
  <c r="O479" i="12" s="1"/>
  <c r="N479" i="12"/>
  <c r="P479" i="12" s="1"/>
  <c r="F475" i="12"/>
  <c r="O475" i="12" s="1"/>
  <c r="N475" i="12"/>
  <c r="P475" i="12" s="1"/>
  <c r="F471" i="12"/>
  <c r="O471" i="12" s="1"/>
  <c r="N471" i="12"/>
  <c r="P471" i="12" s="1"/>
  <c r="F467" i="12"/>
  <c r="O467" i="12" s="1"/>
  <c r="N467" i="12"/>
  <c r="P467" i="12" s="1"/>
  <c r="F463" i="12"/>
  <c r="O463" i="12" s="1"/>
  <c r="N463" i="12"/>
  <c r="P463" i="12" s="1"/>
  <c r="F459" i="12"/>
  <c r="O459" i="12" s="1"/>
  <c r="N459" i="12"/>
  <c r="P459" i="12" s="1"/>
  <c r="F455" i="12"/>
  <c r="O455" i="12" s="1"/>
  <c r="N455" i="12"/>
  <c r="P455" i="12" s="1"/>
  <c r="F451" i="12"/>
  <c r="O451" i="12" s="1"/>
  <c r="N451" i="12"/>
  <c r="P451" i="12" s="1"/>
  <c r="F447" i="12"/>
  <c r="O447" i="12" s="1"/>
  <c r="N447" i="12"/>
  <c r="P447" i="12" s="1"/>
  <c r="F443" i="12"/>
  <c r="O443" i="12" s="1"/>
  <c r="N443" i="12"/>
  <c r="P443" i="12" s="1"/>
  <c r="F439" i="12"/>
  <c r="O439" i="12" s="1"/>
  <c r="N439" i="12"/>
  <c r="P439" i="12" s="1"/>
  <c r="F435" i="12"/>
  <c r="O435" i="12" s="1"/>
  <c r="N435" i="12"/>
  <c r="P435" i="12" s="1"/>
  <c r="F431" i="12"/>
  <c r="O431" i="12" s="1"/>
  <c r="N431" i="12"/>
  <c r="P431" i="12" s="1"/>
  <c r="F427" i="12"/>
  <c r="O427" i="12" s="1"/>
  <c r="N427" i="12"/>
  <c r="P427" i="12" s="1"/>
  <c r="F423" i="12"/>
  <c r="O423" i="12" s="1"/>
  <c r="N423" i="12"/>
  <c r="P423" i="12" s="1"/>
  <c r="F419" i="12"/>
  <c r="O419" i="12" s="1"/>
  <c r="N419" i="12"/>
  <c r="P419" i="12" s="1"/>
  <c r="F415" i="12"/>
  <c r="O415" i="12" s="1"/>
  <c r="N415" i="12"/>
  <c r="P415" i="12" s="1"/>
  <c r="F411" i="12"/>
  <c r="O411" i="12" s="1"/>
  <c r="N411" i="12"/>
  <c r="P411" i="12" s="1"/>
  <c r="F407" i="12"/>
  <c r="O407" i="12" s="1"/>
  <c r="N407" i="12"/>
  <c r="P407" i="12" s="1"/>
  <c r="F403" i="12"/>
  <c r="O403" i="12" s="1"/>
  <c r="N403" i="12"/>
  <c r="P403" i="12" s="1"/>
  <c r="F399" i="12"/>
  <c r="O399" i="12" s="1"/>
  <c r="N399" i="12"/>
  <c r="P399" i="12" s="1"/>
  <c r="F395" i="12"/>
  <c r="O395" i="12" s="1"/>
  <c r="N395" i="12"/>
  <c r="P395" i="12" s="1"/>
  <c r="F391" i="12"/>
  <c r="O391" i="12" s="1"/>
  <c r="N391" i="12"/>
  <c r="P391" i="12" s="1"/>
  <c r="F387" i="12"/>
  <c r="O387" i="12" s="1"/>
  <c r="N387" i="12"/>
  <c r="P387" i="12" s="1"/>
  <c r="F383" i="12"/>
  <c r="O383" i="12" s="1"/>
  <c r="N383" i="12"/>
  <c r="P383" i="12" s="1"/>
  <c r="F379" i="12"/>
  <c r="O379" i="12" s="1"/>
  <c r="N379" i="12"/>
  <c r="P379" i="12" s="1"/>
  <c r="F375" i="12"/>
  <c r="O375" i="12" s="1"/>
  <c r="N375" i="12"/>
  <c r="P375" i="12" s="1"/>
  <c r="F371" i="12"/>
  <c r="O371" i="12" s="1"/>
  <c r="N371" i="12"/>
  <c r="P371" i="12" s="1"/>
  <c r="F367" i="12"/>
  <c r="O367" i="12" s="1"/>
  <c r="N367" i="12"/>
  <c r="P367" i="12" s="1"/>
  <c r="F363" i="12"/>
  <c r="O363" i="12" s="1"/>
  <c r="N363" i="12"/>
  <c r="P363" i="12" s="1"/>
  <c r="F359" i="12"/>
  <c r="O359" i="12" s="1"/>
  <c r="N359" i="12"/>
  <c r="P359" i="12" s="1"/>
  <c r="F355" i="12"/>
  <c r="O355" i="12" s="1"/>
  <c r="N355" i="12"/>
  <c r="P355" i="12" s="1"/>
  <c r="F351" i="12"/>
  <c r="O351" i="12" s="1"/>
  <c r="N351" i="12"/>
  <c r="P351" i="12" s="1"/>
  <c r="F347" i="12"/>
  <c r="O347" i="12" s="1"/>
  <c r="N347" i="12"/>
  <c r="P347" i="12" s="1"/>
  <c r="F343" i="12"/>
  <c r="O343" i="12" s="1"/>
  <c r="N343" i="12"/>
  <c r="P343" i="12" s="1"/>
  <c r="F339" i="12"/>
  <c r="O339" i="12" s="1"/>
  <c r="N339" i="12"/>
  <c r="P339" i="12" s="1"/>
  <c r="F335" i="12"/>
  <c r="O335" i="12" s="1"/>
  <c r="N335" i="12"/>
  <c r="P335" i="12" s="1"/>
  <c r="F331" i="12"/>
  <c r="O331" i="12" s="1"/>
  <c r="N331" i="12"/>
  <c r="P331" i="12" s="1"/>
  <c r="F327" i="12"/>
  <c r="O327" i="12" s="1"/>
  <c r="N327" i="12"/>
  <c r="P327" i="12" s="1"/>
  <c r="F323" i="12"/>
  <c r="O323" i="12" s="1"/>
  <c r="N323" i="12"/>
  <c r="P323" i="12" s="1"/>
  <c r="F319" i="12"/>
  <c r="O319" i="12" s="1"/>
  <c r="N319" i="12"/>
  <c r="P319" i="12" s="1"/>
  <c r="F315" i="12"/>
  <c r="O315" i="12" s="1"/>
  <c r="N315" i="12"/>
  <c r="P315" i="12" s="1"/>
  <c r="F311" i="12"/>
  <c r="O311" i="12" s="1"/>
  <c r="N311" i="12"/>
  <c r="P311" i="12" s="1"/>
  <c r="F307" i="12"/>
  <c r="O307" i="12" s="1"/>
  <c r="N307" i="12"/>
  <c r="P307" i="12" s="1"/>
  <c r="F303" i="12"/>
  <c r="O303" i="12" s="1"/>
  <c r="N303" i="12"/>
  <c r="P303" i="12" s="1"/>
  <c r="F299" i="12"/>
  <c r="O299" i="12" s="1"/>
  <c r="N299" i="12"/>
  <c r="P299" i="12" s="1"/>
  <c r="F295" i="12"/>
  <c r="O295" i="12" s="1"/>
  <c r="N295" i="12"/>
  <c r="P295" i="12" s="1"/>
  <c r="F291" i="12"/>
  <c r="O291" i="12" s="1"/>
  <c r="N291" i="12"/>
  <c r="P291" i="12" s="1"/>
  <c r="F287" i="12"/>
  <c r="O287" i="12" s="1"/>
  <c r="N287" i="12"/>
  <c r="P287" i="12" s="1"/>
  <c r="F283" i="12"/>
  <c r="O283" i="12" s="1"/>
  <c r="N283" i="12"/>
  <c r="P283" i="12" s="1"/>
  <c r="F279" i="12"/>
  <c r="O279" i="12" s="1"/>
  <c r="N279" i="12"/>
  <c r="P279" i="12" s="1"/>
  <c r="F275" i="12"/>
  <c r="O275" i="12" s="1"/>
  <c r="N275" i="12"/>
  <c r="P275" i="12" s="1"/>
  <c r="F271" i="12"/>
  <c r="O271" i="12" s="1"/>
  <c r="N271" i="12"/>
  <c r="P271" i="12" s="1"/>
  <c r="F267" i="12"/>
  <c r="O267" i="12" s="1"/>
  <c r="N267" i="12"/>
  <c r="P267" i="12" s="1"/>
  <c r="F263" i="12"/>
  <c r="O263" i="12" s="1"/>
  <c r="N263" i="12"/>
  <c r="P263" i="12" s="1"/>
  <c r="F259" i="12"/>
  <c r="O259" i="12" s="1"/>
  <c r="N259" i="12"/>
  <c r="P259" i="12" s="1"/>
  <c r="F255" i="12"/>
  <c r="O255" i="12" s="1"/>
  <c r="N255" i="12"/>
  <c r="P255" i="12" s="1"/>
  <c r="F251" i="12"/>
  <c r="O251" i="12" s="1"/>
  <c r="N251" i="12"/>
  <c r="P251" i="12" s="1"/>
  <c r="F247" i="12"/>
  <c r="O247" i="12" s="1"/>
  <c r="N247" i="12"/>
  <c r="P247" i="12" s="1"/>
  <c r="F243" i="12"/>
  <c r="O243" i="12" s="1"/>
  <c r="N243" i="12"/>
  <c r="P243" i="12" s="1"/>
  <c r="F239" i="12"/>
  <c r="O239" i="12" s="1"/>
  <c r="N239" i="12"/>
  <c r="P239" i="12" s="1"/>
  <c r="N563" i="12"/>
  <c r="P563" i="12" s="1"/>
  <c r="N531" i="12"/>
  <c r="P531" i="12" s="1"/>
  <c r="N499" i="12"/>
  <c r="P499" i="12" s="1"/>
  <c r="N235" i="12"/>
  <c r="P235" i="12" s="1"/>
  <c r="N231" i="12"/>
  <c r="P231" i="12" s="1"/>
  <c r="N227" i="12"/>
  <c r="P227" i="12" s="1"/>
  <c r="F223" i="12"/>
  <c r="O223" i="12" s="1"/>
  <c r="N223" i="12"/>
  <c r="P223" i="12" s="1"/>
  <c r="F215" i="12"/>
  <c r="O215" i="12" s="1"/>
  <c r="N215" i="12"/>
  <c r="P215" i="12" s="1"/>
  <c r="F211" i="12"/>
  <c r="O211" i="12" s="1"/>
  <c r="N211" i="12"/>
  <c r="P211" i="12" s="1"/>
  <c r="F199" i="12"/>
  <c r="O199" i="12" s="1"/>
  <c r="N199" i="12"/>
  <c r="P199" i="12" s="1"/>
  <c r="F195" i="12"/>
  <c r="O195" i="12" s="1"/>
  <c r="N195" i="12"/>
  <c r="P195" i="12" s="1"/>
  <c r="F187" i="12"/>
  <c r="O187" i="12" s="1"/>
  <c r="N187" i="12"/>
  <c r="P187" i="12" s="1"/>
  <c r="F179" i="12"/>
  <c r="O179" i="12" s="1"/>
  <c r="N179" i="12"/>
  <c r="P179" i="12" s="1"/>
  <c r="F171" i="12"/>
  <c r="O171" i="12" s="1"/>
  <c r="N171" i="12"/>
  <c r="P171" i="12" s="1"/>
  <c r="F167" i="12"/>
  <c r="O167" i="12" s="1"/>
  <c r="N167" i="12"/>
  <c r="P167" i="12" s="1"/>
  <c r="F155" i="12"/>
  <c r="O155" i="12" s="1"/>
  <c r="N155" i="12"/>
  <c r="P155" i="12" s="1"/>
  <c r="F147" i="12"/>
  <c r="O147" i="12" s="1"/>
  <c r="N147" i="12"/>
  <c r="P147" i="12" s="1"/>
  <c r="F139" i="12"/>
  <c r="O139" i="12" s="1"/>
  <c r="N139" i="12"/>
  <c r="P139" i="12" s="1"/>
  <c r="F131" i="12"/>
  <c r="O131" i="12" s="1"/>
  <c r="N131" i="12"/>
  <c r="P131" i="12" s="1"/>
  <c r="F127" i="12"/>
  <c r="O127" i="12" s="1"/>
  <c r="N127" i="12"/>
  <c r="P127" i="12" s="1"/>
  <c r="F119" i="12"/>
  <c r="O119" i="12" s="1"/>
  <c r="N119" i="12"/>
  <c r="P119" i="12" s="1"/>
  <c r="F111" i="12"/>
  <c r="O111" i="12" s="1"/>
  <c r="N111" i="12"/>
  <c r="P111" i="12" s="1"/>
  <c r="F103" i="12"/>
  <c r="O103" i="12" s="1"/>
  <c r="N103" i="12"/>
  <c r="P103" i="12" s="1"/>
  <c r="F95" i="12"/>
  <c r="O95" i="12" s="1"/>
  <c r="N95" i="12"/>
  <c r="P95" i="12" s="1"/>
  <c r="F87" i="12"/>
  <c r="O87" i="12" s="1"/>
  <c r="N87" i="12"/>
  <c r="P87" i="12" s="1"/>
  <c r="F79" i="12"/>
  <c r="O79" i="12" s="1"/>
  <c r="N79" i="12"/>
  <c r="P79" i="12" s="1"/>
  <c r="F71" i="12"/>
  <c r="O71" i="12" s="1"/>
  <c r="N71" i="12"/>
  <c r="P71" i="12" s="1"/>
  <c r="F59" i="12"/>
  <c r="O59" i="12" s="1"/>
  <c r="N59" i="12"/>
  <c r="P59" i="12" s="1"/>
  <c r="F55" i="12"/>
  <c r="O55" i="12" s="1"/>
  <c r="N55" i="12"/>
  <c r="P55" i="12" s="1"/>
  <c r="F47" i="12"/>
  <c r="O47" i="12" s="1"/>
  <c r="N47" i="12"/>
  <c r="P47" i="12" s="1"/>
  <c r="F35" i="12"/>
  <c r="O35" i="12" s="1"/>
  <c r="N35" i="12"/>
  <c r="P35" i="12" s="1"/>
  <c r="F27" i="12"/>
  <c r="O27" i="12" s="1"/>
  <c r="N27" i="12"/>
  <c r="P27" i="12" s="1"/>
  <c r="F19" i="12"/>
  <c r="O19" i="12" s="1"/>
  <c r="N19" i="12"/>
  <c r="P19" i="12" s="1"/>
  <c r="F15" i="12"/>
  <c r="O15" i="12" s="1"/>
  <c r="N15" i="12"/>
  <c r="P15" i="12" s="1"/>
  <c r="F7" i="12"/>
  <c r="O7" i="12" s="1"/>
  <c r="N7" i="12"/>
  <c r="P7" i="12" s="1"/>
  <c r="AA37" i="3"/>
  <c r="AA29" i="3"/>
  <c r="AA5" i="3"/>
  <c r="F219" i="12"/>
  <c r="O219" i="12" s="1"/>
  <c r="N219" i="12"/>
  <c r="P219" i="12" s="1"/>
  <c r="F207" i="12"/>
  <c r="O207" i="12" s="1"/>
  <c r="N207" i="12"/>
  <c r="P207" i="12" s="1"/>
  <c r="F203" i="12"/>
  <c r="O203" i="12" s="1"/>
  <c r="N203" i="12"/>
  <c r="P203" i="12" s="1"/>
  <c r="F191" i="12"/>
  <c r="O191" i="12" s="1"/>
  <c r="N191" i="12"/>
  <c r="P191" i="12" s="1"/>
  <c r="F183" i="12"/>
  <c r="O183" i="12" s="1"/>
  <c r="N183" i="12"/>
  <c r="P183" i="12" s="1"/>
  <c r="F175" i="12"/>
  <c r="O175" i="12" s="1"/>
  <c r="N175" i="12"/>
  <c r="P175" i="12" s="1"/>
  <c r="F163" i="12"/>
  <c r="O163" i="12" s="1"/>
  <c r="N163" i="12"/>
  <c r="P163" i="12" s="1"/>
  <c r="F159" i="12"/>
  <c r="O159" i="12" s="1"/>
  <c r="N159" i="12"/>
  <c r="P159" i="12" s="1"/>
  <c r="F151" i="12"/>
  <c r="O151" i="12" s="1"/>
  <c r="N151" i="12"/>
  <c r="P151" i="12" s="1"/>
  <c r="F143" i="12"/>
  <c r="O143" i="12" s="1"/>
  <c r="N143" i="12"/>
  <c r="P143" i="12" s="1"/>
  <c r="F135" i="12"/>
  <c r="O135" i="12" s="1"/>
  <c r="N135" i="12"/>
  <c r="P135" i="12" s="1"/>
  <c r="F123" i="12"/>
  <c r="O123" i="12" s="1"/>
  <c r="N123" i="12"/>
  <c r="P123" i="12" s="1"/>
  <c r="F115" i="12"/>
  <c r="O115" i="12" s="1"/>
  <c r="N115" i="12"/>
  <c r="P115" i="12" s="1"/>
  <c r="F107" i="12"/>
  <c r="O107" i="12" s="1"/>
  <c r="N107" i="12"/>
  <c r="P107" i="12" s="1"/>
  <c r="F99" i="12"/>
  <c r="O99" i="12" s="1"/>
  <c r="N99" i="12"/>
  <c r="P99" i="12" s="1"/>
  <c r="F91" i="12"/>
  <c r="O91" i="12" s="1"/>
  <c r="N91" i="12"/>
  <c r="P91" i="12" s="1"/>
  <c r="F83" i="12"/>
  <c r="O83" i="12" s="1"/>
  <c r="N83" i="12"/>
  <c r="P83" i="12" s="1"/>
  <c r="F75" i="12"/>
  <c r="O75" i="12" s="1"/>
  <c r="N75" i="12"/>
  <c r="P75" i="12" s="1"/>
  <c r="F67" i="12"/>
  <c r="O67" i="12" s="1"/>
  <c r="N67" i="12"/>
  <c r="P67" i="12" s="1"/>
  <c r="F63" i="12"/>
  <c r="O63" i="12" s="1"/>
  <c r="N63" i="12"/>
  <c r="P63" i="12" s="1"/>
  <c r="F51" i="12"/>
  <c r="O51" i="12" s="1"/>
  <c r="N51" i="12"/>
  <c r="P51" i="12" s="1"/>
  <c r="F43" i="12"/>
  <c r="O43" i="12" s="1"/>
  <c r="N43" i="12"/>
  <c r="P43" i="12" s="1"/>
  <c r="F39" i="12"/>
  <c r="O39" i="12" s="1"/>
  <c r="N39" i="12"/>
  <c r="P39" i="12" s="1"/>
  <c r="F31" i="12"/>
  <c r="O31" i="12" s="1"/>
  <c r="N31" i="12"/>
  <c r="P31" i="12" s="1"/>
  <c r="F23" i="12"/>
  <c r="O23" i="12" s="1"/>
  <c r="N23" i="12"/>
  <c r="P23" i="12" s="1"/>
  <c r="F11" i="12"/>
  <c r="O11" i="12" s="1"/>
  <c r="N11" i="12"/>
  <c r="P11" i="12" s="1"/>
  <c r="F3" i="12"/>
  <c r="O3" i="12" s="1"/>
  <c r="N3" i="12"/>
  <c r="P3" i="12" s="1"/>
  <c r="AA21" i="3"/>
  <c r="AA13" i="3"/>
  <c r="F574" i="12"/>
  <c r="O574" i="12" s="1"/>
  <c r="F570" i="12"/>
  <c r="O570" i="12" s="1"/>
  <c r="F562" i="12"/>
  <c r="O562" i="12" s="1"/>
  <c r="F554" i="12"/>
  <c r="O554" i="12" s="1"/>
  <c r="F546" i="12"/>
  <c r="O546" i="12" s="1"/>
  <c r="F518" i="12"/>
  <c r="O518" i="12" s="1"/>
  <c r="F454" i="12"/>
  <c r="O454" i="12" s="1"/>
  <c r="F382" i="12"/>
  <c r="O382" i="12" s="1"/>
  <c r="F338" i="12"/>
  <c r="O338" i="12" s="1"/>
  <c r="F326" i="12"/>
  <c r="O326" i="12" s="1"/>
  <c r="F266" i="12"/>
  <c r="O266" i="12" s="1"/>
  <c r="F258" i="12"/>
  <c r="O258" i="12" s="1"/>
  <c r="F214" i="12"/>
  <c r="O214" i="12" s="1"/>
  <c r="F210" i="12"/>
  <c r="O210" i="12" s="1"/>
  <c r="F130" i="12"/>
  <c r="O130" i="12" s="1"/>
  <c r="F126" i="12"/>
  <c r="O126" i="12" s="1"/>
  <c r="F98" i="12"/>
  <c r="O98" i="12" s="1"/>
  <c r="F94" i="12"/>
  <c r="O94" i="12" s="1"/>
  <c r="F22" i="12"/>
  <c r="O22" i="12" s="1"/>
  <c r="F6" i="12"/>
  <c r="O6" i="12" s="1"/>
  <c r="F577" i="12"/>
  <c r="O577" i="12" s="1"/>
  <c r="F573" i="12"/>
  <c r="O573" i="12" s="1"/>
  <c r="F537" i="12"/>
  <c r="O537" i="12" s="1"/>
  <c r="F529" i="12"/>
  <c r="O529" i="12" s="1"/>
  <c r="F521" i="12"/>
  <c r="O521" i="12" s="1"/>
  <c r="F513" i="12"/>
  <c r="O513" i="12" s="1"/>
  <c r="F509" i="12"/>
  <c r="O509" i="12" s="1"/>
  <c r="F489" i="12"/>
  <c r="O489" i="12" s="1"/>
  <c r="F477" i="12"/>
  <c r="O477" i="12" s="1"/>
  <c r="F473" i="12"/>
  <c r="O473" i="12" s="1"/>
  <c r="F465" i="12"/>
  <c r="O465" i="12" s="1"/>
  <c r="F445" i="12"/>
  <c r="O445" i="12" s="1"/>
  <c r="F568" i="12"/>
  <c r="O568" i="12" s="1"/>
  <c r="F564" i="12"/>
  <c r="O564" i="12" s="1"/>
  <c r="F556" i="12"/>
  <c r="O556" i="12" s="1"/>
  <c r="F548" i="12"/>
  <c r="O548" i="12" s="1"/>
  <c r="F540" i="12"/>
  <c r="O540" i="12" s="1"/>
  <c r="F536" i="12"/>
  <c r="O536" i="12" s="1"/>
  <c r="F532" i="12"/>
  <c r="O532" i="12" s="1"/>
  <c r="F528" i="12"/>
  <c r="O528" i="12" s="1"/>
  <c r="F508" i="12"/>
  <c r="O508" i="12" s="1"/>
  <c r="F504" i="12"/>
  <c r="O504" i="12" s="1"/>
  <c r="F500" i="12"/>
  <c r="O500" i="12" s="1"/>
  <c r="F496" i="12"/>
  <c r="O496" i="12" s="1"/>
  <c r="F492" i="12"/>
  <c r="O492" i="12" s="1"/>
  <c r="F488" i="12"/>
  <c r="O488" i="12" s="1"/>
  <c r="F441" i="12"/>
  <c r="O441" i="12" s="1"/>
  <c r="F417" i="12"/>
  <c r="O417" i="12" s="1"/>
  <c r="F409" i="12"/>
  <c r="O409" i="12" s="1"/>
  <c r="F405" i="12"/>
  <c r="O405" i="12" s="1"/>
  <c r="F397" i="12"/>
  <c r="O397" i="12" s="1"/>
  <c r="F393" i="12"/>
  <c r="O393" i="12" s="1"/>
  <c r="F389" i="12"/>
  <c r="O389" i="12" s="1"/>
  <c r="F385" i="12"/>
  <c r="O385" i="12" s="1"/>
  <c r="F381" i="12"/>
  <c r="O381" i="12" s="1"/>
  <c r="F373" i="12"/>
  <c r="O373" i="12" s="1"/>
  <c r="F369" i="12"/>
  <c r="O369" i="12" s="1"/>
  <c r="F365" i="12"/>
  <c r="O365" i="12" s="1"/>
  <c r="F361" i="12"/>
  <c r="O361" i="12" s="1"/>
  <c r="F357" i="12"/>
  <c r="O357" i="12" s="1"/>
  <c r="F353" i="12"/>
  <c r="O353" i="12" s="1"/>
  <c r="F337" i="12"/>
  <c r="O337" i="12" s="1"/>
  <c r="F325" i="12"/>
  <c r="O325" i="12" s="1"/>
  <c r="F321" i="12"/>
  <c r="O321" i="12" s="1"/>
  <c r="F313" i="12"/>
  <c r="O313" i="12" s="1"/>
  <c r="F301" i="12"/>
  <c r="O301" i="12" s="1"/>
  <c r="F293" i="12"/>
  <c r="O293" i="12" s="1"/>
  <c r="F285" i="12"/>
  <c r="O285" i="12" s="1"/>
  <c r="F265" i="12"/>
  <c r="O265" i="12" s="1"/>
  <c r="F253" i="12"/>
  <c r="O253" i="12" s="1"/>
  <c r="F249" i="12"/>
  <c r="O249" i="12" s="1"/>
  <c r="F245" i="12"/>
  <c r="O245" i="12" s="1"/>
  <c r="F241" i="12"/>
  <c r="O241" i="12" s="1"/>
  <c r="F229" i="12"/>
  <c r="O229" i="12" s="1"/>
  <c r="F221" i="12"/>
  <c r="O221" i="12" s="1"/>
  <c r="F213" i="12"/>
  <c r="O213" i="12" s="1"/>
  <c r="F205" i="12"/>
  <c r="O205" i="12" s="1"/>
  <c r="F201" i="12"/>
  <c r="O201" i="12" s="1"/>
  <c r="F197" i="12"/>
  <c r="O197" i="12" s="1"/>
  <c r="F169" i="12"/>
  <c r="O169" i="12" s="1"/>
  <c r="F165" i="12"/>
  <c r="O165" i="12" s="1"/>
  <c r="F153" i="12"/>
  <c r="O153" i="12" s="1"/>
  <c r="F149" i="12"/>
  <c r="O149" i="12" s="1"/>
  <c r="F145" i="12"/>
  <c r="O145" i="12" s="1"/>
  <c r="F137" i="12"/>
  <c r="O137" i="12" s="1"/>
  <c r="F125" i="12"/>
  <c r="O125" i="12" s="1"/>
  <c r="F117" i="12"/>
  <c r="O117" i="12" s="1"/>
  <c r="F109" i="12"/>
  <c r="O109" i="12" s="1"/>
  <c r="F105" i="12"/>
  <c r="O105" i="12" s="1"/>
  <c r="F101" i="12"/>
  <c r="O101" i="12" s="1"/>
  <c r="F81" i="12"/>
  <c r="O81" i="12" s="1"/>
  <c r="F77" i="12"/>
  <c r="O77" i="12" s="1"/>
  <c r="F69" i="12"/>
  <c r="O69" i="12" s="1"/>
  <c r="F61" i="12"/>
  <c r="O61" i="12" s="1"/>
  <c r="F57" i="12"/>
  <c r="O57" i="12" s="1"/>
  <c r="F53" i="12"/>
  <c r="O53" i="12" s="1"/>
  <c r="F37" i="12"/>
  <c r="O37" i="12" s="1"/>
  <c r="F25" i="12"/>
  <c r="O25" i="12" s="1"/>
  <c r="F17" i="12"/>
  <c r="O17" i="12" s="1"/>
  <c r="F13" i="12"/>
  <c r="O13" i="12" s="1"/>
  <c r="F9" i="12"/>
  <c r="O9" i="12" s="1"/>
  <c r="F480" i="12"/>
  <c r="O480" i="12" s="1"/>
  <c r="F472" i="12"/>
  <c r="O472" i="12" s="1"/>
  <c r="F468" i="12"/>
  <c r="O468" i="12" s="1"/>
  <c r="F464" i="12"/>
  <c r="O464" i="12" s="1"/>
  <c r="F460" i="12"/>
  <c r="O460" i="12" s="1"/>
  <c r="F440" i="12"/>
  <c r="O440" i="12" s="1"/>
  <c r="F432" i="12"/>
  <c r="O432" i="12" s="1"/>
  <c r="F428" i="12"/>
  <c r="O428" i="12" s="1"/>
  <c r="F424" i="12"/>
  <c r="O424" i="12" s="1"/>
  <c r="F420" i="12"/>
  <c r="O420" i="12" s="1"/>
  <c r="F412" i="12"/>
  <c r="O412" i="12" s="1"/>
  <c r="F404" i="12"/>
  <c r="O404" i="12" s="1"/>
  <c r="F392" i="12"/>
  <c r="O392" i="12" s="1"/>
  <c r="F372" i="12"/>
  <c r="O372" i="12" s="1"/>
  <c r="F368" i="12"/>
  <c r="O368" i="12" s="1"/>
  <c r="F360" i="12"/>
  <c r="O360" i="12" s="1"/>
  <c r="F356" i="12"/>
  <c r="O356" i="12" s="1"/>
  <c r="F348" i="12"/>
  <c r="O348" i="12" s="1"/>
  <c r="F344" i="12"/>
  <c r="O344" i="12" s="1"/>
  <c r="F332" i="12"/>
  <c r="O332" i="12" s="1"/>
  <c r="F316" i="12"/>
  <c r="O316" i="12" s="1"/>
  <c r="F312" i="12"/>
  <c r="O312" i="12" s="1"/>
  <c r="F300" i="12"/>
  <c r="O300" i="12" s="1"/>
  <c r="F296" i="12"/>
  <c r="O296" i="12" s="1"/>
  <c r="F284" i="12"/>
  <c r="O284" i="12" s="1"/>
  <c r="F276" i="12"/>
  <c r="O276" i="12" s="1"/>
  <c r="F272" i="12"/>
  <c r="O272" i="12" s="1"/>
  <c r="F264" i="12"/>
  <c r="O264" i="12" s="1"/>
  <c r="F252" i="12"/>
  <c r="O252" i="12" s="1"/>
  <c r="F244" i="12"/>
  <c r="O244" i="12" s="1"/>
  <c r="F240" i="12"/>
  <c r="O240" i="12" s="1"/>
  <c r="F228" i="12"/>
  <c r="O228" i="12" s="1"/>
  <c r="F224" i="12"/>
  <c r="O224" i="12" s="1"/>
  <c r="F200" i="12"/>
  <c r="O200" i="12" s="1"/>
  <c r="F192" i="12"/>
  <c r="O192" i="12" s="1"/>
  <c r="F184" i="12"/>
  <c r="O184" i="12" s="1"/>
  <c r="F180" i="12"/>
  <c r="O180" i="12" s="1"/>
  <c r="F172" i="12"/>
  <c r="O172" i="12" s="1"/>
  <c r="F164" i="12"/>
  <c r="O164" i="12" s="1"/>
  <c r="F152" i="12"/>
  <c r="O152" i="12" s="1"/>
  <c r="F136" i="12"/>
  <c r="O136" i="12" s="1"/>
  <c r="F116" i="12"/>
  <c r="O116" i="12" s="1"/>
  <c r="F104" i="12"/>
  <c r="O104" i="12" s="1"/>
  <c r="F100" i="12"/>
  <c r="O100" i="12" s="1"/>
  <c r="F96" i="12"/>
  <c r="O96" i="12" s="1"/>
  <c r="F92" i="12"/>
  <c r="O92" i="12" s="1"/>
  <c r="F80" i="12"/>
  <c r="O80" i="12" s="1"/>
  <c r="F76" i="12"/>
  <c r="O76" i="12" s="1"/>
  <c r="F72" i="12"/>
  <c r="O72" i="12" s="1"/>
  <c r="F64" i="12"/>
  <c r="O64" i="12" s="1"/>
  <c r="F32" i="12"/>
  <c r="O32" i="12" s="1"/>
  <c r="F28" i="12"/>
  <c r="O28" i="12" s="1"/>
  <c r="F24" i="12"/>
  <c r="O24" i="12" s="1"/>
  <c r="F8" i="12"/>
  <c r="O8" i="12" s="1"/>
  <c r="N580" i="12"/>
  <c r="P580" i="12" s="1"/>
  <c r="N576" i="12"/>
  <c r="P576" i="12" s="1"/>
  <c r="N572" i="12"/>
  <c r="P572" i="12" s="1"/>
  <c r="N568" i="12"/>
  <c r="P568" i="12" s="1"/>
  <c r="N564" i="12"/>
  <c r="P564" i="12" s="1"/>
  <c r="N560" i="12"/>
  <c r="P560" i="12" s="1"/>
  <c r="N556" i="12"/>
  <c r="P556" i="12" s="1"/>
  <c r="N552" i="12"/>
  <c r="P552" i="12" s="1"/>
  <c r="N548" i="12"/>
  <c r="P548" i="12" s="1"/>
  <c r="N544" i="12"/>
  <c r="P544" i="12" s="1"/>
  <c r="N540" i="12"/>
  <c r="P540" i="12" s="1"/>
  <c r="N536" i="12"/>
  <c r="P536" i="12" s="1"/>
  <c r="N532" i="12"/>
  <c r="P532" i="12" s="1"/>
  <c r="N528" i="12"/>
  <c r="P528" i="12" s="1"/>
  <c r="N524" i="12"/>
  <c r="P524" i="12" s="1"/>
  <c r="N520" i="12"/>
  <c r="P520" i="12" s="1"/>
  <c r="N516" i="12"/>
  <c r="P516" i="12" s="1"/>
  <c r="N512" i="12"/>
  <c r="P512" i="12" s="1"/>
  <c r="N508" i="12"/>
  <c r="P508" i="12" s="1"/>
  <c r="N504" i="12"/>
  <c r="P504" i="12" s="1"/>
  <c r="N500" i="12"/>
  <c r="P500" i="12" s="1"/>
  <c r="N496" i="12"/>
  <c r="P496" i="12" s="1"/>
  <c r="N492" i="12"/>
  <c r="P492" i="12" s="1"/>
  <c r="N488" i="12"/>
  <c r="P488" i="12" s="1"/>
  <c r="A1" i="13"/>
  <c r="A2" i="13"/>
  <c r="AH1" i="5" a="1"/>
  <c r="H1" i="4"/>
  <c r="AM4" i="5" l="1"/>
  <c r="AI4" i="5"/>
  <c r="AK3" i="5"/>
  <c r="AM2" i="5"/>
  <c r="AI2" i="5"/>
  <c r="AM3" i="5"/>
  <c r="AI3" i="5"/>
  <c r="AK2" i="5"/>
  <c r="AJ4" i="5"/>
  <c r="AL4" i="5"/>
  <c r="AJ3" i="5"/>
  <c r="AL2" i="5"/>
  <c r="AK4" i="5"/>
  <c r="AL3" i="5"/>
  <c r="AJ2" i="5"/>
  <c r="AH1" i="5"/>
  <c r="C4" i="4"/>
  <c r="B4" i="4"/>
  <c r="C5" i="4"/>
  <c r="B5" i="4"/>
  <c r="F10" i="6"/>
  <c r="F11" i="6"/>
  <c r="F12" i="6"/>
  <c r="F13" i="6"/>
  <c r="F14" i="6"/>
  <c r="F15" i="6"/>
  <c r="A7" i="6"/>
  <c r="A6" i="6"/>
  <c r="A5" i="6"/>
  <c r="A4" i="6"/>
  <c r="A3" i="6"/>
  <c r="AH2" i="5" l="1"/>
  <c r="AH4" i="5"/>
  <c r="AH3" i="5"/>
  <c r="B3" i="4"/>
  <c r="C3" i="4"/>
  <c r="C2" i="4"/>
  <c r="B2" i="4"/>
  <c r="F1" i="9" a="1"/>
  <c r="A16" i="5"/>
  <c r="A13" i="5"/>
  <c r="A14" i="5"/>
  <c r="A11" i="5"/>
  <c r="A15" i="5"/>
  <c r="A12" i="5"/>
  <c r="E2" i="5" l="1"/>
  <c r="Q2" i="5" a="1"/>
  <c r="Q2" i="5" s="1"/>
  <c r="J2" i="9" a="1"/>
  <c r="J2" i="9" s="1"/>
  <c r="A1" i="9" a="1"/>
  <c r="A1" i="9" s="1"/>
  <c r="K2" i="9" a="1"/>
  <c r="K2" i="9" s="1"/>
  <c r="H2" i="9" a="1"/>
  <c r="H2" i="9" s="1"/>
  <c r="F1" i="9"/>
  <c r="F2" i="9" s="1" a="1"/>
  <c r="F2" i="9" s="1"/>
  <c r="I2" i="9" a="1"/>
  <c r="I2" i="9" s="1"/>
  <c r="G2" i="9" a="1"/>
  <c r="G2" i="9" s="1"/>
  <c r="L2" i="9" a="1"/>
  <c r="L2" i="9" s="1"/>
  <c r="R1" i="5" a="1"/>
  <c r="I1" i="5" a="1"/>
  <c r="L4" i="5" s="1"/>
  <c r="S7" i="5" l="1"/>
  <c r="R1" i="5"/>
  <c r="R5" i="5" s="1"/>
  <c r="L2" i="5"/>
  <c r="M2" i="5"/>
  <c r="K4" i="5"/>
  <c r="K2" i="5"/>
  <c r="N3" i="5"/>
  <c r="I1" i="5"/>
  <c r="I2" i="5" s="1"/>
  <c r="L3" i="5"/>
  <c r="N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2" i="5" l="1"/>
  <c r="R6" i="5"/>
  <c r="R7" i="5"/>
  <c r="R4" i="5"/>
  <c r="R3" i="5"/>
  <c r="I3" i="5"/>
  <c r="I4" i="5"/>
  <c r="C2" i="5"/>
  <c r="B2" i="5"/>
  <c r="H2" i="4"/>
  <c r="D13" i="5" l="1"/>
  <c r="D16" i="5"/>
  <c r="D12" i="5"/>
  <c r="D14" i="5"/>
  <c r="D15" i="5"/>
  <c r="D2" i="5"/>
  <c r="C13" i="5"/>
  <c r="C16" i="5"/>
  <c r="C12" i="5"/>
  <c r="C15" i="5"/>
  <c r="C14" i="5"/>
  <c r="D11" i="5" l="1"/>
  <c r="C1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7BDBAE-852D-44D9-8D93-8DD41A69F40B}" keepAlive="1" name="Query - Contacts" description="Connection to the 'Contacts' query in the workbook." type="5" refreshedVersion="8" background="1" saveData="1">
    <dbPr connection="Provider=Microsoft.Mashup.OleDb.1;Data Source=$Workbook$;Location=Contacts;Extended Properties=&quot;&quot;" command="SELECT * FROM [Contacts]"/>
  </connection>
  <connection id="2"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2416F84D-36B1-42E3-A5A5-D0A943A0C4A5}" keepAlive="1" name="Query - Milestones" description="Connection to the 'Milestones' query in the workbook." type="5" refreshedVersion="8" background="1" saveData="1">
    <dbPr connection="Provider=Microsoft.Mashup.OleDb.1;Data Source=$Workbook$;Location=Milestones;Extended Properties=&quot;&quot;" command="SELECT * FROM [Milestones]"/>
  </connection>
  <connection id="4"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5" xr16:uid="{474F0C0C-5DFA-4095-A24F-F3947A88E5AF}" keepAlive="1" name="Query - recurrence" description="Connection to the 'recurrence' query in the workbook." type="5" refreshedVersion="8" background="1" saveData="1">
    <dbPr connection="Provider=Microsoft.Mashup.OleDb.1;Data Source=$Workbook$;Location=recurrence;Extended Properties=&quot;&quot;" command="SELECT * FROM [recurrence]"/>
  </connection>
  <connection id="6"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<sst xmlns="http://schemas.openxmlformats.org/spreadsheetml/2006/main" count="1771" uniqueCount="850">
  <si>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</si>
  <si>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</si>
  <si>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</si>
  <si>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</si>
  <si>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</si>
  <si>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</si>
  <si>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</si>
  <si>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</si>
  <si>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</si>
  <si>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</si>
  <si>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</si>
  <si>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</si>
  <si>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</si>
  <si>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</si>
  <si>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</si>
  <si>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</si>
  <si>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</si>
  <si>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</si>
  <si>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</si>
  <si>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</si>
  <si>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</si>
  <si>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</si>
  <si>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</si>
  <si>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</si>
  <si>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</si>
  <si>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</si>
  <si>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</si>
  <si>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</si>
  <si>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</si>
  <si>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</si>
  <si>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</si>
  <si>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</si>
  <si>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</si>
  <si>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</si>
  <si>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</si>
  <si>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</si>
  <si>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</si>
  <si>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</si>
  <si>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</si>
  <si>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</si>
  <si>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</si>
  <si>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</si>
  <si>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</si>
  <si>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</si>
  <si>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</si>
  <si>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</si>
  <si>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</si>
  <si>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</si>
  <si>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</si>
  <si>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</si>
  <si>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</si>
  <si>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</si>
  <si>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</si>
  <si>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</si>
  <si>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</si>
  <si>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</si>
  <si>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</si>
  <si>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</si>
  <si>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</si>
  <si>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</si>
  <si>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</si>
  <si>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</si>
  <si>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</si>
  <si>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</si>
  <si>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</si>
  <si>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</si>
  <si>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</si>
  <si>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</si>
  <si>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</si>
  <si>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</si>
  <si>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</si>
  <si>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</si>
  <si>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Url</t>
  </si>
  <si>
    <t>url2</t>
  </si>
  <si>
    <t>status symbol</t>
  </si>
  <si>
    <t>Last Comment</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</si>
  <si>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</si>
  <si>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</si>
  <si>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</si>
  <si>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</si>
  <si>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</si>
  <si>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</si>
  <si>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</si>
  <si>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</si>
  <si>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</si>
  <si>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</si>
  <si>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</si>
  <si>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</si>
  <si>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</si>
  <si>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</si>
  <si>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</si>
  <si>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</si>
  <si>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</si>
  <si>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</si>
  <si>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</si>
  <si>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</si>
  <si>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</si>
  <si>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</si>
  <si>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</si>
  <si>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</si>
  <si>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</si>
  <si>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</si>
  <si>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</si>
  <si>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</si>
  <si>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</si>
  <si>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</si>
  <si>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</si>
  <si>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</si>
  <si>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</si>
  <si>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</si>
  <si>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</si>
  <si>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</si>
  <si>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</si>
  <si>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</si>
  <si>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</si>
  <si>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</si>
  <si>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</si>
  <si>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</si>
  <si>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</si>
  <si>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</si>
  <si>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</si>
  <si>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</si>
  <si>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</si>
  <si>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</si>
  <si>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</si>
  <si>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</si>
  <si>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</si>
  <si>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</si>
  <si>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</si>
  <si>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</si>
  <si>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</si>
  <si>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</si>
  <si>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</si>
  <si>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</si>
  <si>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</si>
  <si>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</si>
  <si>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</si>
  <si>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</si>
  <si>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</si>
  <si>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</si>
  <si>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</si>
  <si>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</si>
  <si>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</si>
  <si>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</si>
  <si>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</si>
  <si>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</si>
  <si>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</si>
  <si>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</si>
  <si>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</si>
  <si>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</si>
  <si>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</si>
  <si>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</si>
  <si>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</si>
  <si>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</si>
  <si>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</si>
  <si>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</si>
  <si>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</si>
  <si>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</si>
  <si>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</si>
  <si>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</si>
  <si>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</si>
  <si>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</si>
  <si>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</si>
  <si>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</si>
  <si>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</si>
  <si>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</si>
  <si>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</si>
  <si>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</si>
  <si>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</si>
  <si>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</si>
  <si>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</si>
  <si>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</si>
  <si>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</si>
  <si>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</si>
  <si>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</si>
  <si>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</si>
  <si>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</si>
  <si>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</si>
  <si>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</si>
  <si>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</si>
  <si>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</si>
  <si>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</si>
  <si>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</si>
  <si>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</si>
  <si>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</si>
  <si>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</si>
  <si>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</si>
  <si>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</si>
  <si>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</si>
  <si>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</si>
  <si>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</si>
  <si>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</si>
  <si>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</si>
  <si>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</si>
  <si>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</si>
  <si>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</si>
  <si>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</si>
  <si>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</si>
  <si>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</si>
  <si>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</si>
  <si>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</si>
  <si>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</si>
  <si>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</si>
  <si>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</si>
  <si>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</si>
  <si>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</si>
  <si>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</si>
  <si>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</si>
  <si>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</si>
  <si>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</si>
  <si>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</si>
  <si>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</si>
  <si>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</si>
  <si>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</si>
  <si>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</si>
  <si>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</si>
  <si>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</si>
  <si>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</si>
  <si>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</si>
  <si>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</si>
  <si>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</si>
  <si>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</si>
  <si>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</si>
  <si>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</si>
  <si>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</si>
  <si>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</si>
  <si>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</si>
  <si>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</si>
  <si>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</si>
  <si>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</si>
  <si>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</si>
  <si>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</si>
  <si>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</si>
  <si>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</si>
  <si>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</si>
  <si>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</si>
  <si>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</si>
  <si>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</si>
  <si>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</si>
  <si>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</si>
  <si>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</si>
  <si>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</si>
  <si>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</si>
  <si>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</si>
  <si>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</si>
  <si>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</si>
  <si>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</si>
  <si>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</si>
  <si>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</si>
  <si>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</si>
  <si>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</si>
  <si>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</si>
  <si>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</si>
  <si>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</si>
  <si>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</si>
  <si>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</si>
  <si>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</si>
  <si>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</si>
  <si>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</si>
  <si>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</si>
  <si>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</si>
  <si>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</si>
  <si>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</si>
  <si>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</si>
  <si>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</si>
  <si>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</si>
  <si>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</si>
  <si>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</si>
  <si>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</si>
  <si>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</si>
  <si>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</si>
  <si>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</si>
  <si>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</si>
  <si>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</si>
  <si>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</si>
  <si>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</si>
  <si>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</si>
  <si>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</si>
  <si>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</si>
  <si>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</si>
  <si>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</si>
  <si>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</si>
  <si>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</si>
  <si>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</si>
  <si>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</si>
  <si>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</si>
  <si>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</si>
  <si>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</si>
  <si>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</si>
  <si>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</si>
  <si>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</si>
  <si>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</si>
  <si>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</si>
  <si>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</si>
  <si>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</si>
  <si>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</si>
  <si>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</si>
  <si>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</si>
  <si>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</si>
  <si>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</si>
  <si>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</si>
  <si>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</si>
  <si>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</si>
  <si>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</si>
  <si>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</si>
  <si>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</si>
  <si>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</si>
  <si>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</si>
  <si>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</si>
  <si>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</si>
  <si>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</si>
  <si>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</si>
  <si>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</si>
  <si>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</si>
  <si>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</si>
  <si>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</si>
  <si>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</si>
  <si>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</si>
  <si>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</si>
  <si>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</si>
  <si>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</si>
  <si>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</si>
  <si>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</si>
  <si>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</si>
  <si>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</si>
  <si>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</si>
  <si>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</si>
  <si>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</si>
  <si>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</si>
  <si>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</si>
  <si>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</si>
  <si>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</si>
  <si>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</si>
  <si>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</si>
  <si>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</si>
  <si>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</si>
  <si>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</si>
  <si>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</si>
  <si>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</si>
  <si>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</si>
  <si>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</si>
  <si>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</si>
  <si>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</si>
  <si>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</si>
  <si>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</si>
  <si>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</si>
  <si>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</si>
  <si>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</si>
  <si>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</si>
  <si>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</si>
  <si>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</si>
  <si>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</si>
  <si>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</si>
  <si>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</si>
  <si>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</si>
  <si>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</si>
  <si>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</si>
  <si>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</si>
  <si>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</si>
  <si>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</si>
  <si>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</si>
  <si>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</si>
  <si>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</si>
  <si>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</si>
  <si>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</si>
  <si>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</si>
  <si>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</si>
  <si>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</si>
  <si>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</si>
  <si>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</si>
  <si>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</si>
  <si>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</si>
  <si>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</si>
  <si>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</si>
  <si>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</si>
  <si>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</si>
  <si>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</si>
  <si>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</si>
  <si>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</si>
  <si>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</si>
  <si>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</si>
  <si>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</si>
  <si>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</si>
  <si>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</si>
  <si>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</si>
  <si>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</si>
  <si>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</si>
  <si>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</si>
  <si>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</si>
  <si>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</si>
  <si>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</si>
  <si>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</si>
  <si>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</si>
  <si>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</si>
  <si>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</si>
  <si>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</si>
  <si>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</si>
  <si>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</si>
  <si>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</si>
  <si>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</si>
  <si>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</si>
  <si>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</si>
  <si>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</si>
  <si>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</si>
  <si>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</si>
  <si>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</si>
  <si>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</si>
  <si>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</si>
  <si>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Contacts</t>
  </si>
  <si>
    <t>Milestones</t>
  </si>
  <si>
    <t>auto12</t>
  </si>
  <si>
    <t>Milestone Name</t>
  </si>
  <si>
    <t>Owner</t>
  </si>
  <si>
    <t>Milestone Date</t>
  </si>
  <si>
    <t>Milestone Status</t>
  </si>
  <si>
    <t>Opportunity ID</t>
  </si>
  <si>
    <t>Opportunity Name</t>
  </si>
  <si>
    <t>Initial Contact</t>
  </si>
  <si>
    <t>Quality Assurance</t>
  </si>
  <si>
    <t>Completed</t>
  </si>
  <si>
    <t>Needs Assessment</t>
  </si>
  <si>
    <t>In Progress</t>
  </si>
  <si>
    <t>Stakeholder Identification</t>
  </si>
  <si>
    <t>Not Started</t>
  </si>
  <si>
    <t>Budget Confirmation</t>
  </si>
  <si>
    <t>Relationship Building</t>
  </si>
  <si>
    <t>Pain Point Analysis</t>
  </si>
  <si>
    <t>Solution Mapping</t>
  </si>
  <si>
    <t>Competitive Analysis</t>
  </si>
  <si>
    <t>Technical Lead</t>
  </si>
  <si>
    <t>ROI Calculation</t>
  </si>
  <si>
    <t>Implementation Specialist</t>
  </si>
  <si>
    <t>Final Delivery</t>
  </si>
  <si>
    <t>Customer Acceptance</t>
  </si>
  <si>
    <t>Documentation Handover</t>
  </si>
  <si>
    <t>Post-Implementation Review</t>
  </si>
  <si>
    <t>Requirements Gathering</t>
  </si>
  <si>
    <t>Project Lead</t>
  </si>
  <si>
    <t>Technical Specification</t>
  </si>
  <si>
    <t>Proposal Development</t>
  </si>
  <si>
    <t>Pricing Analysis</t>
  </si>
  <si>
    <t>Project Kickoff</t>
  </si>
  <si>
    <t>Phase 1 Delivery</t>
  </si>
  <si>
    <t>Phase 2 Delivery</t>
  </si>
  <si>
    <t>Testing &amp; QA</t>
  </si>
  <si>
    <t>User Training</t>
  </si>
  <si>
    <t>Contract Terms Review</t>
  </si>
  <si>
    <t>Legal Review</t>
  </si>
  <si>
    <t>Pricing Negotiation</t>
  </si>
  <si>
    <t>Final Terms Agreement</t>
  </si>
  <si>
    <t>Contact Name</t>
  </si>
  <si>
    <t>Job Title</t>
  </si>
  <si>
    <t>Office Phone</t>
  </si>
  <si>
    <t>Mobile Phone</t>
  </si>
  <si>
    <t>Email</t>
  </si>
  <si>
    <t>Customer ID</t>
  </si>
  <si>
    <t>Sarah Davis</t>
  </si>
  <si>
    <t>Representative</t>
  </si>
  <si>
    <t>398-549-6433</t>
  </si>
  <si>
    <t>349-751-8514</t>
  </si>
  <si>
    <t>sarah.davis@acmecorporation.com</t>
  </si>
  <si>
    <t>Maria Wilson</t>
  </si>
  <si>
    <t>Finance Manager</t>
  </si>
  <si>
    <t>825-257-6299</t>
  </si>
  <si>
    <t>545-885-7893</t>
  </si>
  <si>
    <t>maria.wilson@acmecorporation.com</t>
  </si>
  <si>
    <t>Lisa Wright</t>
  </si>
  <si>
    <t>Senior Manager</t>
  </si>
  <si>
    <t>541-602-7575</t>
  </si>
  <si>
    <t>805-321-8317</t>
  </si>
  <si>
    <t>lisa.wright@acmecorporation.com</t>
  </si>
  <si>
    <t>Daniel Thompson</t>
  </si>
  <si>
    <t>Supervisor</t>
  </si>
  <si>
    <t>913-271-5072</t>
  </si>
  <si>
    <t>483-847-9024</t>
  </si>
  <si>
    <t>daniel.thompson@globalindustries.com</t>
  </si>
  <si>
    <t>David Jones</t>
  </si>
  <si>
    <t>558-495-5080</t>
  </si>
  <si>
    <t>293-896-4818</t>
  </si>
  <si>
    <t>david.jones@globalindustries.com</t>
  </si>
  <si>
    <t>Matthew Lee</t>
  </si>
  <si>
    <t>634-928-9055</t>
  </si>
  <si>
    <t>955-400-1041</t>
  </si>
  <si>
    <t>matthew.lee@techsolutionsinc.com</t>
  </si>
  <si>
    <t>Andrew Wright</t>
  </si>
  <si>
    <t>810-748-7981</t>
  </si>
  <si>
    <t>872-313-3678</t>
  </si>
  <si>
    <t>andrew.wright@techsolutionsinc.com</t>
  </si>
  <si>
    <t>Christopher Thomas</t>
  </si>
  <si>
    <t>Sales Manager</t>
  </si>
  <si>
    <t>552-219-2938</t>
  </si>
  <si>
    <t>951-943-6931</t>
  </si>
  <si>
    <t>christopher.thomas@techsolutionsinc.com</t>
  </si>
  <si>
    <t>Lisa Ramirez</t>
  </si>
  <si>
    <t>Officer</t>
  </si>
  <si>
    <t>270-865-2127</t>
  </si>
  <si>
    <t>564-518-1959</t>
  </si>
  <si>
    <t>lisa.ramirez@manufacturingplus.com</t>
  </si>
  <si>
    <t>William Davis</t>
  </si>
  <si>
    <t>VP</t>
  </si>
  <si>
    <t>936-433-6994</t>
  </si>
  <si>
    <t>792-899-2134</t>
  </si>
  <si>
    <t>william.davis@manufacturingplus.com</t>
  </si>
  <si>
    <t>Matthew Garcia</t>
  </si>
  <si>
    <t>426-917-6937</t>
  </si>
  <si>
    <t>690-271-5349</t>
  </si>
  <si>
    <t>matthew.garcia@healthcarepartners.com</t>
  </si>
  <si>
    <t>David Allen</t>
  </si>
  <si>
    <t>376-681-5175</t>
  </si>
  <si>
    <t>338-448-3749</t>
  </si>
  <si>
    <t>david.allen@healthcarepartners.com</t>
  </si>
  <si>
    <t>Michael Thompson</t>
  </si>
  <si>
    <t>925-547-5937</t>
  </si>
  <si>
    <t>317-633-3897</t>
  </si>
  <si>
    <t>michael.thompson@financialdynamics.com</t>
  </si>
  <si>
    <t>Mary Lee</t>
  </si>
  <si>
    <t>523-866-6875</t>
  </si>
  <si>
    <t>506-574-2728</t>
  </si>
  <si>
    <t>mary.lee@financialdynamics.com</t>
  </si>
  <si>
    <t>Donald Hernandez</t>
  </si>
  <si>
    <t>Assistant</t>
  </si>
  <si>
    <t>656-902-1271</t>
  </si>
  <si>
    <t>457-937-3855</t>
  </si>
  <si>
    <t>donald.hernandez@retailexcellence.com</t>
  </si>
  <si>
    <t>Ruth Smith</t>
  </si>
  <si>
    <t>580-829-5030</t>
  </si>
  <si>
    <t>609-535-8324</t>
  </si>
  <si>
    <t>ruth.smith@retailexcellence.com</t>
  </si>
  <si>
    <t>Thomas Jackson</t>
  </si>
  <si>
    <t>727-889-6789</t>
  </si>
  <si>
    <t>384-312-2774</t>
  </si>
  <si>
    <t>thomas.jackson@retailexcellence.com</t>
  </si>
  <si>
    <t>Helen Martin</t>
  </si>
  <si>
    <t>503-841-6349</t>
  </si>
  <si>
    <t>764-782-6362</t>
  </si>
  <si>
    <t>helen.martin@energysolutionsgroup.com</t>
  </si>
  <si>
    <t>John King</t>
  </si>
  <si>
    <t>Consultant</t>
  </si>
  <si>
    <t>721-387-2935</t>
  </si>
  <si>
    <t>671-954-8095</t>
  </si>
  <si>
    <t>john.king@energysolutionsgroup.com</t>
  </si>
  <si>
    <t>Anthony Brown</t>
  </si>
  <si>
    <t>352-956-9109</t>
  </si>
  <si>
    <t>412-879-3165</t>
  </si>
  <si>
    <t>anthony.brown@energysolutionsgroup.com</t>
  </si>
  <si>
    <t>Linda Allen</t>
  </si>
  <si>
    <t>925-864-7065</t>
  </si>
  <si>
    <t>632-648-3316</t>
  </si>
  <si>
    <t>linda.allen@constructiondynamics.com</t>
  </si>
  <si>
    <t>Joshua Rodriguez</t>
  </si>
  <si>
    <t>856-865-9250</t>
  </si>
  <si>
    <t>204-859-3306</t>
  </si>
  <si>
    <t>joshua.rodriguez@constructiondynamics.com</t>
  </si>
  <si>
    <t>Charles Sanchez</t>
  </si>
  <si>
    <t>Specialist</t>
  </si>
  <si>
    <t>557-306-6683</t>
  </si>
  <si>
    <t>763-538-1994</t>
  </si>
  <si>
    <t>charles.sanchez@constructiondynamics.com</t>
  </si>
  <si>
    <t>Matthew Sanchez</t>
  </si>
  <si>
    <t>504-750-5793</t>
  </si>
  <si>
    <t>390-797-6253</t>
  </si>
  <si>
    <t>matthew.sanchez@educationfirst.com</t>
  </si>
  <si>
    <t>Sandra Johnson</t>
  </si>
  <si>
    <t>Marketing Manager</t>
  </si>
  <si>
    <t>865-795-4193</t>
  </si>
  <si>
    <t>209-978-2784</t>
  </si>
  <si>
    <t>sandra.johnson@educationfirst.com</t>
  </si>
  <si>
    <t>Elizabeth Martinez</t>
  </si>
  <si>
    <t>495-452-4147</t>
  </si>
  <si>
    <t>906-597-8745</t>
  </si>
  <si>
    <t>elizabeth.martinez@transportlogistics.com</t>
  </si>
  <si>
    <t>Linda Wright</t>
  </si>
  <si>
    <t>493-523-7304</t>
  </si>
  <si>
    <t>921-706-6461</t>
  </si>
  <si>
    <t>linda.wright@transportlogistics.com</t>
  </si>
  <si>
    <t>Daniel Johnson</t>
  </si>
  <si>
    <t>752-520-1586</t>
  </si>
  <si>
    <t>580-776-2201</t>
  </si>
  <si>
    <t>daniel.johnson@transportlogistics.com</t>
  </si>
  <si>
    <t>Joshua Jackson</t>
  </si>
  <si>
    <t>957-893-2687</t>
  </si>
  <si>
    <t>303-277-6152</t>
  </si>
  <si>
    <t>joshua.jackson@foodservicepartners.com</t>
  </si>
  <si>
    <t>Barbara Allen</t>
  </si>
  <si>
    <t>576-709-8646</t>
  </si>
  <si>
    <t>658-698-9756</t>
  </si>
  <si>
    <t>barbara.allen@foodservicepartners.com</t>
  </si>
  <si>
    <t>Donald Torres</t>
  </si>
  <si>
    <t>859-887-8795</t>
  </si>
  <si>
    <t>761-542-8868</t>
  </si>
  <si>
    <t>donald.torres@professionalservicesgroup.com</t>
  </si>
  <si>
    <t>Joshua Wright</t>
  </si>
  <si>
    <t>Analyst</t>
  </si>
  <si>
    <t>543-481-5471</t>
  </si>
  <si>
    <t>218-565-3424</t>
  </si>
  <si>
    <t>joshua.wright@professionalservicesgroup.com</t>
  </si>
  <si>
    <t>Daniel Flores</t>
  </si>
  <si>
    <t>762-505-4814</t>
  </si>
  <si>
    <t>662-892-6445</t>
  </si>
  <si>
    <t>daniel.flores@professionalservicesgroup.com</t>
  </si>
  <si>
    <t>Maria Nguyen</t>
  </si>
  <si>
    <t>IT Manager</t>
  </si>
  <si>
    <t>665-854-9435</t>
  </si>
  <si>
    <t>920-841-4695</t>
  </si>
  <si>
    <t>maria.nguyen@mediacommunications.com</t>
  </si>
  <si>
    <t>Helen Moore</t>
  </si>
  <si>
    <t>656-923-2846</t>
  </si>
  <si>
    <t>659-395-9982</t>
  </si>
  <si>
    <t>helen.moore@mediacommunications.com</t>
  </si>
  <si>
    <t>798-322-9723</t>
  </si>
  <si>
    <t>559-432-2660</t>
  </si>
  <si>
    <t>mark.rodriguez@pharmaceuticalresearch.com</t>
  </si>
  <si>
    <t>578-967-5092</t>
  </si>
  <si>
    <t>644-220-5607</t>
  </si>
  <si>
    <t>linda.allen@pharmaceuticalresearch.com</t>
  </si>
  <si>
    <t>Jennifer Moore</t>
  </si>
  <si>
    <t>998-217-8395</t>
  </si>
  <si>
    <t>457-981-8871</t>
  </si>
  <si>
    <t>jennifer.moore@pharmaceuticalresearch.com</t>
  </si>
  <si>
    <t>Anthony Flores</t>
  </si>
  <si>
    <t>582-777-4542</t>
  </si>
  <si>
    <t>782-413-6234</t>
  </si>
  <si>
    <t>anthony.flores@realestateventures.com</t>
  </si>
  <si>
    <t>Charles Perez</t>
  </si>
  <si>
    <t>766-911-3488</t>
  </si>
  <si>
    <t>274-425-1572</t>
  </si>
  <si>
    <t>charles.perez@realestateventures.com</t>
  </si>
  <si>
    <t>344-554-7659</t>
  </si>
  <si>
    <t>470-416-9097</t>
  </si>
  <si>
    <t>joshua.wright@realestateventures.com</t>
  </si>
  <si>
    <t>Lisa Walker</t>
  </si>
  <si>
    <t>777-637-4950</t>
  </si>
  <si>
    <t>888-314-3934</t>
  </si>
  <si>
    <t>lisa.walker@insurancespecialists.com</t>
  </si>
  <si>
    <t>Sarah Jones</t>
  </si>
  <si>
    <t>485-209-3600</t>
  </si>
  <si>
    <t>655-741-9735</t>
  </si>
  <si>
    <t>sarah.jones@insurancespecialists.com</t>
  </si>
  <si>
    <t>Sarah Wilson</t>
  </si>
  <si>
    <t>Technician</t>
  </si>
  <si>
    <t>286-799-4605</t>
  </si>
  <si>
    <t>597-909-1890</t>
  </si>
  <si>
    <t>sarah.wilson@insurancespecialists.com</t>
  </si>
  <si>
    <t>Joseph Thomas</t>
  </si>
  <si>
    <t>787-639-8053</t>
  </si>
  <si>
    <t>644-292-2859</t>
  </si>
  <si>
    <t>joseph.thomas@agriculturalsystems.com</t>
  </si>
  <si>
    <t>Charles Young</t>
  </si>
  <si>
    <t>537-822-9321</t>
  </si>
  <si>
    <t>357-295-3704</t>
  </si>
  <si>
    <t>charles.young@agriculturalsystems.com</t>
  </si>
  <si>
    <t>Ruth Harris</t>
  </si>
  <si>
    <t>978-590-8637</t>
  </si>
  <si>
    <t>378-943-1737</t>
  </si>
  <si>
    <t>ruth.harris@agriculturalsystems.com</t>
  </si>
  <si>
    <t>Dorothy Martin</t>
  </si>
  <si>
    <t>419-537-1896</t>
  </si>
  <si>
    <t>841-418-8085</t>
  </si>
  <si>
    <t>dorothy.martin@hotelmanagementgroup.com</t>
  </si>
  <si>
    <t>Andrew Martin</t>
  </si>
  <si>
    <t>888-325-4729</t>
  </si>
  <si>
    <t>594-618-4058</t>
  </si>
  <si>
    <t>andrew.martin@hotelmanagementgroup.com</t>
  </si>
  <si>
    <t>Thomas Hill</t>
  </si>
  <si>
    <t>215-649-5192</t>
  </si>
  <si>
    <t>386-993-7715</t>
  </si>
  <si>
    <t>thomas.hill@hotelmanagementgroup.com</t>
  </si>
  <si>
    <t>Linda Lee</t>
  </si>
  <si>
    <t>HR Manager</t>
  </si>
  <si>
    <t>884-256-3519</t>
  </si>
  <si>
    <t>633-286-8780</t>
  </si>
  <si>
    <t>linda.lee@automotivepartsplus.com</t>
  </si>
  <si>
    <t>Barbara Davis</t>
  </si>
  <si>
    <t>257-683-9120</t>
  </si>
  <si>
    <t>290-634-4849</t>
  </si>
  <si>
    <t>barbara.davis@automotivepartsplus.com</t>
  </si>
  <si>
    <t>Michael Nguyen</t>
  </si>
  <si>
    <t>521-387-6170</t>
  </si>
  <si>
    <t>618-550-5327</t>
  </si>
  <si>
    <t>michael.nguyen@automotivepartsplus.com</t>
  </si>
  <si>
    <t>Jennifer Thomas</t>
  </si>
  <si>
    <t>680-551-3336</t>
  </si>
  <si>
    <t>875-229-6534</t>
  </si>
  <si>
    <t>jennifer.thomas@textilemanufacturing.com</t>
  </si>
  <si>
    <t>Andrew Nguyen</t>
  </si>
  <si>
    <t>264-699-6247</t>
  </si>
  <si>
    <t>935-780-7633</t>
  </si>
  <si>
    <t>andrew.nguyen@textilemanufacturing.com</t>
  </si>
  <si>
    <t>Sandra Wilson</t>
  </si>
  <si>
    <t>320-300-4749</t>
  </si>
  <si>
    <t>853-640-3625</t>
  </si>
  <si>
    <t>sandra.wilson@environmentalservices.com</t>
  </si>
  <si>
    <t>Christopher Perez</t>
  </si>
  <si>
    <t>Engineer</t>
  </si>
  <si>
    <t>530-878-6152</t>
  </si>
  <si>
    <t>957-367-6661</t>
  </si>
  <si>
    <t>christopher.perez@environmentalservices.com</t>
  </si>
  <si>
    <t>Linda Scott</t>
  </si>
  <si>
    <t>843-521-5576</t>
  </si>
  <si>
    <t>795-989-7624</t>
  </si>
  <si>
    <t>linda.scott@sportsrecreation.com</t>
  </si>
  <si>
    <t>Elizabeth Hernandez</t>
  </si>
  <si>
    <t>715-417-9506</t>
  </si>
  <si>
    <t>788-777-6482</t>
  </si>
  <si>
    <t>elizabeth.hernandez@sportsrecreation.com</t>
  </si>
  <si>
    <t>Joshua Thompson</t>
  </si>
  <si>
    <t>938-841-2397</t>
  </si>
  <si>
    <t>736-825-4468</t>
  </si>
  <si>
    <t>joshua.thompson@securitysolutions.com</t>
  </si>
  <si>
    <t>Dorothy Martinez</t>
  </si>
  <si>
    <t>862-357-3875</t>
  </si>
  <si>
    <t>474-229-5655</t>
  </si>
  <si>
    <t>dorothy.martinez@securitysolutions.com</t>
  </si>
  <si>
    <t>Elizabeth Moore</t>
  </si>
  <si>
    <t>429-472-3033</t>
  </si>
  <si>
    <t>352-912-9398</t>
  </si>
  <si>
    <t>elizabeth.moore@chemicalprocessing.com</t>
  </si>
  <si>
    <t>Christopher Lewis</t>
  </si>
  <si>
    <t>687-435-9739</t>
  </si>
  <si>
    <t>553-867-1090</t>
  </si>
  <si>
    <t>christopher.lewis@chemicalprocessing.com</t>
  </si>
  <si>
    <t>Joshua Martin</t>
  </si>
  <si>
    <t>205-555-9793</t>
  </si>
  <si>
    <t>745-244-2266</t>
  </si>
  <si>
    <t>joshua.martin@chemicalprocessing.com</t>
  </si>
  <si>
    <t>Ruth Thompson</t>
  </si>
  <si>
    <t>734-445-4122</t>
  </si>
  <si>
    <t>420-749-4167</t>
  </si>
  <si>
    <t>ruth.thompson@publishinghouse.com</t>
  </si>
  <si>
    <t>Andrew Harris</t>
  </si>
  <si>
    <t>886-683-5518</t>
  </si>
  <si>
    <t>858-616-5804</t>
  </si>
  <si>
    <t>andrew.harris@publishinghouse.com</t>
  </si>
  <si>
    <t>Karen Lopez</t>
  </si>
  <si>
    <t>358-229-2242</t>
  </si>
  <si>
    <t>892-960-3198</t>
  </si>
  <si>
    <t>karen.lopez@miningoperations.com</t>
  </si>
  <si>
    <t>Joshua Miller</t>
  </si>
  <si>
    <t>220-518-6761</t>
  </si>
  <si>
    <t>386-488-4715</t>
  </si>
  <si>
    <t>joshua.miller@miningoperations.com</t>
  </si>
  <si>
    <t>William Jones</t>
  </si>
  <si>
    <t>267-901-9382</t>
  </si>
  <si>
    <t>731-502-2915</t>
  </si>
  <si>
    <t>william.jones@telecommunicationsinc.com</t>
  </si>
  <si>
    <t>Matthew Hill</t>
  </si>
  <si>
    <t>Executive</t>
  </si>
  <si>
    <t>262-517-4555</t>
  </si>
  <si>
    <t>309-308-8743</t>
  </si>
  <si>
    <t>matthew.hill@telecommunicationsinc.com</t>
  </si>
  <si>
    <t>Patricia Scott</t>
  </si>
  <si>
    <t>726-425-9296</t>
  </si>
  <si>
    <t>352-732-7662</t>
  </si>
  <si>
    <t>patricia.scott@wastemanagementco.com</t>
  </si>
  <si>
    <t>Dorothy Thompson</t>
  </si>
  <si>
    <t>892-790-3768</t>
  </si>
  <si>
    <t>508-224-3115</t>
  </si>
  <si>
    <t>dorothy.thompson@wastemanagementco.com</t>
  </si>
  <si>
    <t>Donna Wright</t>
  </si>
  <si>
    <t>916-741-9135</t>
  </si>
  <si>
    <t>995-915-3131</t>
  </si>
  <si>
    <t>donna.wright@consultingexperts.com</t>
  </si>
  <si>
    <t>David Williams</t>
  </si>
  <si>
    <t>559-581-1464</t>
  </si>
  <si>
    <t>300-330-6139</t>
  </si>
  <si>
    <t>david.williams@consultingexperts.com</t>
  </si>
  <si>
    <t>Elizabeth Scott</t>
  </si>
  <si>
    <t>267-342-9659</t>
  </si>
  <si>
    <t>972-988-6218</t>
  </si>
  <si>
    <t>elizabeth.scott@consultingexperts.com</t>
  </si>
  <si>
    <t>2025-08-12T19:46:18Z</t>
  </si>
  <si>
    <t>2025-08-12T19:46:20Z</t>
  </si>
  <si>
    <t>2025-08-12T19:46:21Z</t>
  </si>
  <si>
    <t>2025-08-12T19:46:23Z</t>
  </si>
  <si>
    <t>2025-08-12T19:46:25Z</t>
  </si>
  <si>
    <t>2025-08-12T19:46:26Z</t>
  </si>
  <si>
    <t>2025-08-12T19:46:28Z</t>
  </si>
  <si>
    <t>2025-08-12T19:46:29Z</t>
  </si>
  <si>
    <t>2025-08-12T19:46:31Z</t>
  </si>
  <si>
    <t>2025-08-12T19:46:33Z</t>
  </si>
  <si>
    <t>2025-08-12T19:46:34Z</t>
  </si>
  <si>
    <t>2025-08-12T19:46:36Z</t>
  </si>
  <si>
    <t>2025-08-12T19:46:38Z</t>
  </si>
  <si>
    <t>2025-08-12T19:46:39Z</t>
  </si>
  <si>
    <t>2025-08-12T19:46:41Z</t>
  </si>
  <si>
    <t>2025-08-12T19:46:43Z</t>
  </si>
  <si>
    <t>2025-08-12T19:46:44Z</t>
  </si>
  <si>
    <t>2025-08-12T19:46:46Z</t>
  </si>
  <si>
    <t>2025-08-12T19:46:47Z</t>
  </si>
  <si>
    <t>2025-08-12T19:46:49Z</t>
  </si>
  <si>
    <t>2025-08-12T19:46:51Z</t>
  </si>
  <si>
    <t>2025-08-12T19:46:52Z</t>
  </si>
  <si>
    <t>2025-08-12T19:46:54Z</t>
  </si>
  <si>
    <t>2025-08-12T19:46:56Z</t>
  </si>
  <si>
    <t>2025-08-12T19:46:57Z</t>
  </si>
  <si>
    <t>2025-08-12T19:46:59Z</t>
  </si>
  <si>
    <t>2025-08-12T19:47:01Z</t>
  </si>
  <si>
    <t>2025-08-12T19:47:03Z</t>
  </si>
  <si>
    <t>2025-08-12T19:47:04Z</t>
  </si>
  <si>
    <t>2025-08-12T19:47:06Z</t>
  </si>
  <si>
    <t>RecurringRevenueModel</t>
  </si>
  <si>
    <t>Recurrences</t>
  </si>
  <si>
    <t>StartDate</t>
  </si>
  <si>
    <t>Annually</t>
  </si>
  <si>
    <t>Monthly</t>
  </si>
  <si>
    <t>One-time</t>
  </si>
  <si>
    <t>Semi-Annually</t>
  </si>
  <si>
    <t>Quarterly</t>
  </si>
  <si>
    <t>Day 0</t>
  </si>
  <si>
    <t>OpportunityID</t>
  </si>
  <si>
    <t>TransactionDate</t>
  </si>
  <si>
    <t>UnWeighted</t>
  </si>
  <si>
    <t>OpportunityStatus</t>
  </si>
  <si>
    <t>WinProbabilityValue</t>
  </si>
  <si>
    <t>OpportunityStage</t>
  </si>
  <si>
    <t>CustomerName</t>
  </si>
  <si>
    <t>Column Labels</t>
  </si>
  <si>
    <t>Grand Total</t>
  </si>
  <si>
    <t>Row Labels</t>
  </si>
  <si>
    <t>FY26-Q2</t>
  </si>
  <si>
    <t>FY26-Q3</t>
  </si>
  <si>
    <t>FY26-Q4</t>
  </si>
  <si>
    <t>FY27-Q1</t>
  </si>
  <si>
    <t>FY27-Q2</t>
  </si>
  <si>
    <t>FY27-Q3</t>
  </si>
  <si>
    <t>Sum of UnWeighted</t>
  </si>
  <si>
    <t>FQDisplay</t>
  </si>
  <si>
    <t>Out-year</t>
  </si>
  <si>
    <t>$ K Weighted</t>
  </si>
  <si>
    <t>$K Unweighted</t>
  </si>
  <si>
    <t>$m Unweighted</t>
  </si>
  <si>
    <t>Sum of $m Unweighted</t>
  </si>
  <si>
    <t>Deploy Type</t>
  </si>
  <si>
    <t>Citizen</t>
  </si>
  <si>
    <t>Yearly Value</t>
  </si>
  <si>
    <t>new</t>
  </si>
  <si>
    <t>Years</t>
  </si>
  <si>
    <t>Time To Close</t>
  </si>
  <si>
    <t>DaysToClose</t>
  </si>
  <si>
    <t>TargetDaysToClose</t>
  </si>
  <si>
    <t>Alert</t>
  </si>
  <si>
    <t>Healthy</t>
  </si>
  <si>
    <t>ValidStartDate</t>
  </si>
  <si>
    <t>Future</t>
  </si>
  <si>
    <t>FY24-Q2</t>
  </si>
  <si>
    <t>FY24-Q4</t>
  </si>
  <si>
    <t>FY25-Q2</t>
  </si>
  <si>
    <t>FY25-Q4</t>
  </si>
  <si>
    <t>Diagnosis</t>
  </si>
  <si>
    <t>oppDisplay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</si>
</sst>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72" formatCode="dd\-mmm\-yy"/>
    <numFmt numFmtId="174" formatCode="_(&quot;$&quot;* #,##0_);_(&quot;$&quot;* \(#,##0\);_(&quot;$&quot;* &quot;-&quot;??_);_(@_)"/>
    <numFmt numFmtId="175" formatCode="&quot;$&quot;\ #.0&quot;k&quot;"/>
    <numFmt numFmtId="176" formatCode="&quot;$&quot;\ 0.0&quot;m&quot;"/>
    <numFmt numFmtId="184" formatCode="&quot;$&quot;\ 0.00&quot;m&quot;"/>
  </numFmts>
  <fonts count="19"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3">
    <border>
      <left/>
      <right/>
      <top/>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69">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0" fillId="2" borderId="0" xfId="0" applyFill="1" applyAlignment="1">
      <alignment horizontal="left" indent="1"/>
    </xf>
    <xf numFmtId="0" fontId="6" fillId="3" borderId="0" xfId="0" applyFont="1" applyFill="1" applyAlignment="1">
      <alignment horizontal="centerContinuous"/>
    </xf>
    <xf numFmtId="0" fontId="3" fillId="3" borderId="0" xfId="0" applyFont="1" applyFill="1" applyAlignment="1">
      <alignment horizontal="centerContinuous"/>
    </xf>
    <xf numFmtId="0" fontId="3" fillId="3" borderId="0" xfId="0" applyFont="1" applyFill="1"/>
    <xf numFmtId="0" fontId="7" fillId="0" borderId="1" xfId="0" applyFont="1" applyBorder="1" applyAlignment="1">
      <alignment horizontal="center" vertical="top"/>
    </xf>
    <xf numFmtId="167" fontId="8" fillId="0" borderId="1" xfId="0" applyNumberFormat="1" applyFont="1" applyBorder="1" applyAlignment="1">
      <alignment horizontal="center"/>
    </xf>
    <xf numFmtId="1" fontId="8" fillId="0" borderId="1" xfId="0" applyNumberFormat="1" applyFont="1" applyBorder="1" applyAlignment="1">
      <alignment horizontal="center"/>
    </xf>
    <xf numFmtId="9" fontId="8" fillId="0" borderId="1" xfId="3" applyFont="1" applyBorder="1" applyAlignment="1">
      <alignment horizontal="center"/>
    </xf>
    <xf numFmtId="0" fontId="0" fillId="3" borderId="0" xfId="0" applyFill="1" applyAlignment="1">
      <alignment horizontal="centerContinuous"/>
    </xf>
    <xf numFmtId="167" fontId="8" fillId="0" borderId="2" xfId="0" applyNumberFormat="1" applyFont="1" applyBorder="1" applyAlignment="1">
      <alignment horizontal="center"/>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4" fontId="0" fillId="0" borderId="0" xfId="3" applyNumberFormat="1" applyFont="1" applyAlignment="1">
      <alignment horizontal="left" indent="1"/>
    </xf>
    <xf numFmtId="164" fontId="0" fillId="0" borderId="0" xfId="3" applyNumberFormat="1" applyFont="1" applyAlignment="1">
      <alignment horizontal="right" indent="1"/>
    </xf>
    <xf numFmtId="165" fontId="0" fillId="2" borderId="0" xfId="0" applyNumberFormat="1" applyFill="1" applyAlignment="1" applyProtection="1">
      <alignment horizontal="left" indent="2"/>
      <protection locked="0"/>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5"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7" fillId="3" borderId="0" xfId="0" applyFont="1" applyFill="1" applyAlignment="1">
      <alignment horizontal="right" indent="1"/>
    </xf>
    <xf numFmtId="0" fontId="18" fillId="0" borderId="0" xfId="0" applyFont="1"/>
    <xf numFmtId="22" fontId="0" fillId="0" borderId="0" xfId="0" applyNumberFormat="1"/>
    <xf numFmtId="0" fontId="0" fillId="0" borderId="0" xfId="0" applyAlignment="1">
      <alignment horizontal="right" vertical="top" indent="1"/>
    </xf>
    <xf numFmtId="0" fontId="2" fillId="3" borderId="0" xfId="0" applyFont="1" applyFill="1" applyAlignment="1">
      <alignment horizontal="right" vertical="center"/>
    </xf>
    <xf numFmtId="0" fontId="5" fillId="2" borderId="0" xfId="4" applyFill="1" applyAlignment="1" applyProtection="1">
      <alignment horizontal="left" vertical="center"/>
      <protection locked="0"/>
    </xf>
    <xf numFmtId="0" fontId="0" fillId="2" borderId="0" xfId="0" applyFill="1" applyAlignment="1" applyProtection="1">
      <alignment horizontal="left" vertical="center"/>
      <protection locked="0"/>
    </xf>
    <xf numFmtId="0" fontId="12" fillId="2" borderId="0" xfId="0" applyFont="1" applyFill="1" applyAlignment="1">
      <alignment horizontal="left" vertical="center"/>
    </xf>
    <xf numFmtId="0" fontId="0" fillId="0" borderId="0" xfId="0" applyNumberFormat="1"/>
    <xf numFmtId="174" fontId="0" fillId="0" borderId="0" xfId="2" applyNumberFormat="1" applyFont="1"/>
    <xf numFmtId="0" fontId="0" fillId="0" borderId="0" xfId="0" pivotButton="1"/>
    <xf numFmtId="0" fontId="0" fillId="0" borderId="0" xfId="0" applyAlignment="1">
      <alignment horizontal="left"/>
    </xf>
    <xf numFmtId="174" fontId="0" fillId="0" borderId="0" xfId="0" applyNumberFormat="1"/>
    <xf numFmtId="175" fontId="0" fillId="0" borderId="0" xfId="0" applyNumberFormat="1" applyAlignment="1">
      <alignment horizontal="left"/>
    </xf>
    <xf numFmtId="176" fontId="0" fillId="0" borderId="0" xfId="0" applyNumberFormat="1"/>
    <xf numFmtId="0" fontId="0" fillId="0" borderId="0" xfId="0" applyAlignment="1">
      <alignment horizontal="left" indent="2"/>
    </xf>
    <xf numFmtId="0" fontId="2" fillId="3" borderId="0" xfId="0" applyFont="1" applyFill="1" applyAlignment="1">
      <alignment horizontal="left"/>
    </xf>
    <xf numFmtId="0" fontId="2" fillId="3" borderId="0" xfId="0" applyFont="1" applyFill="1" applyAlignment="1">
      <alignment horizontal="centerContinuous" vertical="center"/>
    </xf>
    <xf numFmtId="0" fontId="6" fillId="3" borderId="0" xfId="0" applyFont="1" applyFill="1" applyAlignment="1">
      <alignment horizontal="centerContinuous" vertical="center"/>
    </xf>
    <xf numFmtId="0" fontId="7" fillId="0" borderId="2" xfId="0" applyFont="1" applyBorder="1" applyAlignment="1">
      <alignment horizontal="center" vertical="top"/>
    </xf>
    <xf numFmtId="0" fontId="0" fillId="0" borderId="0" xfId="0" applyBorder="1"/>
    <xf numFmtId="2" fontId="2" fillId="3" borderId="0" xfId="0" applyNumberFormat="1" applyFont="1" applyFill="1" applyAlignment="1">
      <alignment horizontal="left"/>
    </xf>
    <xf numFmtId="184" fontId="0" fillId="0" borderId="0" xfId="0" applyNumberFormat="1"/>
    <xf numFmtId="0" fontId="2" fillId="3" borderId="0" xfId="0" applyNumberFormat="1" applyFont="1" applyFill="1" applyAlignment="1">
      <alignment horizontal="left"/>
    </xf>
    <xf numFmtId="44" fontId="0" fillId="0" borderId="0" xfId="2" applyFont="1" applyAlignment="1">
      <alignment horizontal="left" indent="1"/>
    </xf>
    <xf numFmtId="0" fontId="0" fillId="0" borderId="0" xfId="0" applyAlignment="1">
      <alignment horizontal="left" indent="3"/>
    </xf>
  </cellXfs>
  <cellStyles count="5">
    <cellStyle name="Comma" xfId="1" builtinId="3"/>
    <cellStyle name="Currency" xfId="2" builtinId="4"/>
    <cellStyle name="Hyperlink" xfId="4" builtinId="8"/>
    <cellStyle name="Normal" xfId="0" builtinId="0"/>
    <cellStyle name="Percent" xfId="3" builtinId="5"/>
  </cellStyles>
  <dxfs count="246">
    <dxf>
      <numFmt numFmtId="175" formatCode="&quot;$&quot;\ #.0&quot;k&quot;"/>
    </dxf>
    <dxf>
      <numFmt numFmtId="176" formatCode="&quot;$&quot;\ 0.0&quot;m&quo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numFmt numFmtId="0" formatCode="General"/>
      <fill>
        <patternFill patternType="solid">
          <fgColor indexed="64"/>
          <bgColor rgb="FF660000"/>
        </patternFill>
      </fill>
    </dxf>
    <dxf>
      <font>
        <b/>
        <color theme="0"/>
      </font>
      <numFmt numFmtId="0" formatCode="General"/>
      <fill>
        <patternFill patternType="solid">
          <fgColor indexed="64"/>
          <bgColor rgb="FF660000"/>
        </patternFill>
      </fill>
    </dxf>
    <dxf>
      <numFmt numFmtId="184" formatCode="&quot;$&quot;\ 0.00&quot;m&quot;"/>
    </dxf>
    <dxf>
      <numFmt numFmtId="0" formatCode="General"/>
      <alignment horizontal="left"/>
    </dxf>
    <dxf>
      <numFmt numFmtId="2" formatCode="0.00"/>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top" textRotation="0" wrapText="0" indent="1"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numFmt numFmtId="27" formatCode="m/d/yyyy\ h:mm"/>
    </dxf>
    <dxf>
      <numFmt numFmtId="27" formatCode="m/d/yyyy\ h:mm"/>
    </dxf>
    <dxf>
      <numFmt numFmtId="174" formatCode="_(&quot;$&quot;* #,##0_);_(&quot;$&quot;* \(#,##0\);_(&quot;$&quot;* &quot;-&quot;??_);_(@_)"/>
    </dxf>
    <dxf>
      <numFmt numFmtId="174" formatCode="_(&quot;$&quot;* #,##0_);_(&quot;$&quot;* \(#,##0\);_(&quot;$&quot;* &quot;-&quot;??_);_(@_)"/>
    </dxf>
    <dxf>
      <numFmt numFmtId="174" formatCode="_(&quot;$&quot;* #,##0_);_(&quot;$&quot;* \(#,##0\);_(&quot;$&quot;* &quot;-&quot;??_);_(@_)"/>
    </dxf>
    <dxf>
      <numFmt numFmtId="174" formatCode="_(&quot;$&quot;* #,##0_);_(&quot;$&quot;* \(#,##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4" formatCode="_(&quot;$&quot;* #,##0_);_(&quot;$&quot;* \(#,##0\);_(&quot;$&quot;* &quot;-&quot;??_);_(@_)"/>
    </dxf>
    <dxf>
      <numFmt numFmtId="174" formatCode="_(&quot;$&quot;* #,##0_);_(&quot;$&quot;* \(#,##0\);_(&quot;$&quot;* &quot;-&quot;??_);_(@_)"/>
    </dxf>
    <dxf>
      <numFmt numFmtId="0" formatCode="General"/>
    </dxf>
    <dxf>
      <numFmt numFmtId="0" formatCode="General"/>
    </dxf>
    <dxf>
      <numFmt numFmtId="19" formatCode="m/d/yyyy"/>
    </dxf>
    <dxf>
      <numFmt numFmtId="27" formatCode="m/d/yyyy\ h:mm"/>
    </dxf>
    <dxf>
      <numFmt numFmtId="27" formatCode="m/d/yyyy\ h:mm"/>
    </dxf>
    <dxf>
      <numFmt numFmtId="27" formatCode="m/d/yyyy\ h:mm"/>
    </dxf>
    <dxf>
      <numFmt numFmtId="175" formatCode="&quot;$&quot;\ #.0&quot;k&quot;"/>
    </dxf>
    <dxf>
      <numFmt numFmtId="176" formatCode="&quot;$&quot;\ 0.0&quot;m&quo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numFmt numFmtId="0" formatCode="General"/>
      <fill>
        <patternFill patternType="solid">
          <fgColor indexed="64"/>
          <bgColor rgb="FF660000"/>
        </patternFill>
      </fill>
    </dxf>
    <dxf>
      <font>
        <b/>
        <color theme="0"/>
      </font>
      <numFmt numFmtId="0" formatCode="General"/>
      <fill>
        <patternFill patternType="solid">
          <fgColor indexed="64"/>
          <bgColor rgb="FF660000"/>
        </patternFill>
      </fill>
    </dxf>
    <dxf>
      <numFmt numFmtId="184" formatCode="&quot;$&quot;\ 0.00&quot;m&quot;"/>
    </dxf>
    <dxf>
      <numFmt numFmtId="0" formatCode="General"/>
      <alignment horizontal="left"/>
    </dxf>
    <dxf>
      <numFmt numFmtId="2" formatCode="0.00"/>
    </dxf>
    <dxf>
      <numFmt numFmtId="0" formatCode="General"/>
    </dxf>
    <dxf>
      <border>
        <left style="thin">
          <color auto="1"/>
        </left>
        <vertical/>
        <horizontal/>
      </border>
    </dxf>
    <dxf>
      <font>
        <color theme="4"/>
      </font>
      <border>
        <left style="thin">
          <color auto="1"/>
        </left>
      </border>
    </dxf>
    <dxf>
      <font>
        <color theme="4"/>
      </font>
      <border>
        <left style="thin">
          <color auto="1"/>
        </left>
      </border>
    </dxf>
    <dxf>
      <font>
        <color theme="4"/>
      </font>
      <border>
        <left style="thin">
          <color auto="1"/>
        </left>
      </border>
    </dxf>
    <dxf>
      <font>
        <color theme="4"/>
      </font>
      <border>
        <left style="thin">
          <color auto="1"/>
        </left>
      </border>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color theme="6"/>
      </font>
    </dxf>
    <dxf>
      <font>
        <color rgb="FF660000"/>
      </font>
    </dxf>
    <dxf>
      <font>
        <color theme="5" tint="-0.24994659260841701"/>
      </font>
    </dxf>
    <dxf>
      <fill>
        <patternFill>
          <bgColor theme="6" tint="0.79998168889431442"/>
        </patternFill>
      </fill>
    </dxf>
    <dxf>
      <font>
        <color rgb="FF660000"/>
      </font>
      <fill>
        <patternFill>
          <bgColor rgb="FFFFABAB"/>
        </patternFill>
      </fill>
    </dxf>
    <dxf>
      <fill>
        <patternFill>
          <bgColor theme="5" tint="0.79998168889431442"/>
        </patternFill>
      </fill>
    </dxf>
    <dxf>
      <numFmt numFmtId="175" formatCode="&quot;$&quot;\ #.0&quot;k&quot;"/>
    </dxf>
    <dxf>
      <numFmt numFmtId="176" formatCode="&quot;$&quot;\ 0.0&quot;m&quo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numFmt numFmtId="0" formatCode="General"/>
      <fill>
        <patternFill patternType="solid">
          <fgColor indexed="64"/>
          <bgColor rgb="FF660000"/>
        </patternFill>
      </fill>
    </dxf>
    <dxf>
      <font>
        <b/>
        <color theme="0"/>
      </font>
      <numFmt numFmtId="0" formatCode="General"/>
      <fill>
        <patternFill patternType="solid">
          <fgColor indexed="64"/>
          <bgColor rgb="FF660000"/>
        </patternFill>
      </fill>
    </dxf>
    <dxf>
      <numFmt numFmtId="184" formatCode="&quot;$&quot;\ 0.00&quot;m&quot;"/>
    </dxf>
    <dxf>
      <numFmt numFmtId="0" formatCode="General"/>
      <alignment horizontal="left"/>
    </dxf>
    <dxf>
      <numFmt numFmtId="2" formatCode="0.00"/>
    </dxf>
    <dxf>
      <numFmt numFmtId="175" formatCode="&quot;$&quot;\ #.0&quot;k&quot;"/>
    </dxf>
    <dxf>
      <numFmt numFmtId="176" formatCode="&quot;$&quot;\ 0.0&quot;m&quo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numFmt numFmtId="0" formatCode="General"/>
      <fill>
        <patternFill patternType="solid">
          <fgColor indexed="64"/>
          <bgColor rgb="FF660000"/>
        </patternFill>
      </fill>
    </dxf>
    <dxf>
      <font>
        <b/>
        <color theme="0"/>
      </font>
      <numFmt numFmtId="0" formatCode="General"/>
      <fill>
        <patternFill patternType="solid">
          <fgColor indexed="64"/>
          <bgColor rgb="FF660000"/>
        </patternFill>
      </fill>
    </dxf>
    <dxf>
      <numFmt numFmtId="184" formatCode="&quot;$&quot;\ 0.00&quot;m&quot;"/>
    </dxf>
    <dxf>
      <numFmt numFmtId="0" formatCode="General"/>
      <alignment horizontal="left"/>
    </dxf>
    <dxf>
      <numFmt numFmtId="2" formatCode="0.00"/>
    </dxf>
    <dxf>
      <numFmt numFmtId="175" formatCode="&quot;$&quot;\ #.0&quot;k&quot;"/>
    </dxf>
    <dxf>
      <numFmt numFmtId="176" formatCode="&quot;$&quot;\ 0.0&quot;m&quo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numFmt numFmtId="0" formatCode="General"/>
      <fill>
        <patternFill patternType="solid">
          <fgColor indexed="64"/>
          <bgColor rgb="FF660000"/>
        </patternFill>
      </fill>
    </dxf>
    <dxf>
      <font>
        <b/>
        <color theme="0"/>
      </font>
      <numFmt numFmtId="0" formatCode="General"/>
      <fill>
        <patternFill patternType="solid">
          <fgColor indexed="64"/>
          <bgColor rgb="FF660000"/>
        </patternFill>
      </fill>
    </dxf>
    <dxf>
      <numFmt numFmtId="184" formatCode="&quot;$&quot;\ 0.00&quot;m&quot;"/>
    </dxf>
    <dxf>
      <numFmt numFmtId="0" formatCode="General"/>
      <alignment horizontal="left"/>
    </dxf>
    <dxf>
      <numFmt numFmtId="2" formatCode="0.00"/>
    </dxf>
    <dxf>
      <numFmt numFmtId="0" formatCode="General"/>
    </dxf>
    <dxf>
      <numFmt numFmtId="175" formatCode="&quot;$&quot;\ #.0&quot;k&quot;"/>
    </dxf>
    <dxf>
      <numFmt numFmtId="176" formatCode="&quot;$&quot;\ 0.0&quot;m&quo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numFmt numFmtId="0" formatCode="General"/>
      <fill>
        <patternFill patternType="solid">
          <fgColor indexed="64"/>
          <bgColor rgb="FF660000"/>
        </patternFill>
      </fill>
    </dxf>
    <dxf>
      <font>
        <b/>
        <color theme="0"/>
      </font>
      <numFmt numFmtId="0" formatCode="General"/>
      <fill>
        <patternFill patternType="solid">
          <fgColor indexed="64"/>
          <bgColor rgb="FF660000"/>
        </patternFill>
      </fill>
    </dxf>
    <dxf>
      <numFmt numFmtId="184" formatCode="&quot;$&quot;\ 0.00&quot;m&quot;"/>
    </dxf>
    <dxf>
      <numFmt numFmtId="0" formatCode="General"/>
      <alignment horizontal="left"/>
    </dxf>
    <dxf>
      <numFmt numFmtId="2" formatCode="0.00"/>
    </dxf>
    <dxf>
      <numFmt numFmtId="175" formatCode="&quot;$&quot;\ #.0&quot;k&quot;"/>
    </dxf>
    <dxf>
      <numFmt numFmtId="176" formatCode="&quot;$&quot;\ 0.0&quot;m&quo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numFmt numFmtId="0" formatCode="General"/>
      <fill>
        <patternFill patternType="solid">
          <fgColor indexed="64"/>
          <bgColor rgb="FF660000"/>
        </patternFill>
      </fill>
    </dxf>
    <dxf>
      <font>
        <b/>
        <color theme="0"/>
      </font>
      <numFmt numFmtId="0" formatCode="General"/>
      <fill>
        <patternFill patternType="solid">
          <fgColor indexed="64"/>
          <bgColor rgb="FF660000"/>
        </patternFill>
      </fill>
    </dxf>
    <dxf>
      <numFmt numFmtId="184" formatCode="&quot;$&quot;\ 0.00&quot;m&quot;"/>
    </dxf>
    <dxf>
      <numFmt numFmtId="0" formatCode="General"/>
      <alignment horizontal="left"/>
    </dxf>
    <dxf>
      <numFmt numFmtId="2" formatCode="0.00"/>
    </dxf>
    <dxf>
      <numFmt numFmtId="175" formatCode="&quot;$&quot;\ #.0&quot;k&quot;"/>
    </dxf>
    <dxf>
      <numFmt numFmtId="176" formatCode="&quot;$&quot;\ 0.0&quot;m&quo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numFmt numFmtId="0" formatCode="General"/>
      <fill>
        <patternFill patternType="solid">
          <fgColor indexed="64"/>
          <bgColor rgb="FF660000"/>
        </patternFill>
      </fill>
    </dxf>
    <dxf>
      <font>
        <b/>
        <color theme="0"/>
      </font>
      <numFmt numFmtId="0" formatCode="General"/>
      <fill>
        <patternFill patternType="solid">
          <fgColor indexed="64"/>
          <bgColor rgb="FF660000"/>
        </patternFill>
      </fill>
    </dxf>
    <dxf>
      <numFmt numFmtId="184" formatCode="&quot;$&quot;\ 0.00&quot;m&quot;"/>
    </dxf>
    <dxf>
      <numFmt numFmtId="0" formatCode="General"/>
      <alignment horizontal="left"/>
    </dxf>
    <dxf>
      <numFmt numFmtId="2" formatCode="0.00"/>
    </dxf>
    <dxf>
      <numFmt numFmtId="175" formatCode="&quot;$&quot;\ #.0&quot;k&quot;"/>
    </dxf>
    <dxf>
      <numFmt numFmtId="176" formatCode="&quot;$&quot;\ 0.0&quot;m&quo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numFmt numFmtId="0" formatCode="General"/>
      <fill>
        <patternFill patternType="solid">
          <fgColor indexed="64"/>
          <bgColor rgb="FF660000"/>
        </patternFill>
      </fill>
    </dxf>
    <dxf>
      <font>
        <b/>
        <color theme="0"/>
      </font>
      <numFmt numFmtId="0" formatCode="General"/>
      <fill>
        <patternFill patternType="solid">
          <fgColor indexed="64"/>
          <bgColor rgb="FF660000"/>
        </patternFill>
      </fill>
    </dxf>
    <dxf>
      <numFmt numFmtId="184" formatCode="&quot;$&quot;\ 0.00&quot;m&quot;"/>
    </dxf>
    <dxf>
      <numFmt numFmtId="0" formatCode="General"/>
      <alignment horizontal="left"/>
    </dxf>
    <dxf>
      <numFmt numFmtId="2" formatCode="0.00"/>
    </dxf>
    <dxf>
      <font>
        <strike val="0"/>
        <outline val="0"/>
        <shadow val="0"/>
        <u val="none"/>
        <vertAlign val="baseline"/>
        <sz val="11"/>
        <color theme="1" tint="0.499984740745262"/>
        <name val="Aptos Narrow"/>
        <family val="2"/>
        <scheme val="minor"/>
      </font>
    </dxf>
    <dxf>
      <numFmt numFmtId="2" formatCode="0.00"/>
    </dxf>
    <dxf>
      <numFmt numFmtId="0" formatCode="General"/>
      <alignment horizontal="left"/>
    </dxf>
    <dxf>
      <numFmt numFmtId="0" formatCode="General"/>
    </dxf>
    <dxf>
      <numFmt numFmtId="184" formatCode="&quot;$&quot;\ 0.00&quot;m&quot;"/>
    </dxf>
    <dxf>
      <font>
        <b/>
        <color theme="0"/>
      </font>
      <numFmt numFmtId="0" formatCode="General"/>
      <fill>
        <patternFill patternType="solid">
          <fgColor indexed="64"/>
          <bgColor rgb="FF660000"/>
        </patternFill>
      </fill>
    </dxf>
    <dxf>
      <font>
        <b/>
        <color theme="0"/>
      </font>
      <numFmt numFmtId="0" formatCode="General"/>
      <fill>
        <patternFill patternType="solid">
          <fgColor indexed="64"/>
          <bgColor rgb="FF660000"/>
        </patternFill>
      </fill>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i val="0"/>
        <strike val="0"/>
        <condense val="0"/>
        <extend val="0"/>
        <outline val="0"/>
        <shadow val="0"/>
        <u val="none"/>
        <vertAlign val="baseline"/>
        <sz val="11"/>
        <color theme="0"/>
        <name val="Aptos Narrow"/>
        <family val="2"/>
        <scheme val="minor"/>
      </font>
      <fill>
        <patternFill patternType="solid">
          <fgColor indexed="64"/>
          <bgColor rgb="FF660000"/>
        </patternFill>
      </fill>
      <alignment horizontal="left" vertical="bottom" textRotation="0" wrapText="0"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indexed="64"/>
          <bgColor rgb="FF660000"/>
        </patternFill>
      </fill>
      <alignment horizontal="left" vertical="bottom" textRotation="0" wrapText="0" indent="0" justifyLastLine="0" shrinkToFit="0" readingOrder="0"/>
    </dxf>
    <dxf>
      <numFmt numFmtId="176" formatCode="&quot;$&quot;\ 0.0&quot;m&quot;"/>
    </dxf>
    <dxf>
      <numFmt numFmtId="175" formatCode="&quot;$&quot;\ #.0&quot;k&quot;"/>
    </dxf>
    <dxf>
      <font>
        <b/>
        <i val="0"/>
        <color theme="0"/>
      </font>
      <fill>
        <patternFill>
          <bgColor rgb="FF660000"/>
        </patternFill>
      </fill>
    </dxf>
    <dxf>
      <font>
        <b/>
        <i val="0"/>
      </font>
      <fill>
        <patternFill>
          <bgColor theme="2"/>
        </patternFill>
      </fill>
    </dxf>
    <dxf>
      <fill>
        <patternFill>
          <bgColor theme="2"/>
        </patternFill>
      </fill>
    </dxf>
    <dxf>
      <fill>
        <patternFill>
          <bgColor theme="2"/>
        </patternFill>
      </fill>
    </dxf>
    <dxf>
      <font>
        <b/>
        <i val="0"/>
        <color theme="0"/>
      </font>
      <fill>
        <patternFill>
          <bgColor rgb="FF660000"/>
        </patternFill>
      </fill>
    </dxf>
    <dxf>
      <font>
        <b/>
        <i val="0"/>
        <color theme="0"/>
      </font>
      <fill>
        <patternFill>
          <bgColor rgb="FF660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protection locked="0" hidden="0"/>
    </dxf>
    <dxf>
      <alignment horizontal="right" vertical="bottom" textRotation="0" wrapText="0" indent="0" justifyLastLine="0" shrinkToFit="0" readingOrder="0"/>
      <protection locked="0" hidden="0"/>
    </dxf>
    <dxf>
      <protection locked="0" hidden="0"/>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numFmt numFmtId="0" formatCode="General"/>
    </dxf>
    <dxf>
      <numFmt numFmtId="0" formatCode="General"/>
    </dxf>
  </dxfs>
  <tableStyles count="1" defaultTableStyle="TableStyleMedium2" defaultPivotStyle="funnelerAuto">
    <tableStyle name="funnelerAuto" table="0" count="6" xr9:uid="{E40153B5-9FDC-4D6C-BFEE-C86A7968703B}">
      <tableStyleElement type="headerRow" dxfId="219"/>
      <tableStyleElement type="totalRow" dxfId="218"/>
      <tableStyleElement type="firstRowStripe" dxfId="217"/>
      <tableStyleElement type="firstSubtotalColumn" dxfId="216"/>
      <tableStyleElement type="firstRowSubheading" dxfId="215"/>
      <tableStyleElement type="pageFieldLabels" dxfId="214"/>
    </tableStyle>
  </tableStyles>
  <colors>
    <mruColors>
      <color rgb="FF660000"/>
      <color rgb="FFFF7D7D"/>
      <color rgb="FFFFABAB"/>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u="none" strike="noStrike" kern="1200" spc="0" baseline="0">
                <a:solidFill>
                  <a:sysClr val="windowText" lastClr="000000">
                    <a:lumMod val="65000"/>
                    <a:lumOff val="35000"/>
                  </a:sysClr>
                </a:solidFill>
              </a:rPr>
              <a:t>18 month Pipeline</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graphics!$I$3:$N$3</c:f>
              <c:numCache>
                <c:formatCode>"$"\ #,##0.0"k"</c:formatCode>
                <c:ptCount val="6"/>
                <c:pt idx="0">
                  <c:v>7.1651319999999998</c:v>
                </c:pt>
                <c:pt idx="1">
                  <c:v>5.1743689999999996</c:v>
                </c:pt>
                <c:pt idx="2">
                  <c:v>4.9361029999999992</c:v>
                </c:pt>
                <c:pt idx="3">
                  <c:v>11.763051000000003</c:v>
                </c:pt>
                <c:pt idx="4">
                  <c:v>7.7975040000000009</c:v>
                </c:pt>
                <c:pt idx="5">
                  <c:v>9.2597330000000007</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graphics!$I$4:$N$4</c:f>
              <c:numCache>
                <c:formatCode>"$"\ #,##0.0"k"</c:formatCode>
                <c:ptCount val="6"/>
                <c:pt idx="0">
                  <c:v>2.8888832999999994</c:v>
                </c:pt>
                <c:pt idx="1">
                  <c:v>1.9402921000000002</c:v>
                </c:pt>
                <c:pt idx="2">
                  <c:v>1.8441901000000001</c:v>
                </c:pt>
                <c:pt idx="3">
                  <c:v>6.3651618000000019</c:v>
                </c:pt>
                <c:pt idx="4">
                  <c:v>4.7055840000000009</c:v>
                </c:pt>
                <c:pt idx="5">
                  <c:v>4.8825525000000001</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FY26-Q3</c:v>
                </c:pt>
                <c:pt idx="1">
                  <c:v>FY26-Q4</c:v>
                </c:pt>
                <c:pt idx="2">
                  <c:v>FY27-Q1</c:v>
                </c:pt>
                <c:pt idx="3">
                  <c:v>FY27-Q2</c:v>
                </c:pt>
                <c:pt idx="4">
                  <c:v>FY27-Q3</c:v>
                </c:pt>
                <c:pt idx="5">
                  <c:v>FY27-Q4</c:v>
                </c:pt>
              </c:strCache>
            </c:strRef>
          </c:cat>
          <c:val>
            <c:numRef>
              <c:f>graphics!$I$2:$N$2</c:f>
              <c:numCache>
                <c:formatCode>General</c:formatCode>
                <c:ptCount val="6"/>
                <c:pt idx="0">
                  <c:v>6</c:v>
                </c:pt>
                <c:pt idx="1">
                  <c:v>4</c:v>
                </c:pt>
                <c:pt idx="2">
                  <c:v>5</c:v>
                </c:pt>
                <c:pt idx="3">
                  <c:v>9</c:v>
                </c:pt>
                <c:pt idx="4">
                  <c:v>5</c:v>
                </c:pt>
                <c:pt idx="5">
                  <c:v>8</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12 month Risk-to-Revenue</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graphics!$AH$1:$AL$1</c:f>
              <c:strCache>
                <c:ptCount val="5"/>
                <c:pt idx="0">
                  <c:v>FY24-Q2</c:v>
                </c:pt>
                <c:pt idx="1">
                  <c:v>FY24-Q4</c:v>
                </c:pt>
                <c:pt idx="2">
                  <c:v>FY25-Q2</c:v>
                </c:pt>
                <c:pt idx="3">
                  <c:v>FY25-Q4</c:v>
                </c:pt>
                <c:pt idx="4">
                  <c:v>FY26-Q2</c:v>
                </c:pt>
              </c:strCache>
            </c:strRef>
          </c:cat>
          <c:val>
            <c:numRef>
              <c:f>graphics!$AH$2:$AL$2</c:f>
              <c:numCache>
                <c:formatCode>"$"\ 0.0"m"</c:formatCode>
                <c:ptCount val="5"/>
                <c:pt idx="0">
                  <c:v>0</c:v>
                </c:pt>
                <c:pt idx="1">
                  <c:v>0</c:v>
                </c:pt>
                <c:pt idx="2">
                  <c:v>0</c:v>
                </c:pt>
                <c:pt idx="3">
                  <c:v>0</c:v>
                </c:pt>
                <c:pt idx="4">
                  <c:v>0</c:v>
                </c:pt>
              </c:numCache>
            </c:numRef>
          </c:val>
          <c:extLst>
            <c:ext xmlns:c16="http://schemas.microsoft.com/office/drawing/2014/chart" uri="{C3380CC4-5D6E-409C-BE32-E72D297353CC}">
              <c16:uniqueId val="{00000000-2103-453C-A5E5-413FE4AABD6A}"/>
            </c:ext>
          </c:extLst>
        </c:ser>
        <c:ser>
          <c:idx val="1"/>
          <c:order val="1"/>
          <c:tx>
            <c:strRef>
              <c:f>graphics!$AG$3</c:f>
              <c:strCache>
                <c:ptCount val="1"/>
                <c:pt idx="0">
                  <c:v>At Risk</c:v>
                </c:pt>
              </c:strCache>
            </c:strRef>
          </c:tx>
          <c:spPr>
            <a:solidFill>
              <a:schemeClr val="accent2">
                <a:lumMod val="40000"/>
                <a:lumOff val="60000"/>
              </a:schemeClr>
            </a:solidFill>
            <a:ln>
              <a:noFill/>
            </a:ln>
            <a:effectLst/>
          </c:spPr>
          <c:invertIfNegative val="0"/>
          <c:cat>
            <c:strRef>
              <c:f>graphics!$AH$1:$AL$1</c:f>
              <c:strCache>
                <c:ptCount val="5"/>
                <c:pt idx="0">
                  <c:v>FY24-Q2</c:v>
                </c:pt>
                <c:pt idx="1">
                  <c:v>FY24-Q4</c:v>
                </c:pt>
                <c:pt idx="2">
                  <c:v>FY25-Q2</c:v>
                </c:pt>
                <c:pt idx="3">
                  <c:v>FY25-Q4</c:v>
                </c:pt>
                <c:pt idx="4">
                  <c:v>FY26-Q2</c:v>
                </c:pt>
              </c:strCache>
            </c:strRef>
          </c:cat>
          <c:val>
            <c:numRef>
              <c:f>graphics!$AH$3:$AL$3</c:f>
              <c:numCache>
                <c:formatCode>"$"\ 0.0"m"</c:formatCode>
                <c:ptCount val="5"/>
                <c:pt idx="0">
                  <c:v>0</c:v>
                </c:pt>
                <c:pt idx="1">
                  <c:v>0</c:v>
                </c:pt>
                <c:pt idx="2">
                  <c:v>0</c:v>
                </c:pt>
                <c:pt idx="3">
                  <c:v>0</c:v>
                </c:pt>
                <c:pt idx="4">
                  <c:v>0</c:v>
                </c:pt>
              </c:numCache>
            </c:numRef>
          </c:val>
          <c:extLst>
            <c:ext xmlns:c16="http://schemas.microsoft.com/office/drawing/2014/chart" uri="{C3380CC4-5D6E-409C-BE32-E72D297353CC}">
              <c16:uniqueId val="{00000001-2103-453C-A5E5-413FE4AABD6A}"/>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graphics!$AH$1:$AL$1</c:f>
              <c:strCache>
                <c:ptCount val="5"/>
                <c:pt idx="0">
                  <c:v>FY24-Q2</c:v>
                </c:pt>
                <c:pt idx="1">
                  <c:v>FY24-Q4</c:v>
                </c:pt>
                <c:pt idx="2">
                  <c:v>FY25-Q2</c:v>
                </c:pt>
                <c:pt idx="3">
                  <c:v>FY25-Q4</c:v>
                </c:pt>
                <c:pt idx="4">
                  <c:v>FY26-Q2</c:v>
                </c:pt>
              </c:strCache>
            </c:strRef>
          </c:cat>
          <c:val>
            <c:numRef>
              <c:f>graphics!$AH$4:$AL$4</c:f>
              <c:numCache>
                <c:formatCode>"$"\ 0.0"m"</c:formatCode>
                <c:ptCount val="5"/>
                <c:pt idx="0">
                  <c:v>0.14318400000000001</c:v>
                </c:pt>
                <c:pt idx="1">
                  <c:v>0.14318400000000001</c:v>
                </c:pt>
                <c:pt idx="2">
                  <c:v>0.14318400000000001</c:v>
                </c:pt>
                <c:pt idx="3">
                  <c:v>0.26863424999999996</c:v>
                </c:pt>
                <c:pt idx="4">
                  <c:v>0.26863424999999996</c:v>
                </c:pt>
              </c:numCache>
            </c:numRef>
          </c:val>
          <c:extLst>
            <c:ext xmlns:c16="http://schemas.microsoft.com/office/drawing/2014/chart" uri="{C3380CC4-5D6E-409C-BE32-E72D297353CC}">
              <c16:uniqueId val="{00000002-2103-453C-A5E5-413FE4AABD6A}"/>
            </c:ext>
          </c:extLst>
        </c:ser>
        <c:dLbls>
          <c:showLegendKey val="0"/>
          <c:showVal val="0"/>
          <c:showCatName val="0"/>
          <c:showSerName val="0"/>
          <c:showPercent val="0"/>
          <c:showBubbleSize val="0"/>
        </c:dLbls>
        <c:gapWidth val="150"/>
        <c:overlap val="100"/>
        <c:axId val="1106494527"/>
        <c:axId val="1106495007"/>
      </c:barChart>
      <c:catAx>
        <c:axId val="1106494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5007"/>
        <c:crosses val="autoZero"/>
        <c:auto val="1"/>
        <c:lblAlgn val="ctr"/>
        <c:lblOffset val="100"/>
        <c:noMultiLvlLbl val="0"/>
      </c:catAx>
      <c:valAx>
        <c:axId val="11064950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4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 Auto deployed.xlsx]⚡Risk Report !PivotTable2</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20000"/>
              <a:lumOff val="8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lumMod val="20000"/>
              <a:lumOff val="8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7D7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66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'⚡Risk Report '!$C$2:$C$3</c:f>
              <c:strCache>
                <c:ptCount val="1"/>
                <c:pt idx="0">
                  <c:v>Critical</c:v>
                </c:pt>
              </c:strCache>
            </c:strRef>
          </c:tx>
          <c:spPr>
            <a:solidFill>
              <a:srgbClr val="660000"/>
            </a:solidFill>
            <a:ln>
              <a:noFill/>
            </a:ln>
            <a:effectLst/>
          </c:spPr>
          <c:invertIfNegative val="0"/>
          <c:cat>
            <c:strRef>
              <c:f>'⚡Risk Report '!$B$4:$B$10</c:f>
              <c:strCache>
                <c:ptCount val="6"/>
                <c:pt idx="0">
                  <c:v>FY26-Q2</c:v>
                </c:pt>
                <c:pt idx="1">
                  <c:v>FY26-Q3</c:v>
                </c:pt>
                <c:pt idx="2">
                  <c:v>FY26-Q4</c:v>
                </c:pt>
                <c:pt idx="3">
                  <c:v>FY27-Q1</c:v>
                </c:pt>
                <c:pt idx="4">
                  <c:v>FY27-Q2</c:v>
                </c:pt>
                <c:pt idx="5">
                  <c:v>FY27-Q3</c:v>
                </c:pt>
              </c:strCache>
            </c:strRef>
          </c:cat>
          <c:val>
            <c:numRef>
              <c:f>'⚡Risk Report '!$C$4:$C$10</c:f>
              <c:numCache>
                <c:formatCode>"$"\ 0.00"m"</c:formatCode>
                <c:ptCount val="6"/>
                <c:pt idx="2">
                  <c:v>0.12624688888888888</c:v>
                </c:pt>
                <c:pt idx="3">
                  <c:v>0.2322852</c:v>
                </c:pt>
                <c:pt idx="4">
                  <c:v>0.12624688888888888</c:v>
                </c:pt>
              </c:numCache>
            </c:numRef>
          </c:val>
          <c:extLst>
            <c:ext xmlns:c16="http://schemas.microsoft.com/office/drawing/2014/chart" uri="{C3380CC4-5D6E-409C-BE32-E72D297353CC}">
              <c16:uniqueId val="{00000000-ABEE-472E-9C98-6D9474A9AA69}"/>
            </c:ext>
          </c:extLst>
        </c:ser>
        <c:ser>
          <c:idx val="1"/>
          <c:order val="1"/>
          <c:tx>
            <c:strRef>
              <c:f>'⚡Risk Report '!$D$2:$D$3</c:f>
              <c:strCache>
                <c:ptCount val="1"/>
                <c:pt idx="0">
                  <c:v>At Risk</c:v>
                </c:pt>
              </c:strCache>
            </c:strRef>
          </c:tx>
          <c:spPr>
            <a:solidFill>
              <a:schemeClr val="accent2">
                <a:lumMod val="20000"/>
                <a:lumOff val="80000"/>
              </a:schemeClr>
            </a:solidFill>
            <a:ln>
              <a:noFill/>
            </a:ln>
            <a:effectLst/>
          </c:spPr>
          <c:invertIfNegative val="0"/>
          <c:cat>
            <c:strRef>
              <c:f>'⚡Risk Report '!$B$4:$B$10</c:f>
              <c:strCache>
                <c:ptCount val="6"/>
                <c:pt idx="0">
                  <c:v>FY26-Q2</c:v>
                </c:pt>
                <c:pt idx="1">
                  <c:v>FY26-Q3</c:v>
                </c:pt>
                <c:pt idx="2">
                  <c:v>FY26-Q4</c:v>
                </c:pt>
                <c:pt idx="3">
                  <c:v>FY27-Q1</c:v>
                </c:pt>
                <c:pt idx="4">
                  <c:v>FY27-Q2</c:v>
                </c:pt>
                <c:pt idx="5">
                  <c:v>FY27-Q3</c:v>
                </c:pt>
              </c:strCache>
            </c:strRef>
          </c:cat>
          <c:val>
            <c:numRef>
              <c:f>'⚡Risk Report '!$D$4:$D$10</c:f>
              <c:numCache>
                <c:formatCode>"$"\ 0.00"m"</c:formatCode>
                <c:ptCount val="6"/>
                <c:pt idx="3">
                  <c:v>0.1181605</c:v>
                </c:pt>
                <c:pt idx="4">
                  <c:v>0.40150762500000003</c:v>
                </c:pt>
              </c:numCache>
            </c:numRef>
          </c:val>
          <c:extLst>
            <c:ext xmlns:c16="http://schemas.microsoft.com/office/drawing/2014/chart" uri="{C3380CC4-5D6E-409C-BE32-E72D297353CC}">
              <c16:uniqueId val="{00000007-ABEE-472E-9C98-6D9474A9AA69}"/>
            </c:ext>
          </c:extLst>
        </c:ser>
        <c:ser>
          <c:idx val="2"/>
          <c:order val="2"/>
          <c:tx>
            <c:strRef>
              <c:f>'⚡Risk Report '!$E$2:$E$3</c:f>
              <c:strCache>
                <c:ptCount val="1"/>
                <c:pt idx="0">
                  <c:v>Active</c:v>
                </c:pt>
              </c:strCache>
            </c:strRef>
          </c:tx>
          <c:spPr>
            <a:solidFill>
              <a:schemeClr val="accent3"/>
            </a:solidFill>
            <a:ln>
              <a:noFill/>
            </a:ln>
            <a:effectLst/>
          </c:spPr>
          <c:invertIfNegative val="0"/>
          <c:cat>
            <c:strRef>
              <c:f>'⚡Risk Report '!$B$4:$B$10</c:f>
              <c:strCache>
                <c:ptCount val="6"/>
                <c:pt idx="0">
                  <c:v>FY26-Q2</c:v>
                </c:pt>
                <c:pt idx="1">
                  <c:v>FY26-Q3</c:v>
                </c:pt>
                <c:pt idx="2">
                  <c:v>FY26-Q4</c:v>
                </c:pt>
                <c:pt idx="3">
                  <c:v>FY27-Q1</c:v>
                </c:pt>
                <c:pt idx="4">
                  <c:v>FY27-Q2</c:v>
                </c:pt>
                <c:pt idx="5">
                  <c:v>FY27-Q3</c:v>
                </c:pt>
              </c:strCache>
            </c:strRef>
          </c:cat>
          <c:val>
            <c:numRef>
              <c:f>'⚡Risk Report '!$E$4:$E$10</c:f>
              <c:numCache>
                <c:formatCode>"$"\ 0.00"m"</c:formatCode>
                <c:ptCount val="6"/>
                <c:pt idx="0">
                  <c:v>0.26863424999999996</c:v>
                </c:pt>
                <c:pt idx="1">
                  <c:v>9.9351571428571428E-2</c:v>
                </c:pt>
                <c:pt idx="2">
                  <c:v>2.1935935872093024</c:v>
                </c:pt>
                <c:pt idx="3">
                  <c:v>1.51431942248062</c:v>
                </c:pt>
                <c:pt idx="4">
                  <c:v>1.583865093692741</c:v>
                </c:pt>
                <c:pt idx="5">
                  <c:v>0.42943399358974355</c:v>
                </c:pt>
              </c:numCache>
            </c:numRef>
          </c:val>
          <c:extLst>
            <c:ext xmlns:c16="http://schemas.microsoft.com/office/drawing/2014/chart" uri="{C3380CC4-5D6E-409C-BE32-E72D297353CC}">
              <c16:uniqueId val="{00000008-ABEE-472E-9C98-6D9474A9AA69}"/>
            </c:ext>
          </c:extLst>
        </c:ser>
        <c:dLbls>
          <c:showLegendKey val="0"/>
          <c:showVal val="0"/>
          <c:showCatName val="0"/>
          <c:showSerName val="0"/>
          <c:showPercent val="0"/>
          <c:showBubbleSize val="0"/>
        </c:dLbls>
        <c:gapWidth val="150"/>
        <c:overlap val="100"/>
        <c:axId val="2122360511"/>
        <c:axId val="2122360991"/>
      </c:barChart>
      <c:catAx>
        <c:axId val="2122360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360991"/>
        <c:crosses val="autoZero"/>
        <c:auto val="1"/>
        <c:lblAlgn val="ctr"/>
        <c:lblOffset val="100"/>
        <c:noMultiLvlLbl val="0"/>
      </c:catAx>
      <c:valAx>
        <c:axId val="212236099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360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graphics!$I$3:$N$3</c:f>
              <c:numCache>
                <c:formatCode>"$"\ #,##0.0"k"</c:formatCode>
                <c:ptCount val="6"/>
                <c:pt idx="0">
                  <c:v>7.1651319999999998</c:v>
                </c:pt>
                <c:pt idx="1">
                  <c:v>5.1743689999999996</c:v>
                </c:pt>
                <c:pt idx="2">
                  <c:v>4.9361029999999992</c:v>
                </c:pt>
                <c:pt idx="3">
                  <c:v>11.763051000000003</c:v>
                </c:pt>
                <c:pt idx="4">
                  <c:v>7.7975040000000009</c:v>
                </c:pt>
                <c:pt idx="5">
                  <c:v>9.2597330000000007</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graphics!$I$4:$N$4</c:f>
              <c:numCache>
                <c:formatCode>"$"\ #,##0.0"k"</c:formatCode>
                <c:ptCount val="6"/>
                <c:pt idx="0">
                  <c:v>2.8888832999999994</c:v>
                </c:pt>
                <c:pt idx="1">
                  <c:v>1.9402921000000002</c:v>
                </c:pt>
                <c:pt idx="2">
                  <c:v>1.8441901000000001</c:v>
                </c:pt>
                <c:pt idx="3">
                  <c:v>6.3651618000000019</c:v>
                </c:pt>
                <c:pt idx="4">
                  <c:v>4.7055840000000009</c:v>
                </c:pt>
                <c:pt idx="5">
                  <c:v>4.8825525000000001</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FY26-Q3</c:v>
                </c:pt>
                <c:pt idx="1">
                  <c:v>FY26-Q4</c:v>
                </c:pt>
                <c:pt idx="2">
                  <c:v>FY27-Q1</c:v>
                </c:pt>
                <c:pt idx="3">
                  <c:v>FY27-Q2</c:v>
                </c:pt>
                <c:pt idx="4">
                  <c:v>FY27-Q3</c:v>
                </c:pt>
                <c:pt idx="5">
                  <c:v>FY27-Q4</c:v>
                </c:pt>
              </c:strCache>
            </c:strRef>
          </c:cat>
          <c:val>
            <c:numRef>
              <c:f>graphics!$I$2:$N$2</c:f>
              <c:numCache>
                <c:formatCode>General</c:formatCode>
                <c:ptCount val="6"/>
                <c:pt idx="0">
                  <c:v>6</c:v>
                </c:pt>
                <c:pt idx="1">
                  <c:v>4</c:v>
                </c:pt>
                <c:pt idx="2">
                  <c:v>5</c:v>
                </c:pt>
                <c:pt idx="3">
                  <c:v>9</c:v>
                </c:pt>
                <c:pt idx="4">
                  <c:v>5</c:v>
                </c:pt>
                <c:pt idx="5">
                  <c:v>8</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8"/>
                <c:pt idx="0">
                  <c:v>FY24-Q2</c:v>
                </c:pt>
                <c:pt idx="1">
                  <c:v>FY24-Q4</c:v>
                </c:pt>
                <c:pt idx="2">
                  <c:v>FY25-Q2</c:v>
                </c:pt>
                <c:pt idx="3">
                  <c:v>FY25-Q4</c:v>
                </c:pt>
                <c:pt idx="4">
                  <c:v>FY26-Q2</c:v>
                </c:pt>
                <c:pt idx="5">
                  <c:v>FY26-Q3</c:v>
                </c:pt>
                <c:pt idx="6">
                  <c:v>FY26-Q4</c:v>
                </c:pt>
                <c:pt idx="7">
                  <c:v>FY27-Q1</c:v>
                </c:pt>
              </c:strCache>
            </c:strRef>
          </c:cat>
          <c:val>
            <c:numRef>
              <c:f>graphics!$AH$2:$AM$2</c:f>
              <c:numCache>
                <c:formatCode>"$"\ 0.0"m"</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8"/>
                <c:pt idx="0">
                  <c:v>FY24-Q2</c:v>
                </c:pt>
                <c:pt idx="1">
                  <c:v>FY24-Q4</c:v>
                </c:pt>
                <c:pt idx="2">
                  <c:v>FY25-Q2</c:v>
                </c:pt>
                <c:pt idx="3">
                  <c:v>FY25-Q4</c:v>
                </c:pt>
                <c:pt idx="4">
                  <c:v>FY26-Q2</c:v>
                </c:pt>
                <c:pt idx="5">
                  <c:v>FY26-Q3</c:v>
                </c:pt>
                <c:pt idx="6">
                  <c:v>FY26-Q4</c:v>
                </c:pt>
                <c:pt idx="7">
                  <c:v>FY27-Q1</c:v>
                </c:pt>
              </c:strCache>
            </c:strRef>
          </c:cat>
          <c:val>
            <c:numRef>
              <c:f>graphics!$AH$3:$AM$3</c:f>
              <c:numCache>
                <c:formatCode>"$"\ 0.0"m"</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8"/>
                <c:pt idx="0">
                  <c:v>FY24-Q2</c:v>
                </c:pt>
                <c:pt idx="1">
                  <c:v>FY24-Q4</c:v>
                </c:pt>
                <c:pt idx="2">
                  <c:v>FY25-Q2</c:v>
                </c:pt>
                <c:pt idx="3">
                  <c:v>FY25-Q4</c:v>
                </c:pt>
                <c:pt idx="4">
                  <c:v>FY26-Q2</c:v>
                </c:pt>
                <c:pt idx="5">
                  <c:v>FY26-Q3</c:v>
                </c:pt>
                <c:pt idx="6">
                  <c:v>FY26-Q4</c:v>
                </c:pt>
                <c:pt idx="7">
                  <c:v>FY27-Q1</c:v>
                </c:pt>
              </c:strCache>
            </c:strRef>
          </c:cat>
          <c:val>
            <c:numRef>
              <c:f>graphics!$AH$4:$AM$4</c:f>
              <c:numCache>
                <c:formatCode>"$"\ 0.0"m"</c:formatCode>
                <c:ptCount val="6"/>
                <c:pt idx="0">
                  <c:v>0.14318400000000001</c:v>
                </c:pt>
                <c:pt idx="1">
                  <c:v>0.14318400000000001</c:v>
                </c:pt>
                <c:pt idx="2">
                  <c:v>0.14318400000000001</c:v>
                </c:pt>
                <c:pt idx="3">
                  <c:v>0.26863424999999996</c:v>
                </c:pt>
                <c:pt idx="4">
                  <c:v>0.26863424999999996</c:v>
                </c:pt>
                <c:pt idx="5">
                  <c:v>9.9351571428571428E-2</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12 month Revenue Risk</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graphics!$AH$1:$AL$1</c:f>
              <c:strCache>
                <c:ptCount val="5"/>
                <c:pt idx="0">
                  <c:v>FY24-Q2</c:v>
                </c:pt>
                <c:pt idx="1">
                  <c:v>FY24-Q4</c:v>
                </c:pt>
                <c:pt idx="2">
                  <c:v>FY25-Q2</c:v>
                </c:pt>
                <c:pt idx="3">
                  <c:v>FY25-Q4</c:v>
                </c:pt>
                <c:pt idx="4">
                  <c:v>FY26-Q2</c:v>
                </c:pt>
              </c:strCache>
            </c:strRef>
          </c:cat>
          <c:val>
            <c:numRef>
              <c:f>graphics!$AH$2:$AL$2</c:f>
              <c:numCache>
                <c:formatCode>"$"\ 0.0"m"</c:formatCode>
                <c:ptCount val="5"/>
                <c:pt idx="0">
                  <c:v>0</c:v>
                </c:pt>
                <c:pt idx="1">
                  <c:v>0</c:v>
                </c:pt>
                <c:pt idx="2">
                  <c:v>0</c:v>
                </c:pt>
                <c:pt idx="3">
                  <c:v>0</c:v>
                </c:pt>
                <c:pt idx="4">
                  <c:v>0</c:v>
                </c:pt>
              </c:numCache>
            </c:numRef>
          </c:val>
          <c:extLst>
            <c:ext xmlns:c16="http://schemas.microsoft.com/office/drawing/2014/chart" uri="{C3380CC4-5D6E-409C-BE32-E72D297353CC}">
              <c16:uniqueId val="{00000000-C6A5-4013-988B-C201AA803182}"/>
            </c:ext>
          </c:extLst>
        </c:ser>
        <c:ser>
          <c:idx val="1"/>
          <c:order val="1"/>
          <c:tx>
            <c:strRef>
              <c:f>graphics!$AG$3</c:f>
              <c:strCache>
                <c:ptCount val="1"/>
                <c:pt idx="0">
                  <c:v>At Risk</c:v>
                </c:pt>
              </c:strCache>
            </c:strRef>
          </c:tx>
          <c:spPr>
            <a:solidFill>
              <a:schemeClr val="accent2">
                <a:lumMod val="40000"/>
                <a:lumOff val="60000"/>
              </a:schemeClr>
            </a:solidFill>
            <a:ln>
              <a:noFill/>
            </a:ln>
            <a:effectLst/>
          </c:spPr>
          <c:invertIfNegative val="0"/>
          <c:cat>
            <c:strRef>
              <c:f>graphics!$AH$1:$AL$1</c:f>
              <c:strCache>
                <c:ptCount val="5"/>
                <c:pt idx="0">
                  <c:v>FY24-Q2</c:v>
                </c:pt>
                <c:pt idx="1">
                  <c:v>FY24-Q4</c:v>
                </c:pt>
                <c:pt idx="2">
                  <c:v>FY25-Q2</c:v>
                </c:pt>
                <c:pt idx="3">
                  <c:v>FY25-Q4</c:v>
                </c:pt>
                <c:pt idx="4">
                  <c:v>FY26-Q2</c:v>
                </c:pt>
              </c:strCache>
            </c:strRef>
          </c:cat>
          <c:val>
            <c:numRef>
              <c:f>graphics!$AH$3:$AL$3</c:f>
              <c:numCache>
                <c:formatCode>"$"\ 0.0"m"</c:formatCode>
                <c:ptCount val="5"/>
                <c:pt idx="0">
                  <c:v>0</c:v>
                </c:pt>
                <c:pt idx="1">
                  <c:v>0</c:v>
                </c:pt>
                <c:pt idx="2">
                  <c:v>0</c:v>
                </c:pt>
                <c:pt idx="3">
                  <c:v>0</c:v>
                </c:pt>
                <c:pt idx="4">
                  <c:v>0</c:v>
                </c:pt>
              </c:numCache>
            </c:numRef>
          </c:val>
          <c:extLst>
            <c:ext xmlns:c16="http://schemas.microsoft.com/office/drawing/2014/chart" uri="{C3380CC4-5D6E-409C-BE32-E72D297353CC}">
              <c16:uniqueId val="{00000001-C6A5-4013-988B-C201AA803182}"/>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graphics!$AH$1:$AL$1</c:f>
              <c:strCache>
                <c:ptCount val="5"/>
                <c:pt idx="0">
                  <c:v>FY24-Q2</c:v>
                </c:pt>
                <c:pt idx="1">
                  <c:v>FY24-Q4</c:v>
                </c:pt>
                <c:pt idx="2">
                  <c:v>FY25-Q2</c:v>
                </c:pt>
                <c:pt idx="3">
                  <c:v>FY25-Q4</c:v>
                </c:pt>
                <c:pt idx="4">
                  <c:v>FY26-Q2</c:v>
                </c:pt>
              </c:strCache>
            </c:strRef>
          </c:cat>
          <c:val>
            <c:numRef>
              <c:f>graphics!$AH$4:$AL$4</c:f>
              <c:numCache>
                <c:formatCode>"$"\ 0.0"m"</c:formatCode>
                <c:ptCount val="5"/>
                <c:pt idx="0">
                  <c:v>0.14318400000000001</c:v>
                </c:pt>
                <c:pt idx="1">
                  <c:v>0.14318400000000001</c:v>
                </c:pt>
                <c:pt idx="2">
                  <c:v>0.14318400000000001</c:v>
                </c:pt>
                <c:pt idx="3">
                  <c:v>0.26863424999999996</c:v>
                </c:pt>
                <c:pt idx="4">
                  <c:v>0.26863424999999996</c:v>
                </c:pt>
              </c:numCache>
            </c:numRef>
          </c:val>
          <c:extLst>
            <c:ext xmlns:c16="http://schemas.microsoft.com/office/drawing/2014/chart" uri="{C3380CC4-5D6E-409C-BE32-E72D297353CC}">
              <c16:uniqueId val="{00000002-C6A5-4013-988B-C201AA803182}"/>
            </c:ext>
          </c:extLst>
        </c:ser>
        <c:dLbls>
          <c:showLegendKey val="0"/>
          <c:showVal val="0"/>
          <c:showCatName val="0"/>
          <c:showSerName val="0"/>
          <c:showPercent val="0"/>
          <c:showBubbleSize val="0"/>
        </c:dLbls>
        <c:gapWidth val="150"/>
        <c:overlap val="100"/>
        <c:axId val="1106494527"/>
        <c:axId val="1106495007"/>
      </c:barChart>
      <c:catAx>
        <c:axId val="1106494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5007"/>
        <c:crosses val="autoZero"/>
        <c:auto val="1"/>
        <c:lblAlgn val="ctr"/>
        <c:lblOffset val="100"/>
        <c:noMultiLvlLbl val="0"/>
      </c:catAx>
      <c:valAx>
        <c:axId val="11064950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4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rich>
          <a:bodyPr spcFirstLastPara="1" vertOverflow="ellipsis" horzOverflow="overflow" wrap="square" lIns="0" tIns="0" rIns="0" bIns="0" anchor="ctr" anchorCtr="1"/>
          <a:lstStyle/>
          <a:p>
            <a:pPr rtl="0">
              <a:defRPr b="1"/>
            </a:pPr>
            <a:r>
              <a:rPr lang="en-US" sz="1200" b="1" i="0" baseline="0">
                <a:effectLst/>
                <a:latin typeface="+mn-lt"/>
              </a:rPr>
              <a:t>Sales</a:t>
            </a:r>
            <a:r>
              <a:rPr lang="en-US" sz="1200" b="1" i="0" baseline="0">
                <a:effectLst/>
              </a:rPr>
              <a:t> </a:t>
            </a:r>
            <a:r>
              <a:rPr lang="en-US" sz="1200" b="1" i="0" baseline="0">
                <a:effectLst/>
                <a:latin typeface="+mn-lt"/>
              </a:rPr>
              <a:t>Funnel</a:t>
            </a:r>
            <a:endParaRPr lang="en-US" sz="1200" b="1">
              <a:effectLst/>
              <a:latin typeface="+mn-lt"/>
            </a:endParaRPr>
          </a:p>
        </cx:rich>
      </cx:tx>
    </cx:title>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absoluteAnchor>
    <xdr:pos x="2052918" y="1241425"/>
    <xdr:ext cx="1825251" cy="2228850"/>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twoCellAnchor editAs="absolute">
    <xdr:from>
      <xdr:col>0</xdr:col>
      <xdr:colOff>73025</xdr:colOff>
      <xdr:row>6</xdr:row>
      <xdr:rowOff>34925</xdr:rowOff>
    </xdr:from>
    <xdr:to>
      <xdr:col>2</xdr:col>
      <xdr:colOff>395568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1407012</xdr:colOff>
          <xdr:row>2</xdr:row>
          <xdr:rowOff>130821</xdr:rowOff>
        </xdr:from>
        <xdr:to>
          <xdr:col>13</xdr:col>
          <xdr:colOff>1826656</xdr:colOff>
          <xdr:row>4</xdr:row>
          <xdr:rowOff>188768</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50"/>
                </a:ext>
              </a:extLst>
            </xdr:cNvPicPr>
          </xdr:nvPicPr>
          <xdr:blipFill>
            <a:blip xmlns:r="http://schemas.openxmlformats.org/officeDocument/2006/relationships" r:embed="rId1"/>
            <a:srcRect/>
            <a:stretch>
              <a:fillRect/>
            </a:stretch>
          </xdr:blipFill>
          <xdr:spPr bwMode="auto">
            <a:xfrm>
              <a:off x="6531462" y="588021"/>
              <a:ext cx="8020870" cy="435772"/>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5</xdr:col>
      <xdr:colOff>434788</xdr:colOff>
      <xdr:row>27</xdr:row>
      <xdr:rowOff>73772</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a:graphicFrameLocks noChangeAspect="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64031"/>
              <a:ext cx="3657600" cy="1828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110378</xdr:colOff>
      <xdr:row>27</xdr:row>
      <xdr:rowOff>172756</xdr:rowOff>
    </xdr:from>
    <xdr:to>
      <xdr:col>5</xdr:col>
      <xdr:colOff>453091</xdr:colOff>
      <xdr:row>37</xdr:row>
      <xdr:rowOff>59203</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134471</xdr:colOff>
      <xdr:row>38</xdr:row>
      <xdr:rowOff>74706</xdr:rowOff>
    </xdr:from>
    <xdr:to>
      <xdr:col>5</xdr:col>
      <xdr:colOff>474009</xdr:colOff>
      <xdr:row>47</xdr:row>
      <xdr:rowOff>155388</xdr:rowOff>
    </xdr:to>
    <xdr:graphicFrame macro="">
      <xdr:nvGraphicFramePr>
        <xdr:cNvPr id="5" name="Chart 4">
          <a:extLst>
            <a:ext uri="{FF2B5EF4-FFF2-40B4-BE49-F238E27FC236}">
              <a16:creationId xmlns:a16="http://schemas.microsoft.com/office/drawing/2014/main" id="{7D7FE960-EF55-47C0-B717-EEAAF806FD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314"/>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3175</xdr:colOff>
      <xdr:row>11</xdr:row>
      <xdr:rowOff>69849</xdr:rowOff>
    </xdr:from>
    <xdr:to>
      <xdr:col>5</xdr:col>
      <xdr:colOff>730251</xdr:colOff>
      <xdr:row>22</xdr:row>
      <xdr:rowOff>184150</xdr:rowOff>
    </xdr:to>
    <xdr:graphicFrame macro="">
      <xdr:nvGraphicFramePr>
        <xdr:cNvPr id="4" name="Chart 3">
          <a:extLst>
            <a:ext uri="{FF2B5EF4-FFF2-40B4-BE49-F238E27FC236}">
              <a16:creationId xmlns:a16="http://schemas.microsoft.com/office/drawing/2014/main" id="{E0154994-3283-6561-FC62-6EB63C30E7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31</xdr:col>
      <xdr:colOff>377825</xdr:colOff>
      <xdr:row>4</xdr:row>
      <xdr:rowOff>155575</xdr:rowOff>
    </xdr:from>
    <xdr:to>
      <xdr:col>37</xdr:col>
      <xdr:colOff>377825</xdr:colOff>
      <xdr:row>14</xdr:row>
      <xdr:rowOff>79375</xdr:rowOff>
    </xdr:to>
    <xdr:graphicFrame macro="">
      <xdr:nvGraphicFramePr>
        <xdr:cNvPr id="3" name="Chart 2">
          <a:extLst>
            <a:ext uri="{FF2B5EF4-FFF2-40B4-BE49-F238E27FC236}">
              <a16:creationId xmlns:a16="http://schemas.microsoft.com/office/drawing/2014/main" id="{842C147D-9D65-C1BE-73BB-8404703C85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 refreshedDate="45882.643851388886" createdVersion="8" refreshedVersion="8" minRefreshableVersion="3" recordCount="579" xr:uid="{58ABC9AE-24B5-4907-8426-CC48CAEADC3D}">
  <cacheSource type="worksheet">
    <worksheetSource name="transactions"/>
  </cacheSource>
  <cacheFields count="17">
    <cacheField name="OpportunityID" numFmtId="0">
      <sharedItems containsSemiMixedTypes="0" containsString="0" containsNumber="1" containsInteger="1" minValue="1" maxValue="40"/>
    </cacheField>
    <cacheField name="CustomerId" numFmtId="0">
      <sharedItems containsSemiMixedTypes="0" containsString="0" containsNumber="1" containsInteger="1" minValue="1" maxValue="30"/>
    </cacheField>
    <cacheField name="TransactionDate" numFmtId="14">
      <sharedItems containsSemiMixedTypes="0" containsNonDate="0" containsDate="1" containsString="0" minDate="2023-06-01T00:00:00" maxDate="2033-10-22T00:00:00"/>
    </cacheField>
    <cacheField name="FQ" numFmtId="0">
      <sharedItems/>
    </cacheField>
    <cacheField name="CQ" numFmtId="0">
      <sharedItems/>
    </cacheField>
    <cacheField name="Weighted" numFmtId="174">
      <sharedItems containsSemiMixedTypes="0" containsString="0" containsNumber="1" minValue="9267.2333333333336" maxValue="801568.8"/>
    </cacheField>
    <cacheField name="UnWeighted" numFmtId="174">
      <sharedItems containsSemiMixedTypes="0" containsString="0" containsNumber="1" minValue="22679.277777777777" maxValue="1834664"/>
    </cacheField>
    <cacheField name="OpportunityStatus" numFmtId="0">
      <sharedItems count="3">
        <s v="Active"/>
        <s v="Critical"/>
        <s v="At Risk"/>
      </sharedItems>
    </cacheField>
    <cacheField name="OpportunityStage" numFmtId="0">
      <sharedItems/>
    </cacheField>
    <cacheField name="OpportunityName" numFmtId="0">
      <sharedItems count="40">
        <s v="CRM System Upgrade"/>
        <s v="Business Intelligence Solution"/>
        <s v="Environmental Monitoring Solution"/>
        <s v="Database Migration Project"/>
        <s v="Point of Sale System"/>
        <s v="Supply Chain Optimization"/>
        <s v="Cloud Migration Initiative"/>
        <s v="Safety Management System"/>
        <s v="HR Management System"/>
        <s v="Compliance Management Tool"/>
        <s v="Marketing Automation Platform"/>
        <s v="Mobile Application Development"/>
        <s v="Quality Management System"/>
        <s v="Social Media Management Tool"/>
        <s v="Fleet Management System"/>
        <s v="ERP Implementation Project"/>
        <s v="Digital Transformation Project"/>
        <s v="Customer Portal Development"/>
        <s v="Financial Planning Software"/>
        <s v="Document Management System"/>
        <s v="Inventory Management Solution"/>
        <s v="Backup &amp; Recovery System"/>
        <s v="Performance Analytics Dashboard"/>
        <s v="API Development Project"/>
        <s v="Manufacturing Automation System"/>
        <s v="Video Conferencing Solution"/>
        <s v="Cybersecurity Enhancement"/>
        <s v="Customer Service Platform"/>
        <s v="E-commerce Platform"/>
        <s v="Website Redesign Project"/>
        <s v="Security Assessment &amp; Audit"/>
        <s v="Legacy System Modernization"/>
        <s v="Training &amp; Development Program"/>
        <s v="Data Center Consolidation"/>
        <s v="Machine Learning Implementation"/>
        <s v="Workflow Automation Tool"/>
        <s v="Network Infrastructure Upgrade"/>
        <s v="Project Management Software"/>
        <s v="Healthcare Data Analytics Platform"/>
        <s v="Integration Services Project"/>
      </sharedItems>
    </cacheField>
    <cacheField name="CustomerName" numFmtId="0">
      <sharedItems count="25">
        <s v="ACME Corporation"/>
        <s v="Professional Services Group"/>
        <s v="Waste Management Co"/>
        <s v="Automotive Parts Plus"/>
        <s v="Transport Logistics"/>
        <s v="Hotel Management Group"/>
        <s v="Education First"/>
        <s v="Tech Solutions Inc"/>
        <s v="Sports &amp; Recreation"/>
        <s v="Mining Operations"/>
        <s v="Telecommunications Inc"/>
        <s v="Consulting Experts"/>
        <s v="Environmental Services"/>
        <s v="Pharmaceutical Research"/>
        <s v="Agricultural Systems"/>
        <s v="Publishing House"/>
        <s v="Construction Dynamics"/>
        <s v="Global Industries"/>
        <s v="Chemical Processing"/>
        <s v="Food Service Partners"/>
        <s v="Insurance Specialists"/>
        <s v="Real Estate Ventures"/>
        <s v="Textile Manufacturing"/>
        <s v="Security Solutions"/>
        <s v="Media Communications"/>
      </sharedItems>
    </cacheField>
    <cacheField name="Owner" numFmtId="0">
      <sharedItems count="10">
        <s v="Jennifer PM"/>
        <s v="Sarah Director"/>
        <s v="Lisa Engineer"/>
        <s v="David Specialist"/>
        <s v="Robert Analyst"/>
        <s v="Dr. Tech Advisor"/>
        <s v="Maria Coordinator"/>
        <s v="Amanda Sales"/>
        <s v="John Manager"/>
        <s v="Mike Consultant"/>
      </sharedItems>
    </cacheField>
    <cacheField name="FQDisplay" numFmtId="0">
      <sharedItems count="12">
        <s v="FY24-Q2"/>
        <s v="FY24-Q4"/>
        <s v="FY25-Q2"/>
        <s v="FY25-Q4"/>
        <s v="FY26-Q2"/>
        <s v="FY26-Q3"/>
        <s v="FY26-Q4"/>
        <s v="FY27-Q1"/>
        <s v="FY27-Q2"/>
        <s v="FY27-Q3"/>
        <s v="Out-year"/>
        <s v="FY26-Q1" u="1"/>
      </sharedItems>
    </cacheField>
    <cacheField name="$K Unweighted" numFmtId="174">
      <sharedItems containsSemiMixedTypes="0" containsString="0" containsNumber="1" minValue="22.679277777777777" maxValue="1834.664"/>
    </cacheField>
    <cacheField name="$ K Weighted" numFmtId="174">
      <sharedItems containsSemiMixedTypes="0" containsString="0" containsNumber="1" minValue="9.2672333333333334" maxValue="801.56880000000001"/>
    </cacheField>
    <cacheField name="$m Unweighted" numFmtId="174">
      <sharedItems containsSemiMixedTypes="0" containsString="0" containsNumber="1" minValue="2.2679277777777777E-2" maxValue="1.8346640000000001"/>
    </cacheField>
    <cacheField name="Future" numFmtId="174">
      <sharedItems/>
    </cacheField>
  </cacheFields>
  <extLst>
    <ext xmlns:x14="http://schemas.microsoft.com/office/spreadsheetml/2009/9/main" uri="{725AE2AE-9491-48be-B2B4-4EB974FC3084}">
      <x14:pivotCacheDefinition pivotCacheId="16801168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9">
  <r>
    <n v="21"/>
    <n v="1"/>
    <d v="2023-06-01T00:00:00"/>
    <s v="FY24-Q2"/>
    <s v="CY23-Q2"/>
    <n v="128865.60000000001"/>
    <n v="143184"/>
    <x v="0"/>
    <s v="Closeout"/>
    <x v="0"/>
    <x v="0"/>
    <x v="0"/>
    <x v="0"/>
    <n v="143.184"/>
    <n v="128.8656"/>
    <n v="0.14318400000000001"/>
    <b v="0"/>
  </r>
  <r>
    <n v="21"/>
    <n v="1"/>
    <d v="2023-12-01T00:00:00"/>
    <s v="FY24-Q4"/>
    <s v="CY23-Q4"/>
    <n v="128865.60000000001"/>
    <n v="143184"/>
    <x v="0"/>
    <s v="Closeout"/>
    <x v="0"/>
    <x v="0"/>
    <x v="0"/>
    <x v="1"/>
    <n v="143.184"/>
    <n v="128.8656"/>
    <n v="0.14318400000000001"/>
    <b v="0"/>
  </r>
  <r>
    <n v="21"/>
    <n v="1"/>
    <d v="2024-06-01T00:00:00"/>
    <s v="FY25-Q2"/>
    <s v="CY24-Q2"/>
    <n v="128865.60000000001"/>
    <n v="143184"/>
    <x v="0"/>
    <s v="Closeout"/>
    <x v="0"/>
    <x v="0"/>
    <x v="0"/>
    <x v="2"/>
    <n v="143.184"/>
    <n v="128.8656"/>
    <n v="0.14318400000000001"/>
    <b v="0"/>
  </r>
  <r>
    <n v="21"/>
    <n v="1"/>
    <d v="2024-12-01T00:00:00"/>
    <s v="FY25-Q4"/>
    <s v="CY24-Q4"/>
    <n v="128865.60000000001"/>
    <n v="143184"/>
    <x v="0"/>
    <s v="Closeout"/>
    <x v="0"/>
    <x v="0"/>
    <x v="0"/>
    <x v="3"/>
    <n v="143.184"/>
    <n v="128.8656"/>
    <n v="0.14318400000000001"/>
    <b v="0"/>
  </r>
  <r>
    <n v="8"/>
    <n v="13"/>
    <d v="2024-12-02T00:00:00"/>
    <s v="FY25-Q4"/>
    <s v="CY24-Q4"/>
    <n v="62725.125"/>
    <n v="125450.25"/>
    <x v="0"/>
    <s v="Closeout"/>
    <x v="1"/>
    <x v="1"/>
    <x v="1"/>
    <x v="3"/>
    <n v="125.45025"/>
    <n v="62.725124999999998"/>
    <n v="0.12545024999999999"/>
    <b v="0"/>
  </r>
  <r>
    <n v="21"/>
    <n v="1"/>
    <d v="2025-06-01T00:00:00"/>
    <s v="FY26-Q2"/>
    <s v="CY25-Q2"/>
    <n v="128865.60000000001"/>
    <n v="143184"/>
    <x v="0"/>
    <s v="Closeout"/>
    <x v="0"/>
    <x v="0"/>
    <x v="0"/>
    <x v="4"/>
    <n v="143.184"/>
    <n v="128.8656"/>
    <n v="0.14318400000000001"/>
    <b v="0"/>
  </r>
  <r>
    <n v="8"/>
    <n v="13"/>
    <d v="2025-06-02T00:00:00"/>
    <s v="FY26-Q2"/>
    <s v="CY25-Q2"/>
    <n v="62725.125"/>
    <n v="125450.25"/>
    <x v="0"/>
    <s v="Closeout"/>
    <x v="1"/>
    <x v="1"/>
    <x v="1"/>
    <x v="4"/>
    <n v="125.45025"/>
    <n v="62.725124999999998"/>
    <n v="0.12545024999999999"/>
    <b v="0"/>
  </r>
  <r>
    <n v="32"/>
    <n v="29"/>
    <d v="2025-10-23T00:00:00"/>
    <s v="FY26-Q3"/>
    <s v="CY25-Q4"/>
    <n v="19870.314285714288"/>
    <n v="99351.571428571435"/>
    <x v="0"/>
    <s v="Proposal"/>
    <x v="2"/>
    <x v="2"/>
    <x v="0"/>
    <x v="5"/>
    <n v="99.351571428571432"/>
    <n v="19.87031428571429"/>
    <n v="9.9351571428571428E-2"/>
    <b v="1"/>
  </r>
  <r>
    <n v="37"/>
    <n v="20"/>
    <d v="2025-11-18T00:00:00"/>
    <s v="FY26-Q4"/>
    <s v="CY25-Q4"/>
    <n v="103010.25"/>
    <n v="206020.5"/>
    <x v="0"/>
    <s v="Nurturing"/>
    <x v="3"/>
    <x v="3"/>
    <x v="2"/>
    <x v="6"/>
    <n v="206.0205"/>
    <n v="103.01025"/>
    <n v="0.2060205"/>
    <b v="1"/>
  </r>
  <r>
    <n v="23"/>
    <n v="11"/>
    <d v="2025-11-20T00:00:00"/>
    <s v="FY26-Q4"/>
    <s v="CY25-Q4"/>
    <n v="25249.37777777778"/>
    <n v="126246.88888888889"/>
    <x v="1"/>
    <s v="Negotiation"/>
    <x v="4"/>
    <x v="4"/>
    <x v="3"/>
    <x v="6"/>
    <n v="126.24688888888889"/>
    <n v="25.249377777777781"/>
    <n v="0.12624688888888888"/>
    <b v="1"/>
  </r>
  <r>
    <n v="21"/>
    <n v="1"/>
    <d v="2025-12-01T00:00:00"/>
    <s v="FY26-Q4"/>
    <s v="CY25-Q4"/>
    <n v="128865.60000000001"/>
    <n v="143184"/>
    <x v="0"/>
    <s v="Closeout"/>
    <x v="0"/>
    <x v="0"/>
    <x v="0"/>
    <x v="6"/>
    <n v="143.184"/>
    <n v="128.8656"/>
    <n v="0.14318400000000001"/>
    <b v="1"/>
  </r>
  <r>
    <n v="8"/>
    <n v="13"/>
    <d v="2025-12-02T00:00:00"/>
    <s v="FY26-Q4"/>
    <s v="CY25-Q4"/>
    <n v="62725.125"/>
    <n v="125450.25"/>
    <x v="0"/>
    <s v="Closeout"/>
    <x v="1"/>
    <x v="1"/>
    <x v="1"/>
    <x v="6"/>
    <n v="125.45025"/>
    <n v="62.725124999999998"/>
    <n v="0.12545024999999999"/>
    <b v="1"/>
  </r>
  <r>
    <n v="17"/>
    <n v="19"/>
    <d v="2025-12-09T00:00:00"/>
    <s v="FY26-Q4"/>
    <s v="CY25-Q4"/>
    <n v="9267.2333333333336"/>
    <n v="46336.166666666664"/>
    <x v="0"/>
    <s v="Negotiation"/>
    <x v="5"/>
    <x v="5"/>
    <x v="0"/>
    <x v="6"/>
    <n v="46.336166666666664"/>
    <n v="9.2672333333333334"/>
    <n v="4.6336166666666664E-2"/>
    <b v="1"/>
  </r>
  <r>
    <n v="2"/>
    <n v="10"/>
    <d v="2025-12-17T00:00:00"/>
    <s v="FY26-Q4"/>
    <s v="CY25-Q4"/>
    <n v="20720.20930232558"/>
    <n v="41440.41860465116"/>
    <x v="0"/>
    <s v="Proposal"/>
    <x v="6"/>
    <x v="6"/>
    <x v="4"/>
    <x v="6"/>
    <n v="41.440418604651157"/>
    <n v="20.720209302325578"/>
    <n v="4.1440418604651155E-2"/>
    <b v="1"/>
  </r>
  <r>
    <n v="33"/>
    <n v="3"/>
    <d v="2025-12-22T00:00:00"/>
    <s v="FY26-Q4"/>
    <s v="CY25-Q4"/>
    <n v="326376.83333333331"/>
    <n v="652753.66666666663"/>
    <x v="0"/>
    <s v="Proposal"/>
    <x v="7"/>
    <x v="7"/>
    <x v="5"/>
    <x v="6"/>
    <n v="652.75366666666662"/>
    <n v="326.37683333333331"/>
    <n v="0.65275366666666657"/>
    <b v="1"/>
  </r>
  <r>
    <n v="19"/>
    <n v="23"/>
    <d v="2026-01-01T00:00:00"/>
    <s v="FY26-Q4"/>
    <s v="CY26-Q1"/>
    <n v="801568.8"/>
    <n v="890632"/>
    <x v="0"/>
    <s v="Negotiation"/>
    <x v="8"/>
    <x v="8"/>
    <x v="6"/>
    <x v="6"/>
    <n v="890.63199999999995"/>
    <n v="801.56880000000001"/>
    <n v="0.89063199999999998"/>
    <b v="1"/>
  </r>
  <r>
    <n v="17"/>
    <n v="19"/>
    <d v="2026-01-09T00:00:00"/>
    <s v="FY26-Q4"/>
    <s v="CY26-Q1"/>
    <n v="9267.2333333333336"/>
    <n v="46336.166666666664"/>
    <x v="0"/>
    <s v="Negotiation"/>
    <x v="5"/>
    <x v="5"/>
    <x v="0"/>
    <x v="6"/>
    <n v="46.336166666666664"/>
    <n v="9.2672333333333334"/>
    <n v="4.6336166666666664E-2"/>
    <b v="1"/>
  </r>
  <r>
    <n v="2"/>
    <n v="10"/>
    <d v="2026-01-17T00:00:00"/>
    <s v="FY26-Q4"/>
    <s v="CY26-Q1"/>
    <n v="20720.20930232558"/>
    <n v="41440.41860465116"/>
    <x v="0"/>
    <s v="Proposal"/>
    <x v="6"/>
    <x v="6"/>
    <x v="4"/>
    <x v="6"/>
    <n v="41.440418604651157"/>
    <n v="20.720209302325578"/>
    <n v="4.1440418604651155E-2"/>
    <b v="1"/>
  </r>
  <r>
    <n v="17"/>
    <n v="19"/>
    <d v="2026-02-09T00:00:00"/>
    <s v="FY27-Q1"/>
    <s v="CY26-Q1"/>
    <n v="9267.2333333333336"/>
    <n v="46336.166666666664"/>
    <x v="0"/>
    <s v="Negotiation"/>
    <x v="5"/>
    <x v="5"/>
    <x v="0"/>
    <x v="7"/>
    <n v="46.336166666666664"/>
    <n v="9.2672333333333334"/>
    <n v="4.6336166666666664E-2"/>
    <b v="1"/>
  </r>
  <r>
    <n v="2"/>
    <n v="10"/>
    <d v="2026-02-17T00:00:00"/>
    <s v="FY27-Q1"/>
    <s v="CY26-Q1"/>
    <n v="20720.20930232558"/>
    <n v="41440.41860465116"/>
    <x v="0"/>
    <s v="Proposal"/>
    <x v="6"/>
    <x v="6"/>
    <x v="4"/>
    <x v="7"/>
    <n v="41.440418604651157"/>
    <n v="20.720209302325578"/>
    <n v="4.1440418604651155E-2"/>
    <b v="1"/>
  </r>
  <r>
    <n v="24"/>
    <n v="27"/>
    <d v="2026-03-06T00:00:00"/>
    <s v="FY27-Q1"/>
    <s v="CY26-Q1"/>
    <n v="33162.73333333333"/>
    <n v="165813.66666666666"/>
    <x v="0"/>
    <s v="Nurturing"/>
    <x v="9"/>
    <x v="9"/>
    <x v="5"/>
    <x v="7"/>
    <n v="165.81366666666665"/>
    <n v="33.162733333333328"/>
    <n v="0.16581366666666664"/>
    <b v="1"/>
  </r>
  <r>
    <n v="17"/>
    <n v="19"/>
    <d v="2026-03-09T00:00:00"/>
    <s v="FY27-Q1"/>
    <s v="CY26-Q1"/>
    <n v="9267.2333333333336"/>
    <n v="46336.166666666664"/>
    <x v="0"/>
    <s v="Negotiation"/>
    <x v="5"/>
    <x v="5"/>
    <x v="0"/>
    <x v="7"/>
    <n v="46.336166666666664"/>
    <n v="9.2672333333333334"/>
    <n v="4.6336166666666664E-2"/>
    <b v="1"/>
  </r>
  <r>
    <n v="2"/>
    <n v="10"/>
    <d v="2026-03-17T00:00:00"/>
    <s v="FY27-Q1"/>
    <s v="CY26-Q1"/>
    <n v="20720.20930232558"/>
    <n v="41440.41860465116"/>
    <x v="0"/>
    <s v="Proposal"/>
    <x v="6"/>
    <x v="6"/>
    <x v="4"/>
    <x v="7"/>
    <n v="41.440418604651157"/>
    <n v="20.720209302325578"/>
    <n v="4.1440418604651155E-2"/>
    <b v="1"/>
  </r>
  <r>
    <n v="20"/>
    <n v="28"/>
    <d v="2026-03-25T00:00:00"/>
    <s v="FY27-Q1"/>
    <s v="CY26-Q1"/>
    <n v="46457.040000000008"/>
    <n v="232285.2"/>
    <x v="1"/>
    <s v="Proposal"/>
    <x v="10"/>
    <x v="10"/>
    <x v="7"/>
    <x v="7"/>
    <n v="232.2852"/>
    <n v="46.457040000000006"/>
    <n v="0.2322852"/>
    <b v="1"/>
  </r>
  <r>
    <n v="10"/>
    <n v="30"/>
    <d v="2026-04-06T00:00:00"/>
    <s v="FY27-Q1"/>
    <s v="CY26-Q2"/>
    <n v="542588"/>
    <n v="1085176"/>
    <x v="0"/>
    <s v="Nurturing"/>
    <x v="11"/>
    <x v="11"/>
    <x v="7"/>
    <x v="7"/>
    <n v="1085.1759999999999"/>
    <n v="542.58799999999997"/>
    <n v="1.0851759999999999"/>
    <b v="1"/>
  </r>
  <r>
    <n v="17"/>
    <n v="19"/>
    <d v="2026-04-09T00:00:00"/>
    <s v="FY27-Q1"/>
    <s v="CY26-Q2"/>
    <n v="9267.2333333333336"/>
    <n v="46336.166666666664"/>
    <x v="0"/>
    <s v="Negotiation"/>
    <x v="5"/>
    <x v="5"/>
    <x v="0"/>
    <x v="7"/>
    <n v="46.336166666666664"/>
    <n v="9.2672333333333334"/>
    <n v="4.6336166666666664E-2"/>
    <b v="1"/>
  </r>
  <r>
    <n v="16"/>
    <n v="22"/>
    <d v="2026-04-11T00:00:00"/>
    <s v="FY27-Q1"/>
    <s v="CY26-Q2"/>
    <n v="59080.25"/>
    <n v="118160.5"/>
    <x v="2"/>
    <s v="Proposal"/>
    <x v="12"/>
    <x v="12"/>
    <x v="8"/>
    <x v="7"/>
    <n v="118.1605"/>
    <n v="59.080249999999999"/>
    <n v="0.1181605"/>
    <b v="1"/>
  </r>
  <r>
    <n v="2"/>
    <n v="10"/>
    <d v="2026-04-17T00:00:00"/>
    <s v="FY27-Q1"/>
    <s v="CY26-Q2"/>
    <n v="20720.20930232558"/>
    <n v="41440.41860465116"/>
    <x v="0"/>
    <s v="Proposal"/>
    <x v="6"/>
    <x v="6"/>
    <x v="4"/>
    <x v="7"/>
    <n v="41.440418604651157"/>
    <n v="20.720209302325578"/>
    <n v="4.1440418604651155E-2"/>
    <b v="1"/>
  </r>
  <r>
    <n v="29"/>
    <n v="10"/>
    <d v="2026-05-08T00:00:00"/>
    <s v="FY27-Q2"/>
    <s v="CY26-Q2"/>
    <n v="150480.08333333334"/>
    <n v="300960.16666666669"/>
    <x v="0"/>
    <s v="Project Execution"/>
    <x v="13"/>
    <x v="6"/>
    <x v="6"/>
    <x v="8"/>
    <n v="300.96016666666668"/>
    <n v="150.48008333333334"/>
    <n v="0.3009601666666667"/>
    <b v="1"/>
  </r>
  <r>
    <n v="17"/>
    <n v="19"/>
    <d v="2026-05-09T00:00:00"/>
    <s v="FY27-Q2"/>
    <s v="CY26-Q2"/>
    <n v="9267.2333333333336"/>
    <n v="46336.166666666664"/>
    <x v="0"/>
    <s v="Negotiation"/>
    <x v="5"/>
    <x v="5"/>
    <x v="0"/>
    <x v="8"/>
    <n v="46.336166666666664"/>
    <n v="9.2672333333333334"/>
    <n v="4.6336166666666664E-2"/>
    <b v="1"/>
  </r>
  <r>
    <n v="2"/>
    <n v="10"/>
    <d v="2026-05-17T00:00:00"/>
    <s v="FY27-Q2"/>
    <s v="CY26-Q2"/>
    <n v="20720.20930232558"/>
    <n v="41440.41860465116"/>
    <x v="0"/>
    <s v="Proposal"/>
    <x v="6"/>
    <x v="6"/>
    <x v="4"/>
    <x v="8"/>
    <n v="41.440418604651157"/>
    <n v="20.720209302325578"/>
    <n v="4.1440418604651155E-2"/>
    <b v="1"/>
  </r>
  <r>
    <n v="37"/>
    <n v="20"/>
    <d v="2026-05-18T00:00:00"/>
    <s v="FY27-Q2"/>
    <s v="CY26-Q2"/>
    <n v="103010.25"/>
    <n v="206020.5"/>
    <x v="0"/>
    <s v="Nurturing"/>
    <x v="3"/>
    <x v="3"/>
    <x v="2"/>
    <x v="8"/>
    <n v="206.0205"/>
    <n v="103.01025"/>
    <n v="0.2060205"/>
    <b v="1"/>
  </r>
  <r>
    <n v="23"/>
    <n v="11"/>
    <d v="2026-05-20T00:00:00"/>
    <s v="FY27-Q2"/>
    <s v="CY26-Q2"/>
    <n v="25249.37777777778"/>
    <n v="126246.88888888889"/>
    <x v="1"/>
    <s v="Negotiation"/>
    <x v="4"/>
    <x v="4"/>
    <x v="3"/>
    <x v="8"/>
    <n v="126.24688888888889"/>
    <n v="25.249377777777781"/>
    <n v="0.12624688888888888"/>
    <b v="1"/>
  </r>
  <r>
    <n v="31"/>
    <n v="15"/>
    <d v="2026-05-22T00:00:00"/>
    <s v="FY27-Q2"/>
    <s v="CY26-Q2"/>
    <n v="19221.625"/>
    <n v="96108.125"/>
    <x v="2"/>
    <s v="Negotiation"/>
    <x v="14"/>
    <x v="13"/>
    <x v="7"/>
    <x v="8"/>
    <n v="96.108125000000001"/>
    <n v="19.221625"/>
    <n v="9.6108125000000003E-2"/>
    <b v="1"/>
  </r>
  <r>
    <n v="21"/>
    <n v="1"/>
    <d v="2026-06-01T00:00:00"/>
    <s v="FY27-Q2"/>
    <s v="CY26-Q2"/>
    <n v="128865.60000000001"/>
    <n v="143184"/>
    <x v="0"/>
    <s v="Closeout"/>
    <x v="0"/>
    <x v="0"/>
    <x v="0"/>
    <x v="8"/>
    <n v="143.184"/>
    <n v="128.8656"/>
    <n v="0.14318400000000001"/>
    <b v="1"/>
  </r>
  <r>
    <n v="8"/>
    <n v="13"/>
    <d v="2026-06-02T00:00:00"/>
    <s v="FY27-Q2"/>
    <s v="CY26-Q2"/>
    <n v="62725.125"/>
    <n v="125450.25"/>
    <x v="0"/>
    <s v="Closeout"/>
    <x v="1"/>
    <x v="1"/>
    <x v="1"/>
    <x v="8"/>
    <n v="125.45025"/>
    <n v="62.725124999999998"/>
    <n v="0.12545024999999999"/>
    <b v="1"/>
  </r>
  <r>
    <n v="17"/>
    <n v="19"/>
    <d v="2026-06-09T00:00:00"/>
    <s v="FY27-Q2"/>
    <s v="CY26-Q2"/>
    <n v="9267.2333333333336"/>
    <n v="46336.166666666664"/>
    <x v="0"/>
    <s v="Negotiation"/>
    <x v="5"/>
    <x v="5"/>
    <x v="0"/>
    <x v="8"/>
    <n v="46.336166666666664"/>
    <n v="9.2672333333333334"/>
    <n v="4.6336166666666664E-2"/>
    <b v="1"/>
  </r>
  <r>
    <n v="1"/>
    <n v="18"/>
    <d v="2026-06-17T00:00:00"/>
    <s v="FY27-Q2"/>
    <s v="CY26-Q2"/>
    <n v="49601.433333333334"/>
    <n v="248007.16666666666"/>
    <x v="0"/>
    <s v="Lead Qualification"/>
    <x v="15"/>
    <x v="14"/>
    <x v="7"/>
    <x v="8"/>
    <n v="248.00716666666665"/>
    <n v="49.601433333333333"/>
    <n v="0.24800716666666664"/>
    <b v="1"/>
  </r>
  <r>
    <n v="2"/>
    <n v="10"/>
    <d v="2026-06-17T00:00:00"/>
    <s v="FY27-Q2"/>
    <s v="CY26-Q2"/>
    <n v="20720.20930232558"/>
    <n v="41440.41860465116"/>
    <x v="0"/>
    <s v="Proposal"/>
    <x v="6"/>
    <x v="6"/>
    <x v="4"/>
    <x v="8"/>
    <n v="41.440418604651157"/>
    <n v="20.720209302325578"/>
    <n v="4.1440418604651155E-2"/>
    <b v="1"/>
  </r>
  <r>
    <n v="6"/>
    <n v="13"/>
    <d v="2026-06-26T00:00:00"/>
    <s v="FY27-Q2"/>
    <s v="CY26-Q2"/>
    <n v="37550.227272727272"/>
    <n v="75100.454545454544"/>
    <x v="0"/>
    <s v="Project Execution"/>
    <x v="16"/>
    <x v="1"/>
    <x v="4"/>
    <x v="8"/>
    <n v="75.100454545454539"/>
    <n v="37.55022727272727"/>
    <n v="7.510045454545454E-2"/>
    <b v="1"/>
  </r>
  <r>
    <n v="17"/>
    <n v="19"/>
    <d v="2026-07-09T00:00:00"/>
    <s v="FY27-Q2"/>
    <s v="CY26-Q3"/>
    <n v="9267.2333333333336"/>
    <n v="46336.166666666664"/>
    <x v="0"/>
    <s v="Negotiation"/>
    <x v="5"/>
    <x v="5"/>
    <x v="0"/>
    <x v="8"/>
    <n v="46.336166666666664"/>
    <n v="9.2672333333333334"/>
    <n v="4.6336166666666664E-2"/>
    <b v="1"/>
  </r>
  <r>
    <n v="16"/>
    <n v="22"/>
    <d v="2026-07-11T00:00:00"/>
    <s v="FY27-Q2"/>
    <s v="CY26-Q3"/>
    <n v="59080.25"/>
    <n v="118160.5"/>
    <x v="2"/>
    <s v="Proposal"/>
    <x v="12"/>
    <x v="12"/>
    <x v="8"/>
    <x v="8"/>
    <n v="118.1605"/>
    <n v="59.080249999999999"/>
    <n v="0.1181605"/>
    <b v="1"/>
  </r>
  <r>
    <n v="2"/>
    <n v="10"/>
    <d v="2026-07-17T00:00:00"/>
    <s v="FY27-Q2"/>
    <s v="CY26-Q3"/>
    <n v="20720.20930232558"/>
    <n v="41440.41860465116"/>
    <x v="0"/>
    <s v="Proposal"/>
    <x v="6"/>
    <x v="6"/>
    <x v="4"/>
    <x v="8"/>
    <n v="41.440418604651157"/>
    <n v="20.720209302325578"/>
    <n v="4.1440418604651155E-2"/>
    <b v="1"/>
  </r>
  <r>
    <n v="9"/>
    <n v="26"/>
    <d v="2026-07-19T00:00:00"/>
    <s v="FY27-Q2"/>
    <s v="CY26-Q3"/>
    <n v="37447.800000000003"/>
    <n v="187239"/>
    <x v="2"/>
    <s v="Lead Qualification"/>
    <x v="17"/>
    <x v="15"/>
    <x v="2"/>
    <x v="8"/>
    <n v="187.239"/>
    <n v="37.447800000000001"/>
    <n v="0.18723900000000002"/>
    <b v="1"/>
  </r>
  <r>
    <n v="18"/>
    <n v="9"/>
    <d v="2026-07-28T00:00:00"/>
    <s v="FY27-Q2"/>
    <s v="CY26-Q3"/>
    <n v="110906.4"/>
    <n v="221812.8"/>
    <x v="0"/>
    <s v="Lead Qualification"/>
    <x v="18"/>
    <x v="16"/>
    <x v="5"/>
    <x v="8"/>
    <n v="221.81279999999998"/>
    <n v="110.90639999999999"/>
    <n v="0.22181279999999998"/>
    <b v="1"/>
  </r>
  <r>
    <n v="14"/>
    <n v="2"/>
    <d v="2026-08-01T00:00:00"/>
    <s v="FY27-Q3"/>
    <s v="CY26-Q3"/>
    <n v="176887.5"/>
    <n v="353775"/>
    <x v="0"/>
    <s v="Lead Qualification"/>
    <x v="19"/>
    <x v="17"/>
    <x v="8"/>
    <x v="9"/>
    <n v="353.77499999999998"/>
    <n v="176.88749999999999"/>
    <n v="0.35377499999999995"/>
    <b v="1"/>
  </r>
  <r>
    <n v="17"/>
    <n v="19"/>
    <d v="2026-08-09T00:00:00"/>
    <s v="FY27-Q3"/>
    <s v="CY26-Q3"/>
    <n v="9267.2333333333336"/>
    <n v="46336.166666666664"/>
    <x v="0"/>
    <s v="Negotiation"/>
    <x v="5"/>
    <x v="5"/>
    <x v="0"/>
    <x v="9"/>
    <n v="46.336166666666664"/>
    <n v="9.2672333333333334"/>
    <n v="4.6336166666666664E-2"/>
    <b v="1"/>
  </r>
  <r>
    <n v="22"/>
    <n v="11"/>
    <d v="2026-08-11T00:00:00"/>
    <s v="FY27-Q3"/>
    <s v="CY26-Q3"/>
    <n v="26390.544230769232"/>
    <n v="29322.826923076922"/>
    <x v="0"/>
    <s v="Nurturing"/>
    <x v="20"/>
    <x v="4"/>
    <x v="1"/>
    <x v="9"/>
    <n v="29.322826923076921"/>
    <n v="26.390544230769233"/>
    <n v="2.932282692307692E-2"/>
    <b v="1"/>
  </r>
  <r>
    <n v="2"/>
    <n v="10"/>
    <d v="2026-08-17T00:00:00"/>
    <s v="FY27-Q3"/>
    <s v="CY26-Q3"/>
    <n v="20720.20930232558"/>
    <n v="41440.41860465116"/>
    <x v="0"/>
    <s v="Proposal"/>
    <x v="6"/>
    <x v="6"/>
    <x v="4"/>
    <x v="10"/>
    <n v="41.440418604651157"/>
    <n v="20.720209302325578"/>
    <n v="4.1440418604651155E-2"/>
    <b v="1"/>
  </r>
  <r>
    <n v="27"/>
    <n v="2"/>
    <d v="2026-08-17T00:00:00"/>
    <s v="FY27-Q3"/>
    <s v="CY26-Q3"/>
    <n v="46287.333333333336"/>
    <n v="92574.666666666672"/>
    <x v="0"/>
    <s v="Lead Qualification"/>
    <x v="21"/>
    <x v="17"/>
    <x v="7"/>
    <x v="10"/>
    <n v="92.574666666666673"/>
    <n v="46.287333333333336"/>
    <n v="9.2574666666666666E-2"/>
    <b v="1"/>
  </r>
  <r>
    <n v="34"/>
    <n v="25"/>
    <d v="2026-09-01T00:00:00"/>
    <s v="FY27-Q3"/>
    <s v="CY26-Q3"/>
    <n v="720302.4"/>
    <n v="800336"/>
    <x v="0"/>
    <s v="Nurturing"/>
    <x v="22"/>
    <x v="18"/>
    <x v="6"/>
    <x v="10"/>
    <n v="800.33600000000001"/>
    <n v="720.30240000000003"/>
    <n v="0.80033600000000005"/>
    <b v="1"/>
  </r>
  <r>
    <n v="39"/>
    <n v="3"/>
    <d v="2026-09-03T00:00:00"/>
    <s v="FY27-Q3"/>
    <s v="CY26-Q3"/>
    <n v="20929.153846153848"/>
    <n v="41858.307692307695"/>
    <x v="0"/>
    <s v="Project Execution"/>
    <x v="23"/>
    <x v="7"/>
    <x v="0"/>
    <x v="10"/>
    <n v="41.858307692307697"/>
    <n v="20.929153846153849"/>
    <n v="4.1858307692307695E-2"/>
    <b v="1"/>
  </r>
  <r>
    <n v="17"/>
    <n v="19"/>
    <d v="2026-09-09T00:00:00"/>
    <s v="FY27-Q3"/>
    <s v="CY26-Q3"/>
    <n v="9267.2333333333336"/>
    <n v="46336.166666666664"/>
    <x v="0"/>
    <s v="Negotiation"/>
    <x v="5"/>
    <x v="5"/>
    <x v="0"/>
    <x v="10"/>
    <n v="46.336166666666664"/>
    <n v="9.2672333333333334"/>
    <n v="4.6336166666666664E-2"/>
    <b v="1"/>
  </r>
  <r>
    <n v="22"/>
    <n v="11"/>
    <d v="2026-09-11T00:00:00"/>
    <s v="FY27-Q3"/>
    <s v="CY26-Q3"/>
    <n v="26390.544230769232"/>
    <n v="29322.826923076922"/>
    <x v="0"/>
    <s v="Nurturing"/>
    <x v="20"/>
    <x v="4"/>
    <x v="1"/>
    <x v="10"/>
    <n v="29.322826923076921"/>
    <n v="26.390544230769233"/>
    <n v="2.932282692307692E-2"/>
    <b v="1"/>
  </r>
  <r>
    <n v="2"/>
    <n v="10"/>
    <d v="2026-09-17T00:00:00"/>
    <s v="FY27-Q3"/>
    <s v="CY26-Q3"/>
    <n v="20720.20930232558"/>
    <n v="41440.41860465116"/>
    <x v="0"/>
    <s v="Proposal"/>
    <x v="6"/>
    <x v="6"/>
    <x v="4"/>
    <x v="10"/>
    <n v="41.440418604651157"/>
    <n v="20.720209302325578"/>
    <n v="4.1440418604651155E-2"/>
    <b v="1"/>
  </r>
  <r>
    <n v="4"/>
    <n v="12"/>
    <d v="2026-09-28T00:00:00"/>
    <s v="FY27-Q3"/>
    <s v="CY26-Q3"/>
    <n v="62066.583333333336"/>
    <n v="124133.16666666667"/>
    <x v="0"/>
    <s v="Lead Qualification"/>
    <x v="24"/>
    <x v="19"/>
    <x v="4"/>
    <x v="10"/>
    <n v="124.13316666666667"/>
    <n v="62.066583333333334"/>
    <n v="0.12413316666666667"/>
    <b v="1"/>
  </r>
  <r>
    <n v="26"/>
    <n v="1"/>
    <d v="2026-10-01T00:00:00"/>
    <s v="FY27-Q3"/>
    <s v="CY26-Q4"/>
    <n v="11339.638888888889"/>
    <n v="22679.277777777777"/>
    <x v="0"/>
    <s v="Negotiation"/>
    <x v="25"/>
    <x v="0"/>
    <x v="9"/>
    <x v="10"/>
    <n v="22.679277777777777"/>
    <n v="11.339638888888889"/>
    <n v="2.2679277777777777E-2"/>
    <b v="1"/>
  </r>
  <r>
    <n v="39"/>
    <n v="3"/>
    <d v="2026-10-03T00:00:00"/>
    <s v="FY27-Q3"/>
    <s v="CY26-Q4"/>
    <n v="20929.153846153848"/>
    <n v="41858.307692307695"/>
    <x v="0"/>
    <s v="Project Execution"/>
    <x v="23"/>
    <x v="7"/>
    <x v="0"/>
    <x v="10"/>
    <n v="41.858307692307697"/>
    <n v="20.929153846153849"/>
    <n v="4.1858307692307695E-2"/>
    <b v="1"/>
  </r>
  <r>
    <n v="17"/>
    <n v="19"/>
    <d v="2026-10-09T00:00:00"/>
    <s v="FY27-Q3"/>
    <s v="CY26-Q4"/>
    <n v="9267.2333333333336"/>
    <n v="46336.166666666664"/>
    <x v="0"/>
    <s v="Negotiation"/>
    <x v="5"/>
    <x v="5"/>
    <x v="0"/>
    <x v="10"/>
    <n v="46.336166666666664"/>
    <n v="9.2672333333333334"/>
    <n v="4.6336166666666664E-2"/>
    <b v="1"/>
  </r>
  <r>
    <n v="16"/>
    <n v="22"/>
    <d v="2026-10-11T00:00:00"/>
    <s v="FY27-Q3"/>
    <s v="CY26-Q4"/>
    <n v="59080.25"/>
    <n v="118160.5"/>
    <x v="2"/>
    <s v="Proposal"/>
    <x v="12"/>
    <x v="12"/>
    <x v="8"/>
    <x v="10"/>
    <n v="118.1605"/>
    <n v="59.080249999999999"/>
    <n v="0.1181605"/>
    <b v="1"/>
  </r>
  <r>
    <n v="22"/>
    <n v="11"/>
    <d v="2026-10-11T00:00:00"/>
    <s v="FY27-Q3"/>
    <s v="CY26-Q4"/>
    <n v="26390.544230769232"/>
    <n v="29322.826923076922"/>
    <x v="0"/>
    <s v="Nurturing"/>
    <x v="20"/>
    <x v="4"/>
    <x v="1"/>
    <x v="10"/>
    <n v="29.322826923076921"/>
    <n v="26.390544230769233"/>
    <n v="2.932282692307692E-2"/>
    <b v="1"/>
  </r>
  <r>
    <n v="2"/>
    <n v="10"/>
    <d v="2026-10-17T00:00:00"/>
    <s v="FY27-Q3"/>
    <s v="CY26-Q4"/>
    <n v="20720.20930232558"/>
    <n v="41440.41860465116"/>
    <x v="0"/>
    <s v="Proposal"/>
    <x v="6"/>
    <x v="6"/>
    <x v="4"/>
    <x v="10"/>
    <n v="41.440418604651157"/>
    <n v="20.720209302325578"/>
    <n v="4.1440418604651155E-2"/>
    <b v="1"/>
  </r>
  <r>
    <n v="12"/>
    <n v="17"/>
    <d v="2026-10-18T00:00:00"/>
    <s v="FY27-Q3"/>
    <s v="CY26-Q4"/>
    <n v="67945.3125"/>
    <n v="135890.625"/>
    <x v="0"/>
    <s v="Project Execution"/>
    <x v="26"/>
    <x v="20"/>
    <x v="5"/>
    <x v="10"/>
    <n v="135.890625"/>
    <n v="67.9453125"/>
    <n v="0.13589062499999999"/>
    <b v="1"/>
  </r>
  <r>
    <n v="30"/>
    <n v="1"/>
    <d v="2026-10-21T00:00:00"/>
    <s v="FY27-Q3"/>
    <s v="CY26-Q4"/>
    <n v="73260.25"/>
    <n v="146520.5"/>
    <x v="0"/>
    <s v="Nurturing"/>
    <x v="27"/>
    <x v="0"/>
    <x v="6"/>
    <x v="10"/>
    <n v="146.5205"/>
    <n v="73.260249999999999"/>
    <n v="0.1465205"/>
    <b v="1"/>
  </r>
  <r>
    <n v="13"/>
    <n v="2"/>
    <d v="2026-10-22T00:00:00"/>
    <s v="FY27-Q3"/>
    <s v="CY26-Q4"/>
    <n v="12618.744897959185"/>
    <n v="25237.489795918369"/>
    <x v="0"/>
    <s v="Negotiation"/>
    <x v="28"/>
    <x v="17"/>
    <x v="2"/>
    <x v="10"/>
    <n v="25.237489795918368"/>
    <n v="12.618744897959184"/>
    <n v="2.5237489795918368E-2"/>
    <b v="1"/>
  </r>
  <r>
    <n v="32"/>
    <n v="29"/>
    <d v="2026-10-23T00:00:00"/>
    <s v="FY27-Q3"/>
    <s v="CY26-Q4"/>
    <n v="19870.314285714288"/>
    <n v="99351.571428571435"/>
    <x v="0"/>
    <s v="Proposal"/>
    <x v="2"/>
    <x v="2"/>
    <x v="0"/>
    <x v="10"/>
    <n v="99.351571428571432"/>
    <n v="19.87031428571429"/>
    <n v="9.9351571428571428E-2"/>
    <b v="1"/>
  </r>
  <r>
    <n v="26"/>
    <n v="1"/>
    <d v="2026-11-01T00:00:00"/>
    <s v="FY27-Q4"/>
    <s v="CY26-Q4"/>
    <n v="11339.638888888889"/>
    <n v="22679.277777777777"/>
    <x v="0"/>
    <s v="Negotiation"/>
    <x v="25"/>
    <x v="0"/>
    <x v="9"/>
    <x v="10"/>
    <n v="22.679277777777777"/>
    <n v="11.339638888888889"/>
    <n v="2.2679277777777777E-2"/>
    <b v="1"/>
  </r>
  <r>
    <n v="39"/>
    <n v="3"/>
    <d v="2026-11-03T00:00:00"/>
    <s v="FY27-Q4"/>
    <s v="CY26-Q4"/>
    <n v="20929.153846153848"/>
    <n v="41858.307692307695"/>
    <x v="0"/>
    <s v="Project Execution"/>
    <x v="23"/>
    <x v="7"/>
    <x v="0"/>
    <x v="10"/>
    <n v="41.858307692307697"/>
    <n v="20.929153846153849"/>
    <n v="4.1858307692307695E-2"/>
    <b v="1"/>
  </r>
  <r>
    <n v="17"/>
    <n v="19"/>
    <d v="2026-11-09T00:00:00"/>
    <s v="FY27-Q4"/>
    <s v="CY26-Q4"/>
    <n v="9267.2333333333336"/>
    <n v="46336.166666666664"/>
    <x v="0"/>
    <s v="Negotiation"/>
    <x v="5"/>
    <x v="5"/>
    <x v="0"/>
    <x v="10"/>
    <n v="46.336166666666664"/>
    <n v="9.2672333333333334"/>
    <n v="4.6336166666666664E-2"/>
    <b v="1"/>
  </r>
  <r>
    <n v="22"/>
    <n v="11"/>
    <d v="2026-11-11T00:00:00"/>
    <s v="FY27-Q4"/>
    <s v="CY26-Q4"/>
    <n v="26390.544230769232"/>
    <n v="29322.826923076922"/>
    <x v="0"/>
    <s v="Nurturing"/>
    <x v="20"/>
    <x v="4"/>
    <x v="1"/>
    <x v="10"/>
    <n v="29.322826923076921"/>
    <n v="26.390544230769233"/>
    <n v="2.932282692307692E-2"/>
    <b v="1"/>
  </r>
  <r>
    <n v="28"/>
    <n v="1"/>
    <d v="2026-11-16T00:00:00"/>
    <s v="FY27-Q4"/>
    <s v="CY26-Q4"/>
    <n v="40447.666666666664"/>
    <n v="80895.333333333328"/>
    <x v="0"/>
    <s v="Lead Qualification"/>
    <x v="29"/>
    <x v="0"/>
    <x v="2"/>
    <x v="10"/>
    <n v="80.895333333333326"/>
    <n v="40.447666666666663"/>
    <n v="8.0895333333333333E-2"/>
    <b v="1"/>
  </r>
  <r>
    <n v="2"/>
    <n v="10"/>
    <d v="2026-11-17T00:00:00"/>
    <s v="FY27-Q4"/>
    <s v="CY26-Q4"/>
    <n v="20720.20930232558"/>
    <n v="41440.41860465116"/>
    <x v="0"/>
    <s v="Proposal"/>
    <x v="6"/>
    <x v="6"/>
    <x v="4"/>
    <x v="10"/>
    <n v="41.440418604651157"/>
    <n v="20.720209302325578"/>
    <n v="4.1440418604651155E-2"/>
    <b v="1"/>
  </r>
  <r>
    <n v="27"/>
    <n v="2"/>
    <d v="2026-11-17T00:00:00"/>
    <s v="FY27-Q4"/>
    <s v="CY26-Q4"/>
    <n v="46287.333333333336"/>
    <n v="92574.666666666672"/>
    <x v="0"/>
    <s v="Lead Qualification"/>
    <x v="21"/>
    <x v="17"/>
    <x v="7"/>
    <x v="10"/>
    <n v="92.574666666666673"/>
    <n v="46.287333333333336"/>
    <n v="9.2574666666666666E-2"/>
    <b v="1"/>
  </r>
  <r>
    <n v="37"/>
    <n v="20"/>
    <d v="2026-11-18T00:00:00"/>
    <s v="FY27-Q4"/>
    <s v="CY26-Q4"/>
    <n v="103010.25"/>
    <n v="206020.5"/>
    <x v="0"/>
    <s v="Nurturing"/>
    <x v="3"/>
    <x v="3"/>
    <x v="2"/>
    <x v="10"/>
    <n v="206.0205"/>
    <n v="103.01025"/>
    <n v="0.2060205"/>
    <b v="1"/>
  </r>
  <r>
    <n v="23"/>
    <n v="11"/>
    <d v="2026-11-20T00:00:00"/>
    <s v="FY27-Q4"/>
    <s v="CY26-Q4"/>
    <n v="25249.37777777778"/>
    <n v="126246.88888888889"/>
    <x v="1"/>
    <s v="Negotiation"/>
    <x v="4"/>
    <x v="4"/>
    <x v="3"/>
    <x v="10"/>
    <n v="126.24688888888889"/>
    <n v="25.249377777777781"/>
    <n v="0.12624688888888888"/>
    <b v="1"/>
  </r>
  <r>
    <n v="31"/>
    <n v="15"/>
    <d v="2026-11-22T00:00:00"/>
    <s v="FY27-Q4"/>
    <s v="CY26-Q4"/>
    <n v="19221.625"/>
    <n v="96108.125"/>
    <x v="2"/>
    <s v="Negotiation"/>
    <x v="14"/>
    <x v="13"/>
    <x v="7"/>
    <x v="10"/>
    <n v="96.108125000000001"/>
    <n v="19.221625"/>
    <n v="9.6108125000000003E-2"/>
    <b v="1"/>
  </r>
  <r>
    <n v="13"/>
    <n v="2"/>
    <d v="2026-11-22T00:00:00"/>
    <s v="FY27-Q4"/>
    <s v="CY26-Q4"/>
    <n v="12618.744897959185"/>
    <n v="25237.489795918369"/>
    <x v="0"/>
    <s v="Negotiation"/>
    <x v="28"/>
    <x v="17"/>
    <x v="2"/>
    <x v="10"/>
    <n v="25.237489795918368"/>
    <n v="12.618744897959184"/>
    <n v="2.5237489795918368E-2"/>
    <b v="1"/>
  </r>
  <r>
    <n v="26"/>
    <n v="1"/>
    <d v="2026-12-01T00:00:00"/>
    <s v="FY27-Q4"/>
    <s v="CY26-Q4"/>
    <n v="11339.638888888889"/>
    <n v="22679.277777777777"/>
    <x v="0"/>
    <s v="Negotiation"/>
    <x v="25"/>
    <x v="0"/>
    <x v="9"/>
    <x v="10"/>
    <n v="22.679277777777777"/>
    <n v="11.339638888888889"/>
    <n v="2.2679277777777777E-2"/>
    <b v="1"/>
  </r>
  <r>
    <n v="8"/>
    <n v="13"/>
    <d v="2026-12-02T00:00:00"/>
    <s v="FY27-Q4"/>
    <s v="CY26-Q4"/>
    <n v="62725.125"/>
    <n v="125450.25"/>
    <x v="0"/>
    <s v="Closeout"/>
    <x v="1"/>
    <x v="1"/>
    <x v="1"/>
    <x v="10"/>
    <n v="125.45025"/>
    <n v="62.725124999999998"/>
    <n v="0.12545024999999999"/>
    <b v="1"/>
  </r>
  <r>
    <n v="39"/>
    <n v="3"/>
    <d v="2026-12-03T00:00:00"/>
    <s v="FY27-Q4"/>
    <s v="CY26-Q4"/>
    <n v="20929.153846153848"/>
    <n v="41858.307692307695"/>
    <x v="0"/>
    <s v="Project Execution"/>
    <x v="23"/>
    <x v="7"/>
    <x v="0"/>
    <x v="10"/>
    <n v="41.858307692307697"/>
    <n v="20.929153846153849"/>
    <n v="4.1858307692307695E-2"/>
    <b v="1"/>
  </r>
  <r>
    <n v="3"/>
    <n v="16"/>
    <d v="2026-12-08T00:00:00"/>
    <s v="FY27-Q4"/>
    <s v="CY26-Q4"/>
    <n v="576862.5"/>
    <n v="1153725"/>
    <x v="0"/>
    <s v="Nurturing"/>
    <x v="30"/>
    <x v="21"/>
    <x v="3"/>
    <x v="10"/>
    <n v="1153.7249999999999"/>
    <n v="576.86249999999995"/>
    <n v="1.1537249999999999"/>
    <b v="1"/>
  </r>
  <r>
    <n v="17"/>
    <n v="19"/>
    <d v="2026-12-09T00:00:00"/>
    <s v="FY27-Q4"/>
    <s v="CY26-Q4"/>
    <n v="9267.2333333333336"/>
    <n v="46336.166666666664"/>
    <x v="0"/>
    <s v="Negotiation"/>
    <x v="5"/>
    <x v="5"/>
    <x v="0"/>
    <x v="10"/>
    <n v="46.336166666666664"/>
    <n v="9.2672333333333334"/>
    <n v="4.6336166666666664E-2"/>
    <b v="1"/>
  </r>
  <r>
    <n v="22"/>
    <n v="11"/>
    <d v="2026-12-11T00:00:00"/>
    <s v="FY27-Q4"/>
    <s v="CY26-Q4"/>
    <n v="26390.544230769232"/>
    <n v="29322.826923076922"/>
    <x v="0"/>
    <s v="Nurturing"/>
    <x v="20"/>
    <x v="4"/>
    <x v="1"/>
    <x v="10"/>
    <n v="29.322826923076921"/>
    <n v="26.390544230769233"/>
    <n v="2.932282692307692E-2"/>
    <b v="1"/>
  </r>
  <r>
    <n v="2"/>
    <n v="10"/>
    <d v="2026-12-17T00:00:00"/>
    <s v="FY27-Q4"/>
    <s v="CY26-Q4"/>
    <n v="20720.20930232558"/>
    <n v="41440.41860465116"/>
    <x v="0"/>
    <s v="Proposal"/>
    <x v="6"/>
    <x v="6"/>
    <x v="4"/>
    <x v="10"/>
    <n v="41.440418604651157"/>
    <n v="20.720209302325578"/>
    <n v="4.1440418604651155E-2"/>
    <b v="1"/>
  </r>
  <r>
    <n v="13"/>
    <n v="2"/>
    <d v="2026-12-22T00:00:00"/>
    <s v="FY27-Q4"/>
    <s v="CY26-Q4"/>
    <n v="12618.744897959185"/>
    <n v="25237.489795918369"/>
    <x v="0"/>
    <s v="Negotiation"/>
    <x v="28"/>
    <x v="17"/>
    <x v="2"/>
    <x v="10"/>
    <n v="25.237489795918368"/>
    <n v="12.618744897959184"/>
    <n v="2.5237489795918368E-2"/>
    <b v="1"/>
  </r>
  <r>
    <n v="33"/>
    <n v="3"/>
    <d v="2026-12-22T00:00:00"/>
    <s v="FY27-Q4"/>
    <s v="CY26-Q4"/>
    <n v="326376.83333333331"/>
    <n v="652753.66666666663"/>
    <x v="0"/>
    <s v="Proposal"/>
    <x v="7"/>
    <x v="7"/>
    <x v="5"/>
    <x v="10"/>
    <n v="652.75366666666662"/>
    <n v="326.37683333333331"/>
    <n v="0.65275366666666657"/>
    <b v="1"/>
  </r>
  <r>
    <n v="6"/>
    <n v="13"/>
    <d v="2026-12-26T00:00:00"/>
    <s v="FY27-Q4"/>
    <s v="CY26-Q4"/>
    <n v="37550.227272727272"/>
    <n v="75100.454545454544"/>
    <x v="0"/>
    <s v="Project Execution"/>
    <x v="16"/>
    <x v="1"/>
    <x v="4"/>
    <x v="10"/>
    <n v="75.100454545454539"/>
    <n v="37.55022727272727"/>
    <n v="7.510045454545454E-2"/>
    <b v="1"/>
  </r>
  <r>
    <n v="38"/>
    <n v="21"/>
    <d v="2026-12-30T00:00:00"/>
    <s v="FY27-Q4"/>
    <s v="CY26-Q4"/>
    <n v="50822.5"/>
    <n v="101645"/>
    <x v="0"/>
    <s v="Proposal"/>
    <x v="31"/>
    <x v="22"/>
    <x v="2"/>
    <x v="10"/>
    <n v="101.645"/>
    <n v="50.822499999999998"/>
    <n v="0.101645"/>
    <b v="1"/>
  </r>
  <r>
    <n v="26"/>
    <n v="1"/>
    <d v="2027-01-01T00:00:00"/>
    <s v="FY27-Q4"/>
    <s v="CY27-Q1"/>
    <n v="11339.638888888889"/>
    <n v="22679.277777777777"/>
    <x v="0"/>
    <s v="Negotiation"/>
    <x v="25"/>
    <x v="0"/>
    <x v="9"/>
    <x v="10"/>
    <n v="22.679277777777777"/>
    <n v="11.339638888888889"/>
    <n v="2.2679277777777777E-2"/>
    <b v="1"/>
  </r>
  <r>
    <n v="39"/>
    <n v="3"/>
    <d v="2027-01-03T00:00:00"/>
    <s v="FY27-Q4"/>
    <s v="CY27-Q1"/>
    <n v="20929.153846153848"/>
    <n v="41858.307692307695"/>
    <x v="0"/>
    <s v="Project Execution"/>
    <x v="23"/>
    <x v="7"/>
    <x v="0"/>
    <x v="10"/>
    <n v="41.858307692307697"/>
    <n v="20.929153846153849"/>
    <n v="4.1858307692307695E-2"/>
    <b v="1"/>
  </r>
  <r>
    <n v="15"/>
    <n v="24"/>
    <d v="2027-01-07T00:00:00"/>
    <s v="FY27-Q4"/>
    <s v="CY27-Q1"/>
    <n v="29217.197872340425"/>
    <n v="32463.553191489362"/>
    <x v="0"/>
    <s v="Project Execution"/>
    <x v="32"/>
    <x v="23"/>
    <x v="1"/>
    <x v="10"/>
    <n v="32.46355319148936"/>
    <n v="29.217197872340424"/>
    <n v="3.2463553191489358E-2"/>
    <b v="1"/>
  </r>
  <r>
    <n v="17"/>
    <n v="19"/>
    <d v="2027-01-09T00:00:00"/>
    <s v="FY27-Q4"/>
    <s v="CY27-Q1"/>
    <n v="9267.2333333333336"/>
    <n v="46336.166666666664"/>
    <x v="0"/>
    <s v="Negotiation"/>
    <x v="5"/>
    <x v="5"/>
    <x v="0"/>
    <x v="10"/>
    <n v="46.336166666666664"/>
    <n v="9.2672333333333334"/>
    <n v="4.6336166666666664E-2"/>
    <b v="1"/>
  </r>
  <r>
    <n v="16"/>
    <n v="22"/>
    <d v="2027-01-11T00:00:00"/>
    <s v="FY27-Q4"/>
    <s v="CY27-Q1"/>
    <n v="59080.25"/>
    <n v="118160.5"/>
    <x v="2"/>
    <s v="Proposal"/>
    <x v="12"/>
    <x v="12"/>
    <x v="8"/>
    <x v="10"/>
    <n v="118.1605"/>
    <n v="59.080249999999999"/>
    <n v="0.1181605"/>
    <b v="1"/>
  </r>
  <r>
    <n v="22"/>
    <n v="11"/>
    <d v="2027-01-11T00:00:00"/>
    <s v="FY27-Q4"/>
    <s v="CY27-Q1"/>
    <n v="26390.544230769232"/>
    <n v="29322.826923076922"/>
    <x v="0"/>
    <s v="Nurturing"/>
    <x v="20"/>
    <x v="4"/>
    <x v="1"/>
    <x v="10"/>
    <n v="29.322826923076921"/>
    <n v="26.390544230769233"/>
    <n v="2.932282692307692E-2"/>
    <b v="1"/>
  </r>
  <r>
    <n v="11"/>
    <n v="3"/>
    <d v="2027-01-13T00:00:00"/>
    <s v="FY27-Q4"/>
    <s v="CY27-Q1"/>
    <n v="113460.75"/>
    <n v="126067.5"/>
    <x v="2"/>
    <s v="Negotiation"/>
    <x v="33"/>
    <x v="7"/>
    <x v="3"/>
    <x v="10"/>
    <n v="126.0675"/>
    <n v="113.46075"/>
    <n v="0.1260675"/>
    <b v="1"/>
  </r>
  <r>
    <n v="2"/>
    <n v="10"/>
    <d v="2027-01-17T00:00:00"/>
    <s v="FY27-Q4"/>
    <s v="CY27-Q1"/>
    <n v="20720.20930232558"/>
    <n v="41440.41860465116"/>
    <x v="0"/>
    <s v="Proposal"/>
    <x v="6"/>
    <x v="6"/>
    <x v="4"/>
    <x v="10"/>
    <n v="41.440418604651157"/>
    <n v="20.720209302325578"/>
    <n v="4.1440418604651155E-2"/>
    <b v="1"/>
  </r>
  <r>
    <n v="40"/>
    <n v="15"/>
    <d v="2027-01-19T00:00:00"/>
    <s v="FY27-Q4"/>
    <s v="CY27-Q1"/>
    <n v="36144.450000000004"/>
    <n v="40160.5"/>
    <x v="0"/>
    <s v="Proposal"/>
    <x v="34"/>
    <x v="13"/>
    <x v="9"/>
    <x v="10"/>
    <n v="40.160499999999999"/>
    <n v="36.144450000000006"/>
    <n v="4.0160500000000002E-2"/>
    <b v="1"/>
  </r>
  <r>
    <n v="13"/>
    <n v="2"/>
    <d v="2027-01-22T00:00:00"/>
    <s v="FY27-Q4"/>
    <s v="CY27-Q1"/>
    <n v="12618.744897959185"/>
    <n v="25237.489795918369"/>
    <x v="0"/>
    <s v="Negotiation"/>
    <x v="28"/>
    <x v="17"/>
    <x v="2"/>
    <x v="10"/>
    <n v="25.237489795918368"/>
    <n v="12.618744897959184"/>
    <n v="2.5237489795918368E-2"/>
    <b v="1"/>
  </r>
  <r>
    <n v="35"/>
    <n v="9"/>
    <d v="2027-01-25T00:00:00"/>
    <s v="FY27-Q4"/>
    <s v="CY27-Q1"/>
    <n v="366932.80000000005"/>
    <n v="1834664"/>
    <x v="0"/>
    <s v="Nurturing"/>
    <x v="35"/>
    <x v="16"/>
    <x v="7"/>
    <x v="10"/>
    <n v="1834.664"/>
    <n v="366.93280000000004"/>
    <n v="1.8346640000000001"/>
    <b v="1"/>
  </r>
  <r>
    <n v="7"/>
    <n v="14"/>
    <d v="2027-01-26T00:00:00"/>
    <s v="FY27-Q4"/>
    <s v="CY27-Q1"/>
    <n v="41771.416666666664"/>
    <n v="83542.833333333328"/>
    <x v="0"/>
    <s v="Project Execution"/>
    <x v="36"/>
    <x v="24"/>
    <x v="5"/>
    <x v="10"/>
    <n v="83.542833333333334"/>
    <n v="41.771416666666667"/>
    <n v="8.354283333333333E-2"/>
    <b v="1"/>
  </r>
  <r>
    <n v="18"/>
    <n v="9"/>
    <d v="2027-01-28T00:00:00"/>
    <s v="FY27-Q4"/>
    <s v="CY27-Q1"/>
    <n v="110906.4"/>
    <n v="221812.8"/>
    <x v="0"/>
    <s v="Lead Qualification"/>
    <x v="18"/>
    <x v="16"/>
    <x v="5"/>
    <x v="10"/>
    <n v="221.81279999999998"/>
    <n v="110.90639999999999"/>
    <n v="0.22181279999999998"/>
    <b v="1"/>
  </r>
  <r>
    <n v="26"/>
    <n v="1"/>
    <d v="2027-02-01T00:00:00"/>
    <s v="FY28-Q1"/>
    <s v="CY27-Q1"/>
    <n v="11339.638888888889"/>
    <n v="22679.277777777777"/>
    <x v="0"/>
    <s v="Negotiation"/>
    <x v="25"/>
    <x v="0"/>
    <x v="9"/>
    <x v="10"/>
    <n v="22.679277777777777"/>
    <n v="11.339638888888889"/>
    <n v="2.2679277777777777E-2"/>
    <b v="1"/>
  </r>
  <r>
    <n v="39"/>
    <n v="3"/>
    <d v="2027-02-03T00:00:00"/>
    <s v="FY28-Q1"/>
    <s v="CY27-Q1"/>
    <n v="20929.153846153848"/>
    <n v="41858.307692307695"/>
    <x v="0"/>
    <s v="Project Execution"/>
    <x v="23"/>
    <x v="7"/>
    <x v="0"/>
    <x v="10"/>
    <n v="41.858307692307697"/>
    <n v="20.929153846153849"/>
    <n v="4.1858307692307695E-2"/>
    <b v="1"/>
  </r>
  <r>
    <n v="15"/>
    <n v="24"/>
    <d v="2027-02-07T00:00:00"/>
    <s v="FY28-Q1"/>
    <s v="CY27-Q1"/>
    <n v="29217.197872340425"/>
    <n v="32463.553191489362"/>
    <x v="0"/>
    <s v="Project Execution"/>
    <x v="32"/>
    <x v="23"/>
    <x v="1"/>
    <x v="10"/>
    <n v="32.46355319148936"/>
    <n v="29.217197872340424"/>
    <n v="3.2463553191489358E-2"/>
    <b v="1"/>
  </r>
  <r>
    <n v="17"/>
    <n v="19"/>
    <d v="2027-02-09T00:00:00"/>
    <s v="FY28-Q1"/>
    <s v="CY27-Q1"/>
    <n v="9267.2333333333336"/>
    <n v="46336.166666666664"/>
    <x v="0"/>
    <s v="Negotiation"/>
    <x v="5"/>
    <x v="5"/>
    <x v="0"/>
    <x v="10"/>
    <n v="46.336166666666664"/>
    <n v="9.2672333333333334"/>
    <n v="4.6336166666666664E-2"/>
    <b v="1"/>
  </r>
  <r>
    <n v="25"/>
    <n v="14"/>
    <d v="2027-02-09T00:00:00"/>
    <s v="FY28-Q1"/>
    <s v="CY27-Q1"/>
    <n v="35076.26666666667"/>
    <n v="70152.53333333334"/>
    <x v="0"/>
    <s v="Lead Qualification"/>
    <x v="37"/>
    <x v="24"/>
    <x v="7"/>
    <x v="10"/>
    <n v="70.152533333333338"/>
    <n v="35.076266666666669"/>
    <n v="7.0152533333333336E-2"/>
    <b v="1"/>
  </r>
  <r>
    <n v="22"/>
    <n v="11"/>
    <d v="2027-02-11T00:00:00"/>
    <s v="FY28-Q1"/>
    <s v="CY27-Q1"/>
    <n v="26390.544230769232"/>
    <n v="29322.826923076922"/>
    <x v="0"/>
    <s v="Nurturing"/>
    <x v="20"/>
    <x v="4"/>
    <x v="1"/>
    <x v="10"/>
    <n v="29.322826923076921"/>
    <n v="26.390544230769233"/>
    <n v="2.932282692307692E-2"/>
    <b v="1"/>
  </r>
  <r>
    <n v="28"/>
    <n v="1"/>
    <d v="2027-02-16T00:00:00"/>
    <s v="FY28-Q1"/>
    <s v="CY27-Q1"/>
    <n v="40447.666666666664"/>
    <n v="80895.333333333328"/>
    <x v="0"/>
    <s v="Lead Qualification"/>
    <x v="29"/>
    <x v="0"/>
    <x v="2"/>
    <x v="10"/>
    <n v="80.895333333333326"/>
    <n v="40.447666666666663"/>
    <n v="8.0895333333333333E-2"/>
    <b v="1"/>
  </r>
  <r>
    <n v="2"/>
    <n v="10"/>
    <d v="2027-02-17T00:00:00"/>
    <s v="FY28-Q1"/>
    <s v="CY27-Q1"/>
    <n v="20720.20930232558"/>
    <n v="41440.41860465116"/>
    <x v="0"/>
    <s v="Proposal"/>
    <x v="6"/>
    <x v="6"/>
    <x v="4"/>
    <x v="10"/>
    <n v="41.440418604651157"/>
    <n v="20.720209302325578"/>
    <n v="4.1440418604651155E-2"/>
    <b v="1"/>
  </r>
  <r>
    <n v="27"/>
    <n v="2"/>
    <d v="2027-02-17T00:00:00"/>
    <s v="FY28-Q1"/>
    <s v="CY27-Q1"/>
    <n v="46287.333333333336"/>
    <n v="92574.666666666672"/>
    <x v="0"/>
    <s v="Lead Qualification"/>
    <x v="21"/>
    <x v="17"/>
    <x v="7"/>
    <x v="10"/>
    <n v="92.574666666666673"/>
    <n v="46.287333333333336"/>
    <n v="9.2574666666666666E-2"/>
    <b v="1"/>
  </r>
  <r>
    <n v="13"/>
    <n v="2"/>
    <d v="2027-02-22T00:00:00"/>
    <s v="FY28-Q1"/>
    <s v="CY27-Q1"/>
    <n v="12618.744897959185"/>
    <n v="25237.489795918369"/>
    <x v="0"/>
    <s v="Negotiation"/>
    <x v="28"/>
    <x v="17"/>
    <x v="2"/>
    <x v="10"/>
    <n v="25.237489795918368"/>
    <n v="12.618744897959184"/>
    <n v="2.5237489795918368E-2"/>
    <b v="1"/>
  </r>
  <r>
    <n v="5"/>
    <n v="12"/>
    <d v="2027-02-23T00:00:00"/>
    <s v="FY28-Q1"/>
    <s v="CY27-Q1"/>
    <n v="104043.5"/>
    <n v="208087"/>
    <x v="0"/>
    <s v="Proposal"/>
    <x v="38"/>
    <x v="19"/>
    <x v="7"/>
    <x v="10"/>
    <n v="208.08699999999999"/>
    <n v="104.04349999999999"/>
    <n v="0.20808699999999999"/>
    <b v="1"/>
  </r>
  <r>
    <n v="26"/>
    <n v="1"/>
    <d v="2027-03-01T00:00:00"/>
    <s v="FY28-Q1"/>
    <s v="CY27-Q1"/>
    <n v="11339.638888888889"/>
    <n v="22679.277777777777"/>
    <x v="0"/>
    <s v="Negotiation"/>
    <x v="25"/>
    <x v="0"/>
    <x v="9"/>
    <x v="10"/>
    <n v="22.679277777777777"/>
    <n v="11.339638888888889"/>
    <n v="2.2679277777777777E-2"/>
    <b v="1"/>
  </r>
  <r>
    <n v="39"/>
    <n v="3"/>
    <d v="2027-03-03T00:00:00"/>
    <s v="FY28-Q1"/>
    <s v="CY27-Q1"/>
    <n v="20929.153846153848"/>
    <n v="41858.307692307695"/>
    <x v="0"/>
    <s v="Project Execution"/>
    <x v="23"/>
    <x v="7"/>
    <x v="0"/>
    <x v="10"/>
    <n v="41.858307692307697"/>
    <n v="20.929153846153849"/>
    <n v="4.1858307692307695E-2"/>
    <b v="1"/>
  </r>
  <r>
    <n v="36"/>
    <n v="1"/>
    <d v="2027-03-06T00:00:00"/>
    <s v="FY28-Q1"/>
    <s v="CY27-Q1"/>
    <n v="24983.895833333332"/>
    <n v="49967.791666666664"/>
    <x v="0"/>
    <s v="Lead Qualification"/>
    <x v="39"/>
    <x v="0"/>
    <x v="7"/>
    <x v="10"/>
    <n v="49.967791666666663"/>
    <n v="24.983895833333332"/>
    <n v="4.9967791666666664E-2"/>
    <b v="1"/>
  </r>
  <r>
    <n v="24"/>
    <n v="27"/>
    <d v="2027-03-06T00:00:00"/>
    <s v="FY28-Q1"/>
    <s v="CY27-Q1"/>
    <n v="33162.73333333333"/>
    <n v="165813.66666666666"/>
    <x v="0"/>
    <s v="Nurturing"/>
    <x v="9"/>
    <x v="9"/>
    <x v="5"/>
    <x v="10"/>
    <n v="165.81366666666665"/>
    <n v="33.162733333333328"/>
    <n v="0.16581366666666664"/>
    <b v="1"/>
  </r>
  <r>
    <n v="15"/>
    <n v="24"/>
    <d v="2027-03-07T00:00:00"/>
    <s v="FY28-Q1"/>
    <s v="CY27-Q1"/>
    <n v="29217.197872340425"/>
    <n v="32463.553191489362"/>
    <x v="0"/>
    <s v="Project Execution"/>
    <x v="32"/>
    <x v="23"/>
    <x v="1"/>
    <x v="10"/>
    <n v="32.46355319148936"/>
    <n v="29.217197872340424"/>
    <n v="3.2463553191489358E-2"/>
    <b v="1"/>
  </r>
  <r>
    <n v="17"/>
    <n v="19"/>
    <d v="2027-03-09T00:00:00"/>
    <s v="FY28-Q1"/>
    <s v="CY27-Q1"/>
    <n v="9267.2333333333336"/>
    <n v="46336.166666666664"/>
    <x v="0"/>
    <s v="Negotiation"/>
    <x v="5"/>
    <x v="5"/>
    <x v="0"/>
    <x v="10"/>
    <n v="46.336166666666664"/>
    <n v="9.2672333333333334"/>
    <n v="4.6336166666666664E-2"/>
    <b v="1"/>
  </r>
  <r>
    <n v="22"/>
    <n v="11"/>
    <d v="2027-03-11T00:00:00"/>
    <s v="FY28-Q1"/>
    <s v="CY27-Q1"/>
    <n v="26390.544230769232"/>
    <n v="29322.826923076922"/>
    <x v="0"/>
    <s v="Nurturing"/>
    <x v="20"/>
    <x v="4"/>
    <x v="1"/>
    <x v="10"/>
    <n v="29.322826923076921"/>
    <n v="26.390544230769233"/>
    <n v="2.932282692307692E-2"/>
    <b v="1"/>
  </r>
  <r>
    <n v="2"/>
    <n v="10"/>
    <d v="2027-03-17T00:00:00"/>
    <s v="FY28-Q1"/>
    <s v="CY27-Q1"/>
    <n v="20720.20930232558"/>
    <n v="41440.41860465116"/>
    <x v="0"/>
    <s v="Proposal"/>
    <x v="6"/>
    <x v="6"/>
    <x v="4"/>
    <x v="10"/>
    <n v="41.440418604651157"/>
    <n v="20.720209302325578"/>
    <n v="4.1440418604651155E-2"/>
    <b v="1"/>
  </r>
  <r>
    <n v="13"/>
    <n v="2"/>
    <d v="2027-03-22T00:00:00"/>
    <s v="FY28-Q1"/>
    <s v="CY27-Q1"/>
    <n v="12618.744897959185"/>
    <n v="25237.489795918369"/>
    <x v="0"/>
    <s v="Negotiation"/>
    <x v="28"/>
    <x v="17"/>
    <x v="2"/>
    <x v="10"/>
    <n v="25.237489795918368"/>
    <n v="12.618744897959184"/>
    <n v="2.5237489795918368E-2"/>
    <b v="1"/>
  </r>
  <r>
    <n v="20"/>
    <n v="28"/>
    <d v="2027-03-25T00:00:00"/>
    <s v="FY28-Q1"/>
    <s v="CY27-Q1"/>
    <n v="46457.040000000008"/>
    <n v="232285.2"/>
    <x v="1"/>
    <s v="Proposal"/>
    <x v="10"/>
    <x v="10"/>
    <x v="7"/>
    <x v="10"/>
    <n v="232.2852"/>
    <n v="46.457040000000006"/>
    <n v="0.2322852"/>
    <b v="1"/>
  </r>
  <r>
    <n v="26"/>
    <n v="1"/>
    <d v="2027-04-01T00:00:00"/>
    <s v="FY28-Q1"/>
    <s v="CY27-Q2"/>
    <n v="11339.638888888889"/>
    <n v="22679.277777777777"/>
    <x v="0"/>
    <s v="Negotiation"/>
    <x v="25"/>
    <x v="0"/>
    <x v="9"/>
    <x v="10"/>
    <n v="22.679277777777777"/>
    <n v="11.339638888888889"/>
    <n v="2.2679277777777777E-2"/>
    <b v="1"/>
  </r>
  <r>
    <n v="39"/>
    <n v="3"/>
    <d v="2027-04-03T00:00:00"/>
    <s v="FY28-Q1"/>
    <s v="CY27-Q2"/>
    <n v="20929.153846153848"/>
    <n v="41858.307692307695"/>
    <x v="0"/>
    <s v="Project Execution"/>
    <x v="23"/>
    <x v="7"/>
    <x v="0"/>
    <x v="10"/>
    <n v="41.858307692307697"/>
    <n v="20.929153846153849"/>
    <n v="4.1858307692307695E-2"/>
    <b v="1"/>
  </r>
  <r>
    <n v="36"/>
    <n v="1"/>
    <d v="2027-04-06T00:00:00"/>
    <s v="FY28-Q1"/>
    <s v="CY27-Q2"/>
    <n v="24983.895833333332"/>
    <n v="49967.791666666664"/>
    <x v="0"/>
    <s v="Lead Qualification"/>
    <x v="39"/>
    <x v="0"/>
    <x v="7"/>
    <x v="10"/>
    <n v="49.967791666666663"/>
    <n v="24.983895833333332"/>
    <n v="4.9967791666666664E-2"/>
    <b v="1"/>
  </r>
  <r>
    <n v="15"/>
    <n v="24"/>
    <d v="2027-04-07T00:00:00"/>
    <s v="FY28-Q1"/>
    <s v="CY27-Q2"/>
    <n v="29217.197872340425"/>
    <n v="32463.553191489362"/>
    <x v="0"/>
    <s v="Project Execution"/>
    <x v="32"/>
    <x v="23"/>
    <x v="1"/>
    <x v="10"/>
    <n v="32.46355319148936"/>
    <n v="29.217197872340424"/>
    <n v="3.2463553191489358E-2"/>
    <b v="1"/>
  </r>
  <r>
    <n v="17"/>
    <n v="19"/>
    <d v="2027-04-09T00:00:00"/>
    <s v="FY28-Q1"/>
    <s v="CY27-Q2"/>
    <n v="9267.2333333333336"/>
    <n v="46336.166666666664"/>
    <x v="0"/>
    <s v="Negotiation"/>
    <x v="5"/>
    <x v="5"/>
    <x v="0"/>
    <x v="10"/>
    <n v="46.336166666666664"/>
    <n v="9.2672333333333334"/>
    <n v="4.6336166666666664E-2"/>
    <b v="1"/>
  </r>
  <r>
    <n v="22"/>
    <n v="11"/>
    <d v="2027-04-11T00:00:00"/>
    <s v="FY28-Q1"/>
    <s v="CY27-Q2"/>
    <n v="26390.544230769232"/>
    <n v="29322.826923076922"/>
    <x v="0"/>
    <s v="Nurturing"/>
    <x v="20"/>
    <x v="4"/>
    <x v="1"/>
    <x v="10"/>
    <n v="29.322826923076921"/>
    <n v="26.390544230769233"/>
    <n v="2.932282692307692E-2"/>
    <b v="1"/>
  </r>
  <r>
    <n v="16"/>
    <n v="22"/>
    <d v="2027-04-11T00:00:00"/>
    <s v="FY28-Q1"/>
    <s v="CY27-Q2"/>
    <n v="59080.25"/>
    <n v="118160.5"/>
    <x v="2"/>
    <s v="Proposal"/>
    <x v="12"/>
    <x v="12"/>
    <x v="8"/>
    <x v="10"/>
    <n v="118.1605"/>
    <n v="59.080249999999999"/>
    <n v="0.1181605"/>
    <b v="1"/>
  </r>
  <r>
    <n v="11"/>
    <n v="3"/>
    <d v="2027-04-13T00:00:00"/>
    <s v="FY28-Q1"/>
    <s v="CY27-Q2"/>
    <n v="113460.75"/>
    <n v="126067.5"/>
    <x v="2"/>
    <s v="Negotiation"/>
    <x v="33"/>
    <x v="7"/>
    <x v="3"/>
    <x v="10"/>
    <n v="126.0675"/>
    <n v="113.46075"/>
    <n v="0.1260675"/>
    <b v="1"/>
  </r>
  <r>
    <n v="2"/>
    <n v="10"/>
    <d v="2027-04-17T00:00:00"/>
    <s v="FY28-Q1"/>
    <s v="CY27-Q2"/>
    <n v="20720.20930232558"/>
    <n v="41440.41860465116"/>
    <x v="0"/>
    <s v="Proposal"/>
    <x v="6"/>
    <x v="6"/>
    <x v="4"/>
    <x v="10"/>
    <n v="41.440418604651157"/>
    <n v="20.720209302325578"/>
    <n v="4.1440418604651155E-2"/>
    <b v="1"/>
  </r>
  <r>
    <n v="13"/>
    <n v="2"/>
    <d v="2027-04-22T00:00:00"/>
    <s v="FY28-Q1"/>
    <s v="CY27-Q2"/>
    <n v="12618.744897959185"/>
    <n v="25237.489795918369"/>
    <x v="0"/>
    <s v="Negotiation"/>
    <x v="28"/>
    <x v="17"/>
    <x v="2"/>
    <x v="10"/>
    <n v="25.237489795918368"/>
    <n v="12.618744897959184"/>
    <n v="2.5237489795918368E-2"/>
    <b v="1"/>
  </r>
  <r>
    <n v="7"/>
    <n v="14"/>
    <d v="2027-04-26T00:00:00"/>
    <s v="FY28-Q1"/>
    <s v="CY27-Q2"/>
    <n v="41771.416666666664"/>
    <n v="83542.833333333328"/>
    <x v="0"/>
    <s v="Project Execution"/>
    <x v="36"/>
    <x v="24"/>
    <x v="5"/>
    <x v="10"/>
    <n v="83.542833333333334"/>
    <n v="41.771416666666667"/>
    <n v="8.354283333333333E-2"/>
    <b v="1"/>
  </r>
  <r>
    <n v="26"/>
    <n v="1"/>
    <d v="2027-05-01T00:00:00"/>
    <s v="FY28-Q2"/>
    <s v="CY27-Q2"/>
    <n v="11339.638888888889"/>
    <n v="22679.277777777777"/>
    <x v="0"/>
    <s v="Negotiation"/>
    <x v="25"/>
    <x v="0"/>
    <x v="9"/>
    <x v="10"/>
    <n v="22.679277777777777"/>
    <n v="11.339638888888889"/>
    <n v="2.2679277777777777E-2"/>
    <b v="1"/>
  </r>
  <r>
    <n v="39"/>
    <n v="3"/>
    <d v="2027-05-03T00:00:00"/>
    <s v="FY28-Q2"/>
    <s v="CY27-Q2"/>
    <n v="20929.153846153848"/>
    <n v="41858.307692307695"/>
    <x v="0"/>
    <s v="Project Execution"/>
    <x v="23"/>
    <x v="7"/>
    <x v="0"/>
    <x v="10"/>
    <n v="41.858307692307697"/>
    <n v="20.929153846153849"/>
    <n v="4.1858307692307695E-2"/>
    <b v="1"/>
  </r>
  <r>
    <n v="36"/>
    <n v="1"/>
    <d v="2027-05-06T00:00:00"/>
    <s v="FY28-Q2"/>
    <s v="CY27-Q2"/>
    <n v="24983.895833333332"/>
    <n v="49967.791666666664"/>
    <x v="0"/>
    <s v="Lead Qualification"/>
    <x v="39"/>
    <x v="0"/>
    <x v="7"/>
    <x v="10"/>
    <n v="49.967791666666663"/>
    <n v="24.983895833333332"/>
    <n v="4.9967791666666664E-2"/>
    <b v="1"/>
  </r>
  <r>
    <n v="15"/>
    <n v="24"/>
    <d v="2027-05-07T00:00:00"/>
    <s v="FY28-Q2"/>
    <s v="CY27-Q2"/>
    <n v="29217.197872340425"/>
    <n v="32463.553191489362"/>
    <x v="0"/>
    <s v="Project Execution"/>
    <x v="32"/>
    <x v="23"/>
    <x v="1"/>
    <x v="10"/>
    <n v="32.46355319148936"/>
    <n v="29.217197872340424"/>
    <n v="3.2463553191489358E-2"/>
    <b v="1"/>
  </r>
  <r>
    <n v="29"/>
    <n v="10"/>
    <d v="2027-05-08T00:00:00"/>
    <s v="FY28-Q2"/>
    <s v="CY27-Q2"/>
    <n v="150480.08333333334"/>
    <n v="300960.16666666669"/>
    <x v="0"/>
    <s v="Project Execution"/>
    <x v="13"/>
    <x v="6"/>
    <x v="6"/>
    <x v="10"/>
    <n v="300.96016666666668"/>
    <n v="150.48008333333334"/>
    <n v="0.3009601666666667"/>
    <b v="1"/>
  </r>
  <r>
    <n v="17"/>
    <n v="19"/>
    <d v="2027-05-09T00:00:00"/>
    <s v="FY28-Q2"/>
    <s v="CY27-Q2"/>
    <n v="9267.2333333333336"/>
    <n v="46336.166666666664"/>
    <x v="0"/>
    <s v="Negotiation"/>
    <x v="5"/>
    <x v="5"/>
    <x v="0"/>
    <x v="10"/>
    <n v="46.336166666666664"/>
    <n v="9.2672333333333334"/>
    <n v="4.6336166666666664E-2"/>
    <b v="1"/>
  </r>
  <r>
    <n v="25"/>
    <n v="14"/>
    <d v="2027-05-09T00:00:00"/>
    <s v="FY28-Q2"/>
    <s v="CY27-Q2"/>
    <n v="35076.26666666667"/>
    <n v="70152.53333333334"/>
    <x v="0"/>
    <s v="Lead Qualification"/>
    <x v="37"/>
    <x v="24"/>
    <x v="7"/>
    <x v="10"/>
    <n v="70.152533333333338"/>
    <n v="35.076266666666669"/>
    <n v="7.0152533333333336E-2"/>
    <b v="1"/>
  </r>
  <r>
    <n v="22"/>
    <n v="11"/>
    <d v="2027-05-11T00:00:00"/>
    <s v="FY28-Q2"/>
    <s v="CY27-Q2"/>
    <n v="26390.544230769232"/>
    <n v="29322.826923076922"/>
    <x v="0"/>
    <s v="Nurturing"/>
    <x v="20"/>
    <x v="4"/>
    <x v="1"/>
    <x v="10"/>
    <n v="29.322826923076921"/>
    <n v="26.390544230769233"/>
    <n v="2.932282692307692E-2"/>
    <b v="1"/>
  </r>
  <r>
    <n v="28"/>
    <n v="1"/>
    <d v="2027-05-16T00:00:00"/>
    <s v="FY28-Q2"/>
    <s v="CY27-Q2"/>
    <n v="40447.666666666664"/>
    <n v="80895.333333333328"/>
    <x v="0"/>
    <s v="Lead Qualification"/>
    <x v="29"/>
    <x v="0"/>
    <x v="2"/>
    <x v="10"/>
    <n v="80.895333333333326"/>
    <n v="40.447666666666663"/>
    <n v="8.0895333333333333E-2"/>
    <b v="1"/>
  </r>
  <r>
    <n v="2"/>
    <n v="10"/>
    <d v="2027-05-17T00:00:00"/>
    <s v="FY28-Q2"/>
    <s v="CY27-Q2"/>
    <n v="20720.20930232558"/>
    <n v="41440.41860465116"/>
    <x v="0"/>
    <s v="Proposal"/>
    <x v="6"/>
    <x v="6"/>
    <x v="4"/>
    <x v="10"/>
    <n v="41.440418604651157"/>
    <n v="20.720209302325578"/>
    <n v="4.1440418604651155E-2"/>
    <b v="1"/>
  </r>
  <r>
    <n v="27"/>
    <n v="2"/>
    <d v="2027-05-17T00:00:00"/>
    <s v="FY28-Q2"/>
    <s v="CY27-Q2"/>
    <n v="46287.333333333336"/>
    <n v="92574.666666666672"/>
    <x v="0"/>
    <s v="Lead Qualification"/>
    <x v="21"/>
    <x v="17"/>
    <x v="7"/>
    <x v="10"/>
    <n v="92.574666666666673"/>
    <n v="46.287333333333336"/>
    <n v="9.2574666666666666E-2"/>
    <b v="1"/>
  </r>
  <r>
    <n v="37"/>
    <n v="20"/>
    <d v="2027-05-18T00:00:00"/>
    <s v="FY28-Q2"/>
    <s v="CY27-Q2"/>
    <n v="103010.25"/>
    <n v="206020.5"/>
    <x v="0"/>
    <s v="Nurturing"/>
    <x v="3"/>
    <x v="3"/>
    <x v="2"/>
    <x v="10"/>
    <n v="206.0205"/>
    <n v="103.01025"/>
    <n v="0.2060205"/>
    <b v="1"/>
  </r>
  <r>
    <n v="23"/>
    <n v="11"/>
    <d v="2027-05-20T00:00:00"/>
    <s v="FY28-Q2"/>
    <s v="CY27-Q2"/>
    <n v="25249.37777777778"/>
    <n v="126246.88888888889"/>
    <x v="1"/>
    <s v="Negotiation"/>
    <x v="4"/>
    <x v="4"/>
    <x v="3"/>
    <x v="10"/>
    <n v="126.24688888888889"/>
    <n v="25.249377777777781"/>
    <n v="0.12624688888888888"/>
    <b v="1"/>
  </r>
  <r>
    <n v="13"/>
    <n v="2"/>
    <d v="2027-05-22T00:00:00"/>
    <s v="FY28-Q2"/>
    <s v="CY27-Q2"/>
    <n v="12618.744897959185"/>
    <n v="25237.489795918369"/>
    <x v="0"/>
    <s v="Negotiation"/>
    <x v="28"/>
    <x v="17"/>
    <x v="2"/>
    <x v="10"/>
    <n v="25.237489795918368"/>
    <n v="12.618744897959184"/>
    <n v="2.5237489795918368E-2"/>
    <b v="1"/>
  </r>
  <r>
    <n v="31"/>
    <n v="15"/>
    <d v="2027-05-22T00:00:00"/>
    <s v="FY28-Q2"/>
    <s v="CY27-Q2"/>
    <n v="19221.625"/>
    <n v="96108.125"/>
    <x v="2"/>
    <s v="Negotiation"/>
    <x v="14"/>
    <x v="13"/>
    <x v="7"/>
    <x v="10"/>
    <n v="96.108125000000001"/>
    <n v="19.221625"/>
    <n v="9.6108125000000003E-2"/>
    <b v="1"/>
  </r>
  <r>
    <n v="26"/>
    <n v="1"/>
    <d v="2027-06-01T00:00:00"/>
    <s v="FY28-Q2"/>
    <s v="CY27-Q2"/>
    <n v="11339.638888888889"/>
    <n v="22679.277777777777"/>
    <x v="0"/>
    <s v="Negotiation"/>
    <x v="25"/>
    <x v="0"/>
    <x v="9"/>
    <x v="10"/>
    <n v="22.679277777777777"/>
    <n v="11.339638888888889"/>
    <n v="2.2679277777777777E-2"/>
    <b v="1"/>
  </r>
  <r>
    <n v="8"/>
    <n v="13"/>
    <d v="2027-06-02T00:00:00"/>
    <s v="FY28-Q2"/>
    <s v="CY27-Q2"/>
    <n v="62725.125"/>
    <n v="125450.25"/>
    <x v="0"/>
    <s v="Closeout"/>
    <x v="1"/>
    <x v="1"/>
    <x v="1"/>
    <x v="10"/>
    <n v="125.45025"/>
    <n v="62.725124999999998"/>
    <n v="0.12545024999999999"/>
    <b v="1"/>
  </r>
  <r>
    <n v="39"/>
    <n v="3"/>
    <d v="2027-06-03T00:00:00"/>
    <s v="FY28-Q2"/>
    <s v="CY27-Q2"/>
    <n v="20929.153846153848"/>
    <n v="41858.307692307695"/>
    <x v="0"/>
    <s v="Project Execution"/>
    <x v="23"/>
    <x v="7"/>
    <x v="0"/>
    <x v="10"/>
    <n v="41.858307692307697"/>
    <n v="20.929153846153849"/>
    <n v="4.1858307692307695E-2"/>
    <b v="1"/>
  </r>
  <r>
    <n v="36"/>
    <n v="1"/>
    <d v="2027-06-06T00:00:00"/>
    <s v="FY28-Q2"/>
    <s v="CY27-Q2"/>
    <n v="24983.895833333332"/>
    <n v="49967.791666666664"/>
    <x v="0"/>
    <s v="Lead Qualification"/>
    <x v="39"/>
    <x v="0"/>
    <x v="7"/>
    <x v="10"/>
    <n v="49.967791666666663"/>
    <n v="24.983895833333332"/>
    <n v="4.9967791666666664E-2"/>
    <b v="1"/>
  </r>
  <r>
    <n v="15"/>
    <n v="24"/>
    <d v="2027-06-07T00:00:00"/>
    <s v="FY28-Q2"/>
    <s v="CY27-Q2"/>
    <n v="29217.197872340425"/>
    <n v="32463.553191489362"/>
    <x v="0"/>
    <s v="Project Execution"/>
    <x v="32"/>
    <x v="23"/>
    <x v="1"/>
    <x v="10"/>
    <n v="32.46355319148936"/>
    <n v="29.217197872340424"/>
    <n v="3.2463553191489358E-2"/>
    <b v="1"/>
  </r>
  <r>
    <n v="17"/>
    <n v="19"/>
    <d v="2027-06-09T00:00:00"/>
    <s v="FY28-Q2"/>
    <s v="CY27-Q2"/>
    <n v="9267.2333333333336"/>
    <n v="46336.166666666664"/>
    <x v="0"/>
    <s v="Negotiation"/>
    <x v="5"/>
    <x v="5"/>
    <x v="0"/>
    <x v="10"/>
    <n v="46.336166666666664"/>
    <n v="9.2672333333333334"/>
    <n v="4.6336166666666664E-2"/>
    <b v="1"/>
  </r>
  <r>
    <n v="22"/>
    <n v="11"/>
    <d v="2027-06-11T00:00:00"/>
    <s v="FY28-Q2"/>
    <s v="CY27-Q2"/>
    <n v="26390.544230769232"/>
    <n v="29322.826923076922"/>
    <x v="0"/>
    <s v="Nurturing"/>
    <x v="20"/>
    <x v="4"/>
    <x v="1"/>
    <x v="10"/>
    <n v="29.322826923076921"/>
    <n v="26.390544230769233"/>
    <n v="2.932282692307692E-2"/>
    <b v="1"/>
  </r>
  <r>
    <n v="2"/>
    <n v="10"/>
    <d v="2027-06-17T00:00:00"/>
    <s v="FY28-Q2"/>
    <s v="CY27-Q2"/>
    <n v="20720.20930232558"/>
    <n v="41440.41860465116"/>
    <x v="0"/>
    <s v="Proposal"/>
    <x v="6"/>
    <x v="6"/>
    <x v="4"/>
    <x v="10"/>
    <n v="41.440418604651157"/>
    <n v="20.720209302325578"/>
    <n v="4.1440418604651155E-2"/>
    <b v="1"/>
  </r>
  <r>
    <n v="1"/>
    <n v="18"/>
    <d v="2027-06-17T00:00:00"/>
    <s v="FY28-Q2"/>
    <s v="CY27-Q2"/>
    <n v="49601.433333333334"/>
    <n v="248007.16666666666"/>
    <x v="0"/>
    <s v="Lead Qualification"/>
    <x v="15"/>
    <x v="14"/>
    <x v="7"/>
    <x v="10"/>
    <n v="248.00716666666665"/>
    <n v="49.601433333333333"/>
    <n v="0.24800716666666664"/>
    <b v="1"/>
  </r>
  <r>
    <n v="13"/>
    <n v="2"/>
    <d v="2027-06-22T00:00:00"/>
    <s v="FY28-Q2"/>
    <s v="CY27-Q2"/>
    <n v="12618.744897959185"/>
    <n v="25237.489795918369"/>
    <x v="0"/>
    <s v="Negotiation"/>
    <x v="28"/>
    <x v="17"/>
    <x v="2"/>
    <x v="10"/>
    <n v="25.237489795918368"/>
    <n v="12.618744897959184"/>
    <n v="2.5237489795918368E-2"/>
    <b v="1"/>
  </r>
  <r>
    <n v="6"/>
    <n v="13"/>
    <d v="2027-06-26T00:00:00"/>
    <s v="FY28-Q2"/>
    <s v="CY27-Q2"/>
    <n v="37550.227272727272"/>
    <n v="75100.454545454544"/>
    <x v="0"/>
    <s v="Project Execution"/>
    <x v="16"/>
    <x v="1"/>
    <x v="4"/>
    <x v="10"/>
    <n v="75.100454545454539"/>
    <n v="37.55022727272727"/>
    <n v="7.510045454545454E-2"/>
    <b v="1"/>
  </r>
  <r>
    <n v="38"/>
    <n v="21"/>
    <d v="2027-06-30T00:00:00"/>
    <s v="FY28-Q2"/>
    <s v="CY27-Q2"/>
    <n v="50822.5"/>
    <n v="101645"/>
    <x v="0"/>
    <s v="Proposal"/>
    <x v="31"/>
    <x v="22"/>
    <x v="2"/>
    <x v="10"/>
    <n v="101.645"/>
    <n v="50.822499999999998"/>
    <n v="0.101645"/>
    <b v="1"/>
  </r>
  <r>
    <n v="26"/>
    <n v="1"/>
    <d v="2027-07-01T00:00:00"/>
    <s v="FY28-Q2"/>
    <s v="CY27-Q3"/>
    <n v="11339.638888888889"/>
    <n v="22679.277777777777"/>
    <x v="0"/>
    <s v="Negotiation"/>
    <x v="25"/>
    <x v="0"/>
    <x v="9"/>
    <x v="10"/>
    <n v="22.679277777777777"/>
    <n v="11.339638888888889"/>
    <n v="2.2679277777777777E-2"/>
    <b v="1"/>
  </r>
  <r>
    <n v="39"/>
    <n v="3"/>
    <d v="2027-07-03T00:00:00"/>
    <s v="FY28-Q2"/>
    <s v="CY27-Q3"/>
    <n v="20929.153846153848"/>
    <n v="41858.307692307695"/>
    <x v="0"/>
    <s v="Project Execution"/>
    <x v="23"/>
    <x v="7"/>
    <x v="0"/>
    <x v="10"/>
    <n v="41.858307692307697"/>
    <n v="20.929153846153849"/>
    <n v="4.1858307692307695E-2"/>
    <b v="1"/>
  </r>
  <r>
    <n v="36"/>
    <n v="1"/>
    <d v="2027-07-06T00:00:00"/>
    <s v="FY28-Q2"/>
    <s v="CY27-Q3"/>
    <n v="24983.895833333332"/>
    <n v="49967.791666666664"/>
    <x v="0"/>
    <s v="Lead Qualification"/>
    <x v="39"/>
    <x v="0"/>
    <x v="7"/>
    <x v="10"/>
    <n v="49.967791666666663"/>
    <n v="24.983895833333332"/>
    <n v="4.9967791666666664E-2"/>
    <b v="1"/>
  </r>
  <r>
    <n v="15"/>
    <n v="24"/>
    <d v="2027-07-07T00:00:00"/>
    <s v="FY28-Q2"/>
    <s v="CY27-Q3"/>
    <n v="29217.197872340425"/>
    <n v="32463.553191489362"/>
    <x v="0"/>
    <s v="Project Execution"/>
    <x v="32"/>
    <x v="23"/>
    <x v="1"/>
    <x v="10"/>
    <n v="32.46355319148936"/>
    <n v="29.217197872340424"/>
    <n v="3.2463553191489358E-2"/>
    <b v="1"/>
  </r>
  <r>
    <n v="17"/>
    <n v="19"/>
    <d v="2027-07-09T00:00:00"/>
    <s v="FY28-Q2"/>
    <s v="CY27-Q3"/>
    <n v="9267.2333333333336"/>
    <n v="46336.166666666664"/>
    <x v="0"/>
    <s v="Negotiation"/>
    <x v="5"/>
    <x v="5"/>
    <x v="0"/>
    <x v="10"/>
    <n v="46.336166666666664"/>
    <n v="9.2672333333333334"/>
    <n v="4.6336166666666664E-2"/>
    <b v="1"/>
  </r>
  <r>
    <n v="16"/>
    <n v="22"/>
    <d v="2027-07-11T00:00:00"/>
    <s v="FY28-Q2"/>
    <s v="CY27-Q3"/>
    <n v="59080.25"/>
    <n v="118160.5"/>
    <x v="2"/>
    <s v="Proposal"/>
    <x v="12"/>
    <x v="12"/>
    <x v="8"/>
    <x v="10"/>
    <n v="118.1605"/>
    <n v="59.080249999999999"/>
    <n v="0.1181605"/>
    <b v="1"/>
  </r>
  <r>
    <n v="22"/>
    <n v="11"/>
    <d v="2027-07-11T00:00:00"/>
    <s v="FY28-Q2"/>
    <s v="CY27-Q3"/>
    <n v="26390.544230769232"/>
    <n v="29322.826923076922"/>
    <x v="0"/>
    <s v="Nurturing"/>
    <x v="20"/>
    <x v="4"/>
    <x v="1"/>
    <x v="10"/>
    <n v="29.322826923076921"/>
    <n v="26.390544230769233"/>
    <n v="2.932282692307692E-2"/>
    <b v="1"/>
  </r>
  <r>
    <n v="11"/>
    <n v="3"/>
    <d v="2027-07-13T00:00:00"/>
    <s v="FY28-Q2"/>
    <s v="CY27-Q3"/>
    <n v="113460.75"/>
    <n v="126067.5"/>
    <x v="2"/>
    <s v="Negotiation"/>
    <x v="33"/>
    <x v="7"/>
    <x v="3"/>
    <x v="10"/>
    <n v="126.0675"/>
    <n v="113.46075"/>
    <n v="0.1260675"/>
    <b v="1"/>
  </r>
  <r>
    <n v="2"/>
    <n v="10"/>
    <d v="2027-07-17T00:00:00"/>
    <s v="FY28-Q2"/>
    <s v="CY27-Q3"/>
    <n v="20720.20930232558"/>
    <n v="41440.41860465116"/>
    <x v="0"/>
    <s v="Proposal"/>
    <x v="6"/>
    <x v="6"/>
    <x v="4"/>
    <x v="10"/>
    <n v="41.440418604651157"/>
    <n v="20.720209302325578"/>
    <n v="4.1440418604651155E-2"/>
    <b v="1"/>
  </r>
  <r>
    <n v="9"/>
    <n v="26"/>
    <d v="2027-07-19T00:00:00"/>
    <s v="FY28-Q2"/>
    <s v="CY27-Q3"/>
    <n v="37447.800000000003"/>
    <n v="187239"/>
    <x v="2"/>
    <s v="Lead Qualification"/>
    <x v="17"/>
    <x v="15"/>
    <x v="2"/>
    <x v="10"/>
    <n v="187.239"/>
    <n v="37.447800000000001"/>
    <n v="0.18723900000000002"/>
    <b v="1"/>
  </r>
  <r>
    <n v="40"/>
    <n v="15"/>
    <d v="2027-07-19T00:00:00"/>
    <s v="FY28-Q2"/>
    <s v="CY27-Q3"/>
    <n v="36144.450000000004"/>
    <n v="40160.5"/>
    <x v="0"/>
    <s v="Proposal"/>
    <x v="34"/>
    <x v="13"/>
    <x v="9"/>
    <x v="10"/>
    <n v="40.160499999999999"/>
    <n v="36.144450000000006"/>
    <n v="4.0160500000000002E-2"/>
    <b v="1"/>
  </r>
  <r>
    <n v="13"/>
    <n v="2"/>
    <d v="2027-07-22T00:00:00"/>
    <s v="FY28-Q2"/>
    <s v="CY27-Q3"/>
    <n v="12618.744897959185"/>
    <n v="25237.489795918369"/>
    <x v="0"/>
    <s v="Negotiation"/>
    <x v="28"/>
    <x v="17"/>
    <x v="2"/>
    <x v="10"/>
    <n v="25.237489795918368"/>
    <n v="12.618744897959184"/>
    <n v="2.5237489795918368E-2"/>
    <b v="1"/>
  </r>
  <r>
    <n v="7"/>
    <n v="14"/>
    <d v="2027-07-26T00:00:00"/>
    <s v="FY28-Q2"/>
    <s v="CY27-Q3"/>
    <n v="41771.416666666664"/>
    <n v="83542.833333333328"/>
    <x v="0"/>
    <s v="Project Execution"/>
    <x v="36"/>
    <x v="24"/>
    <x v="5"/>
    <x v="10"/>
    <n v="83.542833333333334"/>
    <n v="41.771416666666667"/>
    <n v="8.354283333333333E-2"/>
    <b v="1"/>
  </r>
  <r>
    <n v="18"/>
    <n v="9"/>
    <d v="2027-07-28T00:00:00"/>
    <s v="FY28-Q2"/>
    <s v="CY27-Q3"/>
    <n v="110906.4"/>
    <n v="221812.8"/>
    <x v="0"/>
    <s v="Lead Qualification"/>
    <x v="18"/>
    <x v="16"/>
    <x v="5"/>
    <x v="10"/>
    <n v="221.81279999999998"/>
    <n v="110.90639999999999"/>
    <n v="0.22181279999999998"/>
    <b v="1"/>
  </r>
  <r>
    <n v="26"/>
    <n v="1"/>
    <d v="2027-08-01T00:00:00"/>
    <s v="FY28-Q3"/>
    <s v="CY27-Q3"/>
    <n v="11339.638888888889"/>
    <n v="22679.277777777777"/>
    <x v="0"/>
    <s v="Negotiation"/>
    <x v="25"/>
    <x v="0"/>
    <x v="9"/>
    <x v="10"/>
    <n v="22.679277777777777"/>
    <n v="11.339638888888889"/>
    <n v="2.2679277777777777E-2"/>
    <b v="1"/>
  </r>
  <r>
    <n v="14"/>
    <n v="2"/>
    <d v="2027-08-01T00:00:00"/>
    <s v="FY28-Q3"/>
    <s v="CY27-Q3"/>
    <n v="176887.5"/>
    <n v="353775"/>
    <x v="0"/>
    <s v="Lead Qualification"/>
    <x v="19"/>
    <x v="17"/>
    <x v="8"/>
    <x v="10"/>
    <n v="353.77499999999998"/>
    <n v="176.88749999999999"/>
    <n v="0.35377499999999995"/>
    <b v="1"/>
  </r>
  <r>
    <n v="39"/>
    <n v="3"/>
    <d v="2027-08-03T00:00:00"/>
    <s v="FY28-Q3"/>
    <s v="CY27-Q3"/>
    <n v="20929.153846153848"/>
    <n v="41858.307692307695"/>
    <x v="0"/>
    <s v="Project Execution"/>
    <x v="23"/>
    <x v="7"/>
    <x v="0"/>
    <x v="10"/>
    <n v="41.858307692307697"/>
    <n v="20.929153846153849"/>
    <n v="4.1858307692307695E-2"/>
    <b v="1"/>
  </r>
  <r>
    <n v="36"/>
    <n v="1"/>
    <d v="2027-08-06T00:00:00"/>
    <s v="FY28-Q3"/>
    <s v="CY27-Q3"/>
    <n v="24983.895833333332"/>
    <n v="49967.791666666664"/>
    <x v="0"/>
    <s v="Lead Qualification"/>
    <x v="39"/>
    <x v="0"/>
    <x v="7"/>
    <x v="10"/>
    <n v="49.967791666666663"/>
    <n v="24.983895833333332"/>
    <n v="4.9967791666666664E-2"/>
    <b v="1"/>
  </r>
  <r>
    <n v="15"/>
    <n v="24"/>
    <d v="2027-08-07T00:00:00"/>
    <s v="FY28-Q3"/>
    <s v="CY27-Q3"/>
    <n v="29217.197872340425"/>
    <n v="32463.553191489362"/>
    <x v="0"/>
    <s v="Project Execution"/>
    <x v="32"/>
    <x v="23"/>
    <x v="1"/>
    <x v="10"/>
    <n v="32.46355319148936"/>
    <n v="29.217197872340424"/>
    <n v="3.2463553191489358E-2"/>
    <b v="1"/>
  </r>
  <r>
    <n v="25"/>
    <n v="14"/>
    <d v="2027-08-09T00:00:00"/>
    <s v="FY28-Q3"/>
    <s v="CY27-Q3"/>
    <n v="35076.26666666667"/>
    <n v="70152.53333333334"/>
    <x v="0"/>
    <s v="Lead Qualification"/>
    <x v="37"/>
    <x v="24"/>
    <x v="7"/>
    <x v="10"/>
    <n v="70.152533333333338"/>
    <n v="35.076266666666669"/>
    <n v="7.0152533333333336E-2"/>
    <b v="1"/>
  </r>
  <r>
    <n v="17"/>
    <n v="19"/>
    <d v="2027-08-09T00:00:00"/>
    <s v="FY28-Q3"/>
    <s v="CY27-Q3"/>
    <n v="9267.2333333333336"/>
    <n v="46336.166666666664"/>
    <x v="0"/>
    <s v="Negotiation"/>
    <x v="5"/>
    <x v="5"/>
    <x v="0"/>
    <x v="10"/>
    <n v="46.336166666666664"/>
    <n v="9.2672333333333334"/>
    <n v="4.6336166666666664E-2"/>
    <b v="1"/>
  </r>
  <r>
    <n v="22"/>
    <n v="11"/>
    <d v="2027-08-11T00:00:00"/>
    <s v="FY28-Q3"/>
    <s v="CY27-Q3"/>
    <n v="26390.544230769232"/>
    <n v="29322.826923076922"/>
    <x v="0"/>
    <s v="Nurturing"/>
    <x v="20"/>
    <x v="4"/>
    <x v="1"/>
    <x v="10"/>
    <n v="29.322826923076921"/>
    <n v="26.390544230769233"/>
    <n v="2.932282692307692E-2"/>
    <b v="1"/>
  </r>
  <r>
    <n v="28"/>
    <n v="1"/>
    <d v="2027-08-16T00:00:00"/>
    <s v="FY28-Q3"/>
    <s v="CY27-Q3"/>
    <n v="40447.666666666664"/>
    <n v="80895.333333333328"/>
    <x v="0"/>
    <s v="Lead Qualification"/>
    <x v="29"/>
    <x v="0"/>
    <x v="2"/>
    <x v="10"/>
    <n v="80.895333333333326"/>
    <n v="40.447666666666663"/>
    <n v="8.0895333333333333E-2"/>
    <b v="1"/>
  </r>
  <r>
    <n v="2"/>
    <n v="10"/>
    <d v="2027-08-17T00:00:00"/>
    <s v="FY28-Q3"/>
    <s v="CY27-Q3"/>
    <n v="20720.20930232558"/>
    <n v="41440.41860465116"/>
    <x v="0"/>
    <s v="Proposal"/>
    <x v="6"/>
    <x v="6"/>
    <x v="4"/>
    <x v="10"/>
    <n v="41.440418604651157"/>
    <n v="20.720209302325578"/>
    <n v="4.1440418604651155E-2"/>
    <b v="1"/>
  </r>
  <r>
    <n v="27"/>
    <n v="2"/>
    <d v="2027-08-17T00:00:00"/>
    <s v="FY28-Q3"/>
    <s v="CY27-Q3"/>
    <n v="46287.333333333336"/>
    <n v="92574.666666666672"/>
    <x v="0"/>
    <s v="Lead Qualification"/>
    <x v="21"/>
    <x v="17"/>
    <x v="7"/>
    <x v="10"/>
    <n v="92.574666666666673"/>
    <n v="46.287333333333336"/>
    <n v="9.2574666666666666E-2"/>
    <b v="1"/>
  </r>
  <r>
    <n v="13"/>
    <n v="2"/>
    <d v="2027-08-22T00:00:00"/>
    <s v="FY28-Q3"/>
    <s v="CY27-Q3"/>
    <n v="12618.744897959185"/>
    <n v="25237.489795918369"/>
    <x v="0"/>
    <s v="Negotiation"/>
    <x v="28"/>
    <x v="17"/>
    <x v="2"/>
    <x v="10"/>
    <n v="25.237489795918368"/>
    <n v="12.618744897959184"/>
    <n v="2.5237489795918368E-2"/>
    <b v="1"/>
  </r>
  <r>
    <n v="5"/>
    <n v="12"/>
    <d v="2027-08-23T00:00:00"/>
    <s v="FY28-Q3"/>
    <s v="CY27-Q3"/>
    <n v="104043.5"/>
    <n v="208087"/>
    <x v="0"/>
    <s v="Proposal"/>
    <x v="38"/>
    <x v="19"/>
    <x v="7"/>
    <x v="10"/>
    <n v="208.08699999999999"/>
    <n v="104.04349999999999"/>
    <n v="0.20808699999999999"/>
    <b v="1"/>
  </r>
  <r>
    <n v="26"/>
    <n v="1"/>
    <d v="2027-09-01T00:00:00"/>
    <s v="FY28-Q3"/>
    <s v="CY27-Q3"/>
    <n v="11339.638888888889"/>
    <n v="22679.277777777777"/>
    <x v="0"/>
    <s v="Negotiation"/>
    <x v="25"/>
    <x v="0"/>
    <x v="9"/>
    <x v="10"/>
    <n v="22.679277777777777"/>
    <n v="11.339638888888889"/>
    <n v="2.2679277777777777E-2"/>
    <b v="1"/>
  </r>
  <r>
    <n v="39"/>
    <n v="3"/>
    <d v="2027-09-03T00:00:00"/>
    <s v="FY28-Q3"/>
    <s v="CY27-Q3"/>
    <n v="20929.153846153848"/>
    <n v="41858.307692307695"/>
    <x v="0"/>
    <s v="Project Execution"/>
    <x v="23"/>
    <x v="7"/>
    <x v="0"/>
    <x v="10"/>
    <n v="41.858307692307697"/>
    <n v="20.929153846153849"/>
    <n v="4.1858307692307695E-2"/>
    <b v="1"/>
  </r>
  <r>
    <n v="36"/>
    <n v="1"/>
    <d v="2027-09-06T00:00:00"/>
    <s v="FY28-Q3"/>
    <s v="CY27-Q3"/>
    <n v="24983.895833333332"/>
    <n v="49967.791666666664"/>
    <x v="0"/>
    <s v="Lead Qualification"/>
    <x v="39"/>
    <x v="0"/>
    <x v="7"/>
    <x v="10"/>
    <n v="49.967791666666663"/>
    <n v="24.983895833333332"/>
    <n v="4.9967791666666664E-2"/>
    <b v="1"/>
  </r>
  <r>
    <n v="15"/>
    <n v="24"/>
    <d v="2027-09-07T00:00:00"/>
    <s v="FY28-Q3"/>
    <s v="CY27-Q3"/>
    <n v="29217.197872340425"/>
    <n v="32463.553191489362"/>
    <x v="0"/>
    <s v="Project Execution"/>
    <x v="32"/>
    <x v="23"/>
    <x v="1"/>
    <x v="10"/>
    <n v="32.46355319148936"/>
    <n v="29.217197872340424"/>
    <n v="3.2463553191489358E-2"/>
    <b v="1"/>
  </r>
  <r>
    <n v="17"/>
    <n v="19"/>
    <d v="2027-09-09T00:00:00"/>
    <s v="FY28-Q3"/>
    <s v="CY27-Q3"/>
    <n v="9267.2333333333336"/>
    <n v="46336.166666666664"/>
    <x v="0"/>
    <s v="Negotiation"/>
    <x v="5"/>
    <x v="5"/>
    <x v="0"/>
    <x v="10"/>
    <n v="46.336166666666664"/>
    <n v="9.2672333333333334"/>
    <n v="4.6336166666666664E-2"/>
    <b v="1"/>
  </r>
  <r>
    <n v="22"/>
    <n v="11"/>
    <d v="2027-09-11T00:00:00"/>
    <s v="FY28-Q3"/>
    <s v="CY27-Q3"/>
    <n v="26390.544230769232"/>
    <n v="29322.826923076922"/>
    <x v="0"/>
    <s v="Nurturing"/>
    <x v="20"/>
    <x v="4"/>
    <x v="1"/>
    <x v="10"/>
    <n v="29.322826923076921"/>
    <n v="26.390544230769233"/>
    <n v="2.932282692307692E-2"/>
    <b v="1"/>
  </r>
  <r>
    <n v="2"/>
    <n v="10"/>
    <d v="2027-09-17T00:00:00"/>
    <s v="FY28-Q3"/>
    <s v="CY27-Q3"/>
    <n v="20720.20930232558"/>
    <n v="41440.41860465116"/>
    <x v="0"/>
    <s v="Proposal"/>
    <x v="6"/>
    <x v="6"/>
    <x v="4"/>
    <x v="10"/>
    <n v="41.440418604651157"/>
    <n v="20.720209302325578"/>
    <n v="4.1440418604651155E-2"/>
    <b v="1"/>
  </r>
  <r>
    <n v="13"/>
    <n v="2"/>
    <d v="2027-09-22T00:00:00"/>
    <s v="FY28-Q3"/>
    <s v="CY27-Q3"/>
    <n v="12618.744897959185"/>
    <n v="25237.489795918369"/>
    <x v="0"/>
    <s v="Negotiation"/>
    <x v="28"/>
    <x v="17"/>
    <x v="2"/>
    <x v="10"/>
    <n v="25.237489795918368"/>
    <n v="12.618744897959184"/>
    <n v="2.5237489795918368E-2"/>
    <b v="1"/>
  </r>
  <r>
    <n v="4"/>
    <n v="12"/>
    <d v="2027-09-28T00:00:00"/>
    <s v="FY28-Q3"/>
    <s v="CY27-Q3"/>
    <n v="62066.583333333336"/>
    <n v="124133.16666666667"/>
    <x v="0"/>
    <s v="Lead Qualification"/>
    <x v="24"/>
    <x v="19"/>
    <x v="4"/>
    <x v="10"/>
    <n v="124.13316666666667"/>
    <n v="62.066583333333334"/>
    <n v="0.12413316666666667"/>
    <b v="1"/>
  </r>
  <r>
    <n v="26"/>
    <n v="1"/>
    <d v="2027-10-01T00:00:00"/>
    <s v="FY28-Q3"/>
    <s v="CY27-Q4"/>
    <n v="11339.638888888889"/>
    <n v="22679.277777777777"/>
    <x v="0"/>
    <s v="Negotiation"/>
    <x v="25"/>
    <x v="0"/>
    <x v="9"/>
    <x v="10"/>
    <n v="22.679277777777777"/>
    <n v="11.339638888888889"/>
    <n v="2.2679277777777777E-2"/>
    <b v="1"/>
  </r>
  <r>
    <n v="39"/>
    <n v="3"/>
    <d v="2027-10-03T00:00:00"/>
    <s v="FY28-Q3"/>
    <s v="CY27-Q4"/>
    <n v="20929.153846153848"/>
    <n v="41858.307692307695"/>
    <x v="0"/>
    <s v="Project Execution"/>
    <x v="23"/>
    <x v="7"/>
    <x v="0"/>
    <x v="10"/>
    <n v="41.858307692307697"/>
    <n v="20.929153846153849"/>
    <n v="4.1858307692307695E-2"/>
    <b v="1"/>
  </r>
  <r>
    <n v="36"/>
    <n v="1"/>
    <d v="2027-10-06T00:00:00"/>
    <s v="FY28-Q3"/>
    <s v="CY27-Q4"/>
    <n v="24983.895833333332"/>
    <n v="49967.791666666664"/>
    <x v="0"/>
    <s v="Lead Qualification"/>
    <x v="39"/>
    <x v="0"/>
    <x v="7"/>
    <x v="10"/>
    <n v="49.967791666666663"/>
    <n v="24.983895833333332"/>
    <n v="4.9967791666666664E-2"/>
    <b v="1"/>
  </r>
  <r>
    <n v="15"/>
    <n v="24"/>
    <d v="2027-10-07T00:00:00"/>
    <s v="FY28-Q3"/>
    <s v="CY27-Q4"/>
    <n v="29217.197872340425"/>
    <n v="32463.553191489362"/>
    <x v="0"/>
    <s v="Project Execution"/>
    <x v="32"/>
    <x v="23"/>
    <x v="1"/>
    <x v="10"/>
    <n v="32.46355319148936"/>
    <n v="29.217197872340424"/>
    <n v="3.2463553191489358E-2"/>
    <b v="1"/>
  </r>
  <r>
    <n v="17"/>
    <n v="19"/>
    <d v="2027-10-09T00:00:00"/>
    <s v="FY28-Q3"/>
    <s v="CY27-Q4"/>
    <n v="9267.2333333333336"/>
    <n v="46336.166666666664"/>
    <x v="0"/>
    <s v="Negotiation"/>
    <x v="5"/>
    <x v="5"/>
    <x v="0"/>
    <x v="10"/>
    <n v="46.336166666666664"/>
    <n v="9.2672333333333334"/>
    <n v="4.6336166666666664E-2"/>
    <b v="1"/>
  </r>
  <r>
    <n v="16"/>
    <n v="22"/>
    <d v="2027-10-11T00:00:00"/>
    <s v="FY28-Q3"/>
    <s v="CY27-Q4"/>
    <n v="59080.25"/>
    <n v="118160.5"/>
    <x v="2"/>
    <s v="Proposal"/>
    <x v="12"/>
    <x v="12"/>
    <x v="8"/>
    <x v="10"/>
    <n v="118.1605"/>
    <n v="59.080249999999999"/>
    <n v="0.1181605"/>
    <b v="1"/>
  </r>
  <r>
    <n v="22"/>
    <n v="11"/>
    <d v="2027-10-11T00:00:00"/>
    <s v="FY28-Q3"/>
    <s v="CY27-Q4"/>
    <n v="26390.544230769232"/>
    <n v="29322.826923076922"/>
    <x v="0"/>
    <s v="Nurturing"/>
    <x v="20"/>
    <x v="4"/>
    <x v="1"/>
    <x v="10"/>
    <n v="29.322826923076921"/>
    <n v="26.390544230769233"/>
    <n v="2.932282692307692E-2"/>
    <b v="1"/>
  </r>
  <r>
    <n v="11"/>
    <n v="3"/>
    <d v="2027-10-13T00:00:00"/>
    <s v="FY28-Q3"/>
    <s v="CY27-Q4"/>
    <n v="113460.75"/>
    <n v="126067.5"/>
    <x v="2"/>
    <s v="Negotiation"/>
    <x v="33"/>
    <x v="7"/>
    <x v="3"/>
    <x v="10"/>
    <n v="126.0675"/>
    <n v="113.46075"/>
    <n v="0.1260675"/>
    <b v="1"/>
  </r>
  <r>
    <n v="2"/>
    <n v="10"/>
    <d v="2027-10-17T00:00:00"/>
    <s v="FY28-Q3"/>
    <s v="CY27-Q4"/>
    <n v="20720.20930232558"/>
    <n v="41440.41860465116"/>
    <x v="0"/>
    <s v="Proposal"/>
    <x v="6"/>
    <x v="6"/>
    <x v="4"/>
    <x v="10"/>
    <n v="41.440418604651157"/>
    <n v="20.720209302325578"/>
    <n v="4.1440418604651155E-2"/>
    <b v="1"/>
  </r>
  <r>
    <n v="12"/>
    <n v="17"/>
    <d v="2027-10-18T00:00:00"/>
    <s v="FY28-Q3"/>
    <s v="CY27-Q4"/>
    <n v="67945.3125"/>
    <n v="135890.625"/>
    <x v="0"/>
    <s v="Project Execution"/>
    <x v="26"/>
    <x v="20"/>
    <x v="5"/>
    <x v="10"/>
    <n v="135.890625"/>
    <n v="67.9453125"/>
    <n v="0.13589062499999999"/>
    <b v="1"/>
  </r>
  <r>
    <n v="30"/>
    <n v="1"/>
    <d v="2027-10-21T00:00:00"/>
    <s v="FY28-Q3"/>
    <s v="CY27-Q4"/>
    <n v="73260.25"/>
    <n v="146520.5"/>
    <x v="0"/>
    <s v="Nurturing"/>
    <x v="27"/>
    <x v="0"/>
    <x v="6"/>
    <x v="10"/>
    <n v="146.5205"/>
    <n v="73.260249999999999"/>
    <n v="0.1465205"/>
    <b v="1"/>
  </r>
  <r>
    <n v="13"/>
    <n v="2"/>
    <d v="2027-10-22T00:00:00"/>
    <s v="FY28-Q3"/>
    <s v="CY27-Q4"/>
    <n v="12618.744897959185"/>
    <n v="25237.489795918369"/>
    <x v="0"/>
    <s v="Negotiation"/>
    <x v="28"/>
    <x v="17"/>
    <x v="2"/>
    <x v="10"/>
    <n v="25.237489795918368"/>
    <n v="12.618744897959184"/>
    <n v="2.5237489795918368E-2"/>
    <b v="1"/>
  </r>
  <r>
    <n v="32"/>
    <n v="29"/>
    <d v="2027-10-23T00:00:00"/>
    <s v="FY28-Q3"/>
    <s v="CY27-Q4"/>
    <n v="19870.314285714288"/>
    <n v="99351.571428571435"/>
    <x v="0"/>
    <s v="Proposal"/>
    <x v="2"/>
    <x v="2"/>
    <x v="0"/>
    <x v="10"/>
    <n v="99.351571428571432"/>
    <n v="19.87031428571429"/>
    <n v="9.9351571428571428E-2"/>
    <b v="1"/>
  </r>
  <r>
    <n v="7"/>
    <n v="14"/>
    <d v="2027-10-26T00:00:00"/>
    <s v="FY28-Q3"/>
    <s v="CY27-Q4"/>
    <n v="41771.416666666664"/>
    <n v="83542.833333333328"/>
    <x v="0"/>
    <s v="Project Execution"/>
    <x v="36"/>
    <x v="24"/>
    <x v="5"/>
    <x v="10"/>
    <n v="83.542833333333334"/>
    <n v="41.771416666666667"/>
    <n v="8.354283333333333E-2"/>
    <b v="1"/>
  </r>
  <r>
    <n v="26"/>
    <n v="1"/>
    <d v="2027-11-01T00:00:00"/>
    <s v="FY28-Q4"/>
    <s v="CY27-Q4"/>
    <n v="11339.638888888889"/>
    <n v="22679.277777777777"/>
    <x v="0"/>
    <s v="Negotiation"/>
    <x v="25"/>
    <x v="0"/>
    <x v="9"/>
    <x v="10"/>
    <n v="22.679277777777777"/>
    <n v="11.339638888888889"/>
    <n v="2.2679277777777777E-2"/>
    <b v="1"/>
  </r>
  <r>
    <n v="39"/>
    <n v="3"/>
    <d v="2027-11-03T00:00:00"/>
    <s v="FY28-Q4"/>
    <s v="CY27-Q4"/>
    <n v="20929.153846153848"/>
    <n v="41858.307692307695"/>
    <x v="0"/>
    <s v="Project Execution"/>
    <x v="23"/>
    <x v="7"/>
    <x v="0"/>
    <x v="10"/>
    <n v="41.858307692307697"/>
    <n v="20.929153846153849"/>
    <n v="4.1858307692307695E-2"/>
    <b v="1"/>
  </r>
  <r>
    <n v="36"/>
    <n v="1"/>
    <d v="2027-11-06T00:00:00"/>
    <s v="FY28-Q4"/>
    <s v="CY27-Q4"/>
    <n v="24983.895833333332"/>
    <n v="49967.791666666664"/>
    <x v="0"/>
    <s v="Lead Qualification"/>
    <x v="39"/>
    <x v="0"/>
    <x v="7"/>
    <x v="10"/>
    <n v="49.967791666666663"/>
    <n v="24.983895833333332"/>
    <n v="4.9967791666666664E-2"/>
    <b v="1"/>
  </r>
  <r>
    <n v="15"/>
    <n v="24"/>
    <d v="2027-11-07T00:00:00"/>
    <s v="FY28-Q4"/>
    <s v="CY27-Q4"/>
    <n v="29217.197872340425"/>
    <n v="32463.553191489362"/>
    <x v="0"/>
    <s v="Project Execution"/>
    <x v="32"/>
    <x v="23"/>
    <x v="1"/>
    <x v="10"/>
    <n v="32.46355319148936"/>
    <n v="29.217197872340424"/>
    <n v="3.2463553191489358E-2"/>
    <b v="1"/>
  </r>
  <r>
    <n v="25"/>
    <n v="14"/>
    <d v="2027-11-09T00:00:00"/>
    <s v="FY28-Q4"/>
    <s v="CY27-Q4"/>
    <n v="35076.26666666667"/>
    <n v="70152.53333333334"/>
    <x v="0"/>
    <s v="Lead Qualification"/>
    <x v="37"/>
    <x v="24"/>
    <x v="7"/>
    <x v="10"/>
    <n v="70.152533333333338"/>
    <n v="35.076266666666669"/>
    <n v="7.0152533333333336E-2"/>
    <b v="1"/>
  </r>
  <r>
    <n v="17"/>
    <n v="19"/>
    <d v="2027-11-09T00:00:00"/>
    <s v="FY28-Q4"/>
    <s v="CY27-Q4"/>
    <n v="9267.2333333333336"/>
    <n v="46336.166666666664"/>
    <x v="0"/>
    <s v="Negotiation"/>
    <x v="5"/>
    <x v="5"/>
    <x v="0"/>
    <x v="10"/>
    <n v="46.336166666666664"/>
    <n v="9.2672333333333334"/>
    <n v="4.6336166666666664E-2"/>
    <b v="1"/>
  </r>
  <r>
    <n v="22"/>
    <n v="11"/>
    <d v="2027-11-11T00:00:00"/>
    <s v="FY28-Q4"/>
    <s v="CY27-Q4"/>
    <n v="26390.544230769232"/>
    <n v="29322.826923076922"/>
    <x v="0"/>
    <s v="Nurturing"/>
    <x v="20"/>
    <x v="4"/>
    <x v="1"/>
    <x v="10"/>
    <n v="29.322826923076921"/>
    <n v="26.390544230769233"/>
    <n v="2.932282692307692E-2"/>
    <b v="1"/>
  </r>
  <r>
    <n v="28"/>
    <n v="1"/>
    <d v="2027-11-16T00:00:00"/>
    <s v="FY28-Q4"/>
    <s v="CY27-Q4"/>
    <n v="40447.666666666664"/>
    <n v="80895.333333333328"/>
    <x v="0"/>
    <s v="Lead Qualification"/>
    <x v="29"/>
    <x v="0"/>
    <x v="2"/>
    <x v="10"/>
    <n v="80.895333333333326"/>
    <n v="40.447666666666663"/>
    <n v="8.0895333333333333E-2"/>
    <b v="1"/>
  </r>
  <r>
    <n v="2"/>
    <n v="10"/>
    <d v="2027-11-17T00:00:00"/>
    <s v="FY28-Q4"/>
    <s v="CY27-Q4"/>
    <n v="20720.20930232558"/>
    <n v="41440.41860465116"/>
    <x v="0"/>
    <s v="Proposal"/>
    <x v="6"/>
    <x v="6"/>
    <x v="4"/>
    <x v="10"/>
    <n v="41.440418604651157"/>
    <n v="20.720209302325578"/>
    <n v="4.1440418604651155E-2"/>
    <b v="1"/>
  </r>
  <r>
    <n v="27"/>
    <n v="2"/>
    <d v="2027-11-17T00:00:00"/>
    <s v="FY28-Q4"/>
    <s v="CY27-Q4"/>
    <n v="46287.333333333336"/>
    <n v="92574.666666666672"/>
    <x v="0"/>
    <s v="Lead Qualification"/>
    <x v="21"/>
    <x v="17"/>
    <x v="7"/>
    <x v="10"/>
    <n v="92.574666666666673"/>
    <n v="46.287333333333336"/>
    <n v="9.2574666666666666E-2"/>
    <b v="1"/>
  </r>
  <r>
    <n v="37"/>
    <n v="20"/>
    <d v="2027-11-18T00:00:00"/>
    <s v="FY28-Q4"/>
    <s v="CY27-Q4"/>
    <n v="103010.25"/>
    <n v="206020.5"/>
    <x v="0"/>
    <s v="Nurturing"/>
    <x v="3"/>
    <x v="3"/>
    <x v="2"/>
    <x v="10"/>
    <n v="206.0205"/>
    <n v="103.01025"/>
    <n v="0.2060205"/>
    <b v="1"/>
  </r>
  <r>
    <n v="23"/>
    <n v="11"/>
    <d v="2027-11-20T00:00:00"/>
    <s v="FY28-Q4"/>
    <s v="CY27-Q4"/>
    <n v="25249.37777777778"/>
    <n v="126246.88888888889"/>
    <x v="1"/>
    <s v="Negotiation"/>
    <x v="4"/>
    <x v="4"/>
    <x v="3"/>
    <x v="10"/>
    <n v="126.24688888888889"/>
    <n v="25.249377777777781"/>
    <n v="0.12624688888888888"/>
    <b v="1"/>
  </r>
  <r>
    <n v="31"/>
    <n v="15"/>
    <d v="2027-11-22T00:00:00"/>
    <s v="FY28-Q4"/>
    <s v="CY27-Q4"/>
    <n v="19221.625"/>
    <n v="96108.125"/>
    <x v="2"/>
    <s v="Negotiation"/>
    <x v="14"/>
    <x v="13"/>
    <x v="7"/>
    <x v="10"/>
    <n v="96.108125000000001"/>
    <n v="19.221625"/>
    <n v="9.6108125000000003E-2"/>
    <b v="1"/>
  </r>
  <r>
    <n v="13"/>
    <n v="2"/>
    <d v="2027-11-22T00:00:00"/>
    <s v="FY28-Q4"/>
    <s v="CY27-Q4"/>
    <n v="12618.744897959185"/>
    <n v="25237.489795918369"/>
    <x v="0"/>
    <s v="Negotiation"/>
    <x v="28"/>
    <x v="17"/>
    <x v="2"/>
    <x v="10"/>
    <n v="25.237489795918368"/>
    <n v="12.618744897959184"/>
    <n v="2.5237489795918368E-2"/>
    <b v="1"/>
  </r>
  <r>
    <n v="26"/>
    <n v="1"/>
    <d v="2027-12-01T00:00:00"/>
    <s v="FY28-Q4"/>
    <s v="CY27-Q4"/>
    <n v="11339.638888888889"/>
    <n v="22679.277777777777"/>
    <x v="0"/>
    <s v="Negotiation"/>
    <x v="25"/>
    <x v="0"/>
    <x v="9"/>
    <x v="10"/>
    <n v="22.679277777777777"/>
    <n v="11.339638888888889"/>
    <n v="2.2679277777777777E-2"/>
    <b v="1"/>
  </r>
  <r>
    <n v="8"/>
    <n v="13"/>
    <d v="2027-12-02T00:00:00"/>
    <s v="FY28-Q4"/>
    <s v="CY27-Q4"/>
    <n v="62725.125"/>
    <n v="125450.25"/>
    <x v="0"/>
    <s v="Closeout"/>
    <x v="1"/>
    <x v="1"/>
    <x v="1"/>
    <x v="10"/>
    <n v="125.45025"/>
    <n v="62.725124999999998"/>
    <n v="0.12545024999999999"/>
    <b v="1"/>
  </r>
  <r>
    <n v="39"/>
    <n v="3"/>
    <d v="2027-12-03T00:00:00"/>
    <s v="FY28-Q4"/>
    <s v="CY27-Q4"/>
    <n v="20929.153846153848"/>
    <n v="41858.307692307695"/>
    <x v="0"/>
    <s v="Project Execution"/>
    <x v="23"/>
    <x v="7"/>
    <x v="0"/>
    <x v="10"/>
    <n v="41.858307692307697"/>
    <n v="20.929153846153849"/>
    <n v="4.1858307692307695E-2"/>
    <b v="1"/>
  </r>
  <r>
    <n v="36"/>
    <n v="1"/>
    <d v="2027-12-06T00:00:00"/>
    <s v="FY28-Q4"/>
    <s v="CY27-Q4"/>
    <n v="24983.895833333332"/>
    <n v="49967.791666666664"/>
    <x v="0"/>
    <s v="Lead Qualification"/>
    <x v="39"/>
    <x v="0"/>
    <x v="7"/>
    <x v="10"/>
    <n v="49.967791666666663"/>
    <n v="24.983895833333332"/>
    <n v="4.9967791666666664E-2"/>
    <b v="1"/>
  </r>
  <r>
    <n v="15"/>
    <n v="24"/>
    <d v="2027-12-07T00:00:00"/>
    <s v="FY28-Q4"/>
    <s v="CY27-Q4"/>
    <n v="29217.197872340425"/>
    <n v="32463.553191489362"/>
    <x v="0"/>
    <s v="Project Execution"/>
    <x v="32"/>
    <x v="23"/>
    <x v="1"/>
    <x v="10"/>
    <n v="32.46355319148936"/>
    <n v="29.217197872340424"/>
    <n v="3.2463553191489358E-2"/>
    <b v="1"/>
  </r>
  <r>
    <n v="17"/>
    <n v="19"/>
    <d v="2027-12-09T00:00:00"/>
    <s v="FY28-Q4"/>
    <s v="CY27-Q4"/>
    <n v="9267.2333333333336"/>
    <n v="46336.166666666664"/>
    <x v="0"/>
    <s v="Negotiation"/>
    <x v="5"/>
    <x v="5"/>
    <x v="0"/>
    <x v="10"/>
    <n v="46.336166666666664"/>
    <n v="9.2672333333333334"/>
    <n v="4.6336166666666664E-2"/>
    <b v="1"/>
  </r>
  <r>
    <n v="22"/>
    <n v="11"/>
    <d v="2027-12-11T00:00:00"/>
    <s v="FY28-Q4"/>
    <s v="CY27-Q4"/>
    <n v="26390.544230769232"/>
    <n v="29322.826923076922"/>
    <x v="0"/>
    <s v="Nurturing"/>
    <x v="20"/>
    <x v="4"/>
    <x v="1"/>
    <x v="10"/>
    <n v="29.322826923076921"/>
    <n v="26.390544230769233"/>
    <n v="2.932282692307692E-2"/>
    <b v="1"/>
  </r>
  <r>
    <n v="2"/>
    <n v="10"/>
    <d v="2027-12-17T00:00:00"/>
    <s v="FY28-Q4"/>
    <s v="CY27-Q4"/>
    <n v="20720.20930232558"/>
    <n v="41440.41860465116"/>
    <x v="0"/>
    <s v="Proposal"/>
    <x v="6"/>
    <x v="6"/>
    <x v="4"/>
    <x v="10"/>
    <n v="41.440418604651157"/>
    <n v="20.720209302325578"/>
    <n v="4.1440418604651155E-2"/>
    <b v="1"/>
  </r>
  <r>
    <n v="13"/>
    <n v="2"/>
    <d v="2027-12-22T00:00:00"/>
    <s v="FY28-Q4"/>
    <s v="CY27-Q4"/>
    <n v="12618.744897959185"/>
    <n v="25237.489795918369"/>
    <x v="0"/>
    <s v="Negotiation"/>
    <x v="28"/>
    <x v="17"/>
    <x v="2"/>
    <x v="10"/>
    <n v="25.237489795918368"/>
    <n v="12.618744897959184"/>
    <n v="2.5237489795918368E-2"/>
    <b v="1"/>
  </r>
  <r>
    <n v="33"/>
    <n v="3"/>
    <d v="2027-12-22T00:00:00"/>
    <s v="FY28-Q4"/>
    <s v="CY27-Q4"/>
    <n v="326376.83333333331"/>
    <n v="652753.66666666663"/>
    <x v="0"/>
    <s v="Proposal"/>
    <x v="7"/>
    <x v="7"/>
    <x v="5"/>
    <x v="10"/>
    <n v="652.75366666666662"/>
    <n v="326.37683333333331"/>
    <n v="0.65275366666666657"/>
    <b v="1"/>
  </r>
  <r>
    <n v="6"/>
    <n v="13"/>
    <d v="2027-12-26T00:00:00"/>
    <s v="FY28-Q4"/>
    <s v="CY27-Q4"/>
    <n v="37550.227272727272"/>
    <n v="75100.454545454544"/>
    <x v="0"/>
    <s v="Project Execution"/>
    <x v="16"/>
    <x v="1"/>
    <x v="4"/>
    <x v="10"/>
    <n v="75.100454545454539"/>
    <n v="37.55022727272727"/>
    <n v="7.510045454545454E-2"/>
    <b v="1"/>
  </r>
  <r>
    <n v="38"/>
    <n v="21"/>
    <d v="2027-12-30T00:00:00"/>
    <s v="FY28-Q4"/>
    <s v="CY27-Q4"/>
    <n v="50822.5"/>
    <n v="101645"/>
    <x v="0"/>
    <s v="Proposal"/>
    <x v="31"/>
    <x v="22"/>
    <x v="2"/>
    <x v="10"/>
    <n v="101.645"/>
    <n v="50.822499999999998"/>
    <n v="0.101645"/>
    <b v="1"/>
  </r>
  <r>
    <n v="26"/>
    <n v="1"/>
    <d v="2028-01-01T00:00:00"/>
    <s v="FY28-Q4"/>
    <s v="CY28-Q1"/>
    <n v="11339.638888888889"/>
    <n v="22679.277777777777"/>
    <x v="0"/>
    <s v="Negotiation"/>
    <x v="25"/>
    <x v="0"/>
    <x v="9"/>
    <x v="10"/>
    <n v="22.679277777777777"/>
    <n v="11.339638888888889"/>
    <n v="2.2679277777777777E-2"/>
    <b v="1"/>
  </r>
  <r>
    <n v="39"/>
    <n v="3"/>
    <d v="2028-01-03T00:00:00"/>
    <s v="FY28-Q4"/>
    <s v="CY28-Q1"/>
    <n v="20929.153846153848"/>
    <n v="41858.307692307695"/>
    <x v="0"/>
    <s v="Project Execution"/>
    <x v="23"/>
    <x v="7"/>
    <x v="0"/>
    <x v="10"/>
    <n v="41.858307692307697"/>
    <n v="20.929153846153849"/>
    <n v="4.1858307692307695E-2"/>
    <b v="1"/>
  </r>
  <r>
    <n v="36"/>
    <n v="1"/>
    <d v="2028-01-06T00:00:00"/>
    <s v="FY28-Q4"/>
    <s v="CY28-Q1"/>
    <n v="24983.895833333332"/>
    <n v="49967.791666666664"/>
    <x v="0"/>
    <s v="Lead Qualification"/>
    <x v="39"/>
    <x v="0"/>
    <x v="7"/>
    <x v="10"/>
    <n v="49.967791666666663"/>
    <n v="24.983895833333332"/>
    <n v="4.9967791666666664E-2"/>
    <b v="1"/>
  </r>
  <r>
    <n v="15"/>
    <n v="24"/>
    <d v="2028-01-07T00:00:00"/>
    <s v="FY28-Q4"/>
    <s v="CY28-Q1"/>
    <n v="29217.197872340425"/>
    <n v="32463.553191489362"/>
    <x v="0"/>
    <s v="Project Execution"/>
    <x v="32"/>
    <x v="23"/>
    <x v="1"/>
    <x v="10"/>
    <n v="32.46355319148936"/>
    <n v="29.217197872340424"/>
    <n v="3.2463553191489358E-2"/>
    <b v="1"/>
  </r>
  <r>
    <n v="17"/>
    <n v="19"/>
    <d v="2028-01-09T00:00:00"/>
    <s v="FY28-Q4"/>
    <s v="CY28-Q1"/>
    <n v="9267.2333333333336"/>
    <n v="46336.166666666664"/>
    <x v="0"/>
    <s v="Negotiation"/>
    <x v="5"/>
    <x v="5"/>
    <x v="0"/>
    <x v="10"/>
    <n v="46.336166666666664"/>
    <n v="9.2672333333333334"/>
    <n v="4.6336166666666664E-2"/>
    <b v="1"/>
  </r>
  <r>
    <n v="22"/>
    <n v="11"/>
    <d v="2028-01-11T00:00:00"/>
    <s v="FY28-Q4"/>
    <s v="CY28-Q1"/>
    <n v="26390.544230769232"/>
    <n v="29322.826923076922"/>
    <x v="0"/>
    <s v="Nurturing"/>
    <x v="20"/>
    <x v="4"/>
    <x v="1"/>
    <x v="10"/>
    <n v="29.322826923076921"/>
    <n v="26.390544230769233"/>
    <n v="2.932282692307692E-2"/>
    <b v="1"/>
  </r>
  <r>
    <n v="16"/>
    <n v="22"/>
    <d v="2028-01-11T00:00:00"/>
    <s v="FY28-Q4"/>
    <s v="CY28-Q1"/>
    <n v="59080.25"/>
    <n v="118160.5"/>
    <x v="2"/>
    <s v="Proposal"/>
    <x v="12"/>
    <x v="12"/>
    <x v="8"/>
    <x v="10"/>
    <n v="118.1605"/>
    <n v="59.080249999999999"/>
    <n v="0.1181605"/>
    <b v="1"/>
  </r>
  <r>
    <n v="11"/>
    <n v="3"/>
    <d v="2028-01-13T00:00:00"/>
    <s v="FY28-Q4"/>
    <s v="CY28-Q1"/>
    <n v="113460.75"/>
    <n v="126067.5"/>
    <x v="2"/>
    <s v="Negotiation"/>
    <x v="33"/>
    <x v="7"/>
    <x v="3"/>
    <x v="10"/>
    <n v="126.0675"/>
    <n v="113.46075"/>
    <n v="0.1260675"/>
    <b v="1"/>
  </r>
  <r>
    <n v="2"/>
    <n v="10"/>
    <d v="2028-01-17T00:00:00"/>
    <s v="FY28-Q4"/>
    <s v="CY28-Q1"/>
    <n v="20720.20930232558"/>
    <n v="41440.41860465116"/>
    <x v="0"/>
    <s v="Proposal"/>
    <x v="6"/>
    <x v="6"/>
    <x v="4"/>
    <x v="10"/>
    <n v="41.440418604651157"/>
    <n v="20.720209302325578"/>
    <n v="4.1440418604651155E-2"/>
    <b v="1"/>
  </r>
  <r>
    <n v="40"/>
    <n v="15"/>
    <d v="2028-01-19T00:00:00"/>
    <s v="FY28-Q4"/>
    <s v="CY28-Q1"/>
    <n v="36144.450000000004"/>
    <n v="40160.5"/>
    <x v="0"/>
    <s v="Proposal"/>
    <x v="34"/>
    <x v="13"/>
    <x v="9"/>
    <x v="10"/>
    <n v="40.160499999999999"/>
    <n v="36.144450000000006"/>
    <n v="4.0160500000000002E-2"/>
    <b v="1"/>
  </r>
  <r>
    <n v="13"/>
    <n v="2"/>
    <d v="2028-01-22T00:00:00"/>
    <s v="FY28-Q4"/>
    <s v="CY28-Q1"/>
    <n v="12618.744897959185"/>
    <n v="25237.489795918369"/>
    <x v="0"/>
    <s v="Negotiation"/>
    <x v="28"/>
    <x v="17"/>
    <x v="2"/>
    <x v="10"/>
    <n v="25.237489795918368"/>
    <n v="12.618744897959184"/>
    <n v="2.5237489795918368E-2"/>
    <b v="1"/>
  </r>
  <r>
    <n v="7"/>
    <n v="14"/>
    <d v="2028-01-26T00:00:00"/>
    <s v="FY28-Q4"/>
    <s v="CY28-Q1"/>
    <n v="41771.416666666664"/>
    <n v="83542.833333333328"/>
    <x v="0"/>
    <s v="Project Execution"/>
    <x v="36"/>
    <x v="24"/>
    <x v="5"/>
    <x v="10"/>
    <n v="83.542833333333334"/>
    <n v="41.771416666666667"/>
    <n v="8.354283333333333E-2"/>
    <b v="1"/>
  </r>
  <r>
    <n v="18"/>
    <n v="9"/>
    <d v="2028-01-28T00:00:00"/>
    <s v="FY28-Q4"/>
    <s v="CY28-Q1"/>
    <n v="110906.4"/>
    <n v="221812.8"/>
    <x v="0"/>
    <s v="Lead Qualification"/>
    <x v="18"/>
    <x v="16"/>
    <x v="5"/>
    <x v="10"/>
    <n v="221.81279999999998"/>
    <n v="110.90639999999999"/>
    <n v="0.22181279999999998"/>
    <b v="1"/>
  </r>
  <r>
    <n v="26"/>
    <n v="1"/>
    <d v="2028-02-01T00:00:00"/>
    <s v="FY29-Q1"/>
    <s v="CY28-Q1"/>
    <n v="11339.638888888889"/>
    <n v="22679.277777777777"/>
    <x v="0"/>
    <s v="Negotiation"/>
    <x v="25"/>
    <x v="0"/>
    <x v="9"/>
    <x v="10"/>
    <n v="22.679277777777777"/>
    <n v="11.339638888888889"/>
    <n v="2.2679277777777777E-2"/>
    <b v="1"/>
  </r>
  <r>
    <n v="39"/>
    <n v="3"/>
    <d v="2028-02-03T00:00:00"/>
    <s v="FY29-Q1"/>
    <s v="CY28-Q1"/>
    <n v="20929.153846153848"/>
    <n v="41858.307692307695"/>
    <x v="0"/>
    <s v="Project Execution"/>
    <x v="23"/>
    <x v="7"/>
    <x v="0"/>
    <x v="10"/>
    <n v="41.858307692307697"/>
    <n v="20.929153846153849"/>
    <n v="4.1858307692307695E-2"/>
    <b v="1"/>
  </r>
  <r>
    <n v="36"/>
    <n v="1"/>
    <d v="2028-02-06T00:00:00"/>
    <s v="FY29-Q1"/>
    <s v="CY28-Q1"/>
    <n v="24983.895833333332"/>
    <n v="49967.791666666664"/>
    <x v="0"/>
    <s v="Lead Qualification"/>
    <x v="39"/>
    <x v="0"/>
    <x v="7"/>
    <x v="10"/>
    <n v="49.967791666666663"/>
    <n v="24.983895833333332"/>
    <n v="4.9967791666666664E-2"/>
    <b v="1"/>
  </r>
  <r>
    <n v="15"/>
    <n v="24"/>
    <d v="2028-02-07T00:00:00"/>
    <s v="FY29-Q1"/>
    <s v="CY28-Q1"/>
    <n v="29217.197872340425"/>
    <n v="32463.553191489362"/>
    <x v="0"/>
    <s v="Project Execution"/>
    <x v="32"/>
    <x v="23"/>
    <x v="1"/>
    <x v="10"/>
    <n v="32.46355319148936"/>
    <n v="29.217197872340424"/>
    <n v="3.2463553191489358E-2"/>
    <b v="1"/>
  </r>
  <r>
    <n v="25"/>
    <n v="14"/>
    <d v="2028-02-09T00:00:00"/>
    <s v="FY29-Q1"/>
    <s v="CY28-Q1"/>
    <n v="35076.26666666667"/>
    <n v="70152.53333333334"/>
    <x v="0"/>
    <s v="Lead Qualification"/>
    <x v="37"/>
    <x v="24"/>
    <x v="7"/>
    <x v="10"/>
    <n v="70.152533333333338"/>
    <n v="35.076266666666669"/>
    <n v="7.0152533333333336E-2"/>
    <b v="1"/>
  </r>
  <r>
    <n v="17"/>
    <n v="19"/>
    <d v="2028-02-09T00:00:00"/>
    <s v="FY29-Q1"/>
    <s v="CY28-Q1"/>
    <n v="9267.2333333333336"/>
    <n v="46336.166666666664"/>
    <x v="0"/>
    <s v="Negotiation"/>
    <x v="5"/>
    <x v="5"/>
    <x v="0"/>
    <x v="10"/>
    <n v="46.336166666666664"/>
    <n v="9.2672333333333334"/>
    <n v="4.6336166666666664E-2"/>
    <b v="1"/>
  </r>
  <r>
    <n v="22"/>
    <n v="11"/>
    <d v="2028-02-11T00:00:00"/>
    <s v="FY29-Q1"/>
    <s v="CY28-Q1"/>
    <n v="26390.544230769232"/>
    <n v="29322.826923076922"/>
    <x v="0"/>
    <s v="Nurturing"/>
    <x v="20"/>
    <x v="4"/>
    <x v="1"/>
    <x v="10"/>
    <n v="29.322826923076921"/>
    <n v="26.390544230769233"/>
    <n v="2.932282692307692E-2"/>
    <b v="1"/>
  </r>
  <r>
    <n v="28"/>
    <n v="1"/>
    <d v="2028-02-16T00:00:00"/>
    <s v="FY29-Q1"/>
    <s v="CY28-Q1"/>
    <n v="40447.666666666664"/>
    <n v="80895.333333333328"/>
    <x v="0"/>
    <s v="Lead Qualification"/>
    <x v="29"/>
    <x v="0"/>
    <x v="2"/>
    <x v="10"/>
    <n v="80.895333333333326"/>
    <n v="40.447666666666663"/>
    <n v="8.0895333333333333E-2"/>
    <b v="1"/>
  </r>
  <r>
    <n v="27"/>
    <n v="2"/>
    <d v="2028-02-17T00:00:00"/>
    <s v="FY29-Q1"/>
    <s v="CY28-Q1"/>
    <n v="46287.333333333336"/>
    <n v="92574.666666666672"/>
    <x v="0"/>
    <s v="Lead Qualification"/>
    <x v="21"/>
    <x v="17"/>
    <x v="7"/>
    <x v="10"/>
    <n v="92.574666666666673"/>
    <n v="46.287333333333336"/>
    <n v="9.2574666666666666E-2"/>
    <b v="1"/>
  </r>
  <r>
    <n v="2"/>
    <n v="10"/>
    <d v="2028-02-17T00:00:00"/>
    <s v="FY29-Q1"/>
    <s v="CY28-Q1"/>
    <n v="20720.20930232558"/>
    <n v="41440.41860465116"/>
    <x v="0"/>
    <s v="Proposal"/>
    <x v="6"/>
    <x v="6"/>
    <x v="4"/>
    <x v="10"/>
    <n v="41.440418604651157"/>
    <n v="20.720209302325578"/>
    <n v="4.1440418604651155E-2"/>
    <b v="1"/>
  </r>
  <r>
    <n v="13"/>
    <n v="2"/>
    <d v="2028-02-22T00:00:00"/>
    <s v="FY29-Q1"/>
    <s v="CY28-Q1"/>
    <n v="12618.744897959185"/>
    <n v="25237.489795918369"/>
    <x v="0"/>
    <s v="Negotiation"/>
    <x v="28"/>
    <x v="17"/>
    <x v="2"/>
    <x v="10"/>
    <n v="25.237489795918368"/>
    <n v="12.618744897959184"/>
    <n v="2.5237489795918368E-2"/>
    <b v="1"/>
  </r>
  <r>
    <n v="5"/>
    <n v="12"/>
    <d v="2028-02-23T00:00:00"/>
    <s v="FY29-Q1"/>
    <s v="CY28-Q1"/>
    <n v="104043.5"/>
    <n v="208087"/>
    <x v="0"/>
    <s v="Proposal"/>
    <x v="38"/>
    <x v="19"/>
    <x v="7"/>
    <x v="10"/>
    <n v="208.08699999999999"/>
    <n v="104.04349999999999"/>
    <n v="0.20808699999999999"/>
    <b v="1"/>
  </r>
  <r>
    <n v="26"/>
    <n v="1"/>
    <d v="2028-03-01T00:00:00"/>
    <s v="FY29-Q1"/>
    <s v="CY28-Q1"/>
    <n v="11339.638888888889"/>
    <n v="22679.277777777777"/>
    <x v="0"/>
    <s v="Negotiation"/>
    <x v="25"/>
    <x v="0"/>
    <x v="9"/>
    <x v="10"/>
    <n v="22.679277777777777"/>
    <n v="11.339638888888889"/>
    <n v="2.2679277777777777E-2"/>
    <b v="1"/>
  </r>
  <r>
    <n v="39"/>
    <n v="3"/>
    <d v="2028-03-03T00:00:00"/>
    <s v="FY29-Q1"/>
    <s v="CY28-Q1"/>
    <n v="20929.153846153848"/>
    <n v="41858.307692307695"/>
    <x v="0"/>
    <s v="Project Execution"/>
    <x v="23"/>
    <x v="7"/>
    <x v="0"/>
    <x v="10"/>
    <n v="41.858307692307697"/>
    <n v="20.929153846153849"/>
    <n v="4.1858307692307695E-2"/>
    <b v="1"/>
  </r>
  <r>
    <n v="24"/>
    <n v="27"/>
    <d v="2028-03-06T00:00:00"/>
    <s v="FY29-Q1"/>
    <s v="CY28-Q1"/>
    <n v="33162.73333333333"/>
    <n v="165813.66666666666"/>
    <x v="0"/>
    <s v="Nurturing"/>
    <x v="9"/>
    <x v="9"/>
    <x v="5"/>
    <x v="10"/>
    <n v="165.81366666666665"/>
    <n v="33.162733333333328"/>
    <n v="0.16581366666666664"/>
    <b v="1"/>
  </r>
  <r>
    <n v="36"/>
    <n v="1"/>
    <d v="2028-03-06T00:00:00"/>
    <s v="FY29-Q1"/>
    <s v="CY28-Q1"/>
    <n v="24983.895833333332"/>
    <n v="49967.791666666664"/>
    <x v="0"/>
    <s v="Lead Qualification"/>
    <x v="39"/>
    <x v="0"/>
    <x v="7"/>
    <x v="10"/>
    <n v="49.967791666666663"/>
    <n v="24.983895833333332"/>
    <n v="4.9967791666666664E-2"/>
    <b v="1"/>
  </r>
  <r>
    <n v="15"/>
    <n v="24"/>
    <d v="2028-03-07T00:00:00"/>
    <s v="FY29-Q1"/>
    <s v="CY28-Q1"/>
    <n v="29217.197872340425"/>
    <n v="32463.553191489362"/>
    <x v="0"/>
    <s v="Project Execution"/>
    <x v="32"/>
    <x v="23"/>
    <x v="1"/>
    <x v="10"/>
    <n v="32.46355319148936"/>
    <n v="29.217197872340424"/>
    <n v="3.2463553191489358E-2"/>
    <b v="1"/>
  </r>
  <r>
    <n v="17"/>
    <n v="19"/>
    <d v="2028-03-09T00:00:00"/>
    <s v="FY29-Q1"/>
    <s v="CY28-Q1"/>
    <n v="9267.2333333333336"/>
    <n v="46336.166666666664"/>
    <x v="0"/>
    <s v="Negotiation"/>
    <x v="5"/>
    <x v="5"/>
    <x v="0"/>
    <x v="10"/>
    <n v="46.336166666666664"/>
    <n v="9.2672333333333334"/>
    <n v="4.6336166666666664E-2"/>
    <b v="1"/>
  </r>
  <r>
    <n v="22"/>
    <n v="11"/>
    <d v="2028-03-11T00:00:00"/>
    <s v="FY29-Q1"/>
    <s v="CY28-Q1"/>
    <n v="26390.544230769232"/>
    <n v="29322.826923076922"/>
    <x v="0"/>
    <s v="Nurturing"/>
    <x v="20"/>
    <x v="4"/>
    <x v="1"/>
    <x v="10"/>
    <n v="29.322826923076921"/>
    <n v="26.390544230769233"/>
    <n v="2.932282692307692E-2"/>
    <b v="1"/>
  </r>
  <r>
    <n v="2"/>
    <n v="10"/>
    <d v="2028-03-17T00:00:00"/>
    <s v="FY29-Q1"/>
    <s v="CY28-Q1"/>
    <n v="20720.20930232558"/>
    <n v="41440.41860465116"/>
    <x v="0"/>
    <s v="Proposal"/>
    <x v="6"/>
    <x v="6"/>
    <x v="4"/>
    <x v="10"/>
    <n v="41.440418604651157"/>
    <n v="20.720209302325578"/>
    <n v="4.1440418604651155E-2"/>
    <b v="1"/>
  </r>
  <r>
    <n v="13"/>
    <n v="2"/>
    <d v="2028-03-22T00:00:00"/>
    <s v="FY29-Q1"/>
    <s v="CY28-Q1"/>
    <n v="12618.744897959185"/>
    <n v="25237.489795918369"/>
    <x v="0"/>
    <s v="Negotiation"/>
    <x v="28"/>
    <x v="17"/>
    <x v="2"/>
    <x v="10"/>
    <n v="25.237489795918368"/>
    <n v="12.618744897959184"/>
    <n v="2.5237489795918368E-2"/>
    <b v="1"/>
  </r>
  <r>
    <n v="20"/>
    <n v="28"/>
    <d v="2028-03-25T00:00:00"/>
    <s v="FY29-Q1"/>
    <s v="CY28-Q1"/>
    <n v="46457.040000000008"/>
    <n v="232285.2"/>
    <x v="1"/>
    <s v="Proposal"/>
    <x v="10"/>
    <x v="10"/>
    <x v="7"/>
    <x v="10"/>
    <n v="232.2852"/>
    <n v="46.457040000000006"/>
    <n v="0.2322852"/>
    <b v="1"/>
  </r>
  <r>
    <n v="26"/>
    <n v="1"/>
    <d v="2028-04-01T00:00:00"/>
    <s v="FY29-Q1"/>
    <s v="CY28-Q2"/>
    <n v="11339.638888888889"/>
    <n v="22679.277777777777"/>
    <x v="0"/>
    <s v="Negotiation"/>
    <x v="25"/>
    <x v="0"/>
    <x v="9"/>
    <x v="10"/>
    <n v="22.679277777777777"/>
    <n v="11.339638888888889"/>
    <n v="2.2679277777777777E-2"/>
    <b v="1"/>
  </r>
  <r>
    <n v="39"/>
    <n v="3"/>
    <d v="2028-04-03T00:00:00"/>
    <s v="FY29-Q1"/>
    <s v="CY28-Q2"/>
    <n v="20929.153846153848"/>
    <n v="41858.307692307695"/>
    <x v="0"/>
    <s v="Project Execution"/>
    <x v="23"/>
    <x v="7"/>
    <x v="0"/>
    <x v="10"/>
    <n v="41.858307692307697"/>
    <n v="20.929153846153849"/>
    <n v="4.1858307692307695E-2"/>
    <b v="1"/>
  </r>
  <r>
    <n v="36"/>
    <n v="1"/>
    <d v="2028-04-06T00:00:00"/>
    <s v="FY29-Q1"/>
    <s v="CY28-Q2"/>
    <n v="24983.895833333332"/>
    <n v="49967.791666666664"/>
    <x v="0"/>
    <s v="Lead Qualification"/>
    <x v="39"/>
    <x v="0"/>
    <x v="7"/>
    <x v="10"/>
    <n v="49.967791666666663"/>
    <n v="24.983895833333332"/>
    <n v="4.9967791666666664E-2"/>
    <b v="1"/>
  </r>
  <r>
    <n v="15"/>
    <n v="24"/>
    <d v="2028-04-07T00:00:00"/>
    <s v="FY29-Q1"/>
    <s v="CY28-Q2"/>
    <n v="29217.197872340425"/>
    <n v="32463.553191489362"/>
    <x v="0"/>
    <s v="Project Execution"/>
    <x v="32"/>
    <x v="23"/>
    <x v="1"/>
    <x v="10"/>
    <n v="32.46355319148936"/>
    <n v="29.217197872340424"/>
    <n v="3.2463553191489358E-2"/>
    <b v="1"/>
  </r>
  <r>
    <n v="17"/>
    <n v="19"/>
    <d v="2028-04-09T00:00:00"/>
    <s v="FY29-Q1"/>
    <s v="CY28-Q2"/>
    <n v="9267.2333333333336"/>
    <n v="46336.166666666664"/>
    <x v="0"/>
    <s v="Negotiation"/>
    <x v="5"/>
    <x v="5"/>
    <x v="0"/>
    <x v="10"/>
    <n v="46.336166666666664"/>
    <n v="9.2672333333333334"/>
    <n v="4.6336166666666664E-2"/>
    <b v="1"/>
  </r>
  <r>
    <n v="22"/>
    <n v="11"/>
    <d v="2028-04-11T00:00:00"/>
    <s v="FY29-Q1"/>
    <s v="CY28-Q2"/>
    <n v="26390.544230769232"/>
    <n v="29322.826923076922"/>
    <x v="0"/>
    <s v="Nurturing"/>
    <x v="20"/>
    <x v="4"/>
    <x v="1"/>
    <x v="10"/>
    <n v="29.322826923076921"/>
    <n v="26.390544230769233"/>
    <n v="2.932282692307692E-2"/>
    <b v="1"/>
  </r>
  <r>
    <n v="11"/>
    <n v="3"/>
    <d v="2028-04-13T00:00:00"/>
    <s v="FY29-Q1"/>
    <s v="CY28-Q2"/>
    <n v="113460.75"/>
    <n v="126067.5"/>
    <x v="2"/>
    <s v="Negotiation"/>
    <x v="33"/>
    <x v="7"/>
    <x v="3"/>
    <x v="10"/>
    <n v="126.0675"/>
    <n v="113.46075"/>
    <n v="0.1260675"/>
    <b v="1"/>
  </r>
  <r>
    <n v="2"/>
    <n v="10"/>
    <d v="2028-04-17T00:00:00"/>
    <s v="FY29-Q1"/>
    <s v="CY28-Q2"/>
    <n v="20720.20930232558"/>
    <n v="41440.41860465116"/>
    <x v="0"/>
    <s v="Proposal"/>
    <x v="6"/>
    <x v="6"/>
    <x v="4"/>
    <x v="10"/>
    <n v="41.440418604651157"/>
    <n v="20.720209302325578"/>
    <n v="4.1440418604651155E-2"/>
    <b v="1"/>
  </r>
  <r>
    <n v="13"/>
    <n v="2"/>
    <d v="2028-04-22T00:00:00"/>
    <s v="FY29-Q1"/>
    <s v="CY28-Q2"/>
    <n v="12618.744897959185"/>
    <n v="25237.489795918369"/>
    <x v="0"/>
    <s v="Negotiation"/>
    <x v="28"/>
    <x v="17"/>
    <x v="2"/>
    <x v="10"/>
    <n v="25.237489795918368"/>
    <n v="12.618744897959184"/>
    <n v="2.5237489795918368E-2"/>
    <b v="1"/>
  </r>
  <r>
    <n v="7"/>
    <n v="14"/>
    <d v="2028-04-26T00:00:00"/>
    <s v="FY29-Q1"/>
    <s v="CY28-Q2"/>
    <n v="41771.416666666664"/>
    <n v="83542.833333333328"/>
    <x v="0"/>
    <s v="Project Execution"/>
    <x v="36"/>
    <x v="24"/>
    <x v="5"/>
    <x v="10"/>
    <n v="83.542833333333334"/>
    <n v="41.771416666666667"/>
    <n v="8.354283333333333E-2"/>
    <b v="1"/>
  </r>
  <r>
    <n v="26"/>
    <n v="1"/>
    <d v="2028-05-01T00:00:00"/>
    <s v="FY29-Q2"/>
    <s v="CY28-Q2"/>
    <n v="11339.638888888889"/>
    <n v="22679.277777777777"/>
    <x v="0"/>
    <s v="Negotiation"/>
    <x v="25"/>
    <x v="0"/>
    <x v="9"/>
    <x v="10"/>
    <n v="22.679277777777777"/>
    <n v="11.339638888888889"/>
    <n v="2.2679277777777777E-2"/>
    <b v="1"/>
  </r>
  <r>
    <n v="39"/>
    <n v="3"/>
    <d v="2028-05-03T00:00:00"/>
    <s v="FY29-Q2"/>
    <s v="CY28-Q2"/>
    <n v="20929.153846153848"/>
    <n v="41858.307692307695"/>
    <x v="0"/>
    <s v="Project Execution"/>
    <x v="23"/>
    <x v="7"/>
    <x v="0"/>
    <x v="10"/>
    <n v="41.858307692307697"/>
    <n v="20.929153846153849"/>
    <n v="4.1858307692307695E-2"/>
    <b v="1"/>
  </r>
  <r>
    <n v="36"/>
    <n v="1"/>
    <d v="2028-05-06T00:00:00"/>
    <s v="FY29-Q2"/>
    <s v="CY28-Q2"/>
    <n v="24983.895833333332"/>
    <n v="49967.791666666664"/>
    <x v="0"/>
    <s v="Lead Qualification"/>
    <x v="39"/>
    <x v="0"/>
    <x v="7"/>
    <x v="10"/>
    <n v="49.967791666666663"/>
    <n v="24.983895833333332"/>
    <n v="4.9967791666666664E-2"/>
    <b v="1"/>
  </r>
  <r>
    <n v="15"/>
    <n v="24"/>
    <d v="2028-05-07T00:00:00"/>
    <s v="FY29-Q2"/>
    <s v="CY28-Q2"/>
    <n v="29217.197872340425"/>
    <n v="32463.553191489362"/>
    <x v="0"/>
    <s v="Project Execution"/>
    <x v="32"/>
    <x v="23"/>
    <x v="1"/>
    <x v="10"/>
    <n v="32.46355319148936"/>
    <n v="29.217197872340424"/>
    <n v="3.2463553191489358E-2"/>
    <b v="1"/>
  </r>
  <r>
    <n v="29"/>
    <n v="10"/>
    <d v="2028-05-08T00:00:00"/>
    <s v="FY29-Q2"/>
    <s v="CY28-Q2"/>
    <n v="150480.08333333334"/>
    <n v="300960.16666666669"/>
    <x v="0"/>
    <s v="Project Execution"/>
    <x v="13"/>
    <x v="6"/>
    <x v="6"/>
    <x v="10"/>
    <n v="300.96016666666668"/>
    <n v="150.48008333333334"/>
    <n v="0.3009601666666667"/>
    <b v="1"/>
  </r>
  <r>
    <n v="25"/>
    <n v="14"/>
    <d v="2028-05-09T00:00:00"/>
    <s v="FY29-Q2"/>
    <s v="CY28-Q2"/>
    <n v="35076.26666666667"/>
    <n v="70152.53333333334"/>
    <x v="0"/>
    <s v="Lead Qualification"/>
    <x v="37"/>
    <x v="24"/>
    <x v="7"/>
    <x v="10"/>
    <n v="70.152533333333338"/>
    <n v="35.076266666666669"/>
    <n v="7.0152533333333336E-2"/>
    <b v="1"/>
  </r>
  <r>
    <n v="17"/>
    <n v="19"/>
    <d v="2028-05-09T00:00:00"/>
    <s v="FY29-Q2"/>
    <s v="CY28-Q2"/>
    <n v="9267.2333333333336"/>
    <n v="46336.166666666664"/>
    <x v="0"/>
    <s v="Negotiation"/>
    <x v="5"/>
    <x v="5"/>
    <x v="0"/>
    <x v="10"/>
    <n v="46.336166666666664"/>
    <n v="9.2672333333333334"/>
    <n v="4.6336166666666664E-2"/>
    <b v="1"/>
  </r>
  <r>
    <n v="22"/>
    <n v="11"/>
    <d v="2028-05-11T00:00:00"/>
    <s v="FY29-Q2"/>
    <s v="CY28-Q2"/>
    <n v="26390.544230769232"/>
    <n v="29322.826923076922"/>
    <x v="0"/>
    <s v="Nurturing"/>
    <x v="20"/>
    <x v="4"/>
    <x v="1"/>
    <x v="10"/>
    <n v="29.322826923076921"/>
    <n v="26.390544230769233"/>
    <n v="2.932282692307692E-2"/>
    <b v="1"/>
  </r>
  <r>
    <n v="28"/>
    <n v="1"/>
    <d v="2028-05-16T00:00:00"/>
    <s v="FY29-Q2"/>
    <s v="CY28-Q2"/>
    <n v="40447.666666666664"/>
    <n v="80895.333333333328"/>
    <x v="0"/>
    <s v="Lead Qualification"/>
    <x v="29"/>
    <x v="0"/>
    <x v="2"/>
    <x v="10"/>
    <n v="80.895333333333326"/>
    <n v="40.447666666666663"/>
    <n v="8.0895333333333333E-2"/>
    <b v="1"/>
  </r>
  <r>
    <n v="2"/>
    <n v="10"/>
    <d v="2028-05-17T00:00:00"/>
    <s v="FY29-Q2"/>
    <s v="CY28-Q2"/>
    <n v="20720.20930232558"/>
    <n v="41440.41860465116"/>
    <x v="0"/>
    <s v="Proposal"/>
    <x v="6"/>
    <x v="6"/>
    <x v="4"/>
    <x v="10"/>
    <n v="41.440418604651157"/>
    <n v="20.720209302325578"/>
    <n v="4.1440418604651155E-2"/>
    <b v="1"/>
  </r>
  <r>
    <n v="27"/>
    <n v="2"/>
    <d v="2028-05-17T00:00:00"/>
    <s v="FY29-Q2"/>
    <s v="CY28-Q2"/>
    <n v="46287.333333333336"/>
    <n v="92574.666666666672"/>
    <x v="0"/>
    <s v="Lead Qualification"/>
    <x v="21"/>
    <x v="17"/>
    <x v="7"/>
    <x v="10"/>
    <n v="92.574666666666673"/>
    <n v="46.287333333333336"/>
    <n v="9.2574666666666666E-2"/>
    <b v="1"/>
  </r>
  <r>
    <n v="37"/>
    <n v="20"/>
    <d v="2028-05-18T00:00:00"/>
    <s v="FY29-Q2"/>
    <s v="CY28-Q2"/>
    <n v="103010.25"/>
    <n v="206020.5"/>
    <x v="0"/>
    <s v="Nurturing"/>
    <x v="3"/>
    <x v="3"/>
    <x v="2"/>
    <x v="10"/>
    <n v="206.0205"/>
    <n v="103.01025"/>
    <n v="0.2060205"/>
    <b v="1"/>
  </r>
  <r>
    <n v="23"/>
    <n v="11"/>
    <d v="2028-05-20T00:00:00"/>
    <s v="FY29-Q2"/>
    <s v="CY28-Q2"/>
    <n v="25249.37777777778"/>
    <n v="126246.88888888889"/>
    <x v="1"/>
    <s v="Negotiation"/>
    <x v="4"/>
    <x v="4"/>
    <x v="3"/>
    <x v="10"/>
    <n v="126.24688888888889"/>
    <n v="25.249377777777781"/>
    <n v="0.12624688888888888"/>
    <b v="1"/>
  </r>
  <r>
    <n v="31"/>
    <n v="15"/>
    <d v="2028-05-22T00:00:00"/>
    <s v="FY29-Q2"/>
    <s v="CY28-Q2"/>
    <n v="19221.625"/>
    <n v="96108.125"/>
    <x v="2"/>
    <s v="Negotiation"/>
    <x v="14"/>
    <x v="13"/>
    <x v="7"/>
    <x v="10"/>
    <n v="96.108125000000001"/>
    <n v="19.221625"/>
    <n v="9.6108125000000003E-2"/>
    <b v="1"/>
  </r>
  <r>
    <n v="13"/>
    <n v="2"/>
    <d v="2028-05-22T00:00:00"/>
    <s v="FY29-Q2"/>
    <s v="CY28-Q2"/>
    <n v="12618.744897959185"/>
    <n v="25237.489795918369"/>
    <x v="0"/>
    <s v="Negotiation"/>
    <x v="28"/>
    <x v="17"/>
    <x v="2"/>
    <x v="10"/>
    <n v="25.237489795918368"/>
    <n v="12.618744897959184"/>
    <n v="2.5237489795918368E-2"/>
    <b v="1"/>
  </r>
  <r>
    <n v="26"/>
    <n v="1"/>
    <d v="2028-06-01T00:00:00"/>
    <s v="FY29-Q2"/>
    <s v="CY28-Q2"/>
    <n v="11339.638888888889"/>
    <n v="22679.277777777777"/>
    <x v="0"/>
    <s v="Negotiation"/>
    <x v="25"/>
    <x v="0"/>
    <x v="9"/>
    <x v="10"/>
    <n v="22.679277777777777"/>
    <n v="11.339638888888889"/>
    <n v="2.2679277777777777E-2"/>
    <b v="1"/>
  </r>
  <r>
    <n v="8"/>
    <n v="13"/>
    <d v="2028-06-02T00:00:00"/>
    <s v="FY29-Q2"/>
    <s v="CY28-Q2"/>
    <n v="62725.125"/>
    <n v="125450.25"/>
    <x v="0"/>
    <s v="Closeout"/>
    <x v="1"/>
    <x v="1"/>
    <x v="1"/>
    <x v="10"/>
    <n v="125.45025"/>
    <n v="62.725124999999998"/>
    <n v="0.12545024999999999"/>
    <b v="1"/>
  </r>
  <r>
    <n v="39"/>
    <n v="3"/>
    <d v="2028-06-03T00:00:00"/>
    <s v="FY29-Q2"/>
    <s v="CY28-Q2"/>
    <n v="20929.153846153848"/>
    <n v="41858.307692307695"/>
    <x v="0"/>
    <s v="Project Execution"/>
    <x v="23"/>
    <x v="7"/>
    <x v="0"/>
    <x v="10"/>
    <n v="41.858307692307697"/>
    <n v="20.929153846153849"/>
    <n v="4.1858307692307695E-2"/>
    <b v="1"/>
  </r>
  <r>
    <n v="36"/>
    <n v="1"/>
    <d v="2028-06-06T00:00:00"/>
    <s v="FY29-Q2"/>
    <s v="CY28-Q2"/>
    <n v="24983.895833333332"/>
    <n v="49967.791666666664"/>
    <x v="0"/>
    <s v="Lead Qualification"/>
    <x v="39"/>
    <x v="0"/>
    <x v="7"/>
    <x v="10"/>
    <n v="49.967791666666663"/>
    <n v="24.983895833333332"/>
    <n v="4.9967791666666664E-2"/>
    <b v="1"/>
  </r>
  <r>
    <n v="15"/>
    <n v="24"/>
    <d v="2028-06-07T00:00:00"/>
    <s v="FY29-Q2"/>
    <s v="CY28-Q2"/>
    <n v="29217.197872340425"/>
    <n v="32463.553191489362"/>
    <x v="0"/>
    <s v="Project Execution"/>
    <x v="32"/>
    <x v="23"/>
    <x v="1"/>
    <x v="10"/>
    <n v="32.46355319148936"/>
    <n v="29.217197872340424"/>
    <n v="3.2463553191489358E-2"/>
    <b v="1"/>
  </r>
  <r>
    <n v="17"/>
    <n v="19"/>
    <d v="2028-06-09T00:00:00"/>
    <s v="FY29-Q2"/>
    <s v="CY28-Q2"/>
    <n v="9267.2333333333336"/>
    <n v="46336.166666666664"/>
    <x v="0"/>
    <s v="Negotiation"/>
    <x v="5"/>
    <x v="5"/>
    <x v="0"/>
    <x v="10"/>
    <n v="46.336166666666664"/>
    <n v="9.2672333333333334"/>
    <n v="4.6336166666666664E-2"/>
    <b v="1"/>
  </r>
  <r>
    <n v="22"/>
    <n v="11"/>
    <d v="2028-06-11T00:00:00"/>
    <s v="FY29-Q2"/>
    <s v="CY28-Q2"/>
    <n v="26390.544230769232"/>
    <n v="29322.826923076922"/>
    <x v="0"/>
    <s v="Nurturing"/>
    <x v="20"/>
    <x v="4"/>
    <x v="1"/>
    <x v="10"/>
    <n v="29.322826923076921"/>
    <n v="26.390544230769233"/>
    <n v="2.932282692307692E-2"/>
    <b v="1"/>
  </r>
  <r>
    <n v="2"/>
    <n v="10"/>
    <d v="2028-06-17T00:00:00"/>
    <s v="FY29-Q2"/>
    <s v="CY28-Q2"/>
    <n v="20720.20930232558"/>
    <n v="41440.41860465116"/>
    <x v="0"/>
    <s v="Proposal"/>
    <x v="6"/>
    <x v="6"/>
    <x v="4"/>
    <x v="10"/>
    <n v="41.440418604651157"/>
    <n v="20.720209302325578"/>
    <n v="4.1440418604651155E-2"/>
    <b v="1"/>
  </r>
  <r>
    <n v="1"/>
    <n v="18"/>
    <d v="2028-06-17T00:00:00"/>
    <s v="FY29-Q2"/>
    <s v="CY28-Q2"/>
    <n v="49601.433333333334"/>
    <n v="248007.16666666666"/>
    <x v="0"/>
    <s v="Lead Qualification"/>
    <x v="15"/>
    <x v="14"/>
    <x v="7"/>
    <x v="10"/>
    <n v="248.00716666666665"/>
    <n v="49.601433333333333"/>
    <n v="0.24800716666666664"/>
    <b v="1"/>
  </r>
  <r>
    <n v="13"/>
    <n v="2"/>
    <d v="2028-06-22T00:00:00"/>
    <s v="FY29-Q2"/>
    <s v="CY28-Q2"/>
    <n v="12618.744897959185"/>
    <n v="25237.489795918369"/>
    <x v="0"/>
    <s v="Negotiation"/>
    <x v="28"/>
    <x v="17"/>
    <x v="2"/>
    <x v="10"/>
    <n v="25.237489795918368"/>
    <n v="12.618744897959184"/>
    <n v="2.5237489795918368E-2"/>
    <b v="1"/>
  </r>
  <r>
    <n v="6"/>
    <n v="13"/>
    <d v="2028-06-26T00:00:00"/>
    <s v="FY29-Q2"/>
    <s v="CY28-Q2"/>
    <n v="37550.227272727272"/>
    <n v="75100.454545454544"/>
    <x v="0"/>
    <s v="Project Execution"/>
    <x v="16"/>
    <x v="1"/>
    <x v="4"/>
    <x v="10"/>
    <n v="75.100454545454539"/>
    <n v="37.55022727272727"/>
    <n v="7.510045454545454E-2"/>
    <b v="1"/>
  </r>
  <r>
    <n v="38"/>
    <n v="21"/>
    <d v="2028-06-30T00:00:00"/>
    <s v="FY29-Q2"/>
    <s v="CY28-Q2"/>
    <n v="50822.5"/>
    <n v="101645"/>
    <x v="0"/>
    <s v="Proposal"/>
    <x v="31"/>
    <x v="22"/>
    <x v="2"/>
    <x v="10"/>
    <n v="101.645"/>
    <n v="50.822499999999998"/>
    <n v="0.101645"/>
    <b v="1"/>
  </r>
  <r>
    <n v="26"/>
    <n v="1"/>
    <d v="2028-07-01T00:00:00"/>
    <s v="FY29-Q2"/>
    <s v="CY28-Q3"/>
    <n v="11339.638888888889"/>
    <n v="22679.277777777777"/>
    <x v="0"/>
    <s v="Negotiation"/>
    <x v="25"/>
    <x v="0"/>
    <x v="9"/>
    <x v="10"/>
    <n v="22.679277777777777"/>
    <n v="11.339638888888889"/>
    <n v="2.2679277777777777E-2"/>
    <b v="1"/>
  </r>
  <r>
    <n v="39"/>
    <n v="3"/>
    <d v="2028-07-03T00:00:00"/>
    <s v="FY29-Q2"/>
    <s v="CY28-Q3"/>
    <n v="20929.153846153848"/>
    <n v="41858.307692307695"/>
    <x v="0"/>
    <s v="Project Execution"/>
    <x v="23"/>
    <x v="7"/>
    <x v="0"/>
    <x v="10"/>
    <n v="41.858307692307697"/>
    <n v="20.929153846153849"/>
    <n v="4.1858307692307695E-2"/>
    <b v="1"/>
  </r>
  <r>
    <n v="36"/>
    <n v="1"/>
    <d v="2028-07-06T00:00:00"/>
    <s v="FY29-Q2"/>
    <s v="CY28-Q3"/>
    <n v="24983.895833333332"/>
    <n v="49967.791666666664"/>
    <x v="0"/>
    <s v="Lead Qualification"/>
    <x v="39"/>
    <x v="0"/>
    <x v="7"/>
    <x v="10"/>
    <n v="49.967791666666663"/>
    <n v="24.983895833333332"/>
    <n v="4.9967791666666664E-2"/>
    <b v="1"/>
  </r>
  <r>
    <n v="15"/>
    <n v="24"/>
    <d v="2028-07-07T00:00:00"/>
    <s v="FY29-Q2"/>
    <s v="CY28-Q3"/>
    <n v="29217.197872340425"/>
    <n v="32463.553191489362"/>
    <x v="0"/>
    <s v="Project Execution"/>
    <x v="32"/>
    <x v="23"/>
    <x v="1"/>
    <x v="10"/>
    <n v="32.46355319148936"/>
    <n v="29.217197872340424"/>
    <n v="3.2463553191489358E-2"/>
    <b v="1"/>
  </r>
  <r>
    <n v="17"/>
    <n v="19"/>
    <d v="2028-07-09T00:00:00"/>
    <s v="FY29-Q2"/>
    <s v="CY28-Q3"/>
    <n v="9267.2333333333336"/>
    <n v="46336.166666666664"/>
    <x v="0"/>
    <s v="Negotiation"/>
    <x v="5"/>
    <x v="5"/>
    <x v="0"/>
    <x v="10"/>
    <n v="46.336166666666664"/>
    <n v="9.2672333333333334"/>
    <n v="4.6336166666666664E-2"/>
    <b v="1"/>
  </r>
  <r>
    <n v="22"/>
    <n v="11"/>
    <d v="2028-07-11T00:00:00"/>
    <s v="FY29-Q2"/>
    <s v="CY28-Q3"/>
    <n v="26390.544230769232"/>
    <n v="29322.826923076922"/>
    <x v="0"/>
    <s v="Nurturing"/>
    <x v="20"/>
    <x v="4"/>
    <x v="1"/>
    <x v="10"/>
    <n v="29.322826923076921"/>
    <n v="26.390544230769233"/>
    <n v="2.932282692307692E-2"/>
    <b v="1"/>
  </r>
  <r>
    <n v="11"/>
    <n v="3"/>
    <d v="2028-07-13T00:00:00"/>
    <s v="FY29-Q2"/>
    <s v="CY28-Q3"/>
    <n v="113460.75"/>
    <n v="126067.5"/>
    <x v="2"/>
    <s v="Negotiation"/>
    <x v="33"/>
    <x v="7"/>
    <x v="3"/>
    <x v="10"/>
    <n v="126.0675"/>
    <n v="113.46075"/>
    <n v="0.1260675"/>
    <b v="1"/>
  </r>
  <r>
    <n v="2"/>
    <n v="10"/>
    <d v="2028-07-17T00:00:00"/>
    <s v="FY29-Q2"/>
    <s v="CY28-Q3"/>
    <n v="20720.20930232558"/>
    <n v="41440.41860465116"/>
    <x v="0"/>
    <s v="Proposal"/>
    <x v="6"/>
    <x v="6"/>
    <x v="4"/>
    <x v="10"/>
    <n v="41.440418604651157"/>
    <n v="20.720209302325578"/>
    <n v="4.1440418604651155E-2"/>
    <b v="1"/>
  </r>
  <r>
    <n v="9"/>
    <n v="26"/>
    <d v="2028-07-19T00:00:00"/>
    <s v="FY29-Q2"/>
    <s v="CY28-Q3"/>
    <n v="37447.800000000003"/>
    <n v="187239"/>
    <x v="2"/>
    <s v="Lead Qualification"/>
    <x v="17"/>
    <x v="15"/>
    <x v="2"/>
    <x v="10"/>
    <n v="187.239"/>
    <n v="37.447800000000001"/>
    <n v="0.18723900000000002"/>
    <b v="1"/>
  </r>
  <r>
    <n v="40"/>
    <n v="15"/>
    <d v="2028-07-19T00:00:00"/>
    <s v="FY29-Q2"/>
    <s v="CY28-Q3"/>
    <n v="36144.450000000004"/>
    <n v="40160.5"/>
    <x v="0"/>
    <s v="Proposal"/>
    <x v="34"/>
    <x v="13"/>
    <x v="9"/>
    <x v="10"/>
    <n v="40.160499999999999"/>
    <n v="36.144450000000006"/>
    <n v="4.0160500000000002E-2"/>
    <b v="1"/>
  </r>
  <r>
    <n v="13"/>
    <n v="2"/>
    <d v="2028-07-22T00:00:00"/>
    <s v="FY29-Q2"/>
    <s v="CY28-Q3"/>
    <n v="12618.744897959185"/>
    <n v="25237.489795918369"/>
    <x v="0"/>
    <s v="Negotiation"/>
    <x v="28"/>
    <x v="17"/>
    <x v="2"/>
    <x v="10"/>
    <n v="25.237489795918368"/>
    <n v="12.618744897959184"/>
    <n v="2.5237489795918368E-2"/>
    <b v="1"/>
  </r>
  <r>
    <n v="7"/>
    <n v="14"/>
    <d v="2028-07-26T00:00:00"/>
    <s v="FY29-Q2"/>
    <s v="CY28-Q3"/>
    <n v="41771.416666666664"/>
    <n v="83542.833333333328"/>
    <x v="0"/>
    <s v="Project Execution"/>
    <x v="36"/>
    <x v="24"/>
    <x v="5"/>
    <x v="10"/>
    <n v="83.542833333333334"/>
    <n v="41.771416666666667"/>
    <n v="8.354283333333333E-2"/>
    <b v="1"/>
  </r>
  <r>
    <n v="18"/>
    <n v="9"/>
    <d v="2028-07-28T00:00:00"/>
    <s v="FY29-Q2"/>
    <s v="CY28-Q3"/>
    <n v="110906.4"/>
    <n v="221812.8"/>
    <x v="0"/>
    <s v="Lead Qualification"/>
    <x v="18"/>
    <x v="16"/>
    <x v="5"/>
    <x v="10"/>
    <n v="221.81279999999998"/>
    <n v="110.90639999999999"/>
    <n v="0.22181279999999998"/>
    <b v="1"/>
  </r>
  <r>
    <n v="26"/>
    <n v="1"/>
    <d v="2028-08-01T00:00:00"/>
    <s v="FY29-Q3"/>
    <s v="CY28-Q3"/>
    <n v="11339.638888888889"/>
    <n v="22679.277777777777"/>
    <x v="0"/>
    <s v="Negotiation"/>
    <x v="25"/>
    <x v="0"/>
    <x v="9"/>
    <x v="10"/>
    <n v="22.679277777777777"/>
    <n v="11.339638888888889"/>
    <n v="2.2679277777777777E-2"/>
    <b v="1"/>
  </r>
  <r>
    <n v="14"/>
    <n v="2"/>
    <d v="2028-08-01T00:00:00"/>
    <s v="FY29-Q3"/>
    <s v="CY28-Q3"/>
    <n v="176887.5"/>
    <n v="353775"/>
    <x v="0"/>
    <s v="Lead Qualification"/>
    <x v="19"/>
    <x v="17"/>
    <x v="8"/>
    <x v="10"/>
    <n v="353.77499999999998"/>
    <n v="176.88749999999999"/>
    <n v="0.35377499999999995"/>
    <b v="1"/>
  </r>
  <r>
    <n v="39"/>
    <n v="3"/>
    <d v="2028-08-03T00:00:00"/>
    <s v="FY29-Q3"/>
    <s v="CY28-Q3"/>
    <n v="20929.153846153848"/>
    <n v="41858.307692307695"/>
    <x v="0"/>
    <s v="Project Execution"/>
    <x v="23"/>
    <x v="7"/>
    <x v="0"/>
    <x v="10"/>
    <n v="41.858307692307697"/>
    <n v="20.929153846153849"/>
    <n v="4.1858307692307695E-2"/>
    <b v="1"/>
  </r>
  <r>
    <n v="36"/>
    <n v="1"/>
    <d v="2028-08-06T00:00:00"/>
    <s v="FY29-Q3"/>
    <s v="CY28-Q3"/>
    <n v="24983.895833333332"/>
    <n v="49967.791666666664"/>
    <x v="0"/>
    <s v="Lead Qualification"/>
    <x v="39"/>
    <x v="0"/>
    <x v="7"/>
    <x v="10"/>
    <n v="49.967791666666663"/>
    <n v="24.983895833333332"/>
    <n v="4.9967791666666664E-2"/>
    <b v="1"/>
  </r>
  <r>
    <n v="15"/>
    <n v="24"/>
    <d v="2028-08-07T00:00:00"/>
    <s v="FY29-Q3"/>
    <s v="CY28-Q3"/>
    <n v="29217.197872340425"/>
    <n v="32463.553191489362"/>
    <x v="0"/>
    <s v="Project Execution"/>
    <x v="32"/>
    <x v="23"/>
    <x v="1"/>
    <x v="10"/>
    <n v="32.46355319148936"/>
    <n v="29.217197872340424"/>
    <n v="3.2463553191489358E-2"/>
    <b v="1"/>
  </r>
  <r>
    <n v="25"/>
    <n v="14"/>
    <d v="2028-08-09T00:00:00"/>
    <s v="FY29-Q3"/>
    <s v="CY28-Q3"/>
    <n v="35076.26666666667"/>
    <n v="70152.53333333334"/>
    <x v="0"/>
    <s v="Lead Qualification"/>
    <x v="37"/>
    <x v="24"/>
    <x v="7"/>
    <x v="10"/>
    <n v="70.152533333333338"/>
    <n v="35.076266666666669"/>
    <n v="7.0152533333333336E-2"/>
    <b v="1"/>
  </r>
  <r>
    <n v="17"/>
    <n v="19"/>
    <d v="2028-08-09T00:00:00"/>
    <s v="FY29-Q3"/>
    <s v="CY28-Q3"/>
    <n v="9267.2333333333336"/>
    <n v="46336.166666666664"/>
    <x v="0"/>
    <s v="Negotiation"/>
    <x v="5"/>
    <x v="5"/>
    <x v="0"/>
    <x v="10"/>
    <n v="46.336166666666664"/>
    <n v="9.2672333333333334"/>
    <n v="4.6336166666666664E-2"/>
    <b v="1"/>
  </r>
  <r>
    <n v="22"/>
    <n v="11"/>
    <d v="2028-08-11T00:00:00"/>
    <s v="FY29-Q3"/>
    <s v="CY28-Q3"/>
    <n v="26390.544230769232"/>
    <n v="29322.826923076922"/>
    <x v="0"/>
    <s v="Nurturing"/>
    <x v="20"/>
    <x v="4"/>
    <x v="1"/>
    <x v="10"/>
    <n v="29.322826923076921"/>
    <n v="26.390544230769233"/>
    <n v="2.932282692307692E-2"/>
    <b v="1"/>
  </r>
  <r>
    <n v="28"/>
    <n v="1"/>
    <d v="2028-08-16T00:00:00"/>
    <s v="FY29-Q3"/>
    <s v="CY28-Q3"/>
    <n v="40447.666666666664"/>
    <n v="80895.333333333328"/>
    <x v="0"/>
    <s v="Lead Qualification"/>
    <x v="29"/>
    <x v="0"/>
    <x v="2"/>
    <x v="10"/>
    <n v="80.895333333333326"/>
    <n v="40.447666666666663"/>
    <n v="8.0895333333333333E-2"/>
    <b v="1"/>
  </r>
  <r>
    <n v="27"/>
    <n v="2"/>
    <d v="2028-08-17T00:00:00"/>
    <s v="FY29-Q3"/>
    <s v="CY28-Q3"/>
    <n v="46287.333333333336"/>
    <n v="92574.666666666672"/>
    <x v="0"/>
    <s v="Lead Qualification"/>
    <x v="21"/>
    <x v="17"/>
    <x v="7"/>
    <x v="10"/>
    <n v="92.574666666666673"/>
    <n v="46.287333333333336"/>
    <n v="9.2574666666666666E-2"/>
    <b v="1"/>
  </r>
  <r>
    <n v="2"/>
    <n v="10"/>
    <d v="2028-08-17T00:00:00"/>
    <s v="FY29-Q3"/>
    <s v="CY28-Q3"/>
    <n v="20720.20930232558"/>
    <n v="41440.41860465116"/>
    <x v="0"/>
    <s v="Proposal"/>
    <x v="6"/>
    <x v="6"/>
    <x v="4"/>
    <x v="10"/>
    <n v="41.440418604651157"/>
    <n v="20.720209302325578"/>
    <n v="4.1440418604651155E-2"/>
    <b v="1"/>
  </r>
  <r>
    <n v="13"/>
    <n v="2"/>
    <d v="2028-08-22T00:00:00"/>
    <s v="FY29-Q3"/>
    <s v="CY28-Q3"/>
    <n v="12618.744897959185"/>
    <n v="25237.489795918369"/>
    <x v="0"/>
    <s v="Negotiation"/>
    <x v="28"/>
    <x v="17"/>
    <x v="2"/>
    <x v="10"/>
    <n v="25.237489795918368"/>
    <n v="12.618744897959184"/>
    <n v="2.5237489795918368E-2"/>
    <b v="1"/>
  </r>
  <r>
    <n v="5"/>
    <n v="12"/>
    <d v="2028-08-23T00:00:00"/>
    <s v="FY29-Q3"/>
    <s v="CY28-Q3"/>
    <n v="104043.5"/>
    <n v="208087"/>
    <x v="0"/>
    <s v="Proposal"/>
    <x v="38"/>
    <x v="19"/>
    <x v="7"/>
    <x v="10"/>
    <n v="208.08699999999999"/>
    <n v="104.04349999999999"/>
    <n v="0.20808699999999999"/>
    <b v="1"/>
  </r>
  <r>
    <n v="26"/>
    <n v="1"/>
    <d v="2028-09-01T00:00:00"/>
    <s v="FY29-Q3"/>
    <s v="CY28-Q3"/>
    <n v="11339.638888888889"/>
    <n v="22679.277777777777"/>
    <x v="0"/>
    <s v="Negotiation"/>
    <x v="25"/>
    <x v="0"/>
    <x v="9"/>
    <x v="10"/>
    <n v="22.679277777777777"/>
    <n v="11.339638888888889"/>
    <n v="2.2679277777777777E-2"/>
    <b v="1"/>
  </r>
  <r>
    <n v="39"/>
    <n v="3"/>
    <d v="2028-09-03T00:00:00"/>
    <s v="FY29-Q3"/>
    <s v="CY28-Q3"/>
    <n v="20929.153846153848"/>
    <n v="41858.307692307695"/>
    <x v="0"/>
    <s v="Project Execution"/>
    <x v="23"/>
    <x v="7"/>
    <x v="0"/>
    <x v="10"/>
    <n v="41.858307692307697"/>
    <n v="20.929153846153849"/>
    <n v="4.1858307692307695E-2"/>
    <b v="1"/>
  </r>
  <r>
    <n v="36"/>
    <n v="1"/>
    <d v="2028-09-06T00:00:00"/>
    <s v="FY29-Q3"/>
    <s v="CY28-Q3"/>
    <n v="24983.895833333332"/>
    <n v="49967.791666666664"/>
    <x v="0"/>
    <s v="Lead Qualification"/>
    <x v="39"/>
    <x v="0"/>
    <x v="7"/>
    <x v="10"/>
    <n v="49.967791666666663"/>
    <n v="24.983895833333332"/>
    <n v="4.9967791666666664E-2"/>
    <b v="1"/>
  </r>
  <r>
    <n v="15"/>
    <n v="24"/>
    <d v="2028-09-07T00:00:00"/>
    <s v="FY29-Q3"/>
    <s v="CY28-Q3"/>
    <n v="29217.197872340425"/>
    <n v="32463.553191489362"/>
    <x v="0"/>
    <s v="Project Execution"/>
    <x v="32"/>
    <x v="23"/>
    <x v="1"/>
    <x v="10"/>
    <n v="32.46355319148936"/>
    <n v="29.217197872340424"/>
    <n v="3.2463553191489358E-2"/>
    <b v="1"/>
  </r>
  <r>
    <n v="17"/>
    <n v="19"/>
    <d v="2028-09-09T00:00:00"/>
    <s v="FY29-Q3"/>
    <s v="CY28-Q3"/>
    <n v="9267.2333333333336"/>
    <n v="46336.166666666664"/>
    <x v="0"/>
    <s v="Negotiation"/>
    <x v="5"/>
    <x v="5"/>
    <x v="0"/>
    <x v="10"/>
    <n v="46.336166666666664"/>
    <n v="9.2672333333333334"/>
    <n v="4.6336166666666664E-2"/>
    <b v="1"/>
  </r>
  <r>
    <n v="22"/>
    <n v="11"/>
    <d v="2028-09-11T00:00:00"/>
    <s v="FY29-Q3"/>
    <s v="CY28-Q3"/>
    <n v="26390.544230769232"/>
    <n v="29322.826923076922"/>
    <x v="0"/>
    <s v="Nurturing"/>
    <x v="20"/>
    <x v="4"/>
    <x v="1"/>
    <x v="10"/>
    <n v="29.322826923076921"/>
    <n v="26.390544230769233"/>
    <n v="2.932282692307692E-2"/>
    <b v="1"/>
  </r>
  <r>
    <n v="2"/>
    <n v="10"/>
    <d v="2028-09-17T00:00:00"/>
    <s v="FY29-Q3"/>
    <s v="CY28-Q3"/>
    <n v="20720.20930232558"/>
    <n v="41440.41860465116"/>
    <x v="0"/>
    <s v="Proposal"/>
    <x v="6"/>
    <x v="6"/>
    <x v="4"/>
    <x v="10"/>
    <n v="41.440418604651157"/>
    <n v="20.720209302325578"/>
    <n v="4.1440418604651155E-2"/>
    <b v="1"/>
  </r>
  <r>
    <n v="13"/>
    <n v="2"/>
    <d v="2028-09-22T00:00:00"/>
    <s v="FY29-Q3"/>
    <s v="CY28-Q3"/>
    <n v="12618.744897959185"/>
    <n v="25237.489795918369"/>
    <x v="0"/>
    <s v="Negotiation"/>
    <x v="28"/>
    <x v="17"/>
    <x v="2"/>
    <x v="10"/>
    <n v="25.237489795918368"/>
    <n v="12.618744897959184"/>
    <n v="2.5237489795918368E-2"/>
    <b v="1"/>
  </r>
  <r>
    <n v="4"/>
    <n v="12"/>
    <d v="2028-09-28T00:00:00"/>
    <s v="FY29-Q3"/>
    <s v="CY28-Q3"/>
    <n v="62066.583333333336"/>
    <n v="124133.16666666667"/>
    <x v="0"/>
    <s v="Lead Qualification"/>
    <x v="24"/>
    <x v="19"/>
    <x v="4"/>
    <x v="10"/>
    <n v="124.13316666666667"/>
    <n v="62.066583333333334"/>
    <n v="0.12413316666666667"/>
    <b v="1"/>
  </r>
  <r>
    <n v="26"/>
    <n v="1"/>
    <d v="2028-10-01T00:00:00"/>
    <s v="FY29-Q3"/>
    <s v="CY28-Q4"/>
    <n v="11339.638888888889"/>
    <n v="22679.277777777777"/>
    <x v="0"/>
    <s v="Negotiation"/>
    <x v="25"/>
    <x v="0"/>
    <x v="9"/>
    <x v="10"/>
    <n v="22.679277777777777"/>
    <n v="11.339638888888889"/>
    <n v="2.2679277777777777E-2"/>
    <b v="1"/>
  </r>
  <r>
    <n v="39"/>
    <n v="3"/>
    <d v="2028-10-03T00:00:00"/>
    <s v="FY29-Q3"/>
    <s v="CY28-Q4"/>
    <n v="20929.153846153848"/>
    <n v="41858.307692307695"/>
    <x v="0"/>
    <s v="Project Execution"/>
    <x v="23"/>
    <x v="7"/>
    <x v="0"/>
    <x v="10"/>
    <n v="41.858307692307697"/>
    <n v="20.929153846153849"/>
    <n v="4.1858307692307695E-2"/>
    <b v="1"/>
  </r>
  <r>
    <n v="36"/>
    <n v="1"/>
    <d v="2028-10-06T00:00:00"/>
    <s v="FY29-Q3"/>
    <s v="CY28-Q4"/>
    <n v="24983.895833333332"/>
    <n v="49967.791666666664"/>
    <x v="0"/>
    <s v="Lead Qualification"/>
    <x v="39"/>
    <x v="0"/>
    <x v="7"/>
    <x v="10"/>
    <n v="49.967791666666663"/>
    <n v="24.983895833333332"/>
    <n v="4.9967791666666664E-2"/>
    <b v="1"/>
  </r>
  <r>
    <n v="15"/>
    <n v="24"/>
    <d v="2028-10-07T00:00:00"/>
    <s v="FY29-Q3"/>
    <s v="CY28-Q4"/>
    <n v="29217.197872340425"/>
    <n v="32463.553191489362"/>
    <x v="0"/>
    <s v="Project Execution"/>
    <x v="32"/>
    <x v="23"/>
    <x v="1"/>
    <x v="10"/>
    <n v="32.46355319148936"/>
    <n v="29.217197872340424"/>
    <n v="3.2463553191489358E-2"/>
    <b v="1"/>
  </r>
  <r>
    <n v="17"/>
    <n v="19"/>
    <d v="2028-10-09T00:00:00"/>
    <s v="FY29-Q3"/>
    <s v="CY28-Q4"/>
    <n v="9267.2333333333336"/>
    <n v="46336.166666666664"/>
    <x v="0"/>
    <s v="Negotiation"/>
    <x v="5"/>
    <x v="5"/>
    <x v="0"/>
    <x v="10"/>
    <n v="46.336166666666664"/>
    <n v="9.2672333333333334"/>
    <n v="4.6336166666666664E-2"/>
    <b v="1"/>
  </r>
  <r>
    <n v="22"/>
    <n v="11"/>
    <d v="2028-10-11T00:00:00"/>
    <s v="FY29-Q3"/>
    <s v="CY28-Q4"/>
    <n v="26390.544230769232"/>
    <n v="29322.826923076922"/>
    <x v="0"/>
    <s v="Nurturing"/>
    <x v="20"/>
    <x v="4"/>
    <x v="1"/>
    <x v="10"/>
    <n v="29.322826923076921"/>
    <n v="26.390544230769233"/>
    <n v="2.932282692307692E-2"/>
    <b v="1"/>
  </r>
  <r>
    <n v="11"/>
    <n v="3"/>
    <d v="2028-10-13T00:00:00"/>
    <s v="FY29-Q3"/>
    <s v="CY28-Q4"/>
    <n v="113460.75"/>
    <n v="126067.5"/>
    <x v="2"/>
    <s v="Negotiation"/>
    <x v="33"/>
    <x v="7"/>
    <x v="3"/>
    <x v="10"/>
    <n v="126.0675"/>
    <n v="113.46075"/>
    <n v="0.1260675"/>
    <b v="1"/>
  </r>
  <r>
    <n v="2"/>
    <n v="10"/>
    <d v="2028-10-17T00:00:00"/>
    <s v="FY29-Q3"/>
    <s v="CY28-Q4"/>
    <n v="20720.20930232558"/>
    <n v="41440.41860465116"/>
    <x v="0"/>
    <s v="Proposal"/>
    <x v="6"/>
    <x v="6"/>
    <x v="4"/>
    <x v="10"/>
    <n v="41.440418604651157"/>
    <n v="20.720209302325578"/>
    <n v="4.1440418604651155E-2"/>
    <b v="1"/>
  </r>
  <r>
    <n v="12"/>
    <n v="17"/>
    <d v="2028-10-18T00:00:00"/>
    <s v="FY29-Q3"/>
    <s v="CY28-Q4"/>
    <n v="67945.3125"/>
    <n v="135890.625"/>
    <x v="0"/>
    <s v="Project Execution"/>
    <x v="26"/>
    <x v="20"/>
    <x v="5"/>
    <x v="10"/>
    <n v="135.890625"/>
    <n v="67.9453125"/>
    <n v="0.13589062499999999"/>
    <b v="1"/>
  </r>
  <r>
    <n v="30"/>
    <n v="1"/>
    <d v="2028-10-21T00:00:00"/>
    <s v="FY29-Q3"/>
    <s v="CY28-Q4"/>
    <n v="73260.25"/>
    <n v="146520.5"/>
    <x v="0"/>
    <s v="Nurturing"/>
    <x v="27"/>
    <x v="0"/>
    <x v="6"/>
    <x v="10"/>
    <n v="146.5205"/>
    <n v="73.260249999999999"/>
    <n v="0.1465205"/>
    <b v="1"/>
  </r>
  <r>
    <n v="13"/>
    <n v="2"/>
    <d v="2028-10-22T00:00:00"/>
    <s v="FY29-Q3"/>
    <s v="CY28-Q4"/>
    <n v="12618.744897959185"/>
    <n v="25237.489795918369"/>
    <x v="0"/>
    <s v="Negotiation"/>
    <x v="28"/>
    <x v="17"/>
    <x v="2"/>
    <x v="10"/>
    <n v="25.237489795918368"/>
    <n v="12.618744897959184"/>
    <n v="2.5237489795918368E-2"/>
    <b v="1"/>
  </r>
  <r>
    <n v="32"/>
    <n v="29"/>
    <d v="2028-10-23T00:00:00"/>
    <s v="FY29-Q3"/>
    <s v="CY28-Q4"/>
    <n v="19870.314285714288"/>
    <n v="99351.571428571435"/>
    <x v="0"/>
    <s v="Proposal"/>
    <x v="2"/>
    <x v="2"/>
    <x v="0"/>
    <x v="10"/>
    <n v="99.351571428571432"/>
    <n v="19.87031428571429"/>
    <n v="9.9351571428571428E-2"/>
    <b v="1"/>
  </r>
  <r>
    <n v="7"/>
    <n v="14"/>
    <d v="2028-10-26T00:00:00"/>
    <s v="FY29-Q3"/>
    <s v="CY28-Q4"/>
    <n v="41771.416666666664"/>
    <n v="83542.833333333328"/>
    <x v="0"/>
    <s v="Project Execution"/>
    <x v="36"/>
    <x v="24"/>
    <x v="5"/>
    <x v="10"/>
    <n v="83.542833333333334"/>
    <n v="41.771416666666667"/>
    <n v="8.354283333333333E-2"/>
    <b v="1"/>
  </r>
  <r>
    <n v="26"/>
    <n v="1"/>
    <d v="2028-11-01T00:00:00"/>
    <s v="FY29-Q4"/>
    <s v="CY28-Q4"/>
    <n v="11339.638888888889"/>
    <n v="22679.277777777777"/>
    <x v="0"/>
    <s v="Negotiation"/>
    <x v="25"/>
    <x v="0"/>
    <x v="9"/>
    <x v="10"/>
    <n v="22.679277777777777"/>
    <n v="11.339638888888889"/>
    <n v="2.2679277777777777E-2"/>
    <b v="1"/>
  </r>
  <r>
    <n v="39"/>
    <n v="3"/>
    <d v="2028-11-03T00:00:00"/>
    <s v="FY29-Q4"/>
    <s v="CY28-Q4"/>
    <n v="20929.153846153848"/>
    <n v="41858.307692307695"/>
    <x v="0"/>
    <s v="Project Execution"/>
    <x v="23"/>
    <x v="7"/>
    <x v="0"/>
    <x v="10"/>
    <n v="41.858307692307697"/>
    <n v="20.929153846153849"/>
    <n v="4.1858307692307695E-2"/>
    <b v="1"/>
  </r>
  <r>
    <n v="36"/>
    <n v="1"/>
    <d v="2028-11-06T00:00:00"/>
    <s v="FY29-Q4"/>
    <s v="CY28-Q4"/>
    <n v="24983.895833333332"/>
    <n v="49967.791666666664"/>
    <x v="0"/>
    <s v="Lead Qualification"/>
    <x v="39"/>
    <x v="0"/>
    <x v="7"/>
    <x v="10"/>
    <n v="49.967791666666663"/>
    <n v="24.983895833333332"/>
    <n v="4.9967791666666664E-2"/>
    <b v="1"/>
  </r>
  <r>
    <n v="15"/>
    <n v="24"/>
    <d v="2028-11-07T00:00:00"/>
    <s v="FY29-Q4"/>
    <s v="CY28-Q4"/>
    <n v="29217.197872340425"/>
    <n v="32463.553191489362"/>
    <x v="0"/>
    <s v="Project Execution"/>
    <x v="32"/>
    <x v="23"/>
    <x v="1"/>
    <x v="10"/>
    <n v="32.46355319148936"/>
    <n v="29.217197872340424"/>
    <n v="3.2463553191489358E-2"/>
    <b v="1"/>
  </r>
  <r>
    <n v="25"/>
    <n v="14"/>
    <d v="2028-11-09T00:00:00"/>
    <s v="FY29-Q4"/>
    <s v="CY28-Q4"/>
    <n v="35076.26666666667"/>
    <n v="70152.53333333334"/>
    <x v="0"/>
    <s v="Lead Qualification"/>
    <x v="37"/>
    <x v="24"/>
    <x v="7"/>
    <x v="10"/>
    <n v="70.152533333333338"/>
    <n v="35.076266666666669"/>
    <n v="7.0152533333333336E-2"/>
    <b v="1"/>
  </r>
  <r>
    <n v="17"/>
    <n v="19"/>
    <d v="2028-11-09T00:00:00"/>
    <s v="FY29-Q4"/>
    <s v="CY28-Q4"/>
    <n v="9267.2333333333336"/>
    <n v="46336.166666666664"/>
    <x v="0"/>
    <s v="Negotiation"/>
    <x v="5"/>
    <x v="5"/>
    <x v="0"/>
    <x v="10"/>
    <n v="46.336166666666664"/>
    <n v="9.2672333333333334"/>
    <n v="4.6336166666666664E-2"/>
    <b v="1"/>
  </r>
  <r>
    <n v="22"/>
    <n v="11"/>
    <d v="2028-11-11T00:00:00"/>
    <s v="FY29-Q4"/>
    <s v="CY28-Q4"/>
    <n v="26390.544230769232"/>
    <n v="29322.826923076922"/>
    <x v="0"/>
    <s v="Nurturing"/>
    <x v="20"/>
    <x v="4"/>
    <x v="1"/>
    <x v="10"/>
    <n v="29.322826923076921"/>
    <n v="26.390544230769233"/>
    <n v="2.932282692307692E-2"/>
    <b v="1"/>
  </r>
  <r>
    <n v="28"/>
    <n v="1"/>
    <d v="2028-11-16T00:00:00"/>
    <s v="FY29-Q4"/>
    <s v="CY28-Q4"/>
    <n v="40447.666666666664"/>
    <n v="80895.333333333328"/>
    <x v="0"/>
    <s v="Lead Qualification"/>
    <x v="29"/>
    <x v="0"/>
    <x v="2"/>
    <x v="10"/>
    <n v="80.895333333333326"/>
    <n v="40.447666666666663"/>
    <n v="8.0895333333333333E-2"/>
    <b v="1"/>
  </r>
  <r>
    <n v="2"/>
    <n v="10"/>
    <d v="2028-11-17T00:00:00"/>
    <s v="FY29-Q4"/>
    <s v="CY28-Q4"/>
    <n v="20720.20930232558"/>
    <n v="41440.41860465116"/>
    <x v="0"/>
    <s v="Proposal"/>
    <x v="6"/>
    <x v="6"/>
    <x v="4"/>
    <x v="10"/>
    <n v="41.440418604651157"/>
    <n v="20.720209302325578"/>
    <n v="4.1440418604651155E-2"/>
    <b v="1"/>
  </r>
  <r>
    <n v="27"/>
    <n v="2"/>
    <d v="2028-11-17T00:00:00"/>
    <s v="FY29-Q4"/>
    <s v="CY28-Q4"/>
    <n v="46287.333333333336"/>
    <n v="92574.666666666672"/>
    <x v="0"/>
    <s v="Lead Qualification"/>
    <x v="21"/>
    <x v="17"/>
    <x v="7"/>
    <x v="10"/>
    <n v="92.574666666666673"/>
    <n v="46.287333333333336"/>
    <n v="9.2574666666666666E-2"/>
    <b v="1"/>
  </r>
  <r>
    <n v="23"/>
    <n v="11"/>
    <d v="2028-11-20T00:00:00"/>
    <s v="FY29-Q4"/>
    <s v="CY28-Q4"/>
    <n v="25249.37777777778"/>
    <n v="126246.88888888889"/>
    <x v="1"/>
    <s v="Negotiation"/>
    <x v="4"/>
    <x v="4"/>
    <x v="3"/>
    <x v="10"/>
    <n v="126.24688888888889"/>
    <n v="25.249377777777781"/>
    <n v="0.12624688888888888"/>
    <b v="1"/>
  </r>
  <r>
    <n v="31"/>
    <n v="15"/>
    <d v="2028-11-22T00:00:00"/>
    <s v="FY29-Q4"/>
    <s v="CY28-Q4"/>
    <n v="19221.625"/>
    <n v="96108.125"/>
    <x v="2"/>
    <s v="Negotiation"/>
    <x v="14"/>
    <x v="13"/>
    <x v="7"/>
    <x v="10"/>
    <n v="96.108125000000001"/>
    <n v="19.221625"/>
    <n v="9.6108125000000003E-2"/>
    <b v="1"/>
  </r>
  <r>
    <n v="13"/>
    <n v="2"/>
    <d v="2028-11-22T00:00:00"/>
    <s v="FY29-Q4"/>
    <s v="CY28-Q4"/>
    <n v="12618.744897959185"/>
    <n v="25237.489795918369"/>
    <x v="0"/>
    <s v="Negotiation"/>
    <x v="28"/>
    <x v="17"/>
    <x v="2"/>
    <x v="10"/>
    <n v="25.237489795918368"/>
    <n v="12.618744897959184"/>
    <n v="2.5237489795918368E-2"/>
    <b v="1"/>
  </r>
  <r>
    <n v="26"/>
    <n v="1"/>
    <d v="2028-12-01T00:00:00"/>
    <s v="FY29-Q4"/>
    <s v="CY28-Q4"/>
    <n v="11339.638888888889"/>
    <n v="22679.277777777777"/>
    <x v="0"/>
    <s v="Negotiation"/>
    <x v="25"/>
    <x v="0"/>
    <x v="9"/>
    <x v="10"/>
    <n v="22.679277777777777"/>
    <n v="11.339638888888889"/>
    <n v="2.2679277777777777E-2"/>
    <b v="1"/>
  </r>
  <r>
    <n v="39"/>
    <n v="3"/>
    <d v="2028-12-03T00:00:00"/>
    <s v="FY29-Q4"/>
    <s v="CY28-Q4"/>
    <n v="20929.153846153848"/>
    <n v="41858.307692307695"/>
    <x v="0"/>
    <s v="Project Execution"/>
    <x v="23"/>
    <x v="7"/>
    <x v="0"/>
    <x v="10"/>
    <n v="41.858307692307697"/>
    <n v="20.929153846153849"/>
    <n v="4.1858307692307695E-2"/>
    <b v="1"/>
  </r>
  <r>
    <n v="36"/>
    <n v="1"/>
    <d v="2028-12-06T00:00:00"/>
    <s v="FY29-Q4"/>
    <s v="CY28-Q4"/>
    <n v="24983.895833333332"/>
    <n v="49967.791666666664"/>
    <x v="0"/>
    <s v="Lead Qualification"/>
    <x v="39"/>
    <x v="0"/>
    <x v="7"/>
    <x v="10"/>
    <n v="49.967791666666663"/>
    <n v="24.983895833333332"/>
    <n v="4.9967791666666664E-2"/>
    <b v="1"/>
  </r>
  <r>
    <n v="15"/>
    <n v="24"/>
    <d v="2028-12-07T00:00:00"/>
    <s v="FY29-Q4"/>
    <s v="CY28-Q4"/>
    <n v="29217.197872340425"/>
    <n v="32463.553191489362"/>
    <x v="0"/>
    <s v="Project Execution"/>
    <x v="32"/>
    <x v="23"/>
    <x v="1"/>
    <x v="10"/>
    <n v="32.46355319148936"/>
    <n v="29.217197872340424"/>
    <n v="3.2463553191489358E-2"/>
    <b v="1"/>
  </r>
  <r>
    <n v="22"/>
    <n v="11"/>
    <d v="2028-12-11T00:00:00"/>
    <s v="FY29-Q4"/>
    <s v="CY28-Q4"/>
    <n v="26390.544230769232"/>
    <n v="29322.826923076922"/>
    <x v="0"/>
    <s v="Nurturing"/>
    <x v="20"/>
    <x v="4"/>
    <x v="1"/>
    <x v="10"/>
    <n v="29.322826923076921"/>
    <n v="26.390544230769233"/>
    <n v="2.932282692307692E-2"/>
    <b v="1"/>
  </r>
  <r>
    <n v="2"/>
    <n v="10"/>
    <d v="2028-12-17T00:00:00"/>
    <s v="FY29-Q4"/>
    <s v="CY28-Q4"/>
    <n v="20720.20930232558"/>
    <n v="41440.41860465116"/>
    <x v="0"/>
    <s v="Proposal"/>
    <x v="6"/>
    <x v="6"/>
    <x v="4"/>
    <x v="10"/>
    <n v="41.440418604651157"/>
    <n v="20.720209302325578"/>
    <n v="4.1440418604651155E-2"/>
    <b v="1"/>
  </r>
  <r>
    <n v="13"/>
    <n v="2"/>
    <d v="2028-12-22T00:00:00"/>
    <s v="FY29-Q4"/>
    <s v="CY28-Q4"/>
    <n v="12618.744897959185"/>
    <n v="25237.489795918369"/>
    <x v="0"/>
    <s v="Negotiation"/>
    <x v="28"/>
    <x v="17"/>
    <x v="2"/>
    <x v="10"/>
    <n v="25.237489795918368"/>
    <n v="12.618744897959184"/>
    <n v="2.5237489795918368E-2"/>
    <b v="1"/>
  </r>
  <r>
    <n v="6"/>
    <n v="13"/>
    <d v="2028-12-26T00:00:00"/>
    <s v="FY29-Q4"/>
    <s v="CY28-Q4"/>
    <n v="37550.227272727272"/>
    <n v="75100.454545454544"/>
    <x v="0"/>
    <s v="Project Execution"/>
    <x v="16"/>
    <x v="1"/>
    <x v="4"/>
    <x v="10"/>
    <n v="75.100454545454539"/>
    <n v="37.55022727272727"/>
    <n v="7.510045454545454E-2"/>
    <b v="1"/>
  </r>
  <r>
    <n v="38"/>
    <n v="21"/>
    <d v="2028-12-30T00:00:00"/>
    <s v="FY29-Q4"/>
    <s v="CY28-Q4"/>
    <n v="50822.5"/>
    <n v="101645"/>
    <x v="0"/>
    <s v="Proposal"/>
    <x v="31"/>
    <x v="22"/>
    <x v="2"/>
    <x v="10"/>
    <n v="101.645"/>
    <n v="50.822499999999998"/>
    <n v="0.101645"/>
    <b v="1"/>
  </r>
  <r>
    <n v="26"/>
    <n v="1"/>
    <d v="2029-01-01T00:00:00"/>
    <s v="FY29-Q4"/>
    <s v="CY29-Q1"/>
    <n v="11339.638888888889"/>
    <n v="22679.277777777777"/>
    <x v="0"/>
    <s v="Negotiation"/>
    <x v="25"/>
    <x v="0"/>
    <x v="9"/>
    <x v="10"/>
    <n v="22.679277777777777"/>
    <n v="11.339638888888889"/>
    <n v="2.2679277777777777E-2"/>
    <b v="1"/>
  </r>
  <r>
    <n v="39"/>
    <n v="3"/>
    <d v="2029-01-03T00:00:00"/>
    <s v="FY29-Q4"/>
    <s v="CY29-Q1"/>
    <n v="20929.153846153848"/>
    <n v="41858.307692307695"/>
    <x v="0"/>
    <s v="Project Execution"/>
    <x v="23"/>
    <x v="7"/>
    <x v="0"/>
    <x v="10"/>
    <n v="41.858307692307697"/>
    <n v="20.929153846153849"/>
    <n v="4.1858307692307695E-2"/>
    <b v="1"/>
  </r>
  <r>
    <n v="36"/>
    <n v="1"/>
    <d v="2029-01-06T00:00:00"/>
    <s v="FY29-Q4"/>
    <s v="CY29-Q1"/>
    <n v="24983.895833333332"/>
    <n v="49967.791666666664"/>
    <x v="0"/>
    <s v="Lead Qualification"/>
    <x v="39"/>
    <x v="0"/>
    <x v="7"/>
    <x v="10"/>
    <n v="49.967791666666663"/>
    <n v="24.983895833333332"/>
    <n v="4.9967791666666664E-2"/>
    <b v="1"/>
  </r>
  <r>
    <n v="15"/>
    <n v="24"/>
    <d v="2029-01-07T00:00:00"/>
    <s v="FY29-Q4"/>
    <s v="CY29-Q1"/>
    <n v="29217.197872340425"/>
    <n v="32463.553191489362"/>
    <x v="0"/>
    <s v="Project Execution"/>
    <x v="32"/>
    <x v="23"/>
    <x v="1"/>
    <x v="10"/>
    <n v="32.46355319148936"/>
    <n v="29.217197872340424"/>
    <n v="3.2463553191489358E-2"/>
    <b v="1"/>
  </r>
  <r>
    <n v="22"/>
    <n v="11"/>
    <d v="2029-01-11T00:00:00"/>
    <s v="FY29-Q4"/>
    <s v="CY29-Q1"/>
    <n v="26390.544230769232"/>
    <n v="29322.826923076922"/>
    <x v="0"/>
    <s v="Nurturing"/>
    <x v="20"/>
    <x v="4"/>
    <x v="1"/>
    <x v="10"/>
    <n v="29.322826923076921"/>
    <n v="26.390544230769233"/>
    <n v="2.932282692307692E-2"/>
    <b v="1"/>
  </r>
  <r>
    <n v="11"/>
    <n v="3"/>
    <d v="2029-01-13T00:00:00"/>
    <s v="FY29-Q4"/>
    <s v="CY29-Q1"/>
    <n v="113460.75"/>
    <n v="126067.5"/>
    <x v="2"/>
    <s v="Negotiation"/>
    <x v="33"/>
    <x v="7"/>
    <x v="3"/>
    <x v="10"/>
    <n v="126.0675"/>
    <n v="113.46075"/>
    <n v="0.1260675"/>
    <b v="1"/>
  </r>
  <r>
    <n v="2"/>
    <n v="10"/>
    <d v="2029-01-17T00:00:00"/>
    <s v="FY29-Q4"/>
    <s v="CY29-Q1"/>
    <n v="20720.20930232558"/>
    <n v="41440.41860465116"/>
    <x v="0"/>
    <s v="Proposal"/>
    <x v="6"/>
    <x v="6"/>
    <x v="4"/>
    <x v="10"/>
    <n v="41.440418604651157"/>
    <n v="20.720209302325578"/>
    <n v="4.1440418604651155E-2"/>
    <b v="1"/>
  </r>
  <r>
    <n v="40"/>
    <n v="15"/>
    <d v="2029-01-19T00:00:00"/>
    <s v="FY29-Q4"/>
    <s v="CY29-Q1"/>
    <n v="36144.450000000004"/>
    <n v="40160.5"/>
    <x v="0"/>
    <s v="Proposal"/>
    <x v="34"/>
    <x v="13"/>
    <x v="9"/>
    <x v="10"/>
    <n v="40.160499999999999"/>
    <n v="36.144450000000006"/>
    <n v="4.0160500000000002E-2"/>
    <b v="1"/>
  </r>
  <r>
    <n v="13"/>
    <n v="2"/>
    <d v="2029-01-22T00:00:00"/>
    <s v="FY29-Q4"/>
    <s v="CY29-Q1"/>
    <n v="12618.744897959185"/>
    <n v="25237.489795918369"/>
    <x v="0"/>
    <s v="Negotiation"/>
    <x v="28"/>
    <x v="17"/>
    <x v="2"/>
    <x v="10"/>
    <n v="25.237489795918368"/>
    <n v="12.618744897959184"/>
    <n v="2.5237489795918368E-2"/>
    <b v="1"/>
  </r>
  <r>
    <n v="7"/>
    <n v="14"/>
    <d v="2029-01-26T00:00:00"/>
    <s v="FY29-Q4"/>
    <s v="CY29-Q1"/>
    <n v="41771.416666666664"/>
    <n v="83542.833333333328"/>
    <x v="0"/>
    <s v="Project Execution"/>
    <x v="36"/>
    <x v="24"/>
    <x v="5"/>
    <x v="10"/>
    <n v="83.542833333333334"/>
    <n v="41.771416666666667"/>
    <n v="8.354283333333333E-2"/>
    <b v="1"/>
  </r>
  <r>
    <n v="18"/>
    <n v="9"/>
    <d v="2029-01-28T00:00:00"/>
    <s v="FY29-Q4"/>
    <s v="CY29-Q1"/>
    <n v="110906.4"/>
    <n v="221812.8"/>
    <x v="0"/>
    <s v="Lead Qualification"/>
    <x v="18"/>
    <x v="16"/>
    <x v="5"/>
    <x v="10"/>
    <n v="221.81279999999998"/>
    <n v="110.90639999999999"/>
    <n v="0.22181279999999998"/>
    <b v="1"/>
  </r>
  <r>
    <n v="26"/>
    <n v="1"/>
    <d v="2029-02-01T00:00:00"/>
    <s v="FY30-Q1"/>
    <s v="CY29-Q1"/>
    <n v="11339.638888888889"/>
    <n v="22679.277777777777"/>
    <x v="0"/>
    <s v="Negotiation"/>
    <x v="25"/>
    <x v="0"/>
    <x v="9"/>
    <x v="10"/>
    <n v="22.679277777777777"/>
    <n v="11.339638888888889"/>
    <n v="2.2679277777777777E-2"/>
    <b v="1"/>
  </r>
  <r>
    <n v="39"/>
    <n v="3"/>
    <d v="2029-02-03T00:00:00"/>
    <s v="FY30-Q1"/>
    <s v="CY29-Q1"/>
    <n v="20929.153846153848"/>
    <n v="41858.307692307695"/>
    <x v="0"/>
    <s v="Project Execution"/>
    <x v="23"/>
    <x v="7"/>
    <x v="0"/>
    <x v="10"/>
    <n v="41.858307692307697"/>
    <n v="20.929153846153849"/>
    <n v="4.1858307692307695E-2"/>
    <b v="1"/>
  </r>
  <r>
    <n v="36"/>
    <n v="1"/>
    <d v="2029-02-06T00:00:00"/>
    <s v="FY30-Q1"/>
    <s v="CY29-Q1"/>
    <n v="24983.895833333332"/>
    <n v="49967.791666666664"/>
    <x v="0"/>
    <s v="Lead Qualification"/>
    <x v="39"/>
    <x v="0"/>
    <x v="7"/>
    <x v="10"/>
    <n v="49.967791666666663"/>
    <n v="24.983895833333332"/>
    <n v="4.9967791666666664E-2"/>
    <b v="1"/>
  </r>
  <r>
    <n v="15"/>
    <n v="24"/>
    <d v="2029-02-07T00:00:00"/>
    <s v="FY30-Q1"/>
    <s v="CY29-Q1"/>
    <n v="29217.197872340425"/>
    <n v="32463.553191489362"/>
    <x v="0"/>
    <s v="Project Execution"/>
    <x v="32"/>
    <x v="23"/>
    <x v="1"/>
    <x v="10"/>
    <n v="32.46355319148936"/>
    <n v="29.217197872340424"/>
    <n v="3.2463553191489358E-2"/>
    <b v="1"/>
  </r>
  <r>
    <n v="25"/>
    <n v="14"/>
    <d v="2029-02-09T00:00:00"/>
    <s v="FY30-Q1"/>
    <s v="CY29-Q1"/>
    <n v="35076.26666666667"/>
    <n v="70152.53333333334"/>
    <x v="0"/>
    <s v="Lead Qualification"/>
    <x v="37"/>
    <x v="24"/>
    <x v="7"/>
    <x v="10"/>
    <n v="70.152533333333338"/>
    <n v="35.076266666666669"/>
    <n v="7.0152533333333336E-2"/>
    <b v="1"/>
  </r>
  <r>
    <n v="22"/>
    <n v="11"/>
    <d v="2029-02-11T00:00:00"/>
    <s v="FY30-Q1"/>
    <s v="CY29-Q1"/>
    <n v="26390.544230769232"/>
    <n v="29322.826923076922"/>
    <x v="0"/>
    <s v="Nurturing"/>
    <x v="20"/>
    <x v="4"/>
    <x v="1"/>
    <x v="10"/>
    <n v="29.322826923076921"/>
    <n v="26.390544230769233"/>
    <n v="2.932282692307692E-2"/>
    <b v="1"/>
  </r>
  <r>
    <n v="28"/>
    <n v="1"/>
    <d v="2029-02-16T00:00:00"/>
    <s v="FY30-Q1"/>
    <s v="CY29-Q1"/>
    <n v="40447.666666666664"/>
    <n v="80895.333333333328"/>
    <x v="0"/>
    <s v="Lead Qualification"/>
    <x v="29"/>
    <x v="0"/>
    <x v="2"/>
    <x v="10"/>
    <n v="80.895333333333326"/>
    <n v="40.447666666666663"/>
    <n v="8.0895333333333333E-2"/>
    <b v="1"/>
  </r>
  <r>
    <n v="2"/>
    <n v="10"/>
    <d v="2029-02-17T00:00:00"/>
    <s v="FY30-Q1"/>
    <s v="CY29-Q1"/>
    <n v="20720.20930232558"/>
    <n v="41440.41860465116"/>
    <x v="0"/>
    <s v="Proposal"/>
    <x v="6"/>
    <x v="6"/>
    <x v="4"/>
    <x v="10"/>
    <n v="41.440418604651157"/>
    <n v="20.720209302325578"/>
    <n v="4.1440418604651155E-2"/>
    <b v="1"/>
  </r>
  <r>
    <n v="27"/>
    <n v="2"/>
    <d v="2029-02-17T00:00:00"/>
    <s v="FY30-Q1"/>
    <s v="CY29-Q1"/>
    <n v="46287.333333333336"/>
    <n v="92574.666666666672"/>
    <x v="0"/>
    <s v="Lead Qualification"/>
    <x v="21"/>
    <x v="17"/>
    <x v="7"/>
    <x v="10"/>
    <n v="92.574666666666673"/>
    <n v="46.287333333333336"/>
    <n v="9.2574666666666666E-2"/>
    <b v="1"/>
  </r>
  <r>
    <n v="13"/>
    <n v="2"/>
    <d v="2029-02-22T00:00:00"/>
    <s v="FY30-Q1"/>
    <s v="CY29-Q1"/>
    <n v="12618.744897959185"/>
    <n v="25237.489795918369"/>
    <x v="0"/>
    <s v="Negotiation"/>
    <x v="28"/>
    <x v="17"/>
    <x v="2"/>
    <x v="10"/>
    <n v="25.237489795918368"/>
    <n v="12.618744897959184"/>
    <n v="2.5237489795918368E-2"/>
    <b v="1"/>
  </r>
  <r>
    <n v="5"/>
    <n v="12"/>
    <d v="2029-02-23T00:00:00"/>
    <s v="FY30-Q1"/>
    <s v="CY29-Q1"/>
    <n v="104043.5"/>
    <n v="208087"/>
    <x v="0"/>
    <s v="Proposal"/>
    <x v="38"/>
    <x v="19"/>
    <x v="7"/>
    <x v="10"/>
    <n v="208.08699999999999"/>
    <n v="104.04349999999999"/>
    <n v="0.20808699999999999"/>
    <b v="1"/>
  </r>
  <r>
    <n v="26"/>
    <n v="1"/>
    <d v="2029-03-01T00:00:00"/>
    <s v="FY30-Q1"/>
    <s v="CY29-Q1"/>
    <n v="11339.638888888889"/>
    <n v="22679.277777777777"/>
    <x v="0"/>
    <s v="Negotiation"/>
    <x v="25"/>
    <x v="0"/>
    <x v="9"/>
    <x v="10"/>
    <n v="22.679277777777777"/>
    <n v="11.339638888888889"/>
    <n v="2.2679277777777777E-2"/>
    <b v="1"/>
  </r>
  <r>
    <n v="39"/>
    <n v="3"/>
    <d v="2029-03-03T00:00:00"/>
    <s v="FY30-Q1"/>
    <s v="CY29-Q1"/>
    <n v="20929.153846153848"/>
    <n v="41858.307692307695"/>
    <x v="0"/>
    <s v="Project Execution"/>
    <x v="23"/>
    <x v="7"/>
    <x v="0"/>
    <x v="10"/>
    <n v="41.858307692307697"/>
    <n v="20.929153846153849"/>
    <n v="4.1858307692307695E-2"/>
    <b v="1"/>
  </r>
  <r>
    <n v="24"/>
    <n v="27"/>
    <d v="2029-03-06T00:00:00"/>
    <s v="FY30-Q1"/>
    <s v="CY29-Q1"/>
    <n v="33162.73333333333"/>
    <n v="165813.66666666666"/>
    <x v="0"/>
    <s v="Nurturing"/>
    <x v="9"/>
    <x v="9"/>
    <x v="5"/>
    <x v="10"/>
    <n v="165.81366666666665"/>
    <n v="33.162733333333328"/>
    <n v="0.16581366666666664"/>
    <b v="1"/>
  </r>
  <r>
    <n v="15"/>
    <n v="24"/>
    <d v="2029-03-07T00:00:00"/>
    <s v="FY30-Q1"/>
    <s v="CY29-Q1"/>
    <n v="29217.197872340425"/>
    <n v="32463.553191489362"/>
    <x v="0"/>
    <s v="Project Execution"/>
    <x v="32"/>
    <x v="23"/>
    <x v="1"/>
    <x v="10"/>
    <n v="32.46355319148936"/>
    <n v="29.217197872340424"/>
    <n v="3.2463553191489358E-2"/>
    <b v="1"/>
  </r>
  <r>
    <n v="22"/>
    <n v="11"/>
    <d v="2029-03-11T00:00:00"/>
    <s v="FY30-Q1"/>
    <s v="CY29-Q1"/>
    <n v="26390.544230769232"/>
    <n v="29322.826923076922"/>
    <x v="0"/>
    <s v="Nurturing"/>
    <x v="20"/>
    <x v="4"/>
    <x v="1"/>
    <x v="10"/>
    <n v="29.322826923076921"/>
    <n v="26.390544230769233"/>
    <n v="2.932282692307692E-2"/>
    <b v="1"/>
  </r>
  <r>
    <n v="2"/>
    <n v="10"/>
    <d v="2029-03-17T00:00:00"/>
    <s v="FY30-Q1"/>
    <s v="CY29-Q1"/>
    <n v="20720.20930232558"/>
    <n v="41440.41860465116"/>
    <x v="0"/>
    <s v="Proposal"/>
    <x v="6"/>
    <x v="6"/>
    <x v="4"/>
    <x v="10"/>
    <n v="41.440418604651157"/>
    <n v="20.720209302325578"/>
    <n v="4.1440418604651155E-2"/>
    <b v="1"/>
  </r>
  <r>
    <n v="13"/>
    <n v="2"/>
    <d v="2029-03-22T00:00:00"/>
    <s v="FY30-Q1"/>
    <s v="CY29-Q1"/>
    <n v="12618.744897959185"/>
    <n v="25237.489795918369"/>
    <x v="0"/>
    <s v="Negotiation"/>
    <x v="28"/>
    <x v="17"/>
    <x v="2"/>
    <x v="10"/>
    <n v="25.237489795918368"/>
    <n v="12.618744897959184"/>
    <n v="2.5237489795918368E-2"/>
    <b v="1"/>
  </r>
  <r>
    <n v="20"/>
    <n v="28"/>
    <d v="2029-03-25T00:00:00"/>
    <s v="FY30-Q1"/>
    <s v="CY29-Q1"/>
    <n v="46457.040000000008"/>
    <n v="232285.2"/>
    <x v="1"/>
    <s v="Proposal"/>
    <x v="10"/>
    <x v="10"/>
    <x v="7"/>
    <x v="10"/>
    <n v="232.2852"/>
    <n v="46.457040000000006"/>
    <n v="0.2322852"/>
    <b v="1"/>
  </r>
  <r>
    <n v="26"/>
    <n v="1"/>
    <d v="2029-04-01T00:00:00"/>
    <s v="FY30-Q1"/>
    <s v="CY29-Q2"/>
    <n v="11339.638888888889"/>
    <n v="22679.277777777777"/>
    <x v="0"/>
    <s v="Negotiation"/>
    <x v="25"/>
    <x v="0"/>
    <x v="9"/>
    <x v="10"/>
    <n v="22.679277777777777"/>
    <n v="11.339638888888889"/>
    <n v="2.2679277777777777E-2"/>
    <b v="1"/>
  </r>
  <r>
    <n v="39"/>
    <n v="3"/>
    <d v="2029-04-03T00:00:00"/>
    <s v="FY30-Q1"/>
    <s v="CY29-Q2"/>
    <n v="20929.153846153848"/>
    <n v="41858.307692307695"/>
    <x v="0"/>
    <s v="Project Execution"/>
    <x v="23"/>
    <x v="7"/>
    <x v="0"/>
    <x v="10"/>
    <n v="41.858307692307697"/>
    <n v="20.929153846153849"/>
    <n v="4.1858307692307695E-2"/>
    <b v="1"/>
  </r>
  <r>
    <n v="15"/>
    <n v="24"/>
    <d v="2029-04-07T00:00:00"/>
    <s v="FY30-Q1"/>
    <s v="CY29-Q2"/>
    <n v="29217.197872340425"/>
    <n v="32463.553191489362"/>
    <x v="0"/>
    <s v="Project Execution"/>
    <x v="32"/>
    <x v="23"/>
    <x v="1"/>
    <x v="10"/>
    <n v="32.46355319148936"/>
    <n v="29.217197872340424"/>
    <n v="3.2463553191489358E-2"/>
    <b v="1"/>
  </r>
  <r>
    <n v="22"/>
    <n v="11"/>
    <d v="2029-04-11T00:00:00"/>
    <s v="FY30-Q1"/>
    <s v="CY29-Q2"/>
    <n v="26390.544230769232"/>
    <n v="29322.826923076922"/>
    <x v="0"/>
    <s v="Nurturing"/>
    <x v="20"/>
    <x v="4"/>
    <x v="1"/>
    <x v="10"/>
    <n v="29.322826923076921"/>
    <n v="26.390544230769233"/>
    <n v="2.932282692307692E-2"/>
    <b v="1"/>
  </r>
  <r>
    <n v="11"/>
    <n v="3"/>
    <d v="2029-04-13T00:00:00"/>
    <s v="FY30-Q1"/>
    <s v="CY29-Q2"/>
    <n v="113460.75"/>
    <n v="126067.5"/>
    <x v="2"/>
    <s v="Negotiation"/>
    <x v="33"/>
    <x v="7"/>
    <x v="3"/>
    <x v="10"/>
    <n v="126.0675"/>
    <n v="113.46075"/>
    <n v="0.1260675"/>
    <b v="1"/>
  </r>
  <r>
    <n v="2"/>
    <n v="10"/>
    <d v="2029-04-17T00:00:00"/>
    <s v="FY30-Q1"/>
    <s v="CY29-Q2"/>
    <n v="20720.20930232558"/>
    <n v="41440.41860465116"/>
    <x v="0"/>
    <s v="Proposal"/>
    <x v="6"/>
    <x v="6"/>
    <x v="4"/>
    <x v="10"/>
    <n v="41.440418604651157"/>
    <n v="20.720209302325578"/>
    <n v="4.1440418604651155E-2"/>
    <b v="1"/>
  </r>
  <r>
    <n v="13"/>
    <n v="2"/>
    <d v="2029-04-22T00:00:00"/>
    <s v="FY30-Q1"/>
    <s v="CY29-Q2"/>
    <n v="12618.744897959185"/>
    <n v="25237.489795918369"/>
    <x v="0"/>
    <s v="Negotiation"/>
    <x v="28"/>
    <x v="17"/>
    <x v="2"/>
    <x v="10"/>
    <n v="25.237489795918368"/>
    <n v="12.618744897959184"/>
    <n v="2.5237489795918368E-2"/>
    <b v="1"/>
  </r>
  <r>
    <n v="7"/>
    <n v="14"/>
    <d v="2029-04-26T00:00:00"/>
    <s v="FY30-Q1"/>
    <s v="CY29-Q2"/>
    <n v="41771.416666666664"/>
    <n v="83542.833333333328"/>
    <x v="0"/>
    <s v="Project Execution"/>
    <x v="36"/>
    <x v="24"/>
    <x v="5"/>
    <x v="10"/>
    <n v="83.542833333333334"/>
    <n v="41.771416666666667"/>
    <n v="8.354283333333333E-2"/>
    <b v="1"/>
  </r>
  <r>
    <n v="26"/>
    <n v="1"/>
    <d v="2029-05-01T00:00:00"/>
    <s v="FY30-Q2"/>
    <s v="CY29-Q2"/>
    <n v="11339.638888888889"/>
    <n v="22679.277777777777"/>
    <x v="0"/>
    <s v="Negotiation"/>
    <x v="25"/>
    <x v="0"/>
    <x v="9"/>
    <x v="10"/>
    <n v="22.679277777777777"/>
    <n v="11.339638888888889"/>
    <n v="2.2679277777777777E-2"/>
    <b v="1"/>
  </r>
  <r>
    <n v="39"/>
    <n v="3"/>
    <d v="2029-05-03T00:00:00"/>
    <s v="FY30-Q2"/>
    <s v="CY29-Q2"/>
    <n v="20929.153846153848"/>
    <n v="41858.307692307695"/>
    <x v="0"/>
    <s v="Project Execution"/>
    <x v="23"/>
    <x v="7"/>
    <x v="0"/>
    <x v="10"/>
    <n v="41.858307692307697"/>
    <n v="20.929153846153849"/>
    <n v="4.1858307692307695E-2"/>
    <b v="1"/>
  </r>
  <r>
    <n v="15"/>
    <n v="24"/>
    <d v="2029-05-07T00:00:00"/>
    <s v="FY30-Q2"/>
    <s v="CY29-Q2"/>
    <n v="29217.197872340425"/>
    <n v="32463.553191489362"/>
    <x v="0"/>
    <s v="Project Execution"/>
    <x v="32"/>
    <x v="23"/>
    <x v="1"/>
    <x v="10"/>
    <n v="32.46355319148936"/>
    <n v="29.217197872340424"/>
    <n v="3.2463553191489358E-2"/>
    <b v="1"/>
  </r>
  <r>
    <n v="29"/>
    <n v="10"/>
    <d v="2029-05-08T00:00:00"/>
    <s v="FY30-Q2"/>
    <s v="CY29-Q2"/>
    <n v="150480.08333333334"/>
    <n v="300960.16666666669"/>
    <x v="0"/>
    <s v="Project Execution"/>
    <x v="13"/>
    <x v="6"/>
    <x v="6"/>
    <x v="10"/>
    <n v="300.96016666666668"/>
    <n v="150.48008333333334"/>
    <n v="0.3009601666666667"/>
    <b v="1"/>
  </r>
  <r>
    <n v="25"/>
    <n v="14"/>
    <d v="2029-05-09T00:00:00"/>
    <s v="FY30-Q2"/>
    <s v="CY29-Q2"/>
    <n v="35076.26666666667"/>
    <n v="70152.53333333334"/>
    <x v="0"/>
    <s v="Lead Qualification"/>
    <x v="37"/>
    <x v="24"/>
    <x v="7"/>
    <x v="10"/>
    <n v="70.152533333333338"/>
    <n v="35.076266666666669"/>
    <n v="7.0152533333333336E-2"/>
    <b v="1"/>
  </r>
  <r>
    <n v="22"/>
    <n v="11"/>
    <d v="2029-05-11T00:00:00"/>
    <s v="FY30-Q2"/>
    <s v="CY29-Q2"/>
    <n v="26390.544230769232"/>
    <n v="29322.826923076922"/>
    <x v="0"/>
    <s v="Nurturing"/>
    <x v="20"/>
    <x v="4"/>
    <x v="1"/>
    <x v="10"/>
    <n v="29.322826923076921"/>
    <n v="26.390544230769233"/>
    <n v="2.932282692307692E-2"/>
    <b v="1"/>
  </r>
  <r>
    <n v="28"/>
    <n v="1"/>
    <d v="2029-05-16T00:00:00"/>
    <s v="FY30-Q2"/>
    <s v="CY29-Q2"/>
    <n v="40447.666666666664"/>
    <n v="80895.333333333328"/>
    <x v="0"/>
    <s v="Lead Qualification"/>
    <x v="29"/>
    <x v="0"/>
    <x v="2"/>
    <x v="10"/>
    <n v="80.895333333333326"/>
    <n v="40.447666666666663"/>
    <n v="8.0895333333333333E-2"/>
    <b v="1"/>
  </r>
  <r>
    <n v="2"/>
    <n v="10"/>
    <d v="2029-05-17T00:00:00"/>
    <s v="FY30-Q2"/>
    <s v="CY29-Q2"/>
    <n v="20720.20930232558"/>
    <n v="41440.41860465116"/>
    <x v="0"/>
    <s v="Proposal"/>
    <x v="6"/>
    <x v="6"/>
    <x v="4"/>
    <x v="10"/>
    <n v="41.440418604651157"/>
    <n v="20.720209302325578"/>
    <n v="4.1440418604651155E-2"/>
    <b v="1"/>
  </r>
  <r>
    <n v="27"/>
    <n v="2"/>
    <d v="2029-05-17T00:00:00"/>
    <s v="FY30-Q2"/>
    <s v="CY29-Q2"/>
    <n v="46287.333333333336"/>
    <n v="92574.666666666672"/>
    <x v="0"/>
    <s v="Lead Qualification"/>
    <x v="21"/>
    <x v="17"/>
    <x v="7"/>
    <x v="10"/>
    <n v="92.574666666666673"/>
    <n v="46.287333333333336"/>
    <n v="9.2574666666666666E-2"/>
    <b v="1"/>
  </r>
  <r>
    <n v="23"/>
    <n v="11"/>
    <d v="2029-05-20T00:00:00"/>
    <s v="FY30-Q2"/>
    <s v="CY29-Q2"/>
    <n v="25249.37777777778"/>
    <n v="126246.88888888889"/>
    <x v="1"/>
    <s v="Negotiation"/>
    <x v="4"/>
    <x v="4"/>
    <x v="3"/>
    <x v="10"/>
    <n v="126.24688888888889"/>
    <n v="25.249377777777781"/>
    <n v="0.12624688888888888"/>
    <b v="1"/>
  </r>
  <r>
    <n v="31"/>
    <n v="15"/>
    <d v="2029-05-22T00:00:00"/>
    <s v="FY30-Q2"/>
    <s v="CY29-Q2"/>
    <n v="19221.625"/>
    <n v="96108.125"/>
    <x v="2"/>
    <s v="Negotiation"/>
    <x v="14"/>
    <x v="13"/>
    <x v="7"/>
    <x v="10"/>
    <n v="96.108125000000001"/>
    <n v="19.221625"/>
    <n v="9.6108125000000003E-2"/>
    <b v="1"/>
  </r>
  <r>
    <n v="13"/>
    <n v="2"/>
    <d v="2029-05-22T00:00:00"/>
    <s v="FY30-Q2"/>
    <s v="CY29-Q2"/>
    <n v="12618.744897959185"/>
    <n v="25237.489795918369"/>
    <x v="0"/>
    <s v="Negotiation"/>
    <x v="28"/>
    <x v="17"/>
    <x v="2"/>
    <x v="10"/>
    <n v="25.237489795918368"/>
    <n v="12.618744897959184"/>
    <n v="2.5237489795918368E-2"/>
    <b v="1"/>
  </r>
  <r>
    <n v="26"/>
    <n v="1"/>
    <d v="2029-06-01T00:00:00"/>
    <s v="FY30-Q2"/>
    <s v="CY29-Q2"/>
    <n v="11339.638888888889"/>
    <n v="22679.277777777777"/>
    <x v="0"/>
    <s v="Negotiation"/>
    <x v="25"/>
    <x v="0"/>
    <x v="9"/>
    <x v="10"/>
    <n v="22.679277777777777"/>
    <n v="11.339638888888889"/>
    <n v="2.2679277777777777E-2"/>
    <b v="1"/>
  </r>
  <r>
    <n v="39"/>
    <n v="3"/>
    <d v="2029-06-03T00:00:00"/>
    <s v="FY30-Q2"/>
    <s v="CY29-Q2"/>
    <n v="20929.153846153848"/>
    <n v="41858.307692307695"/>
    <x v="0"/>
    <s v="Project Execution"/>
    <x v="23"/>
    <x v="7"/>
    <x v="0"/>
    <x v="10"/>
    <n v="41.858307692307697"/>
    <n v="20.929153846153849"/>
    <n v="4.1858307692307695E-2"/>
    <b v="1"/>
  </r>
  <r>
    <n v="15"/>
    <n v="24"/>
    <d v="2029-06-07T00:00:00"/>
    <s v="FY30-Q2"/>
    <s v="CY29-Q2"/>
    <n v="29217.197872340425"/>
    <n v="32463.553191489362"/>
    <x v="0"/>
    <s v="Project Execution"/>
    <x v="32"/>
    <x v="23"/>
    <x v="1"/>
    <x v="10"/>
    <n v="32.46355319148936"/>
    <n v="29.217197872340424"/>
    <n v="3.2463553191489358E-2"/>
    <b v="1"/>
  </r>
  <r>
    <n v="22"/>
    <n v="11"/>
    <d v="2029-06-11T00:00:00"/>
    <s v="FY30-Q2"/>
    <s v="CY29-Q2"/>
    <n v="26390.544230769232"/>
    <n v="29322.826923076922"/>
    <x v="0"/>
    <s v="Nurturing"/>
    <x v="20"/>
    <x v="4"/>
    <x v="1"/>
    <x v="10"/>
    <n v="29.322826923076921"/>
    <n v="26.390544230769233"/>
    <n v="2.932282692307692E-2"/>
    <b v="1"/>
  </r>
  <r>
    <n v="2"/>
    <n v="10"/>
    <d v="2029-06-17T00:00:00"/>
    <s v="FY30-Q2"/>
    <s v="CY29-Q2"/>
    <n v="20720.20930232558"/>
    <n v="41440.41860465116"/>
    <x v="0"/>
    <s v="Proposal"/>
    <x v="6"/>
    <x v="6"/>
    <x v="4"/>
    <x v="10"/>
    <n v="41.440418604651157"/>
    <n v="20.720209302325578"/>
    <n v="4.1440418604651155E-2"/>
    <b v="1"/>
  </r>
  <r>
    <n v="1"/>
    <n v="18"/>
    <d v="2029-06-17T00:00:00"/>
    <s v="FY30-Q2"/>
    <s v="CY29-Q2"/>
    <n v="49601.433333333334"/>
    <n v="248007.16666666666"/>
    <x v="0"/>
    <s v="Lead Qualification"/>
    <x v="15"/>
    <x v="14"/>
    <x v="7"/>
    <x v="10"/>
    <n v="248.00716666666665"/>
    <n v="49.601433333333333"/>
    <n v="0.24800716666666664"/>
    <b v="1"/>
  </r>
  <r>
    <n v="13"/>
    <n v="2"/>
    <d v="2029-06-22T00:00:00"/>
    <s v="FY30-Q2"/>
    <s v="CY29-Q2"/>
    <n v="12618.744897959185"/>
    <n v="25237.489795918369"/>
    <x v="0"/>
    <s v="Negotiation"/>
    <x v="28"/>
    <x v="17"/>
    <x v="2"/>
    <x v="10"/>
    <n v="25.237489795918368"/>
    <n v="12.618744897959184"/>
    <n v="2.5237489795918368E-2"/>
    <b v="1"/>
  </r>
  <r>
    <n v="6"/>
    <n v="13"/>
    <d v="2029-06-26T00:00:00"/>
    <s v="FY30-Q2"/>
    <s v="CY29-Q2"/>
    <n v="37550.227272727272"/>
    <n v="75100.454545454544"/>
    <x v="0"/>
    <s v="Project Execution"/>
    <x v="16"/>
    <x v="1"/>
    <x v="4"/>
    <x v="10"/>
    <n v="75.100454545454539"/>
    <n v="37.55022727272727"/>
    <n v="7.510045454545454E-2"/>
    <b v="1"/>
  </r>
  <r>
    <n v="38"/>
    <n v="21"/>
    <d v="2029-06-30T00:00:00"/>
    <s v="FY30-Q2"/>
    <s v="CY29-Q2"/>
    <n v="50822.5"/>
    <n v="101645"/>
    <x v="0"/>
    <s v="Proposal"/>
    <x v="31"/>
    <x v="22"/>
    <x v="2"/>
    <x v="10"/>
    <n v="101.645"/>
    <n v="50.822499999999998"/>
    <n v="0.101645"/>
    <b v="1"/>
  </r>
  <r>
    <n v="26"/>
    <n v="1"/>
    <d v="2029-07-01T00:00:00"/>
    <s v="FY30-Q2"/>
    <s v="CY29-Q3"/>
    <n v="11339.638888888889"/>
    <n v="22679.277777777777"/>
    <x v="0"/>
    <s v="Negotiation"/>
    <x v="25"/>
    <x v="0"/>
    <x v="9"/>
    <x v="10"/>
    <n v="22.679277777777777"/>
    <n v="11.339638888888889"/>
    <n v="2.2679277777777777E-2"/>
    <b v="1"/>
  </r>
  <r>
    <n v="39"/>
    <n v="3"/>
    <d v="2029-07-03T00:00:00"/>
    <s v="FY30-Q2"/>
    <s v="CY29-Q3"/>
    <n v="20929.153846153848"/>
    <n v="41858.307692307695"/>
    <x v="0"/>
    <s v="Project Execution"/>
    <x v="23"/>
    <x v="7"/>
    <x v="0"/>
    <x v="10"/>
    <n v="41.858307692307697"/>
    <n v="20.929153846153849"/>
    <n v="4.1858307692307695E-2"/>
    <b v="1"/>
  </r>
  <r>
    <n v="15"/>
    <n v="24"/>
    <d v="2029-07-07T00:00:00"/>
    <s v="FY30-Q2"/>
    <s v="CY29-Q3"/>
    <n v="29217.197872340425"/>
    <n v="32463.553191489362"/>
    <x v="0"/>
    <s v="Project Execution"/>
    <x v="32"/>
    <x v="23"/>
    <x v="1"/>
    <x v="10"/>
    <n v="32.46355319148936"/>
    <n v="29.217197872340424"/>
    <n v="3.2463553191489358E-2"/>
    <b v="1"/>
  </r>
  <r>
    <n v="22"/>
    <n v="11"/>
    <d v="2029-07-11T00:00:00"/>
    <s v="FY30-Q2"/>
    <s v="CY29-Q3"/>
    <n v="26390.544230769232"/>
    <n v="29322.826923076922"/>
    <x v="0"/>
    <s v="Nurturing"/>
    <x v="20"/>
    <x v="4"/>
    <x v="1"/>
    <x v="10"/>
    <n v="29.322826923076921"/>
    <n v="26.390544230769233"/>
    <n v="2.932282692307692E-2"/>
    <b v="1"/>
  </r>
  <r>
    <n v="11"/>
    <n v="3"/>
    <d v="2029-07-13T00:00:00"/>
    <s v="FY30-Q2"/>
    <s v="CY29-Q3"/>
    <n v="113460.75"/>
    <n v="126067.5"/>
    <x v="2"/>
    <s v="Negotiation"/>
    <x v="33"/>
    <x v="7"/>
    <x v="3"/>
    <x v="10"/>
    <n v="126.0675"/>
    <n v="113.46075"/>
    <n v="0.1260675"/>
    <b v="1"/>
  </r>
  <r>
    <n v="9"/>
    <n v="26"/>
    <d v="2029-07-19T00:00:00"/>
    <s v="FY30-Q2"/>
    <s v="CY29-Q3"/>
    <n v="37447.800000000003"/>
    <n v="187239"/>
    <x v="2"/>
    <s v="Lead Qualification"/>
    <x v="17"/>
    <x v="15"/>
    <x v="2"/>
    <x v="10"/>
    <n v="187.239"/>
    <n v="37.447800000000001"/>
    <n v="0.18723900000000002"/>
    <b v="1"/>
  </r>
  <r>
    <n v="40"/>
    <n v="15"/>
    <d v="2029-07-19T00:00:00"/>
    <s v="FY30-Q2"/>
    <s v="CY29-Q3"/>
    <n v="36144.450000000004"/>
    <n v="40160.5"/>
    <x v="0"/>
    <s v="Proposal"/>
    <x v="34"/>
    <x v="13"/>
    <x v="9"/>
    <x v="10"/>
    <n v="40.160499999999999"/>
    <n v="36.144450000000006"/>
    <n v="4.0160500000000002E-2"/>
    <b v="1"/>
  </r>
  <r>
    <n v="13"/>
    <n v="2"/>
    <d v="2029-07-22T00:00:00"/>
    <s v="FY30-Q2"/>
    <s v="CY29-Q3"/>
    <n v="12618.744897959185"/>
    <n v="25237.489795918369"/>
    <x v="0"/>
    <s v="Negotiation"/>
    <x v="28"/>
    <x v="17"/>
    <x v="2"/>
    <x v="10"/>
    <n v="25.237489795918368"/>
    <n v="12.618744897959184"/>
    <n v="2.5237489795918368E-2"/>
    <b v="1"/>
  </r>
  <r>
    <n v="7"/>
    <n v="14"/>
    <d v="2029-07-26T00:00:00"/>
    <s v="FY30-Q2"/>
    <s v="CY29-Q3"/>
    <n v="41771.416666666664"/>
    <n v="83542.833333333328"/>
    <x v="0"/>
    <s v="Project Execution"/>
    <x v="36"/>
    <x v="24"/>
    <x v="5"/>
    <x v="10"/>
    <n v="83.542833333333334"/>
    <n v="41.771416666666667"/>
    <n v="8.354283333333333E-2"/>
    <b v="1"/>
  </r>
  <r>
    <n v="18"/>
    <n v="9"/>
    <d v="2029-07-28T00:00:00"/>
    <s v="FY30-Q2"/>
    <s v="CY29-Q3"/>
    <n v="110906.4"/>
    <n v="221812.8"/>
    <x v="0"/>
    <s v="Lead Qualification"/>
    <x v="18"/>
    <x v="16"/>
    <x v="5"/>
    <x v="10"/>
    <n v="221.81279999999998"/>
    <n v="110.90639999999999"/>
    <n v="0.22181279999999998"/>
    <b v="1"/>
  </r>
  <r>
    <n v="26"/>
    <n v="1"/>
    <d v="2029-08-01T00:00:00"/>
    <s v="FY30-Q3"/>
    <s v="CY29-Q3"/>
    <n v="11339.638888888889"/>
    <n v="22679.277777777777"/>
    <x v="0"/>
    <s v="Negotiation"/>
    <x v="25"/>
    <x v="0"/>
    <x v="9"/>
    <x v="10"/>
    <n v="22.679277777777777"/>
    <n v="11.339638888888889"/>
    <n v="2.2679277777777777E-2"/>
    <b v="1"/>
  </r>
  <r>
    <n v="39"/>
    <n v="3"/>
    <d v="2029-08-03T00:00:00"/>
    <s v="FY30-Q3"/>
    <s v="CY29-Q3"/>
    <n v="20929.153846153848"/>
    <n v="41858.307692307695"/>
    <x v="0"/>
    <s v="Project Execution"/>
    <x v="23"/>
    <x v="7"/>
    <x v="0"/>
    <x v="10"/>
    <n v="41.858307692307697"/>
    <n v="20.929153846153849"/>
    <n v="4.1858307692307695E-2"/>
    <b v="1"/>
  </r>
  <r>
    <n v="15"/>
    <n v="24"/>
    <d v="2029-08-07T00:00:00"/>
    <s v="FY30-Q3"/>
    <s v="CY29-Q3"/>
    <n v="29217.197872340425"/>
    <n v="32463.553191489362"/>
    <x v="0"/>
    <s v="Project Execution"/>
    <x v="32"/>
    <x v="23"/>
    <x v="1"/>
    <x v="10"/>
    <n v="32.46355319148936"/>
    <n v="29.217197872340424"/>
    <n v="3.2463553191489358E-2"/>
    <b v="1"/>
  </r>
  <r>
    <n v="25"/>
    <n v="14"/>
    <d v="2029-08-09T00:00:00"/>
    <s v="FY30-Q3"/>
    <s v="CY29-Q3"/>
    <n v="35076.26666666667"/>
    <n v="70152.53333333334"/>
    <x v="0"/>
    <s v="Lead Qualification"/>
    <x v="37"/>
    <x v="24"/>
    <x v="7"/>
    <x v="10"/>
    <n v="70.152533333333338"/>
    <n v="35.076266666666669"/>
    <n v="7.0152533333333336E-2"/>
    <b v="1"/>
  </r>
  <r>
    <n v="22"/>
    <n v="11"/>
    <d v="2029-08-11T00:00:00"/>
    <s v="FY30-Q3"/>
    <s v="CY29-Q3"/>
    <n v="26390.544230769232"/>
    <n v="29322.826923076922"/>
    <x v="0"/>
    <s v="Nurturing"/>
    <x v="20"/>
    <x v="4"/>
    <x v="1"/>
    <x v="10"/>
    <n v="29.322826923076921"/>
    <n v="26.390544230769233"/>
    <n v="2.932282692307692E-2"/>
    <b v="1"/>
  </r>
  <r>
    <n v="28"/>
    <n v="1"/>
    <d v="2029-08-16T00:00:00"/>
    <s v="FY30-Q3"/>
    <s v="CY29-Q3"/>
    <n v="40447.666666666664"/>
    <n v="80895.333333333328"/>
    <x v="0"/>
    <s v="Lead Qualification"/>
    <x v="29"/>
    <x v="0"/>
    <x v="2"/>
    <x v="10"/>
    <n v="80.895333333333326"/>
    <n v="40.447666666666663"/>
    <n v="8.0895333333333333E-2"/>
    <b v="1"/>
  </r>
  <r>
    <n v="27"/>
    <n v="2"/>
    <d v="2029-08-17T00:00:00"/>
    <s v="FY30-Q3"/>
    <s v="CY29-Q3"/>
    <n v="46287.333333333336"/>
    <n v="92574.666666666672"/>
    <x v="0"/>
    <s v="Lead Qualification"/>
    <x v="21"/>
    <x v="17"/>
    <x v="7"/>
    <x v="10"/>
    <n v="92.574666666666673"/>
    <n v="46.287333333333336"/>
    <n v="9.2574666666666666E-2"/>
    <b v="1"/>
  </r>
  <r>
    <n v="13"/>
    <n v="2"/>
    <d v="2029-08-22T00:00:00"/>
    <s v="FY30-Q3"/>
    <s v="CY29-Q3"/>
    <n v="12618.744897959185"/>
    <n v="25237.489795918369"/>
    <x v="0"/>
    <s v="Negotiation"/>
    <x v="28"/>
    <x v="17"/>
    <x v="2"/>
    <x v="10"/>
    <n v="25.237489795918368"/>
    <n v="12.618744897959184"/>
    <n v="2.5237489795918368E-2"/>
    <b v="1"/>
  </r>
  <r>
    <n v="5"/>
    <n v="12"/>
    <d v="2029-08-23T00:00:00"/>
    <s v="FY30-Q3"/>
    <s v="CY29-Q3"/>
    <n v="104043.5"/>
    <n v="208087"/>
    <x v="0"/>
    <s v="Proposal"/>
    <x v="38"/>
    <x v="19"/>
    <x v="7"/>
    <x v="10"/>
    <n v="208.08699999999999"/>
    <n v="104.04349999999999"/>
    <n v="0.20808699999999999"/>
    <b v="1"/>
  </r>
  <r>
    <n v="26"/>
    <n v="1"/>
    <d v="2029-09-01T00:00:00"/>
    <s v="FY30-Q3"/>
    <s v="CY29-Q3"/>
    <n v="11339.638888888889"/>
    <n v="22679.277777777777"/>
    <x v="0"/>
    <s v="Negotiation"/>
    <x v="25"/>
    <x v="0"/>
    <x v="9"/>
    <x v="10"/>
    <n v="22.679277777777777"/>
    <n v="11.339638888888889"/>
    <n v="2.2679277777777777E-2"/>
    <b v="1"/>
  </r>
  <r>
    <n v="39"/>
    <n v="3"/>
    <d v="2029-09-03T00:00:00"/>
    <s v="FY30-Q3"/>
    <s v="CY29-Q3"/>
    <n v="20929.153846153848"/>
    <n v="41858.307692307695"/>
    <x v="0"/>
    <s v="Project Execution"/>
    <x v="23"/>
    <x v="7"/>
    <x v="0"/>
    <x v="10"/>
    <n v="41.858307692307697"/>
    <n v="20.929153846153849"/>
    <n v="4.1858307692307695E-2"/>
    <b v="1"/>
  </r>
  <r>
    <n v="15"/>
    <n v="24"/>
    <d v="2029-09-07T00:00:00"/>
    <s v="FY30-Q3"/>
    <s v="CY29-Q3"/>
    <n v="29217.197872340425"/>
    <n v="32463.553191489362"/>
    <x v="0"/>
    <s v="Project Execution"/>
    <x v="32"/>
    <x v="23"/>
    <x v="1"/>
    <x v="10"/>
    <n v="32.46355319148936"/>
    <n v="29.217197872340424"/>
    <n v="3.2463553191489358E-2"/>
    <b v="1"/>
  </r>
  <r>
    <n v="22"/>
    <n v="11"/>
    <d v="2029-09-11T00:00:00"/>
    <s v="FY30-Q3"/>
    <s v="CY29-Q3"/>
    <n v="26390.544230769232"/>
    <n v="29322.826923076922"/>
    <x v="0"/>
    <s v="Nurturing"/>
    <x v="20"/>
    <x v="4"/>
    <x v="1"/>
    <x v="10"/>
    <n v="29.322826923076921"/>
    <n v="26.390544230769233"/>
    <n v="2.932282692307692E-2"/>
    <b v="1"/>
  </r>
  <r>
    <n v="13"/>
    <n v="2"/>
    <d v="2029-09-22T00:00:00"/>
    <s v="FY30-Q3"/>
    <s v="CY29-Q3"/>
    <n v="12618.744897959185"/>
    <n v="25237.489795918369"/>
    <x v="0"/>
    <s v="Negotiation"/>
    <x v="28"/>
    <x v="17"/>
    <x v="2"/>
    <x v="10"/>
    <n v="25.237489795918368"/>
    <n v="12.618744897959184"/>
    <n v="2.5237489795918368E-2"/>
    <b v="1"/>
  </r>
  <r>
    <n v="4"/>
    <n v="12"/>
    <d v="2029-09-28T00:00:00"/>
    <s v="FY30-Q3"/>
    <s v="CY29-Q3"/>
    <n v="62066.583333333336"/>
    <n v="124133.16666666667"/>
    <x v="0"/>
    <s v="Lead Qualification"/>
    <x v="24"/>
    <x v="19"/>
    <x v="4"/>
    <x v="10"/>
    <n v="124.13316666666667"/>
    <n v="62.066583333333334"/>
    <n v="0.12413316666666667"/>
    <b v="1"/>
  </r>
  <r>
    <n v="39"/>
    <n v="3"/>
    <d v="2029-10-03T00:00:00"/>
    <s v="FY30-Q3"/>
    <s v="CY29-Q4"/>
    <n v="20929.153846153848"/>
    <n v="41858.307692307695"/>
    <x v="0"/>
    <s v="Project Execution"/>
    <x v="23"/>
    <x v="7"/>
    <x v="0"/>
    <x v="10"/>
    <n v="41.858307692307697"/>
    <n v="20.929153846153849"/>
    <n v="4.1858307692307695E-2"/>
    <b v="1"/>
  </r>
  <r>
    <n v="15"/>
    <n v="24"/>
    <d v="2029-10-07T00:00:00"/>
    <s v="FY30-Q3"/>
    <s v="CY29-Q4"/>
    <n v="29217.197872340425"/>
    <n v="32463.553191489362"/>
    <x v="0"/>
    <s v="Project Execution"/>
    <x v="32"/>
    <x v="23"/>
    <x v="1"/>
    <x v="10"/>
    <n v="32.46355319148936"/>
    <n v="29.217197872340424"/>
    <n v="3.2463553191489358E-2"/>
    <b v="1"/>
  </r>
  <r>
    <n v="22"/>
    <n v="11"/>
    <d v="2029-10-11T00:00:00"/>
    <s v="FY30-Q3"/>
    <s v="CY29-Q4"/>
    <n v="26390.544230769232"/>
    <n v="29322.826923076922"/>
    <x v="0"/>
    <s v="Nurturing"/>
    <x v="20"/>
    <x v="4"/>
    <x v="1"/>
    <x v="10"/>
    <n v="29.322826923076921"/>
    <n v="26.390544230769233"/>
    <n v="2.932282692307692E-2"/>
    <b v="1"/>
  </r>
  <r>
    <n v="11"/>
    <n v="3"/>
    <d v="2029-10-13T00:00:00"/>
    <s v="FY30-Q3"/>
    <s v="CY29-Q4"/>
    <n v="113460.75"/>
    <n v="126067.5"/>
    <x v="2"/>
    <s v="Negotiation"/>
    <x v="33"/>
    <x v="7"/>
    <x v="3"/>
    <x v="10"/>
    <n v="126.0675"/>
    <n v="113.46075"/>
    <n v="0.1260675"/>
    <b v="1"/>
  </r>
  <r>
    <n v="12"/>
    <n v="17"/>
    <d v="2029-10-18T00:00:00"/>
    <s v="FY30-Q3"/>
    <s v="CY29-Q4"/>
    <n v="67945.3125"/>
    <n v="135890.625"/>
    <x v="0"/>
    <s v="Project Execution"/>
    <x v="26"/>
    <x v="20"/>
    <x v="5"/>
    <x v="10"/>
    <n v="135.890625"/>
    <n v="67.9453125"/>
    <n v="0.13589062499999999"/>
    <b v="1"/>
  </r>
  <r>
    <n v="30"/>
    <n v="1"/>
    <d v="2029-10-21T00:00:00"/>
    <s v="FY30-Q3"/>
    <s v="CY29-Q4"/>
    <n v="73260.25"/>
    <n v="146520.5"/>
    <x v="0"/>
    <s v="Nurturing"/>
    <x v="27"/>
    <x v="0"/>
    <x v="6"/>
    <x v="10"/>
    <n v="146.5205"/>
    <n v="73.260249999999999"/>
    <n v="0.1465205"/>
    <b v="1"/>
  </r>
  <r>
    <n v="13"/>
    <n v="2"/>
    <d v="2029-10-22T00:00:00"/>
    <s v="FY30-Q3"/>
    <s v="CY29-Q4"/>
    <n v="12618.744897959185"/>
    <n v="25237.489795918369"/>
    <x v="0"/>
    <s v="Negotiation"/>
    <x v="28"/>
    <x v="17"/>
    <x v="2"/>
    <x v="10"/>
    <n v="25.237489795918368"/>
    <n v="12.618744897959184"/>
    <n v="2.5237489795918368E-2"/>
    <b v="1"/>
  </r>
  <r>
    <n v="32"/>
    <n v="29"/>
    <d v="2029-10-23T00:00:00"/>
    <s v="FY30-Q3"/>
    <s v="CY29-Q4"/>
    <n v="19870.314285714288"/>
    <n v="99351.571428571435"/>
    <x v="0"/>
    <s v="Proposal"/>
    <x v="2"/>
    <x v="2"/>
    <x v="0"/>
    <x v="10"/>
    <n v="99.351571428571432"/>
    <n v="19.87031428571429"/>
    <n v="9.9351571428571428E-2"/>
    <b v="1"/>
  </r>
  <r>
    <n v="7"/>
    <n v="14"/>
    <d v="2029-10-26T00:00:00"/>
    <s v="FY30-Q3"/>
    <s v="CY29-Q4"/>
    <n v="41771.416666666664"/>
    <n v="83542.833333333328"/>
    <x v="0"/>
    <s v="Project Execution"/>
    <x v="36"/>
    <x v="24"/>
    <x v="5"/>
    <x v="10"/>
    <n v="83.542833333333334"/>
    <n v="41.771416666666667"/>
    <n v="8.354283333333333E-2"/>
    <b v="1"/>
  </r>
  <r>
    <n v="39"/>
    <n v="3"/>
    <d v="2029-11-03T00:00:00"/>
    <s v="FY30-Q4"/>
    <s v="CY29-Q4"/>
    <n v="20929.153846153848"/>
    <n v="41858.307692307695"/>
    <x v="0"/>
    <s v="Project Execution"/>
    <x v="23"/>
    <x v="7"/>
    <x v="0"/>
    <x v="10"/>
    <n v="41.858307692307697"/>
    <n v="20.929153846153849"/>
    <n v="4.1858307692307695E-2"/>
    <b v="1"/>
  </r>
  <r>
    <n v="15"/>
    <n v="24"/>
    <d v="2029-11-07T00:00:00"/>
    <s v="FY30-Q4"/>
    <s v="CY29-Q4"/>
    <n v="29217.197872340425"/>
    <n v="32463.553191489362"/>
    <x v="0"/>
    <s v="Project Execution"/>
    <x v="32"/>
    <x v="23"/>
    <x v="1"/>
    <x v="10"/>
    <n v="32.46355319148936"/>
    <n v="29.217197872340424"/>
    <n v="3.2463553191489358E-2"/>
    <b v="1"/>
  </r>
  <r>
    <n v="25"/>
    <n v="14"/>
    <d v="2029-11-09T00:00:00"/>
    <s v="FY30-Q4"/>
    <s v="CY29-Q4"/>
    <n v="35076.26666666667"/>
    <n v="70152.53333333334"/>
    <x v="0"/>
    <s v="Lead Qualification"/>
    <x v="37"/>
    <x v="24"/>
    <x v="7"/>
    <x v="10"/>
    <n v="70.152533333333338"/>
    <n v="35.076266666666669"/>
    <n v="7.0152533333333336E-2"/>
    <b v="1"/>
  </r>
  <r>
    <n v="22"/>
    <n v="11"/>
    <d v="2029-11-11T00:00:00"/>
    <s v="FY30-Q4"/>
    <s v="CY29-Q4"/>
    <n v="26390.544230769232"/>
    <n v="29322.826923076922"/>
    <x v="0"/>
    <s v="Nurturing"/>
    <x v="20"/>
    <x v="4"/>
    <x v="1"/>
    <x v="10"/>
    <n v="29.322826923076921"/>
    <n v="26.390544230769233"/>
    <n v="2.932282692307692E-2"/>
    <b v="1"/>
  </r>
  <r>
    <n v="28"/>
    <n v="1"/>
    <d v="2029-11-16T00:00:00"/>
    <s v="FY30-Q4"/>
    <s v="CY29-Q4"/>
    <n v="40447.666666666664"/>
    <n v="80895.333333333328"/>
    <x v="0"/>
    <s v="Lead Qualification"/>
    <x v="29"/>
    <x v="0"/>
    <x v="2"/>
    <x v="10"/>
    <n v="80.895333333333326"/>
    <n v="40.447666666666663"/>
    <n v="8.0895333333333333E-2"/>
    <b v="1"/>
  </r>
  <r>
    <n v="27"/>
    <n v="2"/>
    <d v="2029-11-17T00:00:00"/>
    <s v="FY30-Q4"/>
    <s v="CY29-Q4"/>
    <n v="46287.333333333336"/>
    <n v="92574.666666666672"/>
    <x v="0"/>
    <s v="Lead Qualification"/>
    <x v="21"/>
    <x v="17"/>
    <x v="7"/>
    <x v="10"/>
    <n v="92.574666666666673"/>
    <n v="46.287333333333336"/>
    <n v="9.2574666666666666E-2"/>
    <b v="1"/>
  </r>
  <r>
    <n v="23"/>
    <n v="11"/>
    <d v="2029-11-20T00:00:00"/>
    <s v="FY30-Q4"/>
    <s v="CY29-Q4"/>
    <n v="25249.37777777778"/>
    <n v="126246.88888888889"/>
    <x v="1"/>
    <s v="Negotiation"/>
    <x v="4"/>
    <x v="4"/>
    <x v="3"/>
    <x v="10"/>
    <n v="126.24688888888889"/>
    <n v="25.249377777777781"/>
    <n v="0.12624688888888888"/>
    <b v="1"/>
  </r>
  <r>
    <n v="31"/>
    <n v="15"/>
    <d v="2029-11-22T00:00:00"/>
    <s v="FY30-Q4"/>
    <s v="CY29-Q4"/>
    <n v="19221.625"/>
    <n v="96108.125"/>
    <x v="2"/>
    <s v="Negotiation"/>
    <x v="14"/>
    <x v="13"/>
    <x v="7"/>
    <x v="10"/>
    <n v="96.108125000000001"/>
    <n v="19.221625"/>
    <n v="9.6108125000000003E-2"/>
    <b v="1"/>
  </r>
  <r>
    <n v="13"/>
    <n v="2"/>
    <d v="2029-11-22T00:00:00"/>
    <s v="FY30-Q4"/>
    <s v="CY29-Q4"/>
    <n v="12618.744897959185"/>
    <n v="25237.489795918369"/>
    <x v="0"/>
    <s v="Negotiation"/>
    <x v="28"/>
    <x v="17"/>
    <x v="2"/>
    <x v="10"/>
    <n v="25.237489795918368"/>
    <n v="12.618744897959184"/>
    <n v="2.5237489795918368E-2"/>
    <b v="1"/>
  </r>
  <r>
    <n v="39"/>
    <n v="3"/>
    <d v="2029-12-03T00:00:00"/>
    <s v="FY30-Q4"/>
    <s v="CY29-Q4"/>
    <n v="20929.153846153848"/>
    <n v="41858.307692307695"/>
    <x v="0"/>
    <s v="Project Execution"/>
    <x v="23"/>
    <x v="7"/>
    <x v="0"/>
    <x v="10"/>
    <n v="41.858307692307697"/>
    <n v="20.929153846153849"/>
    <n v="4.1858307692307695E-2"/>
    <b v="1"/>
  </r>
  <r>
    <n v="15"/>
    <n v="24"/>
    <d v="2029-12-07T00:00:00"/>
    <s v="FY30-Q4"/>
    <s v="CY29-Q4"/>
    <n v="29217.197872340425"/>
    <n v="32463.553191489362"/>
    <x v="0"/>
    <s v="Project Execution"/>
    <x v="32"/>
    <x v="23"/>
    <x v="1"/>
    <x v="10"/>
    <n v="32.46355319148936"/>
    <n v="29.217197872340424"/>
    <n v="3.2463553191489358E-2"/>
    <b v="1"/>
  </r>
  <r>
    <n v="22"/>
    <n v="11"/>
    <d v="2029-12-11T00:00:00"/>
    <s v="FY30-Q4"/>
    <s v="CY29-Q4"/>
    <n v="26390.544230769232"/>
    <n v="29322.826923076922"/>
    <x v="0"/>
    <s v="Nurturing"/>
    <x v="20"/>
    <x v="4"/>
    <x v="1"/>
    <x v="10"/>
    <n v="29.322826923076921"/>
    <n v="26.390544230769233"/>
    <n v="2.932282692307692E-2"/>
    <b v="1"/>
  </r>
  <r>
    <n v="13"/>
    <n v="2"/>
    <d v="2029-12-22T00:00:00"/>
    <s v="FY30-Q4"/>
    <s v="CY29-Q4"/>
    <n v="12618.744897959185"/>
    <n v="25237.489795918369"/>
    <x v="0"/>
    <s v="Negotiation"/>
    <x v="28"/>
    <x v="17"/>
    <x v="2"/>
    <x v="10"/>
    <n v="25.237489795918368"/>
    <n v="12.618744897959184"/>
    <n v="2.5237489795918368E-2"/>
    <b v="1"/>
  </r>
  <r>
    <n v="6"/>
    <n v="13"/>
    <d v="2029-12-26T00:00:00"/>
    <s v="FY30-Q4"/>
    <s v="CY29-Q4"/>
    <n v="37550.227272727272"/>
    <n v="75100.454545454544"/>
    <x v="0"/>
    <s v="Project Execution"/>
    <x v="16"/>
    <x v="1"/>
    <x v="4"/>
    <x v="10"/>
    <n v="75.100454545454539"/>
    <n v="37.55022727272727"/>
    <n v="7.510045454545454E-2"/>
    <b v="1"/>
  </r>
  <r>
    <n v="38"/>
    <n v="21"/>
    <d v="2029-12-30T00:00:00"/>
    <s v="FY30-Q4"/>
    <s v="CY29-Q4"/>
    <n v="50822.5"/>
    <n v="101645"/>
    <x v="0"/>
    <s v="Proposal"/>
    <x v="31"/>
    <x v="22"/>
    <x v="2"/>
    <x v="10"/>
    <n v="101.645"/>
    <n v="50.822499999999998"/>
    <n v="0.101645"/>
    <b v="1"/>
  </r>
  <r>
    <n v="39"/>
    <n v="3"/>
    <d v="2030-01-03T00:00:00"/>
    <s v="FY30-Q4"/>
    <s v="CY30-Q1"/>
    <n v="20929.153846153848"/>
    <n v="41858.307692307695"/>
    <x v="0"/>
    <s v="Project Execution"/>
    <x v="23"/>
    <x v="7"/>
    <x v="0"/>
    <x v="10"/>
    <n v="41.858307692307697"/>
    <n v="20.929153846153849"/>
    <n v="4.1858307692307695E-2"/>
    <b v="1"/>
  </r>
  <r>
    <n v="15"/>
    <n v="24"/>
    <d v="2030-01-07T00:00:00"/>
    <s v="FY30-Q4"/>
    <s v="CY30-Q1"/>
    <n v="29217.197872340425"/>
    <n v="32463.553191489362"/>
    <x v="0"/>
    <s v="Project Execution"/>
    <x v="32"/>
    <x v="23"/>
    <x v="1"/>
    <x v="10"/>
    <n v="32.46355319148936"/>
    <n v="29.217197872340424"/>
    <n v="3.2463553191489358E-2"/>
    <b v="1"/>
  </r>
  <r>
    <n v="22"/>
    <n v="11"/>
    <d v="2030-01-11T00:00:00"/>
    <s v="FY30-Q4"/>
    <s v="CY30-Q1"/>
    <n v="26390.544230769232"/>
    <n v="29322.826923076922"/>
    <x v="0"/>
    <s v="Nurturing"/>
    <x v="20"/>
    <x v="4"/>
    <x v="1"/>
    <x v="10"/>
    <n v="29.322826923076921"/>
    <n v="26.390544230769233"/>
    <n v="2.932282692307692E-2"/>
    <b v="1"/>
  </r>
  <r>
    <n v="11"/>
    <n v="3"/>
    <d v="2030-01-13T00:00:00"/>
    <s v="FY30-Q4"/>
    <s v="CY30-Q1"/>
    <n v="113460.75"/>
    <n v="126067.5"/>
    <x v="2"/>
    <s v="Negotiation"/>
    <x v="33"/>
    <x v="7"/>
    <x v="3"/>
    <x v="10"/>
    <n v="126.0675"/>
    <n v="113.46075"/>
    <n v="0.1260675"/>
    <b v="1"/>
  </r>
  <r>
    <n v="40"/>
    <n v="15"/>
    <d v="2030-01-19T00:00:00"/>
    <s v="FY30-Q4"/>
    <s v="CY30-Q1"/>
    <n v="36144.450000000004"/>
    <n v="40160.5"/>
    <x v="0"/>
    <s v="Proposal"/>
    <x v="34"/>
    <x v="13"/>
    <x v="9"/>
    <x v="10"/>
    <n v="40.160499999999999"/>
    <n v="36.144450000000006"/>
    <n v="4.0160500000000002E-2"/>
    <b v="1"/>
  </r>
  <r>
    <n v="13"/>
    <n v="2"/>
    <d v="2030-01-22T00:00:00"/>
    <s v="FY30-Q4"/>
    <s v="CY30-Q1"/>
    <n v="12618.744897959185"/>
    <n v="25237.489795918369"/>
    <x v="0"/>
    <s v="Negotiation"/>
    <x v="28"/>
    <x v="17"/>
    <x v="2"/>
    <x v="10"/>
    <n v="25.237489795918368"/>
    <n v="12.618744897959184"/>
    <n v="2.5237489795918368E-2"/>
    <b v="1"/>
  </r>
  <r>
    <n v="18"/>
    <n v="9"/>
    <d v="2030-01-28T00:00:00"/>
    <s v="FY30-Q4"/>
    <s v="CY30-Q1"/>
    <n v="110906.4"/>
    <n v="221812.8"/>
    <x v="0"/>
    <s v="Lead Qualification"/>
    <x v="18"/>
    <x v="16"/>
    <x v="5"/>
    <x v="10"/>
    <n v="221.81279999999998"/>
    <n v="110.90639999999999"/>
    <n v="0.22181279999999998"/>
    <b v="1"/>
  </r>
  <r>
    <n v="39"/>
    <n v="3"/>
    <d v="2030-02-03T00:00:00"/>
    <s v="FY31-Q1"/>
    <s v="CY30-Q1"/>
    <n v="20929.153846153848"/>
    <n v="41858.307692307695"/>
    <x v="0"/>
    <s v="Project Execution"/>
    <x v="23"/>
    <x v="7"/>
    <x v="0"/>
    <x v="10"/>
    <n v="41.858307692307697"/>
    <n v="20.929153846153849"/>
    <n v="4.1858307692307695E-2"/>
    <b v="1"/>
  </r>
  <r>
    <n v="15"/>
    <n v="24"/>
    <d v="2030-02-07T00:00:00"/>
    <s v="FY31-Q1"/>
    <s v="CY30-Q1"/>
    <n v="29217.197872340425"/>
    <n v="32463.553191489362"/>
    <x v="0"/>
    <s v="Project Execution"/>
    <x v="32"/>
    <x v="23"/>
    <x v="1"/>
    <x v="10"/>
    <n v="32.46355319148936"/>
    <n v="29.217197872340424"/>
    <n v="3.2463553191489358E-2"/>
    <b v="1"/>
  </r>
  <r>
    <n v="25"/>
    <n v="14"/>
    <d v="2030-02-09T00:00:00"/>
    <s v="FY31-Q1"/>
    <s v="CY30-Q1"/>
    <n v="35076.26666666667"/>
    <n v="70152.53333333334"/>
    <x v="0"/>
    <s v="Lead Qualification"/>
    <x v="37"/>
    <x v="24"/>
    <x v="7"/>
    <x v="10"/>
    <n v="70.152533333333338"/>
    <n v="35.076266666666669"/>
    <n v="7.0152533333333336E-2"/>
    <b v="1"/>
  </r>
  <r>
    <n v="22"/>
    <n v="11"/>
    <d v="2030-02-11T00:00:00"/>
    <s v="FY31-Q1"/>
    <s v="CY30-Q1"/>
    <n v="26390.544230769232"/>
    <n v="29322.826923076922"/>
    <x v="0"/>
    <s v="Nurturing"/>
    <x v="20"/>
    <x v="4"/>
    <x v="1"/>
    <x v="10"/>
    <n v="29.322826923076921"/>
    <n v="26.390544230769233"/>
    <n v="2.932282692307692E-2"/>
    <b v="1"/>
  </r>
  <r>
    <n v="28"/>
    <n v="1"/>
    <d v="2030-02-16T00:00:00"/>
    <s v="FY31-Q1"/>
    <s v="CY30-Q1"/>
    <n v="40447.666666666664"/>
    <n v="80895.333333333328"/>
    <x v="0"/>
    <s v="Lead Qualification"/>
    <x v="29"/>
    <x v="0"/>
    <x v="2"/>
    <x v="10"/>
    <n v="80.895333333333326"/>
    <n v="40.447666666666663"/>
    <n v="8.0895333333333333E-2"/>
    <b v="1"/>
  </r>
  <r>
    <n v="27"/>
    <n v="2"/>
    <d v="2030-02-17T00:00:00"/>
    <s v="FY31-Q1"/>
    <s v="CY30-Q1"/>
    <n v="46287.333333333336"/>
    <n v="92574.666666666672"/>
    <x v="0"/>
    <s v="Lead Qualification"/>
    <x v="21"/>
    <x v="17"/>
    <x v="7"/>
    <x v="10"/>
    <n v="92.574666666666673"/>
    <n v="46.287333333333336"/>
    <n v="9.2574666666666666E-2"/>
    <b v="1"/>
  </r>
  <r>
    <n v="13"/>
    <n v="2"/>
    <d v="2030-02-22T00:00:00"/>
    <s v="FY31-Q1"/>
    <s v="CY30-Q1"/>
    <n v="12618.744897959185"/>
    <n v="25237.489795918369"/>
    <x v="0"/>
    <s v="Negotiation"/>
    <x v="28"/>
    <x v="17"/>
    <x v="2"/>
    <x v="10"/>
    <n v="25.237489795918368"/>
    <n v="12.618744897959184"/>
    <n v="2.5237489795918368E-2"/>
    <b v="1"/>
  </r>
  <r>
    <n v="39"/>
    <n v="3"/>
    <d v="2030-03-03T00:00:00"/>
    <s v="FY31-Q1"/>
    <s v="CY30-Q1"/>
    <n v="20929.153846153848"/>
    <n v="41858.307692307695"/>
    <x v="0"/>
    <s v="Project Execution"/>
    <x v="23"/>
    <x v="7"/>
    <x v="0"/>
    <x v="10"/>
    <n v="41.858307692307697"/>
    <n v="20.929153846153849"/>
    <n v="4.1858307692307695E-2"/>
    <b v="1"/>
  </r>
  <r>
    <n v="24"/>
    <n v="27"/>
    <d v="2030-03-06T00:00:00"/>
    <s v="FY31-Q1"/>
    <s v="CY30-Q1"/>
    <n v="33162.73333333333"/>
    <n v="165813.66666666666"/>
    <x v="0"/>
    <s v="Nurturing"/>
    <x v="9"/>
    <x v="9"/>
    <x v="5"/>
    <x v="10"/>
    <n v="165.81366666666665"/>
    <n v="33.162733333333328"/>
    <n v="0.16581366666666664"/>
    <b v="1"/>
  </r>
  <r>
    <n v="15"/>
    <n v="24"/>
    <d v="2030-03-07T00:00:00"/>
    <s v="FY31-Q1"/>
    <s v="CY30-Q1"/>
    <n v="29217.197872340425"/>
    <n v="32463.553191489362"/>
    <x v="0"/>
    <s v="Project Execution"/>
    <x v="32"/>
    <x v="23"/>
    <x v="1"/>
    <x v="10"/>
    <n v="32.46355319148936"/>
    <n v="29.217197872340424"/>
    <n v="3.2463553191489358E-2"/>
    <b v="1"/>
  </r>
  <r>
    <n v="22"/>
    <n v="11"/>
    <d v="2030-03-11T00:00:00"/>
    <s v="FY31-Q1"/>
    <s v="CY30-Q1"/>
    <n v="26390.544230769232"/>
    <n v="29322.826923076922"/>
    <x v="0"/>
    <s v="Nurturing"/>
    <x v="20"/>
    <x v="4"/>
    <x v="1"/>
    <x v="10"/>
    <n v="29.322826923076921"/>
    <n v="26.390544230769233"/>
    <n v="2.932282692307692E-2"/>
    <b v="1"/>
  </r>
  <r>
    <n v="13"/>
    <n v="2"/>
    <d v="2030-03-22T00:00:00"/>
    <s v="FY31-Q1"/>
    <s v="CY30-Q1"/>
    <n v="12618.744897959185"/>
    <n v="25237.489795918369"/>
    <x v="0"/>
    <s v="Negotiation"/>
    <x v="28"/>
    <x v="17"/>
    <x v="2"/>
    <x v="10"/>
    <n v="25.237489795918368"/>
    <n v="12.618744897959184"/>
    <n v="2.5237489795918368E-2"/>
    <b v="1"/>
  </r>
  <r>
    <n v="20"/>
    <n v="28"/>
    <d v="2030-03-25T00:00:00"/>
    <s v="FY31-Q1"/>
    <s v="CY30-Q1"/>
    <n v="46457.040000000008"/>
    <n v="232285.2"/>
    <x v="1"/>
    <s v="Proposal"/>
    <x v="10"/>
    <x v="10"/>
    <x v="7"/>
    <x v="10"/>
    <n v="232.2852"/>
    <n v="46.457040000000006"/>
    <n v="0.2322852"/>
    <b v="1"/>
  </r>
  <r>
    <n v="39"/>
    <n v="3"/>
    <d v="2030-04-03T00:00:00"/>
    <s v="FY31-Q1"/>
    <s v="CY30-Q2"/>
    <n v="20929.153846153848"/>
    <n v="41858.307692307695"/>
    <x v="0"/>
    <s v="Project Execution"/>
    <x v="23"/>
    <x v="7"/>
    <x v="0"/>
    <x v="10"/>
    <n v="41.858307692307697"/>
    <n v="20.929153846153849"/>
    <n v="4.1858307692307695E-2"/>
    <b v="1"/>
  </r>
  <r>
    <n v="15"/>
    <n v="24"/>
    <d v="2030-04-07T00:00:00"/>
    <s v="FY31-Q1"/>
    <s v="CY30-Q2"/>
    <n v="29217.197872340425"/>
    <n v="32463.553191489362"/>
    <x v="0"/>
    <s v="Project Execution"/>
    <x v="32"/>
    <x v="23"/>
    <x v="1"/>
    <x v="10"/>
    <n v="32.46355319148936"/>
    <n v="29.217197872340424"/>
    <n v="3.2463553191489358E-2"/>
    <b v="1"/>
  </r>
  <r>
    <n v="22"/>
    <n v="11"/>
    <d v="2030-04-11T00:00:00"/>
    <s v="FY31-Q1"/>
    <s v="CY30-Q2"/>
    <n v="26390.544230769232"/>
    <n v="29322.826923076922"/>
    <x v="0"/>
    <s v="Nurturing"/>
    <x v="20"/>
    <x v="4"/>
    <x v="1"/>
    <x v="10"/>
    <n v="29.322826923076921"/>
    <n v="26.390544230769233"/>
    <n v="2.932282692307692E-2"/>
    <b v="1"/>
  </r>
  <r>
    <n v="11"/>
    <n v="3"/>
    <d v="2030-04-13T00:00:00"/>
    <s v="FY31-Q1"/>
    <s v="CY30-Q2"/>
    <n v="113460.75"/>
    <n v="126067.5"/>
    <x v="2"/>
    <s v="Negotiation"/>
    <x v="33"/>
    <x v="7"/>
    <x v="3"/>
    <x v="10"/>
    <n v="126.0675"/>
    <n v="113.46075"/>
    <n v="0.1260675"/>
    <b v="1"/>
  </r>
  <r>
    <n v="13"/>
    <n v="2"/>
    <d v="2030-04-22T00:00:00"/>
    <s v="FY31-Q1"/>
    <s v="CY30-Q2"/>
    <n v="12618.744897959185"/>
    <n v="25237.489795918369"/>
    <x v="0"/>
    <s v="Negotiation"/>
    <x v="28"/>
    <x v="17"/>
    <x v="2"/>
    <x v="10"/>
    <n v="25.237489795918368"/>
    <n v="12.618744897959184"/>
    <n v="2.5237489795918368E-2"/>
    <b v="1"/>
  </r>
  <r>
    <n v="39"/>
    <n v="3"/>
    <d v="2030-05-03T00:00:00"/>
    <s v="FY31-Q2"/>
    <s v="CY30-Q2"/>
    <n v="20929.153846153848"/>
    <n v="41858.307692307695"/>
    <x v="0"/>
    <s v="Project Execution"/>
    <x v="23"/>
    <x v="7"/>
    <x v="0"/>
    <x v="10"/>
    <n v="41.858307692307697"/>
    <n v="20.929153846153849"/>
    <n v="4.1858307692307695E-2"/>
    <b v="1"/>
  </r>
  <r>
    <n v="15"/>
    <n v="24"/>
    <d v="2030-05-07T00:00:00"/>
    <s v="FY31-Q2"/>
    <s v="CY30-Q2"/>
    <n v="29217.197872340425"/>
    <n v="32463.553191489362"/>
    <x v="0"/>
    <s v="Project Execution"/>
    <x v="32"/>
    <x v="23"/>
    <x v="1"/>
    <x v="10"/>
    <n v="32.46355319148936"/>
    <n v="29.217197872340424"/>
    <n v="3.2463553191489358E-2"/>
    <b v="1"/>
  </r>
  <r>
    <n v="29"/>
    <n v="10"/>
    <d v="2030-05-08T00:00:00"/>
    <s v="FY31-Q2"/>
    <s v="CY30-Q2"/>
    <n v="150480.08333333334"/>
    <n v="300960.16666666669"/>
    <x v="0"/>
    <s v="Project Execution"/>
    <x v="13"/>
    <x v="6"/>
    <x v="6"/>
    <x v="10"/>
    <n v="300.96016666666668"/>
    <n v="150.48008333333334"/>
    <n v="0.3009601666666667"/>
    <b v="1"/>
  </r>
  <r>
    <n v="25"/>
    <n v="14"/>
    <d v="2030-05-09T00:00:00"/>
    <s v="FY31-Q2"/>
    <s v="CY30-Q2"/>
    <n v="35076.26666666667"/>
    <n v="70152.53333333334"/>
    <x v="0"/>
    <s v="Lead Qualification"/>
    <x v="37"/>
    <x v="24"/>
    <x v="7"/>
    <x v="10"/>
    <n v="70.152533333333338"/>
    <n v="35.076266666666669"/>
    <n v="7.0152533333333336E-2"/>
    <b v="1"/>
  </r>
  <r>
    <n v="22"/>
    <n v="11"/>
    <d v="2030-05-11T00:00:00"/>
    <s v="FY31-Q2"/>
    <s v="CY30-Q2"/>
    <n v="26390.544230769232"/>
    <n v="29322.826923076922"/>
    <x v="0"/>
    <s v="Nurturing"/>
    <x v="20"/>
    <x v="4"/>
    <x v="1"/>
    <x v="10"/>
    <n v="29.322826923076921"/>
    <n v="26.390544230769233"/>
    <n v="2.932282692307692E-2"/>
    <b v="1"/>
  </r>
  <r>
    <n v="28"/>
    <n v="1"/>
    <d v="2030-05-16T00:00:00"/>
    <s v="FY31-Q2"/>
    <s v="CY30-Q2"/>
    <n v="40447.666666666664"/>
    <n v="80895.333333333328"/>
    <x v="0"/>
    <s v="Lead Qualification"/>
    <x v="29"/>
    <x v="0"/>
    <x v="2"/>
    <x v="10"/>
    <n v="80.895333333333326"/>
    <n v="40.447666666666663"/>
    <n v="8.0895333333333333E-2"/>
    <b v="1"/>
  </r>
  <r>
    <n v="27"/>
    <n v="2"/>
    <d v="2030-05-17T00:00:00"/>
    <s v="FY31-Q2"/>
    <s v="CY30-Q2"/>
    <n v="46287.333333333336"/>
    <n v="92574.666666666672"/>
    <x v="0"/>
    <s v="Lead Qualification"/>
    <x v="21"/>
    <x v="17"/>
    <x v="7"/>
    <x v="10"/>
    <n v="92.574666666666673"/>
    <n v="46.287333333333336"/>
    <n v="9.2574666666666666E-2"/>
    <b v="1"/>
  </r>
  <r>
    <n v="13"/>
    <n v="2"/>
    <d v="2030-05-22T00:00:00"/>
    <s v="FY31-Q2"/>
    <s v="CY30-Q2"/>
    <n v="12618.744897959185"/>
    <n v="25237.489795918369"/>
    <x v="0"/>
    <s v="Negotiation"/>
    <x v="28"/>
    <x v="17"/>
    <x v="2"/>
    <x v="10"/>
    <n v="25.237489795918368"/>
    <n v="12.618744897959184"/>
    <n v="2.5237489795918368E-2"/>
    <b v="1"/>
  </r>
  <r>
    <n v="39"/>
    <n v="3"/>
    <d v="2030-06-03T00:00:00"/>
    <s v="FY31-Q2"/>
    <s v="CY30-Q2"/>
    <n v="20929.153846153848"/>
    <n v="41858.307692307695"/>
    <x v="0"/>
    <s v="Project Execution"/>
    <x v="23"/>
    <x v="7"/>
    <x v="0"/>
    <x v="10"/>
    <n v="41.858307692307697"/>
    <n v="20.929153846153849"/>
    <n v="4.1858307692307695E-2"/>
    <b v="1"/>
  </r>
  <r>
    <n v="15"/>
    <n v="24"/>
    <d v="2030-06-07T00:00:00"/>
    <s v="FY31-Q2"/>
    <s v="CY30-Q2"/>
    <n v="29217.197872340425"/>
    <n v="32463.553191489362"/>
    <x v="0"/>
    <s v="Project Execution"/>
    <x v="32"/>
    <x v="23"/>
    <x v="1"/>
    <x v="10"/>
    <n v="32.46355319148936"/>
    <n v="29.217197872340424"/>
    <n v="3.2463553191489358E-2"/>
    <b v="1"/>
  </r>
  <r>
    <n v="22"/>
    <n v="11"/>
    <d v="2030-06-11T00:00:00"/>
    <s v="FY31-Q2"/>
    <s v="CY30-Q2"/>
    <n v="26390.544230769232"/>
    <n v="29322.826923076922"/>
    <x v="0"/>
    <s v="Nurturing"/>
    <x v="20"/>
    <x v="4"/>
    <x v="1"/>
    <x v="10"/>
    <n v="29.322826923076921"/>
    <n v="26.390544230769233"/>
    <n v="2.932282692307692E-2"/>
    <b v="1"/>
  </r>
  <r>
    <n v="1"/>
    <n v="18"/>
    <d v="2030-06-17T00:00:00"/>
    <s v="FY31-Q2"/>
    <s v="CY30-Q2"/>
    <n v="49601.433333333334"/>
    <n v="248007.16666666666"/>
    <x v="0"/>
    <s v="Lead Qualification"/>
    <x v="15"/>
    <x v="14"/>
    <x v="7"/>
    <x v="10"/>
    <n v="248.00716666666665"/>
    <n v="49.601433333333333"/>
    <n v="0.24800716666666664"/>
    <b v="1"/>
  </r>
  <r>
    <n v="13"/>
    <n v="2"/>
    <d v="2030-06-22T00:00:00"/>
    <s v="FY31-Q2"/>
    <s v="CY30-Q2"/>
    <n v="12618.744897959185"/>
    <n v="25237.489795918369"/>
    <x v="0"/>
    <s v="Negotiation"/>
    <x v="28"/>
    <x v="17"/>
    <x v="2"/>
    <x v="10"/>
    <n v="25.237489795918368"/>
    <n v="12.618744897959184"/>
    <n v="2.5237489795918368E-2"/>
    <b v="1"/>
  </r>
  <r>
    <n v="6"/>
    <n v="13"/>
    <d v="2030-06-26T00:00:00"/>
    <s v="FY31-Q2"/>
    <s v="CY30-Q2"/>
    <n v="37550.227272727272"/>
    <n v="75100.454545454544"/>
    <x v="0"/>
    <s v="Project Execution"/>
    <x v="16"/>
    <x v="1"/>
    <x v="4"/>
    <x v="10"/>
    <n v="75.100454545454539"/>
    <n v="37.55022727272727"/>
    <n v="7.510045454545454E-2"/>
    <b v="1"/>
  </r>
  <r>
    <n v="38"/>
    <n v="21"/>
    <d v="2030-06-30T00:00:00"/>
    <s v="FY31-Q2"/>
    <s v="CY30-Q2"/>
    <n v="50822.5"/>
    <n v="101645"/>
    <x v="0"/>
    <s v="Proposal"/>
    <x v="31"/>
    <x v="22"/>
    <x v="2"/>
    <x v="10"/>
    <n v="101.645"/>
    <n v="50.822499999999998"/>
    <n v="0.101645"/>
    <b v="1"/>
  </r>
  <r>
    <n v="39"/>
    <n v="3"/>
    <d v="2030-07-03T00:00:00"/>
    <s v="FY31-Q2"/>
    <s v="CY30-Q3"/>
    <n v="20929.153846153848"/>
    <n v="41858.307692307695"/>
    <x v="0"/>
    <s v="Project Execution"/>
    <x v="23"/>
    <x v="7"/>
    <x v="0"/>
    <x v="10"/>
    <n v="41.858307692307697"/>
    <n v="20.929153846153849"/>
    <n v="4.1858307692307695E-2"/>
    <b v="1"/>
  </r>
  <r>
    <n v="15"/>
    <n v="24"/>
    <d v="2030-07-07T00:00:00"/>
    <s v="FY31-Q2"/>
    <s v="CY30-Q3"/>
    <n v="29217.197872340425"/>
    <n v="32463.553191489362"/>
    <x v="0"/>
    <s v="Project Execution"/>
    <x v="32"/>
    <x v="23"/>
    <x v="1"/>
    <x v="10"/>
    <n v="32.46355319148936"/>
    <n v="29.217197872340424"/>
    <n v="3.2463553191489358E-2"/>
    <b v="1"/>
  </r>
  <r>
    <n v="22"/>
    <n v="11"/>
    <d v="2030-07-11T00:00:00"/>
    <s v="FY31-Q2"/>
    <s v="CY30-Q3"/>
    <n v="26390.544230769232"/>
    <n v="29322.826923076922"/>
    <x v="0"/>
    <s v="Nurturing"/>
    <x v="20"/>
    <x v="4"/>
    <x v="1"/>
    <x v="10"/>
    <n v="29.322826923076921"/>
    <n v="26.390544230769233"/>
    <n v="2.932282692307692E-2"/>
    <b v="1"/>
  </r>
  <r>
    <n v="11"/>
    <n v="3"/>
    <d v="2030-07-13T00:00:00"/>
    <s v="FY31-Q2"/>
    <s v="CY30-Q3"/>
    <n v="113460.75"/>
    <n v="126067.5"/>
    <x v="2"/>
    <s v="Negotiation"/>
    <x v="33"/>
    <x v="7"/>
    <x v="3"/>
    <x v="10"/>
    <n v="126.0675"/>
    <n v="113.46075"/>
    <n v="0.1260675"/>
    <b v="1"/>
  </r>
  <r>
    <n v="40"/>
    <n v="15"/>
    <d v="2030-07-19T00:00:00"/>
    <s v="FY31-Q2"/>
    <s v="CY30-Q3"/>
    <n v="36144.450000000004"/>
    <n v="40160.5"/>
    <x v="0"/>
    <s v="Proposal"/>
    <x v="34"/>
    <x v="13"/>
    <x v="9"/>
    <x v="10"/>
    <n v="40.160499999999999"/>
    <n v="36.144450000000006"/>
    <n v="4.0160500000000002E-2"/>
    <b v="1"/>
  </r>
  <r>
    <n v="9"/>
    <n v="26"/>
    <d v="2030-07-19T00:00:00"/>
    <s v="FY31-Q2"/>
    <s v="CY30-Q3"/>
    <n v="37447.800000000003"/>
    <n v="187239"/>
    <x v="2"/>
    <s v="Lead Qualification"/>
    <x v="17"/>
    <x v="15"/>
    <x v="2"/>
    <x v="10"/>
    <n v="187.239"/>
    <n v="37.447800000000001"/>
    <n v="0.18723900000000002"/>
    <b v="1"/>
  </r>
  <r>
    <n v="13"/>
    <n v="2"/>
    <d v="2030-07-22T00:00:00"/>
    <s v="FY31-Q2"/>
    <s v="CY30-Q3"/>
    <n v="12618.744897959185"/>
    <n v="25237.489795918369"/>
    <x v="0"/>
    <s v="Negotiation"/>
    <x v="28"/>
    <x v="17"/>
    <x v="2"/>
    <x v="10"/>
    <n v="25.237489795918368"/>
    <n v="12.618744897959184"/>
    <n v="2.5237489795918368E-2"/>
    <b v="1"/>
  </r>
  <r>
    <n v="18"/>
    <n v="9"/>
    <d v="2030-07-28T00:00:00"/>
    <s v="FY31-Q2"/>
    <s v="CY30-Q3"/>
    <n v="110906.4"/>
    <n v="221812.8"/>
    <x v="0"/>
    <s v="Lead Qualification"/>
    <x v="18"/>
    <x v="16"/>
    <x v="5"/>
    <x v="10"/>
    <n v="221.81279999999998"/>
    <n v="110.90639999999999"/>
    <n v="0.22181279999999998"/>
    <b v="1"/>
  </r>
  <r>
    <n v="39"/>
    <n v="3"/>
    <d v="2030-08-03T00:00:00"/>
    <s v="FY31-Q3"/>
    <s v="CY30-Q3"/>
    <n v="20929.153846153848"/>
    <n v="41858.307692307695"/>
    <x v="0"/>
    <s v="Project Execution"/>
    <x v="23"/>
    <x v="7"/>
    <x v="0"/>
    <x v="10"/>
    <n v="41.858307692307697"/>
    <n v="20.929153846153849"/>
    <n v="4.1858307692307695E-2"/>
    <b v="1"/>
  </r>
  <r>
    <n v="15"/>
    <n v="24"/>
    <d v="2030-08-07T00:00:00"/>
    <s v="FY31-Q3"/>
    <s v="CY30-Q3"/>
    <n v="29217.197872340425"/>
    <n v="32463.553191489362"/>
    <x v="0"/>
    <s v="Project Execution"/>
    <x v="32"/>
    <x v="23"/>
    <x v="1"/>
    <x v="10"/>
    <n v="32.46355319148936"/>
    <n v="29.217197872340424"/>
    <n v="3.2463553191489358E-2"/>
    <b v="1"/>
  </r>
  <r>
    <n v="25"/>
    <n v="14"/>
    <d v="2030-08-09T00:00:00"/>
    <s v="FY31-Q3"/>
    <s v="CY30-Q3"/>
    <n v="35076.26666666667"/>
    <n v="70152.53333333334"/>
    <x v="0"/>
    <s v="Lead Qualification"/>
    <x v="37"/>
    <x v="24"/>
    <x v="7"/>
    <x v="10"/>
    <n v="70.152533333333338"/>
    <n v="35.076266666666669"/>
    <n v="7.0152533333333336E-2"/>
    <b v="1"/>
  </r>
  <r>
    <n v="22"/>
    <n v="11"/>
    <d v="2030-08-11T00:00:00"/>
    <s v="FY31-Q3"/>
    <s v="CY30-Q3"/>
    <n v="26390.544230769232"/>
    <n v="29322.826923076922"/>
    <x v="0"/>
    <s v="Nurturing"/>
    <x v="20"/>
    <x v="4"/>
    <x v="1"/>
    <x v="10"/>
    <n v="29.322826923076921"/>
    <n v="26.390544230769233"/>
    <n v="2.932282692307692E-2"/>
    <b v="1"/>
  </r>
  <r>
    <n v="27"/>
    <n v="2"/>
    <d v="2030-08-17T00:00:00"/>
    <s v="FY31-Q3"/>
    <s v="CY30-Q3"/>
    <n v="46287.333333333336"/>
    <n v="92574.666666666672"/>
    <x v="0"/>
    <s v="Lead Qualification"/>
    <x v="21"/>
    <x v="17"/>
    <x v="7"/>
    <x v="10"/>
    <n v="92.574666666666673"/>
    <n v="46.287333333333336"/>
    <n v="9.2574666666666666E-2"/>
    <b v="1"/>
  </r>
  <r>
    <n v="13"/>
    <n v="2"/>
    <d v="2030-08-22T00:00:00"/>
    <s v="FY31-Q3"/>
    <s v="CY30-Q3"/>
    <n v="12618.744897959185"/>
    <n v="25237.489795918369"/>
    <x v="0"/>
    <s v="Negotiation"/>
    <x v="28"/>
    <x v="17"/>
    <x v="2"/>
    <x v="10"/>
    <n v="25.237489795918368"/>
    <n v="12.618744897959184"/>
    <n v="2.5237489795918368E-2"/>
    <b v="1"/>
  </r>
  <r>
    <n v="39"/>
    <n v="3"/>
    <d v="2030-09-03T00:00:00"/>
    <s v="FY31-Q3"/>
    <s v="CY30-Q3"/>
    <n v="20929.153846153848"/>
    <n v="41858.307692307695"/>
    <x v="0"/>
    <s v="Project Execution"/>
    <x v="23"/>
    <x v="7"/>
    <x v="0"/>
    <x v="10"/>
    <n v="41.858307692307697"/>
    <n v="20.929153846153849"/>
    <n v="4.1858307692307695E-2"/>
    <b v="1"/>
  </r>
  <r>
    <n v="15"/>
    <n v="24"/>
    <d v="2030-09-07T00:00:00"/>
    <s v="FY31-Q3"/>
    <s v="CY30-Q3"/>
    <n v="29217.197872340425"/>
    <n v="32463.553191489362"/>
    <x v="0"/>
    <s v="Project Execution"/>
    <x v="32"/>
    <x v="23"/>
    <x v="1"/>
    <x v="10"/>
    <n v="32.46355319148936"/>
    <n v="29.217197872340424"/>
    <n v="3.2463553191489358E-2"/>
    <b v="1"/>
  </r>
  <r>
    <n v="22"/>
    <n v="11"/>
    <d v="2030-09-11T00:00:00"/>
    <s v="FY31-Q3"/>
    <s v="CY30-Q3"/>
    <n v="26390.544230769232"/>
    <n v="29322.826923076922"/>
    <x v="0"/>
    <s v="Nurturing"/>
    <x v="20"/>
    <x v="4"/>
    <x v="1"/>
    <x v="10"/>
    <n v="29.322826923076921"/>
    <n v="26.390544230769233"/>
    <n v="2.932282692307692E-2"/>
    <b v="1"/>
  </r>
  <r>
    <n v="13"/>
    <n v="2"/>
    <d v="2030-09-22T00:00:00"/>
    <s v="FY31-Q3"/>
    <s v="CY30-Q3"/>
    <n v="12618.744897959185"/>
    <n v="25237.489795918369"/>
    <x v="0"/>
    <s v="Negotiation"/>
    <x v="28"/>
    <x v="17"/>
    <x v="2"/>
    <x v="10"/>
    <n v="25.237489795918368"/>
    <n v="12.618744897959184"/>
    <n v="2.5237489795918368E-2"/>
    <b v="1"/>
  </r>
  <r>
    <n v="4"/>
    <n v="12"/>
    <d v="2030-09-28T00:00:00"/>
    <s v="FY31-Q3"/>
    <s v="CY30-Q3"/>
    <n v="62066.583333333336"/>
    <n v="124133.16666666667"/>
    <x v="0"/>
    <s v="Lead Qualification"/>
    <x v="24"/>
    <x v="19"/>
    <x v="4"/>
    <x v="10"/>
    <n v="124.13316666666667"/>
    <n v="62.066583333333334"/>
    <n v="0.12413316666666667"/>
    <b v="1"/>
  </r>
  <r>
    <n v="39"/>
    <n v="3"/>
    <d v="2030-10-03T00:00:00"/>
    <s v="FY31-Q3"/>
    <s v="CY30-Q4"/>
    <n v="20929.153846153848"/>
    <n v="41858.307692307695"/>
    <x v="0"/>
    <s v="Project Execution"/>
    <x v="23"/>
    <x v="7"/>
    <x v="0"/>
    <x v="10"/>
    <n v="41.858307692307697"/>
    <n v="20.929153846153849"/>
    <n v="4.1858307692307695E-2"/>
    <b v="1"/>
  </r>
  <r>
    <n v="15"/>
    <n v="24"/>
    <d v="2030-10-07T00:00:00"/>
    <s v="FY31-Q3"/>
    <s v="CY30-Q4"/>
    <n v="29217.197872340425"/>
    <n v="32463.553191489362"/>
    <x v="0"/>
    <s v="Project Execution"/>
    <x v="32"/>
    <x v="23"/>
    <x v="1"/>
    <x v="10"/>
    <n v="32.46355319148936"/>
    <n v="29.217197872340424"/>
    <n v="3.2463553191489358E-2"/>
    <b v="1"/>
  </r>
  <r>
    <n v="22"/>
    <n v="11"/>
    <d v="2030-10-11T00:00:00"/>
    <s v="FY31-Q3"/>
    <s v="CY30-Q4"/>
    <n v="26390.544230769232"/>
    <n v="29322.826923076922"/>
    <x v="0"/>
    <s v="Nurturing"/>
    <x v="20"/>
    <x v="4"/>
    <x v="1"/>
    <x v="10"/>
    <n v="29.322826923076921"/>
    <n v="26.390544230769233"/>
    <n v="2.932282692307692E-2"/>
    <b v="1"/>
  </r>
  <r>
    <n v="11"/>
    <n v="3"/>
    <d v="2030-10-13T00:00:00"/>
    <s v="FY31-Q3"/>
    <s v="CY30-Q4"/>
    <n v="113460.75"/>
    <n v="126067.5"/>
    <x v="2"/>
    <s v="Negotiation"/>
    <x v="33"/>
    <x v="7"/>
    <x v="3"/>
    <x v="10"/>
    <n v="126.0675"/>
    <n v="113.46075"/>
    <n v="0.1260675"/>
    <b v="1"/>
  </r>
  <r>
    <n v="12"/>
    <n v="17"/>
    <d v="2030-10-18T00:00:00"/>
    <s v="FY31-Q3"/>
    <s v="CY30-Q4"/>
    <n v="67945.3125"/>
    <n v="135890.625"/>
    <x v="0"/>
    <s v="Project Execution"/>
    <x v="26"/>
    <x v="20"/>
    <x v="5"/>
    <x v="10"/>
    <n v="135.890625"/>
    <n v="67.9453125"/>
    <n v="0.13589062499999999"/>
    <b v="1"/>
  </r>
  <r>
    <n v="30"/>
    <n v="1"/>
    <d v="2030-10-21T00:00:00"/>
    <s v="FY31-Q3"/>
    <s v="CY30-Q4"/>
    <n v="73260.25"/>
    <n v="146520.5"/>
    <x v="0"/>
    <s v="Nurturing"/>
    <x v="27"/>
    <x v="0"/>
    <x v="6"/>
    <x v="10"/>
    <n v="146.5205"/>
    <n v="73.260249999999999"/>
    <n v="0.1465205"/>
    <b v="1"/>
  </r>
  <r>
    <n v="13"/>
    <n v="2"/>
    <d v="2030-10-22T00:00:00"/>
    <s v="FY31-Q3"/>
    <s v="CY30-Q4"/>
    <n v="12618.744897959185"/>
    <n v="25237.489795918369"/>
    <x v="0"/>
    <s v="Negotiation"/>
    <x v="28"/>
    <x v="17"/>
    <x v="2"/>
    <x v="10"/>
    <n v="25.237489795918368"/>
    <n v="12.618744897959184"/>
    <n v="2.5237489795918368E-2"/>
    <b v="1"/>
  </r>
  <r>
    <n v="32"/>
    <n v="29"/>
    <d v="2030-10-23T00:00:00"/>
    <s v="FY31-Q3"/>
    <s v="CY30-Q4"/>
    <n v="19870.314285714288"/>
    <n v="99351.571428571435"/>
    <x v="0"/>
    <s v="Proposal"/>
    <x v="2"/>
    <x v="2"/>
    <x v="0"/>
    <x v="10"/>
    <n v="99.351571428571432"/>
    <n v="19.87031428571429"/>
    <n v="9.9351571428571428E-2"/>
    <b v="1"/>
  </r>
  <r>
    <n v="39"/>
    <n v="3"/>
    <d v="2030-11-03T00:00:00"/>
    <s v="FY31-Q4"/>
    <s v="CY30-Q4"/>
    <n v="20929.153846153848"/>
    <n v="41858.307692307695"/>
    <x v="0"/>
    <s v="Project Execution"/>
    <x v="23"/>
    <x v="7"/>
    <x v="0"/>
    <x v="10"/>
    <n v="41.858307692307697"/>
    <n v="20.929153846153849"/>
    <n v="4.1858307692307695E-2"/>
    <b v="1"/>
  </r>
  <r>
    <n v="15"/>
    <n v="24"/>
    <d v="2030-11-07T00:00:00"/>
    <s v="FY31-Q4"/>
    <s v="CY30-Q4"/>
    <n v="29217.197872340425"/>
    <n v="32463.553191489362"/>
    <x v="0"/>
    <s v="Project Execution"/>
    <x v="32"/>
    <x v="23"/>
    <x v="1"/>
    <x v="10"/>
    <n v="32.46355319148936"/>
    <n v="29.217197872340424"/>
    <n v="3.2463553191489358E-2"/>
    <b v="1"/>
  </r>
  <r>
    <n v="22"/>
    <n v="11"/>
    <d v="2030-11-11T00:00:00"/>
    <s v="FY31-Q4"/>
    <s v="CY30-Q4"/>
    <n v="26390.544230769232"/>
    <n v="29322.826923076922"/>
    <x v="0"/>
    <s v="Nurturing"/>
    <x v="20"/>
    <x v="4"/>
    <x v="1"/>
    <x v="10"/>
    <n v="29.322826923076921"/>
    <n v="26.390544230769233"/>
    <n v="2.932282692307692E-2"/>
    <b v="1"/>
  </r>
  <r>
    <n v="27"/>
    <n v="2"/>
    <d v="2030-11-17T00:00:00"/>
    <s v="FY31-Q4"/>
    <s v="CY30-Q4"/>
    <n v="46287.333333333336"/>
    <n v="92574.666666666672"/>
    <x v="0"/>
    <s v="Lead Qualification"/>
    <x v="21"/>
    <x v="17"/>
    <x v="7"/>
    <x v="10"/>
    <n v="92.574666666666673"/>
    <n v="46.287333333333336"/>
    <n v="9.2574666666666666E-2"/>
    <b v="1"/>
  </r>
  <r>
    <n v="39"/>
    <n v="3"/>
    <d v="2030-12-03T00:00:00"/>
    <s v="FY31-Q4"/>
    <s v="CY30-Q4"/>
    <n v="20929.153846153848"/>
    <n v="41858.307692307695"/>
    <x v="0"/>
    <s v="Project Execution"/>
    <x v="23"/>
    <x v="7"/>
    <x v="0"/>
    <x v="10"/>
    <n v="41.858307692307697"/>
    <n v="20.929153846153849"/>
    <n v="4.1858307692307695E-2"/>
    <b v="1"/>
  </r>
  <r>
    <n v="6"/>
    <n v="13"/>
    <d v="2030-12-26T00:00:00"/>
    <s v="FY31-Q4"/>
    <s v="CY30-Q4"/>
    <n v="37550.227272727272"/>
    <n v="75100.454545454544"/>
    <x v="0"/>
    <s v="Project Execution"/>
    <x v="16"/>
    <x v="1"/>
    <x v="4"/>
    <x v="10"/>
    <n v="75.100454545454539"/>
    <n v="37.55022727272727"/>
    <n v="7.510045454545454E-2"/>
    <b v="1"/>
  </r>
  <r>
    <n v="38"/>
    <n v="21"/>
    <d v="2030-12-30T00:00:00"/>
    <s v="FY31-Q4"/>
    <s v="CY30-Q4"/>
    <n v="50822.5"/>
    <n v="101645"/>
    <x v="0"/>
    <s v="Proposal"/>
    <x v="31"/>
    <x v="22"/>
    <x v="2"/>
    <x v="10"/>
    <n v="101.645"/>
    <n v="50.822499999999998"/>
    <n v="0.101645"/>
    <b v="1"/>
  </r>
  <r>
    <n v="40"/>
    <n v="15"/>
    <d v="2031-01-19T00:00:00"/>
    <s v="FY31-Q4"/>
    <s v="CY31-Q1"/>
    <n v="36144.450000000004"/>
    <n v="40160.5"/>
    <x v="0"/>
    <s v="Proposal"/>
    <x v="34"/>
    <x v="13"/>
    <x v="9"/>
    <x v="10"/>
    <n v="40.160499999999999"/>
    <n v="36.144450000000006"/>
    <n v="4.0160500000000002E-2"/>
    <b v="1"/>
  </r>
  <r>
    <n v="18"/>
    <n v="9"/>
    <d v="2031-01-28T00:00:00"/>
    <s v="FY31-Q4"/>
    <s v="CY31-Q1"/>
    <n v="110906.4"/>
    <n v="221812.8"/>
    <x v="0"/>
    <s v="Lead Qualification"/>
    <x v="18"/>
    <x v="16"/>
    <x v="5"/>
    <x v="10"/>
    <n v="221.81279999999998"/>
    <n v="110.90639999999999"/>
    <n v="0.22181279999999998"/>
    <b v="1"/>
  </r>
  <r>
    <n v="24"/>
    <n v="27"/>
    <d v="2031-03-06T00:00:00"/>
    <s v="FY32-Q1"/>
    <s v="CY31-Q1"/>
    <n v="33162.73333333333"/>
    <n v="165813.66666666666"/>
    <x v="0"/>
    <s v="Nurturing"/>
    <x v="9"/>
    <x v="9"/>
    <x v="5"/>
    <x v="10"/>
    <n v="165.81366666666665"/>
    <n v="33.162733333333328"/>
    <n v="0.16581366666666664"/>
    <b v="1"/>
  </r>
  <r>
    <n v="29"/>
    <n v="10"/>
    <d v="2031-05-08T00:00:00"/>
    <s v="FY32-Q2"/>
    <s v="CY31-Q2"/>
    <n v="150480.08333333334"/>
    <n v="300960.16666666669"/>
    <x v="0"/>
    <s v="Project Execution"/>
    <x v="13"/>
    <x v="6"/>
    <x v="6"/>
    <x v="10"/>
    <n v="300.96016666666668"/>
    <n v="150.48008333333334"/>
    <n v="0.3009601666666667"/>
    <b v="1"/>
  </r>
  <r>
    <n v="1"/>
    <n v="18"/>
    <d v="2031-06-17T00:00:00"/>
    <s v="FY32-Q2"/>
    <s v="CY31-Q2"/>
    <n v="49601.433333333334"/>
    <n v="248007.16666666666"/>
    <x v="0"/>
    <s v="Lead Qualification"/>
    <x v="15"/>
    <x v="14"/>
    <x v="7"/>
    <x v="10"/>
    <n v="248.00716666666665"/>
    <n v="49.601433333333333"/>
    <n v="0.24800716666666664"/>
    <b v="1"/>
  </r>
  <r>
    <n v="6"/>
    <n v="13"/>
    <d v="2031-06-26T00:00:00"/>
    <s v="FY32-Q2"/>
    <s v="CY31-Q2"/>
    <n v="37550.227272727272"/>
    <n v="75100.454545454544"/>
    <x v="0"/>
    <s v="Project Execution"/>
    <x v="16"/>
    <x v="1"/>
    <x v="4"/>
    <x v="10"/>
    <n v="75.100454545454539"/>
    <n v="37.55022727272727"/>
    <n v="7.510045454545454E-2"/>
    <b v="1"/>
  </r>
  <r>
    <n v="40"/>
    <n v="15"/>
    <d v="2031-07-19T00:00:00"/>
    <s v="FY32-Q2"/>
    <s v="CY31-Q3"/>
    <n v="36144.450000000004"/>
    <n v="40160.5"/>
    <x v="0"/>
    <s v="Proposal"/>
    <x v="34"/>
    <x v="13"/>
    <x v="9"/>
    <x v="10"/>
    <n v="40.160499999999999"/>
    <n v="36.144450000000006"/>
    <n v="4.0160500000000002E-2"/>
    <b v="1"/>
  </r>
  <r>
    <n v="9"/>
    <n v="26"/>
    <d v="2031-07-19T00:00:00"/>
    <s v="FY32-Q2"/>
    <s v="CY31-Q3"/>
    <n v="37447.800000000003"/>
    <n v="187239"/>
    <x v="2"/>
    <s v="Lead Qualification"/>
    <x v="17"/>
    <x v="15"/>
    <x v="2"/>
    <x v="10"/>
    <n v="187.239"/>
    <n v="37.447800000000001"/>
    <n v="0.18723900000000002"/>
    <b v="1"/>
  </r>
  <r>
    <n v="4"/>
    <n v="12"/>
    <d v="2031-09-28T00:00:00"/>
    <s v="FY32-Q3"/>
    <s v="CY31-Q3"/>
    <n v="62066.583333333336"/>
    <n v="124133.16666666667"/>
    <x v="0"/>
    <s v="Lead Qualification"/>
    <x v="24"/>
    <x v="19"/>
    <x v="4"/>
    <x v="10"/>
    <n v="124.13316666666667"/>
    <n v="62.066583333333334"/>
    <n v="0.12413316666666667"/>
    <b v="1"/>
  </r>
  <r>
    <n v="12"/>
    <n v="17"/>
    <d v="2031-10-18T00:00:00"/>
    <s v="FY32-Q3"/>
    <s v="CY31-Q4"/>
    <n v="67945.3125"/>
    <n v="135890.625"/>
    <x v="0"/>
    <s v="Project Execution"/>
    <x v="26"/>
    <x v="20"/>
    <x v="5"/>
    <x v="10"/>
    <n v="135.890625"/>
    <n v="67.9453125"/>
    <n v="0.13589062499999999"/>
    <b v="1"/>
  </r>
  <r>
    <n v="30"/>
    <n v="1"/>
    <d v="2031-10-21T00:00:00"/>
    <s v="FY32-Q3"/>
    <s v="CY31-Q4"/>
    <n v="73260.25"/>
    <n v="146520.5"/>
    <x v="0"/>
    <s v="Nurturing"/>
    <x v="27"/>
    <x v="0"/>
    <x v="6"/>
    <x v="10"/>
    <n v="146.5205"/>
    <n v="73.260249999999999"/>
    <n v="0.1465205"/>
    <b v="1"/>
  </r>
  <r>
    <n v="32"/>
    <n v="29"/>
    <d v="2031-10-23T00:00:00"/>
    <s v="FY32-Q3"/>
    <s v="CY31-Q4"/>
    <n v="19870.314285714288"/>
    <n v="99351.571428571435"/>
    <x v="0"/>
    <s v="Proposal"/>
    <x v="2"/>
    <x v="2"/>
    <x v="0"/>
    <x v="10"/>
    <n v="99.351571428571432"/>
    <n v="19.87031428571429"/>
    <n v="9.9351571428571428E-2"/>
    <b v="1"/>
  </r>
  <r>
    <n v="40"/>
    <n v="15"/>
    <d v="2032-01-19T00:00:00"/>
    <s v="FY32-Q4"/>
    <s v="CY32-Q1"/>
    <n v="36144.450000000004"/>
    <n v="40160.5"/>
    <x v="0"/>
    <s v="Proposal"/>
    <x v="34"/>
    <x v="13"/>
    <x v="9"/>
    <x v="10"/>
    <n v="40.160499999999999"/>
    <n v="36.144450000000006"/>
    <n v="4.0160500000000002E-2"/>
    <b v="1"/>
  </r>
  <r>
    <n v="40"/>
    <n v="15"/>
    <d v="2032-07-19T00:00:00"/>
    <s v="FY33-Q2"/>
    <s v="CY32-Q3"/>
    <n v="36144.450000000004"/>
    <n v="40160.5"/>
    <x v="0"/>
    <s v="Proposal"/>
    <x v="34"/>
    <x v="13"/>
    <x v="9"/>
    <x v="10"/>
    <n v="40.160499999999999"/>
    <n v="36.144450000000006"/>
    <n v="4.0160500000000002E-2"/>
    <b v="1"/>
  </r>
  <r>
    <n v="9"/>
    <n v="26"/>
    <d v="2032-07-19T00:00:00"/>
    <s v="FY33-Q2"/>
    <s v="CY32-Q3"/>
    <n v="37447.800000000003"/>
    <n v="187239"/>
    <x v="2"/>
    <s v="Lead Qualification"/>
    <x v="17"/>
    <x v="15"/>
    <x v="2"/>
    <x v="10"/>
    <n v="187.239"/>
    <n v="37.447800000000001"/>
    <n v="0.18723900000000002"/>
    <b v="1"/>
  </r>
  <r>
    <n v="12"/>
    <n v="17"/>
    <d v="2032-10-18T00:00:00"/>
    <s v="FY33-Q3"/>
    <s v="CY32-Q4"/>
    <n v="67945.3125"/>
    <n v="135890.625"/>
    <x v="0"/>
    <s v="Project Execution"/>
    <x v="26"/>
    <x v="20"/>
    <x v="5"/>
    <x v="10"/>
    <n v="135.890625"/>
    <n v="67.9453125"/>
    <n v="0.13589062499999999"/>
    <b v="1"/>
  </r>
  <r>
    <n v="30"/>
    <n v="1"/>
    <d v="2032-10-21T00:00:00"/>
    <s v="FY33-Q3"/>
    <s v="CY32-Q4"/>
    <n v="73260.25"/>
    <n v="146520.5"/>
    <x v="0"/>
    <s v="Nurturing"/>
    <x v="27"/>
    <x v="0"/>
    <x v="6"/>
    <x v="10"/>
    <n v="146.5205"/>
    <n v="73.260249999999999"/>
    <n v="0.1465205"/>
    <b v="1"/>
  </r>
  <r>
    <n v="12"/>
    <n v="17"/>
    <d v="2033-10-18T00:00:00"/>
    <s v="FY34-Q3"/>
    <s v="CY33-Q4"/>
    <n v="67945.3125"/>
    <n v="135890.625"/>
    <x v="0"/>
    <s v="Project Execution"/>
    <x v="26"/>
    <x v="20"/>
    <x v="5"/>
    <x v="10"/>
    <n v="135.890625"/>
    <n v="67.9453125"/>
    <n v="0.13589062499999999"/>
    <b v="1"/>
  </r>
  <r>
    <n v="30"/>
    <n v="1"/>
    <d v="2033-10-21T00:00:00"/>
    <s v="FY34-Q3"/>
    <s v="CY33-Q4"/>
    <n v="73260.25"/>
    <n v="146520.5"/>
    <x v="0"/>
    <s v="Nurturing"/>
    <x v="27"/>
    <x v="0"/>
    <x v="6"/>
    <x v="10"/>
    <n v="146.5205"/>
    <n v="73.260249999999999"/>
    <n v="0.1465205"/>
    <b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9B8AA5-D6B5-421F-A102-842F6F2D7211}" name="PivotTable2" cacheId="2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2:F10" firstHeaderRow="1" firstDataRow="2" firstDataCol="1"/>
  <pivotFields count="17">
    <pivotField showAll="0" defaultSubtotal="0"/>
    <pivotField showAll="0" defaultSubtotal="0"/>
    <pivotField numFmtId="172" showAll="0" defaultSubtotal="0"/>
    <pivotField showAll="0" defaultSubtotal="0"/>
    <pivotField showAll="0" defaultSubtotal="0"/>
    <pivotField numFmtId="174" showAll="0" defaultSubtotal="0"/>
    <pivotField numFmtId="174" showAll="0" defaultSubtotal="0"/>
    <pivotField axis="axisCol" showAll="0" defaultSubtotal="0">
      <items count="3">
        <item x="1"/>
        <item x="2"/>
        <item x="0"/>
      </items>
    </pivotField>
    <pivotField showAll="0" defaultSubtotal="0"/>
    <pivotField showAll="0" defaultSubtotal="0"/>
    <pivotField showAll="0" defaultSubtotal="0"/>
    <pivotField subtotalTop="0" showAll="0" defaultSubtotal="0"/>
    <pivotField axis="axisRow" subtotalTop="0" showAll="0" defaultSubtotal="0">
      <items count="12">
        <item m="1" x="11"/>
        <item x="4"/>
        <item x="5"/>
        <item x="6"/>
        <item x="7"/>
        <item x="8"/>
        <item x="9"/>
        <item h="1" x="10"/>
        <item h="1" x="0"/>
        <item h="1" x="1"/>
        <item h="1" x="2"/>
        <item h="1" x="3"/>
      </items>
    </pivotField>
    <pivotField numFmtId="174" subtotalTop="0" showAll="0" defaultSubtotal="0"/>
    <pivotField numFmtId="174" subtotalTop="0" showAll="0" defaultSubtotal="0"/>
    <pivotField dataField="1" numFmtId="174" subtotalTop="0" showAll="0" defaultSubtotal="0"/>
    <pivotField subtotalTop="0" showAll="0" defaultSubtotal="0"/>
  </pivotFields>
  <rowFields count="1">
    <field x="12"/>
  </rowFields>
  <rowItems count="7">
    <i>
      <x v="1"/>
    </i>
    <i>
      <x v="2"/>
    </i>
    <i>
      <x v="3"/>
    </i>
    <i>
      <x v="4"/>
    </i>
    <i>
      <x v="5"/>
    </i>
    <i>
      <x v="6"/>
    </i>
    <i t="grand">
      <x/>
    </i>
  </rowItems>
  <colFields count="1">
    <field x="7"/>
  </colFields>
  <colItems count="4">
    <i>
      <x/>
    </i>
    <i>
      <x v="1"/>
    </i>
    <i>
      <x v="2"/>
    </i>
    <i t="grand">
      <x/>
    </i>
  </colItems>
  <dataFields count="1">
    <dataField name="Sum of $m Unweighted" fld="15" baseField="0" baseItem="0" numFmtId="176"/>
  </dataFields>
  <formats count="13">
    <format dxfId="213">
      <pivotArea dataOnly="0" labelOnly="1" fieldPosition="0">
        <references count="1">
          <reference field="12" count="0"/>
        </references>
      </pivotArea>
    </format>
    <format dxfId="212">
      <pivotArea outline="0" collapsedLevelsAreSubtotals="1" fieldPosition="0"/>
    </format>
    <format dxfId="209">
      <pivotArea type="origin" dataOnly="0" labelOnly="1" outline="0" fieldPosition="0"/>
    </format>
    <format dxfId="208">
      <pivotArea field="7" type="button" dataOnly="0" labelOnly="1" outline="0" axis="axisCol" fieldPosition="0"/>
    </format>
    <format dxfId="207">
      <pivotArea type="topRight" dataOnly="0" labelOnly="1" outline="0" fieldPosition="0"/>
    </format>
    <format dxfId="206">
      <pivotArea field="12" type="button" dataOnly="0" labelOnly="1" outline="0" axis="axisRow" fieldPosition="0"/>
    </format>
    <format dxfId="205">
      <pivotArea dataOnly="0" labelOnly="1" fieldPosition="0">
        <references count="1">
          <reference field="7" count="0"/>
        </references>
      </pivotArea>
    </format>
    <format dxfId="204">
      <pivotArea dataOnly="0" labelOnly="1" grandCol="1" outline="0" fieldPosition="0"/>
    </format>
    <format dxfId="203">
      <pivotArea grandRow="1" outline="0" collapsedLevelsAreSubtotals="1" fieldPosition="0"/>
    </format>
    <format dxfId="202">
      <pivotArea dataOnly="0" labelOnly="1" grandRow="1" outline="0" fieldPosition="0"/>
    </format>
    <format dxfId="201">
      <pivotArea collapsedLevelsAreSubtotals="1" fieldPosition="0">
        <references count="1">
          <reference field="12" count="0"/>
        </references>
      </pivotArea>
    </format>
    <format dxfId="199">
      <pivotArea grandRow="1" outline="0" collapsedLevelsAreSubtotals="1" fieldPosition="0"/>
    </format>
    <format dxfId="198">
      <pivotArea grandRow="1" outline="0" collapsedLevelsAreSubtotals="1" fieldPosition="0"/>
    </format>
  </formats>
  <conditionalFormats count="1">
    <conditionalFormat priority="1">
      <pivotAreas count="1">
        <pivotArea type="data" grandRow="1" outline="0" collapsedLevelsAreSubtotals="1" fieldPosition="0">
          <references count="1">
            <reference field="4294967294" count="1" selected="0">
              <x v="0"/>
            </reference>
          </references>
        </pivotArea>
      </pivotAreas>
    </conditionalFormat>
  </conditionalFormats>
  <chartFormats count="6">
    <chartFormat chart="9" format="10" series="1">
      <pivotArea type="data" outline="0" fieldPosition="0">
        <references count="1">
          <reference field="7" count="1" selected="0">
            <x v="0"/>
          </reference>
        </references>
      </pivotArea>
    </chartFormat>
    <chartFormat chart="9" format="11" series="1">
      <pivotArea type="data" outline="0" fieldPosition="0">
        <references count="1">
          <reference field="7" count="1" selected="0">
            <x v="1"/>
          </reference>
        </references>
      </pivotArea>
    </chartFormat>
    <chartFormat chart="9" format="12" series="1">
      <pivotArea type="data" outline="0" fieldPosition="0">
        <references count="1">
          <reference field="7" count="1" selected="0">
            <x v="2"/>
          </reference>
        </references>
      </pivotArea>
    </chartFormat>
    <chartFormat chart="9" format="16" series="1">
      <pivotArea type="data" outline="0" fieldPosition="0">
        <references count="2">
          <reference field="4294967294" count="1" selected="0">
            <x v="0"/>
          </reference>
          <reference field="7" count="1" selected="0">
            <x v="2"/>
          </reference>
        </references>
      </pivotArea>
    </chartFormat>
    <chartFormat chart="9" format="17" series="1">
      <pivotArea type="data" outline="0" fieldPosition="0">
        <references count="2">
          <reference field="4294967294" count="1" selected="0">
            <x v="0"/>
          </reference>
          <reference field="7" count="1" selected="0">
            <x v="1"/>
          </reference>
        </references>
      </pivotArea>
    </chartFormat>
    <chartFormat chart="9" format="18" series="1">
      <pivotArea type="data" outline="0" fieldPosition="0">
        <references count="2">
          <reference field="4294967294" count="1" selected="0">
            <x v="0"/>
          </reference>
          <reference field="7" count="1" selected="0">
            <x v="0"/>
          </reference>
        </references>
      </pivotArea>
    </chartFormat>
  </chartFormats>
  <pivotTableStyleInfo name="funnelerAut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DE911B-7B5E-4616-8333-1E0A1A812B24}" name="PivotTable1" cacheId="2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I1:U102" firstHeaderRow="1" firstDataRow="2" firstDataCol="1"/>
  <pivotFields count="17">
    <pivotField showAll="0"/>
    <pivotField showAll="0"/>
    <pivotField numFmtId="172" showAll="0"/>
    <pivotField showAll="0"/>
    <pivotField showAll="0"/>
    <pivotField numFmtId="174" showAll="0"/>
    <pivotField dataField="1" numFmtId="174" showAll="0"/>
    <pivotField axis="axisRow" showAll="0">
      <items count="4">
        <item x="1"/>
        <item x="2"/>
        <item x="0"/>
        <item t="default"/>
      </items>
    </pivotField>
    <pivotField showAll="0"/>
    <pivotField axis="axisRow" showAll="0">
      <items count="41">
        <item x="23"/>
        <item x="21"/>
        <item x="1"/>
        <item x="6"/>
        <item x="9"/>
        <item x="0"/>
        <item x="17"/>
        <item x="27"/>
        <item x="26"/>
        <item x="33"/>
        <item x="3"/>
        <item x="16"/>
        <item x="19"/>
        <item x="28"/>
        <item x="2"/>
        <item x="15"/>
        <item x="18"/>
        <item x="14"/>
        <item x="38"/>
        <item x="8"/>
        <item x="39"/>
        <item x="20"/>
        <item x="31"/>
        <item x="34"/>
        <item x="24"/>
        <item x="10"/>
        <item x="11"/>
        <item x="36"/>
        <item x="22"/>
        <item x="4"/>
        <item x="37"/>
        <item x="12"/>
        <item x="7"/>
        <item x="30"/>
        <item x="13"/>
        <item x="5"/>
        <item x="32"/>
        <item x="25"/>
        <item x="29"/>
        <item x="35"/>
        <item t="default"/>
      </items>
    </pivotField>
    <pivotField axis="axisRow" showAll="0">
      <items count="26">
        <item x="0"/>
        <item x="14"/>
        <item x="3"/>
        <item x="18"/>
        <item x="16"/>
        <item x="11"/>
        <item x="6"/>
        <item x="12"/>
        <item x="19"/>
        <item x="17"/>
        <item x="5"/>
        <item x="20"/>
        <item x="24"/>
        <item x="9"/>
        <item x="13"/>
        <item x="1"/>
        <item x="15"/>
        <item x="21"/>
        <item x="23"/>
        <item x="8"/>
        <item x="7"/>
        <item x="10"/>
        <item x="22"/>
        <item x="4"/>
        <item x="2"/>
        <item t="default"/>
      </items>
    </pivotField>
    <pivotField axis="axisRow" showAll="0">
      <items count="11">
        <item x="7"/>
        <item x="3"/>
        <item x="5"/>
        <item x="0"/>
        <item x="8"/>
        <item x="2"/>
        <item x="6"/>
        <item x="9"/>
        <item x="4"/>
        <item x="1"/>
        <item t="default"/>
      </items>
    </pivotField>
    <pivotField axis="axisCol" showAll="0">
      <items count="13">
        <item m="1" x="11"/>
        <item x="4"/>
        <item x="5"/>
        <item x="6"/>
        <item x="7"/>
        <item x="8"/>
        <item x="9"/>
        <item x="10"/>
        <item x="0"/>
        <item x="1"/>
        <item x="2"/>
        <item x="3"/>
        <item t="default"/>
      </items>
    </pivotField>
    <pivotField numFmtId="174" showAll="0"/>
    <pivotField numFmtId="174" showAll="0"/>
    <pivotField numFmtId="174" showAll="0"/>
    <pivotField showAll="0"/>
  </pivotFields>
  <rowFields count="4">
    <field x="7"/>
    <field x="11"/>
    <field x="10"/>
    <field x="9"/>
  </rowFields>
  <rowItems count="100">
    <i>
      <x/>
    </i>
    <i r="1">
      <x/>
    </i>
    <i r="2">
      <x v="21"/>
    </i>
    <i r="3">
      <x v="25"/>
    </i>
    <i r="1">
      <x v="1"/>
    </i>
    <i r="2">
      <x v="23"/>
    </i>
    <i r="3">
      <x v="29"/>
    </i>
    <i>
      <x v="1"/>
    </i>
    <i r="1">
      <x/>
    </i>
    <i r="2">
      <x v="14"/>
    </i>
    <i r="3">
      <x v="17"/>
    </i>
    <i r="1">
      <x v="1"/>
    </i>
    <i r="2">
      <x v="20"/>
    </i>
    <i r="3">
      <x v="9"/>
    </i>
    <i r="1">
      <x v="4"/>
    </i>
    <i r="2">
      <x v="7"/>
    </i>
    <i r="3">
      <x v="31"/>
    </i>
    <i r="1">
      <x v="5"/>
    </i>
    <i r="2">
      <x v="16"/>
    </i>
    <i r="3">
      <x v="6"/>
    </i>
    <i>
      <x v="2"/>
    </i>
    <i r="1">
      <x/>
    </i>
    <i r="2">
      <x/>
    </i>
    <i r="3">
      <x v="20"/>
    </i>
    <i r="2">
      <x v="1"/>
    </i>
    <i r="3">
      <x v="15"/>
    </i>
    <i r="2">
      <x v="4"/>
    </i>
    <i r="3">
      <x v="39"/>
    </i>
    <i r="2">
      <x v="5"/>
    </i>
    <i r="3">
      <x v="26"/>
    </i>
    <i r="2">
      <x v="8"/>
    </i>
    <i r="3">
      <x v="18"/>
    </i>
    <i r="2">
      <x v="9"/>
    </i>
    <i r="3">
      <x v="1"/>
    </i>
    <i r="2">
      <x v="12"/>
    </i>
    <i r="3">
      <x v="30"/>
    </i>
    <i r="1">
      <x v="1"/>
    </i>
    <i r="2">
      <x v="17"/>
    </i>
    <i r="3">
      <x v="33"/>
    </i>
    <i r="1">
      <x v="2"/>
    </i>
    <i r="2">
      <x v="4"/>
    </i>
    <i r="3">
      <x v="16"/>
    </i>
    <i r="2">
      <x v="11"/>
    </i>
    <i r="3">
      <x v="8"/>
    </i>
    <i r="2">
      <x v="12"/>
    </i>
    <i r="3">
      <x v="27"/>
    </i>
    <i r="2">
      <x v="13"/>
    </i>
    <i r="3">
      <x v="4"/>
    </i>
    <i r="2">
      <x v="20"/>
    </i>
    <i r="3">
      <x v="32"/>
    </i>
    <i r="1">
      <x v="3"/>
    </i>
    <i r="2">
      <x/>
    </i>
    <i r="3">
      <x v="5"/>
    </i>
    <i r="2">
      <x v="10"/>
    </i>
    <i r="3">
      <x v="35"/>
    </i>
    <i r="2">
      <x v="20"/>
    </i>
    <i r="3">
      <x/>
    </i>
    <i r="2">
      <x v="24"/>
    </i>
    <i r="3">
      <x v="14"/>
    </i>
    <i r="1">
      <x v="4"/>
    </i>
    <i r="2">
      <x v="9"/>
    </i>
    <i r="3">
      <x v="12"/>
    </i>
    <i r="1">
      <x v="5"/>
    </i>
    <i r="2">
      <x/>
    </i>
    <i r="3">
      <x v="38"/>
    </i>
    <i r="2">
      <x v="2"/>
    </i>
    <i r="3">
      <x v="10"/>
    </i>
    <i r="2">
      <x v="9"/>
    </i>
    <i r="3">
      <x v="13"/>
    </i>
    <i r="2">
      <x v="22"/>
    </i>
    <i r="3">
      <x v="22"/>
    </i>
    <i r="1">
      <x v="6"/>
    </i>
    <i r="2">
      <x/>
    </i>
    <i r="3">
      <x v="7"/>
    </i>
    <i r="2">
      <x v="3"/>
    </i>
    <i r="3">
      <x v="28"/>
    </i>
    <i r="2">
      <x v="6"/>
    </i>
    <i r="3">
      <x v="34"/>
    </i>
    <i r="2">
      <x v="19"/>
    </i>
    <i r="3">
      <x v="19"/>
    </i>
    <i r="1">
      <x v="7"/>
    </i>
    <i r="2">
      <x/>
    </i>
    <i r="3">
      <x v="37"/>
    </i>
    <i r="2">
      <x v="14"/>
    </i>
    <i r="3">
      <x v="23"/>
    </i>
    <i r="1">
      <x v="8"/>
    </i>
    <i r="2">
      <x v="6"/>
    </i>
    <i r="3">
      <x v="3"/>
    </i>
    <i r="2">
      <x v="8"/>
    </i>
    <i r="3">
      <x v="24"/>
    </i>
    <i r="2">
      <x v="15"/>
    </i>
    <i r="3">
      <x v="11"/>
    </i>
    <i r="1">
      <x v="9"/>
    </i>
    <i r="2">
      <x v="15"/>
    </i>
    <i r="3">
      <x v="2"/>
    </i>
    <i r="2">
      <x v="18"/>
    </i>
    <i r="3">
      <x v="36"/>
    </i>
    <i r="2">
      <x v="23"/>
    </i>
    <i r="3">
      <x v="21"/>
    </i>
    <i t="grand">
      <x/>
    </i>
  </rowItems>
  <colFields count="1">
    <field x="12"/>
  </colFields>
  <colItems count="12">
    <i>
      <x v="1"/>
    </i>
    <i>
      <x v="2"/>
    </i>
    <i>
      <x v="3"/>
    </i>
    <i>
      <x v="4"/>
    </i>
    <i>
      <x v="5"/>
    </i>
    <i>
      <x v="6"/>
    </i>
    <i>
      <x v="7"/>
    </i>
    <i>
      <x v="8"/>
    </i>
    <i>
      <x v="9"/>
    </i>
    <i>
      <x v="10"/>
    </i>
    <i>
      <x v="11"/>
    </i>
    <i t="grand">
      <x/>
    </i>
  </colItems>
  <dataFields count="1">
    <dataField name="Sum of UnWeighted" fld="6" baseField="0" baseItem="0" numFmtId="174"/>
  </dataFields>
  <pivotTableStyleInfo name="funnelerAut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6" xr16:uid="{5A90C3D6-52B0-4DF4-BC35-405A66772E6B}" autoFormatId="16" applyNumberFormats="0" applyBorderFormats="0" applyFontFormats="0" applyPatternFormats="0" applyAlignmentFormats="0" applyWidthHeightFormats="0">
  <queryTableRefresh nextId="39" unboundColumnsLeft="11" unboundColumnsRight="6">
    <queryTableFields count="18">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8" dataBound="0" tableColumnId="21"/>
      <queryTableField id="31" dataBound="0" tableColumnId="2"/>
      <queryTableField id="10" dataBound="0" tableColumnId="10"/>
      <queryTableField id="34" dataBound="0" tableColumnId="6"/>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93B95307-A39E-4775-B758-6A41ABFBD44B}" autoFormatId="16" applyNumberFormats="0" applyBorderFormats="0" applyFontFormats="0" applyPatternFormats="0" applyAlignmentFormats="0" applyWidthHeightFormats="0">
  <queryTableRefresh nextId="11">
    <queryTableFields count="10">
      <queryTableField id="1" name="Id" tableColumnId="1"/>
      <queryTableField id="2" name="Contact Name" tableColumnId="2"/>
      <queryTableField id="3" name="Job Title" tableColumnId="3"/>
      <queryTableField id="4" name="Office Phone" tableColumnId="4"/>
      <queryTableField id="5" name="Mobile Phone" tableColumnId="5"/>
      <queryTableField id="6" name="Email" tableColumnId="6"/>
      <queryTableField id="7" name="Customer ID" tableColumnId="7"/>
      <queryTableField id="8" name="Customer Name" tableColumnId="8"/>
      <queryTableField id="9" name="Modified" tableColumnId="9"/>
      <queryTableField id="10" name="Created"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12688FB0-1DA1-4DE4-8FC7-E2571A15F952}" autoFormatId="16" applyNumberFormats="0" applyBorderFormats="0" applyFontFormats="0" applyPatternFormats="0" applyAlignmentFormats="0" applyWidthHeightFormats="0">
  <queryTableRefresh nextId="10">
    <queryTableFields count="9">
      <queryTableField id="1" name="Id" tableColumnId="1"/>
      <queryTableField id="2" name="Milestone Name" tableColumnId="2"/>
      <queryTableField id="3" name="Owner" tableColumnId="3"/>
      <queryTableField id="4" name="Milestone Date" tableColumnId="4"/>
      <queryTableField id="5" name="Milestone Status" tableColumnId="5"/>
      <queryTableField id="6" name="Opportunity ID" tableColumnId="6"/>
      <queryTableField id="7" name="Opportunity Name" tableColumnId="7"/>
      <queryTableField id="8" name="Modified" tableColumnId="8"/>
      <queryTableField id="9" name="Created"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169AB34D-2F69-44ED-997A-B36E3D3D0A3D}" autoFormatId="16" applyNumberFormats="0" applyBorderFormats="0" applyFontFormats="0" applyPatternFormats="0" applyAlignmentFormats="0" applyWidthHeightFormats="0">
  <queryTableRefresh nextId="30" unboundColumnsRight="14">
    <queryTableFields count="17">
      <queryTableField id="14" name="OpportunityID" tableColumnId="1"/>
      <queryTableField id="2" name="CustomerId" tableColumnId="2"/>
      <queryTableField id="15" name="TransactionDate" tableColumnId="3"/>
      <queryTableField id="7" dataBound="0" tableColumnId="7"/>
      <queryTableField id="8" dataBound="0" tableColumnId="8"/>
      <queryTableField id="17" dataBound="0" tableColumnId="4"/>
      <queryTableField id="18" dataBound="0" tableColumnId="5"/>
      <queryTableField id="19" dataBound="0" tableColumnId="6"/>
      <queryTableField id="21" dataBound="0" tableColumnId="10"/>
      <queryTableField id="22" dataBound="0" tableColumnId="11"/>
      <queryTableField id="23" dataBound="0" tableColumnId="12"/>
      <queryTableField id="28" dataBound="0" tableColumnId="17"/>
      <queryTableField id="24" dataBound="0" tableColumnId="13"/>
      <queryTableField id="25" dataBound="0" tableColumnId="14"/>
      <queryTableField id="26" dataBound="0" tableColumnId="15"/>
      <queryTableField id="27" dataBound="0" tableColumnId="16"/>
      <queryTableField id="29" dataBound="0" tableColumnId="1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729422E9-14FA-487D-B5E9-61874EEF7803}" autoFormatId="16" applyNumberFormats="0" applyBorderFormats="0" applyFontFormats="0" applyPatternFormats="0" applyAlignmentFormats="0" applyWidthHeightFormats="0">
  <queryTableRefresh nextId="134" unboundColumnsRight="23">
    <queryTableFields count="39">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122" name="RecurringRevenueModel" tableColumnId="8"/>
      <queryTableField id="127" dataBound="0" tableColumnId="24"/>
      <queryTableField id="123" name="Recurrences" tableColumnId="10"/>
      <queryTableField id="124" name="StartDate" tableColumnId="14"/>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 id="125" dataBound="0" tableColumnId="18"/>
      <queryTableField id="126" dataBound="0" tableColumnId="20"/>
      <queryTableField id="128" dataBound="0" tableColumnId="25"/>
      <queryTableField id="129" dataBound="0" tableColumnId="26"/>
      <queryTableField id="130" dataBound="0" tableColumnId="27"/>
      <queryTableField id="131" dataBound="0" tableColumnId="28"/>
      <queryTableField id="132" dataBound="0" tableColumnId="29"/>
      <queryTableField id="133" dataBound="0" tableColumnId="3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ose Quarter" xr10:uid="{8A17DDA6-3E07-46A8-B26A-2091359331B6}" cache="Slicer_Close_Quarter" caption="Close Quarter" style="SlicerStyleOther1" rowHeight="257175"/>
  <slicer name="Stage" xr10:uid="{27EE4419-517B-44E3-A36C-AC5F1492DFBF}" cache="Slicer_Stage" caption="Stage"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H7:Y47" tableType="queryTable" totalsRowShown="0">
  <autoFilter ref="H7:Y47" xr:uid="{B35EA62C-D81E-48BA-B2FB-27C4C61792D5}"/>
  <sortState xmlns:xlrd2="http://schemas.microsoft.com/office/spreadsheetml/2017/richdata2" ref="H8:Y47">
    <sortCondition ref="P7:P47"/>
  </sortState>
  <tableColumns count="18">
    <tableColumn id="13" xr3:uid="{147FBFBE-2CFC-486E-B125-6D8C29F38818}" uniqueName="13" name="Status" queryTableFieldId="23" dataDxfId="28">
      <calculatedColumnFormula>_xlfn.XLOOKUP(View[[#This Row],[ID]],Opportunities[ID],Opportunities[Status])</calculatedColumnFormula>
    </tableColumn>
    <tableColumn id="4" xr3:uid="{D0C93997-AE18-4F2C-9498-E378F0368CD3}" uniqueName="4" name=" 🔗Opportunity" queryTableFieldId="4" dataDxfId="27"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26" dataCellStyle="Hyperlink">
      <calculatedColumnFormula>HYPERLINK(_xlfn.XLOOKUP(View[[#This Row],[ID]],Opportunities[ID],Opportunities[CustomerRecordURL]),_xlfn.XLOOKUP(View[[#This Row],[ID]],Opportunities[ID],Opportunities[Customer Name]))</calculatedColumnFormula>
    </tableColumn>
    <tableColumn id="5" xr3:uid="{BE8EE8B1-D066-4E99-BDBA-DD40A4432652}" uniqueName="5" name="Stage" queryTableFieldId="5" dataDxfId="25" dataCellStyle="Normal">
      <calculatedColumnFormula>_xlfn.XLOOKUP(View[[#This Row],[ID]],Opportunities[ID],Opportunities[DisplayStage])</calculatedColumnFormula>
    </tableColumn>
    <tableColumn id="7" xr3:uid="{36D3885A-765B-43F4-B223-18E0110E7BAC}" uniqueName="7" name="Opp Value" queryTableFieldId="7" dataDxfId="24"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23" dataCellStyle="Percent">
      <calculatedColumnFormula>_xlfn.XLOOKUP(View[[#This Row],[ID]],Opportunities[ID],Opportunities[WinProbDisplay])</calculatedColumnFormula>
    </tableColumn>
    <tableColumn id="21" xr3:uid="{36266BB1-E2C9-4C92-B1DF-6CAE3A7AE2D3}" uniqueName="21" name="Alert" queryTableFieldId="38" dataDxfId="22" dataCellStyle="Percent">
      <calculatedColumnFormula>_xlfn.XLOOKUP(View[[#This Row],[ID]],Opportunities[ID],Opportunities[Diagnosis])</calculatedColumnFormula>
    </tableColumn>
    <tableColumn id="2" xr3:uid="{CEE680CE-7B28-4425-8EF9-E8A1C22CD40F}" uniqueName="2" name="Expected Rev" queryTableFieldId="31" dataDxfId="21" dataCellStyle="Percent">
      <calculatedColumnFormula>View[[#This Row],[Estmated Revenue]]</calculatedColumnFormula>
    </tableColumn>
    <tableColumn id="10" xr3:uid="{B7055589-582D-4A7C-ACCD-633272C194D8}" uniqueName="10" name="Close" queryTableFieldId="10" dataDxfId="20" dataCellStyle="Percent">
      <calculatedColumnFormula>IF(_xlfn.XLOOKUP(View[[#This Row],[ID]],Opportunities[ID],Opportunities[Close])&lt;TODAY(),"",_xlfn.XLOOKUP(View[[#This Row],[ID]],Opportunities[ID],Opportunities[Close]))</calculatedColumnFormula>
    </tableColumn>
    <tableColumn id="6" xr3:uid="{D644EB30-3B3C-4748-8462-4B8CD58CC8D9}" uniqueName="6" name="Yearly Value" queryTableFieldId="34" dataDxfId="19" dataCellStyle="Currency">
      <calculatedColumnFormula>_xlfn.XLOOKUP(View[[#This Row],[ID]],Opportunities[ID],Opportunities[Years])</calculatedColumnFormula>
    </tableColumn>
    <tableColumn id="20" xr3:uid="{59C0ACCC-1D82-45A6-AFAA-3712BAC86C84}" uniqueName="20" name="Last Comment" queryTableFieldId="30" dataDxfId="18"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17" dataCellStyle="Percent">
      <calculatedColumnFormula>_xlfn.XLOOKUP(View[[#This Row],[ID]],Opportunities[ID],Opportunities[NextMilestoneDate])-TODAY()</calculatedColumnFormula>
    </tableColumn>
    <tableColumn id="9" xr3:uid="{52FF3CBA-17BB-47F5-85A3-2DEE8B12587C}" uniqueName="9" name="Close Quarter" queryTableFieldId="9" dataDxfId="16">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15" dataCellStyle="Comma">
      <calculatedColumnFormula>_xlfn.XLOOKUP(View[[#This Row],[ID]],Opportunities[ID],Opportunities[Weighted])/1000</calculatedColumnFormula>
    </tableColumn>
    <tableColumn id="15" xr3:uid="{FBDC7969-7E8D-49D4-8066-6E0E6F1203F0}" uniqueName="15" name="Unweighted" queryTableFieldId="25" dataDxfId="14">
      <calculatedColumnFormula>_xlfn.XLOOKUP(View[[#This Row],[ID]],Opportunities[ID],Opportunities[Amount])/1000</calculatedColumnFormula>
    </tableColumn>
    <tableColumn id="16" xr3:uid="{EF89BB7F-252B-45F9-8123-82BF9FB66AF0}" uniqueName="16" name="High Probability" queryTableFieldId="26" dataDxfId="245">
      <calculatedColumnFormula>View[[#This Row],[Win Probability]]="High"</calculatedColumnFormula>
    </tableColumn>
    <tableColumn id="17" xr3:uid="{4BD52F12-45D4-4BCC-83AA-14BDE7142C90}" uniqueName="17" name="Visible" queryTableFieldId="27" dataDxfId="244">
      <calculatedColumnFormula>SUBTOTAL(103, View[[#This Row],[Status]])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688C82-D1FF-4380-80A2-7662A7369E23}" name="Contacts" displayName="Contacts" ref="A1:J76" tableType="queryTable" totalsRowShown="0">
  <autoFilter ref="A1:J76" xr:uid="{B2688C82-D1FF-4380-80A2-7662A7369E23}"/>
  <tableColumns count="10">
    <tableColumn id="1" xr3:uid="{93B02DAD-BC44-4D3D-938F-476EC0FCAAFE}" uniqueName="1" name="Id" queryTableFieldId="1"/>
    <tableColumn id="2" xr3:uid="{B605E93D-C596-496C-ADAE-51B30787DAFD}" uniqueName="2" name="Contact Name" queryTableFieldId="2"/>
    <tableColumn id="3" xr3:uid="{3D3DB438-2401-4AE5-AC2C-136552266C60}" uniqueName="3" name="Job Title" queryTableFieldId="3"/>
    <tableColumn id="4" xr3:uid="{FE839C64-A351-4958-9F9E-25FB942D62DD}" uniqueName="4" name="Office Phone" queryTableFieldId="4"/>
    <tableColumn id="5" xr3:uid="{CB309E58-8A80-44C6-80BF-5AA3170F839C}" uniqueName="5" name="Mobile Phone" queryTableFieldId="5"/>
    <tableColumn id="6" xr3:uid="{492853E5-35C8-425F-98B4-AF191E5F009F}" uniqueName="6" name="Email" queryTableFieldId="6"/>
    <tableColumn id="7" xr3:uid="{3497D918-1F56-48D7-BF4A-7DA2FE347EA9}" uniqueName="7" name="Customer ID" queryTableFieldId="7"/>
    <tableColumn id="8" xr3:uid="{190594CB-1705-4BD2-B642-829EC2D723D5}" uniqueName="8" name="Customer Name" queryTableFieldId="8"/>
    <tableColumn id="9" xr3:uid="{594EF595-7D79-4113-A360-4350F812C907}" uniqueName="9" name="Modified" queryTableFieldId="9" dataDxfId="40"/>
    <tableColumn id="10" xr3:uid="{3BB3C350-8491-477B-8833-319F40B83FE6}" uniqueName="10" name="Created" queryTableFieldId="10" dataDxfId="3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7BD262-F447-4457-94BD-326D9A40D124}" name="Milestones" displayName="Milestones" ref="A1:I101" tableType="queryTable" totalsRowShown="0">
  <autoFilter ref="A1:I101" xr:uid="{0D7BD262-F447-4457-94BD-326D9A40D124}"/>
  <tableColumns count="9">
    <tableColumn id="1" xr3:uid="{C4297AE6-A8DB-4C2F-BE63-9D68238E49CF}" uniqueName="1" name="Id" queryTableFieldId="1"/>
    <tableColumn id="2" xr3:uid="{C7356D0A-1406-43D9-8EC7-C2421E739854}" uniqueName="2" name="Milestone Name" queryTableFieldId="2"/>
    <tableColumn id="3" xr3:uid="{1CA3F922-3590-491B-9C21-FF265D61DA83}" uniqueName="3" name="Owner" queryTableFieldId="3"/>
    <tableColumn id="4" xr3:uid="{977EFE67-A374-4F89-BE01-77F608E7A3CE}" uniqueName="4" name="Milestone Date" queryTableFieldId="4" dataDxfId="58"/>
    <tableColumn id="5" xr3:uid="{3E5D797F-780E-4B0F-9B1D-FCE9DED6DBA9}" uniqueName="5" name="Milestone Status" queryTableFieldId="5"/>
    <tableColumn id="6" xr3:uid="{CF3BB491-A767-4248-98F7-EBD5EE8C8CE0}" uniqueName="6" name="Opportunity ID" queryTableFieldId="6"/>
    <tableColumn id="7" xr3:uid="{91EB1440-F693-4EA5-88F3-1F7B34943071}" uniqueName="7" name="Opportunity Name" queryTableFieldId="7"/>
    <tableColumn id="8" xr3:uid="{A4AAE5BE-F1AC-421D-A823-FD9AEF7F7940}" uniqueName="8" name="Modified" queryTableFieldId="8" dataDxfId="57"/>
    <tableColumn id="9" xr3:uid="{94AF8B76-9265-4C4C-B50D-EDEFBFAAB27E}" uniqueName="9" name="Created" queryTableFieldId="9" dataDxfId="5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C9:G15" totalsRowShown="0" headerRowDxfId="211" dataDxfId="243">
  <autoFilter ref="C9:G15" xr:uid="{798014A7-9B70-4B09-AE44-5A5C555476EA}"/>
  <tableColumns count="5">
    <tableColumn id="2" xr3:uid="{AE651EA8-D54C-41D9-9B8B-F22570081D8A}" name="Index" dataDxfId="242"/>
    <tableColumn id="4" xr3:uid="{C19B61BA-D78B-49C2-A0CB-958A7968F4C6}" name="Symbol" dataDxfId="241"/>
    <tableColumn id="1" xr3:uid="{4A0C0D5E-C576-4851-BAD7-E1720F55F59A}" name="Stage Name" dataDxfId="240"/>
    <tableColumn id="3" xr3:uid="{38808F5D-2627-4FC4-9878-8AC61142049B}" name="Display" dataDxfId="239">
      <calculatedColumnFormula>stage[[#This Row],[Symbol]]&amp;" - "&amp;stage[[#This Row],[Stage Name]]</calculatedColumnFormula>
    </tableColumn>
    <tableColumn id="5" xr3:uid="{3D393373-E4F2-4EAE-BEC6-D8F4B88148BC}" name="Time To Close" dataDxfId="19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E4:F7" totalsRowShown="0" headerRowDxfId="210" dataDxfId="238">
  <autoFilter ref="E4:F7" xr:uid="{7A50DF75-ED41-40F4-8782-A0EFFD2E6988}"/>
  <tableColumns count="2">
    <tableColumn id="1" xr3:uid="{3B8690D0-B449-4F2C-BFA1-0D9AAF577107}" name="Win Probability" dataDxfId="237"/>
    <tableColumn id="2" xr3:uid="{E4A73AC8-36BB-4D8D-934C-54FE86976EC9}" name="Value" dataDxfId="236" dataCellStyle="Percent"/>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37C7678-889F-4DE5-9F85-5E4DD4C067AE}" name="transactions" displayName="transactions" ref="A1:Q580" tableType="queryTable" totalsRowShown="0">
  <autoFilter ref="A1:Q580" xr:uid="{E37C7678-889F-4DE5-9F85-5E4DD4C067AE}"/>
  <tableColumns count="17">
    <tableColumn id="1" xr3:uid="{36E6C7CD-F12D-4DB1-9EBD-FA6E6FF03467}" uniqueName="1" name="OpportunityID" queryTableFieldId="14"/>
    <tableColumn id="2" xr3:uid="{14B1F469-CFDA-4565-B0A8-F833DF1C1703}" uniqueName="2" name="CustomerId" queryTableFieldId="2"/>
    <tableColumn id="3" xr3:uid="{5AE4E2BC-12B0-48ED-9186-61660719EAF4}" uniqueName="3" name="TransactionDate" queryTableFieldId="15" dataDxfId="55"/>
    <tableColumn id="7" xr3:uid="{CC38CD4B-720F-42E9-82D3-1E29140E5960}" uniqueName="7" name="FQ" queryTableFieldId="7" dataDxfId="54">
      <calculatedColumnFormula>"FY"&amp;RIGHT(IF(MONTH(transactions[[#This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calculatedColumnFormula>
    </tableColumn>
    <tableColumn id="8" xr3:uid="{6A235898-EC7F-472D-AE30-F5CAD0CD0E4A}" uniqueName="8" name="CQ" queryTableFieldId="8" dataDxfId="53">
      <calculatedColumnFormula>"CY"&amp;RIGHT(YEAR(transactions[[#This Row],[TransactionDate]]),2)&amp;"-Q"&amp;ROUNDUP(MONTH(transactions[[#This Row],[TransactionDate]])/3, 0)</calculatedColumnFormula>
    </tableColumn>
    <tableColumn id="4" xr3:uid="{D35BD464-5BCE-424E-9530-23C1E324E457}" uniqueName="4" name="Weighted" queryTableFieldId="17" dataDxfId="52" dataCellStyle="Currency">
      <calculatedColumnFormula>transactions[[#This Row],[UnWeighted]]*_xlfn.XLOOKUP(transactions[[#This Row],[OpportunityID]],Opportunities[ID],Opportunities[WinProbabilityValue])</calculatedColumnFormula>
    </tableColumn>
    <tableColumn id="5" xr3:uid="{B77684C1-9CB8-4BAD-8EA8-63CC5A3FCF4E}" uniqueName="5" name="UnWeighted" queryTableFieldId="18" dataDxfId="51" dataCellStyle="Currency">
      <calculatedColumnFormula>_xlfn.XLOOKUP(transactions[[#This Row],[OpportunityID]],Opportunities[ID],Opportunities[Amount])/IF(_xlfn.XLOOKUP(transactions[[#This Row],[OpportunityID]],Opportunities[ID],Opportunities[Recurrences])=0,1,_xlfn.XLOOKUP(transactions[[#This Row],[OpportunityID]],Opportunities[ID],Opportunities[Recurrences]))</calculatedColumnFormula>
    </tableColumn>
    <tableColumn id="6" xr3:uid="{C0162C1B-761B-4013-A6F1-4D4AAC59C67B}" uniqueName="6" name="OpportunityStatus" queryTableFieldId="19" dataDxfId="50">
      <calculatedColumnFormula>_xlfn.XLOOKUP(transactions[[#This Row],[OpportunityID]],Opportunities[ID],Opportunities[Status])</calculatedColumnFormula>
    </tableColumn>
    <tableColumn id="10" xr3:uid="{B6368BB0-D523-444F-B43C-246F1CA95353}" uniqueName="10" name="OpportunityStage" queryTableFieldId="21" dataDxfId="49">
      <calculatedColumnFormula>_xlfn.XLOOKUP(transactions[[#This Row],[OpportunityID]],Opportunities[ID],Opportunities[Stage])</calculatedColumnFormula>
    </tableColumn>
    <tableColumn id="11" xr3:uid="{8388EC87-3E72-4413-89BE-9642CFCC82B3}" uniqueName="11" name="OpportunityName" queryTableFieldId="22" dataDxfId="48">
      <calculatedColumnFormula>_xlfn.XLOOKUP(transactions[[#This Row],[OpportunityID]],Opportunities[ID],Opportunities[OpportunityName])</calculatedColumnFormula>
    </tableColumn>
    <tableColumn id="12" xr3:uid="{97490A41-9EEB-49A3-8BDD-E34031CA68C4}" uniqueName="12" name="CustomerName" queryTableFieldId="23" dataDxfId="47">
      <calculatedColumnFormula>_xlfn.XLOOKUP(transactions[[#This Row],[CustomerId]],Customers[Id],Customers[Customer Name])</calculatedColumnFormula>
    </tableColumn>
    <tableColumn id="17" xr3:uid="{D2380EB6-E13D-4774-A919-76BF4F578321}" uniqueName="17" name="Owner" queryTableFieldId="28" dataDxfId="46">
      <calculatedColumnFormula>_xlfn.XLOOKUP(transactions[[#This Row],[OpportunityID]],Opportunities[ID],Opportunities[OpportunityOwner])</calculatedColumnFormula>
    </tableColumn>
    <tableColumn id="13" xr3:uid="{A1B31291-3259-4B22-AA27-F88F459E45D8}" uniqueName="13" name="FQDisplay" queryTableFieldId="24" dataDxfId="45">
      <calculatedColumnFormula>IF((transactions[[#This Row],[TransactionDate]]-TODAY())&lt;=366,transactions[[#This Row],[FQ]],"Out-year")</calculatedColumnFormula>
    </tableColumn>
    <tableColumn id="14" xr3:uid="{E1F6D0F3-84BB-48CF-B10B-5BEB9C4E0F08}" uniqueName="14" name="$K Unweighted" queryTableFieldId="25" dataDxfId="44">
      <calculatedColumnFormula>transactions[[#This Row],[UnWeighted]]/1000</calculatedColumnFormula>
    </tableColumn>
    <tableColumn id="15" xr3:uid="{530D5788-21C9-4C5A-A20F-E6CBEB7813F7}" uniqueName="15" name="$ K Weighted" queryTableFieldId="26" dataDxfId="43">
      <calculatedColumnFormula>transactions[[#This Row],[Weighted]]/1000</calculatedColumnFormula>
    </tableColumn>
    <tableColumn id="16" xr3:uid="{D3FFB907-4189-4828-8A3A-3C000CDDF373}" uniqueName="16" name="$m Unweighted" queryTableFieldId="27" dataDxfId="42">
      <calculatedColumnFormula>transactions[[#This Row],[$K Unweighted]]/1000</calculatedColumnFormula>
    </tableColumn>
    <tableColumn id="18" xr3:uid="{6A638BDB-C01F-4176-B90D-545D88DEBBC1}" uniqueName="18" name="Future" queryTableFieldId="29" dataDxfId="41">
      <calculatedColumnFormula>transactions[[#This Row],[TransactionDate]]&gt;TODAY()</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M41" tableType="queryTable" totalsRowShown="0">
  <autoFilter ref="A1:AM41" xr:uid="{8BF0481C-9C4B-466A-BDA0-DD8E3D98821B}"/>
  <tableColumns count="39">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38"/>
    <tableColumn id="11" xr3:uid="{0D6E2E89-0B8C-4024-A956-046F884205B4}" uniqueName="11" name="NextMilestoneDate" queryTableFieldId="91" dataDxfId="37"/>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8" xr3:uid="{252080FC-778F-46AC-B9F1-67CB109BC982}" uniqueName="8" name="RecurringRevenueModel" queryTableFieldId="122"/>
    <tableColumn id="24" xr3:uid="{2DC29336-C90C-4EF3-A289-D4AAA87ED7BB}" uniqueName="24" name="new" queryTableFieldId="127" dataDxfId="200"/>
    <tableColumn id="10" xr3:uid="{D5700731-1F94-4787-9C82-65434A6BCF47}" uniqueName="10" name="Recurrences" queryTableFieldId="123"/>
    <tableColumn id="14" xr3:uid="{554AB4FD-1633-4E19-88E1-E54734E24D4C}" uniqueName="14" name="StartDate" queryTableFieldId="124" dataDxfId="36"/>
    <tableColumn id="34" xr3:uid="{A794F34A-F2E4-4230-B129-BE7EF53921FE}" uniqueName="34" name="FQ" queryTableFieldId="43" dataDxfId="235">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234">
      <calculatedColumnFormula>"CY"&amp;RIGHT(YEAR(Opportunities[[#This Row],[Close]]),2)&amp;"-Q"&amp;ROUNDUP(MONTH(Opportunities[[#This Row],[Close]])/3, 0)</calculatedColumnFormula>
    </tableColumn>
    <tableColumn id="31" xr3:uid="{AFAB2CEE-41EC-476B-8EF4-F01AEE459A32}" uniqueName="31" name="url" queryTableFieldId="40" dataDxfId="233">
      <calculatedColumnFormula>siteUrl&amp;"/Lists/"&amp;oppList&amp;"/DispForm.aspx?ID="&amp;Opportunities[[#This Row],[ID]]</calculatedColumnFormula>
    </tableColumn>
    <tableColumn id="40" xr3:uid="{8BD6C9BB-E6FD-4E8E-A509-12D471DAA77F}" uniqueName="40" name="StageNumber" queryTableFieldId="54" dataDxfId="232">
      <calculatedColumnFormula>_xlfn.XLOOKUP(Opportunities[[#This Row],[Stage]],stage[Stage Name],stage[Index],"")</calculatedColumnFormula>
    </tableColumn>
    <tableColumn id="41" xr3:uid="{EDB4C612-1CC1-4B3C-B38D-DFE04A906351}" uniqueName="41" name="DisplayStage" queryTableFieldId="55" dataDxfId="231">
      <calculatedColumnFormula>_xlfn.XLOOKUP(Opportunities[[#This Row],[StageNumber]],stage[Index],stage[Display])</calculatedColumnFormula>
    </tableColumn>
    <tableColumn id="52" xr3:uid="{29FD805D-0C67-486B-AABC-E086612B3426}" uniqueName="52" name="Weighted" queryTableFieldId="70" dataDxfId="220">
      <calculatedColumnFormula>Opportunities[[#This Row],[Amount]]*Opportunities[[#This Row],[WinProbabilityValue]]</calculatedColumnFormula>
    </tableColumn>
    <tableColumn id="56" xr3:uid="{9E365C66-70DC-4C5C-893A-3785B1B9D44C}" uniqueName="56" name="status symbol" queryTableFieldId="76" dataDxfId="230">
      <calculatedColumnFormula array="1">_xlfn.SWITCH(Opportunities[[#This Row],[Status]],"At Risk","⚠","Active","✓","⮾")</calculatedColumnFormula>
    </tableColumn>
    <tableColumn id="15" xr3:uid="{952135CC-0409-4FA2-BB0A-34668B61689B}" uniqueName="15" name="Customer Name" queryTableFieldId="104" dataDxfId="229">
      <calculatedColumnFormula>_xlfn.XLOOKUP(Opportunities[[#This Row],[CustomerId]],Customers[Id],Customers[Customer Name])</calculatedColumnFormula>
    </tableColumn>
    <tableColumn id="16" xr3:uid="{812C7365-FD2B-4EFB-8119-BF4F00253961}" uniqueName="16" name="CustomerRecordURL" queryTableFieldId="105" dataDxfId="228">
      <calculatedColumnFormula>_xlfn.XLOOKUP(Opportunities[[#This Row],[CustomerId]],Customers[Id],Customers[CustomerRecordUrl])</calculatedColumnFormula>
    </tableColumn>
    <tableColumn id="17" xr3:uid="{39447595-3500-4B90-9B69-594F9ED985D4}" uniqueName="17" name="Visible" queryTableFieldId="106" dataDxfId="227">
      <calculatedColumnFormula>_xlfn.XLOOKUP(Opportunities[[#This Row],[ID]],View[ID],View[Visible])</calculatedColumnFormula>
    </tableColumn>
    <tableColumn id="3" xr3:uid="{11F9B80B-B6B4-4FB8-ACD8-AAAC59768B2A}" uniqueName="3" name="Display" queryTableFieldId="116" dataDxfId="226">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225">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224"/>
    <tableColumn id="6" xr3:uid="{181A8E3E-DBF5-4AEA-99B6-D8CAED362658}" uniqueName="6" name="WinProbDisplay" queryTableFieldId="119" dataDxfId="72">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144">
      <calculatedColumnFormula>Opportunities[[#This Row],[Probability]]="High"</calculatedColumnFormula>
    </tableColumn>
    <tableColumn id="18" xr3:uid="{26FBF225-B7E4-4D27-821B-F6B677823290}" uniqueName="18" name="WinProbabilityValue" queryTableFieldId="125" dataDxfId="35">
      <calculatedColumnFormula>_xlfn.XLOOKUP(Opportunities[[#This Row],[Probability]],prob[Win Probability],prob[Value])</calculatedColumnFormula>
    </tableColumn>
    <tableColumn id="20" xr3:uid="{40528708-0227-4319-88FD-CE4D1A9BD056}" uniqueName="20" name="Years" queryTableFieldId="126" dataDxfId="34">
      <calculatedColumnFormula array="1">Opportunities[[#This Row],[Amount]]/_xlfn.SWITCH(Opportunities[[#This Row],[RecurringRevenueModel]],"Annually",Opportunities[[#This Row],[Recurrences]],"Semi-Annually",Opportunities[[#This Row],[Recurrences]]/2,"One-time",1,"Quarterly",Opportunities[[#This Row],[Recurrences]]/4,"Monthly",Opportunities[[#This Row],[Recurrences]]/12)</calculatedColumnFormula>
    </tableColumn>
    <tableColumn id="25" xr3:uid="{423077F5-1D36-4FE5-9C60-0A1EF5F9E330}" uniqueName="25" name="DaysToClose" queryTableFieldId="128" dataDxfId="33">
      <calculatedColumnFormula>-(TODAY()-Opportunities[[#This Row],[Close]])</calculatedColumnFormula>
    </tableColumn>
    <tableColumn id="26" xr3:uid="{D8619565-C947-46B3-B1CE-7B96C699CB4F}" uniqueName="26" name="TargetDaysToClose" queryTableFieldId="129" dataDxfId="32">
      <calculatedColumnFormula>_xlfn.XLOOKUP(Opportunities[[#This Row],[Stage]],stage[Stage Name],stage[Time To Close])</calculatedColumnFormula>
    </tableColumn>
    <tableColumn id="27" xr3:uid="{281406F9-09F4-4012-890F-0939065C3719}" uniqueName="27" name="Healthy" queryTableFieldId="130" dataDxfId="31">
      <calculatedColumnFormula>IF(Opportunities[[#This Row],[TargetDaysToClose]]=0,"",Opportunities[[#This Row],[TargetDaysToClose]]&lt;=Opportunities[[#This Row],[DaysToClose]])</calculatedColumnFormula>
    </tableColumn>
    <tableColumn id="28" xr3:uid="{A0C9F855-2D11-49F1-8353-F70AB29E006A}" uniqueName="28" name="ValidStartDate" queryTableFieldId="131" dataDxfId="30">
      <calculatedColumnFormula>IF(Opportunities[[#This Row],[Close]]&lt;=Opportunities[[#This Row],[StartDate]],"✓","⚠")</calculatedColumnFormula>
    </tableColumn>
    <tableColumn id="29" xr3:uid="{4E80E574-B3D5-46C6-8688-60AEECE20A8E}" uniqueName="29" name="Diagnosis" queryTableFieldId="132" dataDxfId="29">
      <calculatedColumnFormula>IF(Opportunities[[#This Row],[Healthy]]=FALSE,ROUND(Opportunities[[#This Row],[DaysToClose]]/7,0)&amp; " weeks to close @ " &amp;Opportunities[[#This Row],[Stage]],"")</calculatedColumnFormula>
    </tableColumn>
    <tableColumn id="32" xr3:uid="{20742962-0BC2-48CC-BAF1-AF54DA1EA0FE}" uniqueName="32" name="oppDisplay" queryTableFieldId="133" dataDxfId="13">
      <calculatedColumnFormula>Opportunities[[#This Row],[OpportunityName]]&amp;" ("&amp;Opportunities[[#This Row],[Customer Name]]&amp;")"</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223">
      <calculatedColumnFormula>siteUrl&amp;"/Lists/"&amp;custList&amp;"/DispForm.aspx?ID="&amp;Customers[[#This Row],[Id]]</calculatedColumnFormula>
    </tableColumn>
    <tableColumn id="23" xr3:uid="{F1BC9043-195B-408B-8596-3FE166B5CF78}" uniqueName="23" name="Customer Name2" queryTableFieldId="60" dataDxfId="222">
      <calculatedColumnFormula>_xlfn.XLOOKUP(Customers[[#This Row],[Id]],Customers[Id],#REF!)</calculatedColumnFormula>
    </tableColumn>
    <tableColumn id="24" xr3:uid="{388F5F30-FCA2-45B0-938D-A8DFAA1EFCA9}" uniqueName="24" name="CustomerRecordUrl" queryTableFieldId="61" dataDxfId="221">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dimension ref="A1:AB47"/>
  <sheetViews>
    <sheetView showGridLines="0" topLeftCell="A3" zoomScale="115" zoomScaleNormal="115" workbookViewId="0">
      <selection activeCell="I26" sqref="I26"/>
    </sheetView>
  </sheetViews>
  <sheetFormatPr defaultRowHeight="15" outlineLevelCol="1" x14ac:dyDescent="0.25"/>
  <cols>
    <col min="1" max="1" width="13.7109375" bestFit="1" customWidth="1"/>
    <col min="4" max="4" width="4.42578125" customWidth="1"/>
    <col min="5" max="5" width="13.28515625" bestFit="1" customWidth="1"/>
    <col min="6" max="6" width="12.5703125" bestFit="1" customWidth="1"/>
    <col min="7" max="7" width="5.140625" customWidth="1"/>
    <col min="8" max="8" width="9.28515625" bestFit="1" customWidth="1"/>
    <col min="9" max="9" width="33.85546875" bestFit="1" customWidth="1"/>
    <col min="10" max="10" width="28.28515625" bestFit="1" customWidth="1"/>
    <col min="11" max="11" width="22.140625" bestFit="1" customWidth="1"/>
    <col min="12" max="12" width="12.42578125" bestFit="1" customWidth="1"/>
    <col min="13" max="13" width="17.140625" bestFit="1" customWidth="1"/>
    <col min="14" max="14" width="37" bestFit="1" customWidth="1"/>
    <col min="15" max="15" width="15.7109375" customWidth="1"/>
    <col min="16" max="16" width="12" bestFit="1" customWidth="1"/>
    <col min="17" max="17" width="15.7109375" bestFit="1" customWidth="1"/>
    <col min="18" max="18" width="16.5703125" bestFit="1" customWidth="1"/>
    <col min="19" max="19" width="5.7109375" hidden="1" customWidth="1" outlineLevel="1"/>
    <col min="20" max="20" width="17.140625" hidden="1" customWidth="1" outlineLevel="1"/>
    <col min="21" max="21" width="16" hidden="1" customWidth="1" outlineLevel="1"/>
    <col min="22" max="22" width="20.5703125" hidden="1" customWidth="1" outlineLevel="1"/>
    <col min="23" max="23" width="14.28515625" hidden="1" customWidth="1" outlineLevel="1"/>
    <col min="24" max="24" width="17.7109375" hidden="1" customWidth="1" outlineLevel="1"/>
    <col min="25" max="25" width="9.7109375" hidden="1" customWidth="1" outlineLevel="1"/>
    <col min="26" max="26" width="9.140625" collapsed="1"/>
  </cols>
  <sheetData>
    <row r="1" spans="1:28" ht="21" x14ac:dyDescent="0.35">
      <c r="E1" s="21"/>
      <c r="H1" s="61" t="str">
        <f>listPrefix&amp;" Sales Pipeline Dashboard"</f>
        <v>auto12 Sales Pipeline Dashboard</v>
      </c>
      <c r="I1" s="61"/>
      <c r="J1" s="61"/>
      <c r="K1" s="61"/>
      <c r="L1" s="61"/>
      <c r="M1" s="61"/>
      <c r="N1" s="61"/>
      <c r="O1" s="61"/>
      <c r="P1" s="61"/>
      <c r="Q1" s="61"/>
      <c r="R1" s="61"/>
      <c r="S1" s="6"/>
      <c r="T1" s="6"/>
      <c r="U1" s="6"/>
      <c r="V1" s="6"/>
      <c r="W1" s="6"/>
      <c r="X1" s="13"/>
      <c r="Y1" s="36"/>
      <c r="AB1" s="16"/>
    </row>
    <row r="2" spans="1:28" x14ac:dyDescent="0.25">
      <c r="A2" s="15" t="s">
        <v>144</v>
      </c>
      <c r="B2" s="41" t="str">
        <f>HYPERLINK(siteUrl&amp;"Lists/"&amp;custList&amp;"/NewForm.aspx?","New")</f>
        <v>New</v>
      </c>
      <c r="C2" s="41" t="str">
        <f>HYPERLINK(siteUrl&amp;"/Lists/"&amp;custList,"List")</f>
        <v>List</v>
      </c>
      <c r="E2" s="15" t="s">
        <v>37</v>
      </c>
      <c r="F2" s="5" t="s">
        <v>31</v>
      </c>
      <c r="H2" s="60" t="str">
        <f ca="1">_xlfn.XLOOKUP(SUBTOTAL(5,View[Close]),View[Close],View[Close Quarter]) &amp;" to " &amp; _xlfn.XLOOKUP(SUBTOTAL(4,View[Close]),View[Close],View[Close Quarter])</f>
        <v>FY26-Q3 to FY27-Q4</v>
      </c>
      <c r="I2" s="60"/>
      <c r="J2" s="60"/>
      <c r="K2" s="60"/>
      <c r="L2" s="60"/>
      <c r="M2" s="60"/>
      <c r="N2" s="60"/>
      <c r="O2" s="60"/>
      <c r="P2" s="60"/>
      <c r="Q2" s="60"/>
      <c r="R2" s="60"/>
      <c r="S2" s="7"/>
      <c r="T2" s="7"/>
      <c r="U2" s="7"/>
      <c r="V2" s="7"/>
      <c r="W2" s="7"/>
      <c r="X2" s="13"/>
      <c r="Y2" s="36"/>
    </row>
    <row r="3" spans="1:28" x14ac:dyDescent="0.25">
      <c r="A3" s="15" t="s">
        <v>48</v>
      </c>
      <c r="B3" s="41" t="str">
        <f>HYPERLINK(siteUrl&amp;"Lists/"&amp;oppList&amp;"/NewForm.aspx?","New")</f>
        <v>New</v>
      </c>
      <c r="C3" s="41" t="str">
        <f>HYPERLINK(siteUrl&amp;"/Lists/"&amp;oppList,"List")</f>
        <v>List</v>
      </c>
      <c r="E3" s="15" t="s">
        <v>42</v>
      </c>
      <c r="F3" s="5" t="s">
        <v>43</v>
      </c>
    </row>
    <row r="4" spans="1:28" x14ac:dyDescent="0.25">
      <c r="A4" s="15" t="s">
        <v>409</v>
      </c>
      <c r="B4" s="41" t="str">
        <f>HYPERLINK(siteUrl&amp;"Lists/"&amp;milestoneList&amp;"/NewForm.aspx?","New")</f>
        <v>New</v>
      </c>
      <c r="C4" s="41" t="str">
        <f>HYPERLINK(siteUrl&amp;"/Lists/"&amp;milestoneList,"List")</f>
        <v>List</v>
      </c>
      <c r="E4" s="18"/>
    </row>
    <row r="5" spans="1:28" x14ac:dyDescent="0.25">
      <c r="A5" s="15" t="s">
        <v>408</v>
      </c>
      <c r="B5" s="41" t="str">
        <f>HYPERLINK(siteUrl&amp;"Lists/"&amp;contactList&amp;"/NewForm.aspx?","New")</f>
        <v>New</v>
      </c>
      <c r="C5" s="41" t="str">
        <f>HYPERLINK(siteUrl&amp;"/Lists/"&amp;contactList,"List")</f>
        <v>List</v>
      </c>
      <c r="E5" s="19"/>
    </row>
    <row r="7" spans="1:28" x14ac:dyDescent="0.25">
      <c r="H7" s="59" t="s">
        <v>13</v>
      </c>
      <c r="I7" s="59" t="s">
        <v>81</v>
      </c>
      <c r="J7" s="59" t="s">
        <v>46</v>
      </c>
      <c r="K7" s="59" t="s">
        <v>14</v>
      </c>
      <c r="L7" s="59" t="s">
        <v>388</v>
      </c>
      <c r="M7" s="59" t="s">
        <v>79</v>
      </c>
      <c r="N7" s="59" t="s">
        <v>840</v>
      </c>
      <c r="O7" s="59" t="s">
        <v>389</v>
      </c>
      <c r="P7" s="59" t="s">
        <v>34</v>
      </c>
      <c r="Q7" s="59" t="s">
        <v>834</v>
      </c>
      <c r="R7" s="59" t="s">
        <v>75</v>
      </c>
      <c r="S7" s="8" t="s">
        <v>384</v>
      </c>
      <c r="T7" s="8" t="s">
        <v>40</v>
      </c>
      <c r="U7" s="8" t="s">
        <v>30</v>
      </c>
      <c r="V7" s="8" t="s">
        <v>80</v>
      </c>
      <c r="W7" s="8" t="s">
        <v>43</v>
      </c>
      <c r="X7" s="8" t="s">
        <v>28</v>
      </c>
      <c r="Y7" s="8" t="s">
        <v>44</v>
      </c>
    </row>
    <row r="8" spans="1:28" x14ac:dyDescent="0.25">
      <c r="H8" s="46" t="str">
        <f>_xlfn.XLOOKUP(View[[#This Row],[ID]],Opportunities[ID],Opportunities[Status])</f>
        <v>Active</v>
      </c>
      <c r="I8" s="28" t="str">
        <f>HYPERLINK(siteUrl&amp;"Lists/"&amp;oppList&amp;"/DispForm.aspx?ID="&amp;View[[#This Row],[ID]],_xlfn.XLOOKUP(View[[#This Row],[ID]],Opportunities[ID],Opportunities[OpportunityName]))</f>
        <v>Video Conferencing Solution</v>
      </c>
      <c r="J8" s="40" t="str">
        <f>HYPERLINK(_xlfn.XLOOKUP(View[[#This Row],[ID]],Opportunities[ID],Opportunities[CustomerRecordURL]),_xlfn.XLOOKUP(View[[#This Row],[ID]],Opportunities[ID],Opportunities[Customer Name]))</f>
        <v>ACME Corporation</v>
      </c>
      <c r="K8" s="29" t="str">
        <f>_xlfn.XLOOKUP(View[[#This Row],[ID]],Opportunities[ID],Opportunities[DisplayStage])</f>
        <v>➃ - Negotiation</v>
      </c>
      <c r="L8" s="1">
        <f>IF(pipelineType="Unweighted",_xlfn.XLOOKUP(View[[#This Row],[ID]],Opportunities[ID],Opportunities[Amount])/1000,_xlfn.XLOOKUP(View[[#This Row],[ID]],Opportunities[ID],Opportunities[Weighted])/1000)</f>
        <v>816.45399999999995</v>
      </c>
      <c r="M8" s="22" t="str">
        <f>_xlfn.XLOOKUP(View[[#This Row],[ID]],Opportunities[ID],Opportunities[WinProbDisplay])</f>
        <v>← Medium</v>
      </c>
      <c r="N8" s="22" t="str">
        <f ca="1">_xlfn.XLOOKUP(View[[#This Row],[ID]],Opportunities[ID],Opportunities[Diagnosis])</f>
        <v/>
      </c>
      <c r="O8" s="23">
        <f>View[[#This Row],[Estmated Revenue]]</f>
        <v>408.22699999999998</v>
      </c>
      <c r="P8" s="2">
        <f ca="1">IF(_xlfn.XLOOKUP(View[[#This Row],[ID]],Opportunities[ID],Opportunities[Close])&lt;TODAY(),"",_xlfn.XLOOKUP(View[[#This Row],[ID]],Opportunities[ID],Opportunities[Close]))</f>
        <v>45895</v>
      </c>
      <c r="Q8" s="67">
        <f>_xlfn.XLOOKUP(View[[#This Row],[ID]],Opportunities[ID],Opportunities[Years])</f>
        <v>272151.33333333331</v>
      </c>
      <c r="R8" s="20" t="str">
        <f>IF(_xlfn.XLOOKUP(View[[#This Row],[ID]],Opportunities[ID],Opportunities[Comment Log])=0,"",_xlfn.XLOOKUP(View[[#This Row],[ID]],Opportunities[ID],Opportunities[Comment Log]))</f>
        <v/>
      </c>
      <c r="S8">
        <v>26</v>
      </c>
      <c r="T8" s="3">
        <f ca="1">_xlfn.XLOOKUP(View[[#This Row],[ID]],Opportunities[ID],Opportunities[NextMilestoneDate])-TODAY()</f>
        <v>-321</v>
      </c>
      <c r="U8"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V8" s="1">
        <f>_xlfn.XLOOKUP(View[[#This Row],[ID]],Opportunities[ID],Opportunities[Weighted])/1000</f>
        <v>408.22699999999998</v>
      </c>
      <c r="W8" s="4">
        <f>_xlfn.XLOOKUP(View[[#This Row],[ID]],Opportunities[ID],Opportunities[Amount])/1000</f>
        <v>816.45399999999995</v>
      </c>
      <c r="X8" t="b">
        <f>View[[#This Row],[Win Probability]]="High"</f>
        <v>0</v>
      </c>
      <c r="Y8">
        <f>SUBTOTAL(103, View[[#This Row],[Status]])</f>
        <v>1</v>
      </c>
    </row>
    <row r="9" spans="1:28" x14ac:dyDescent="0.25">
      <c r="H9" s="46" t="str">
        <f>_xlfn.XLOOKUP(View[[#This Row],[ID]],Opportunities[ID],Opportunities[Status])</f>
        <v>Active</v>
      </c>
      <c r="I9" s="28" t="str">
        <f>HYPERLINK(siteUrl&amp;"Lists/"&amp;oppList&amp;"/DispForm.aspx?ID="&amp;View[[#This Row],[ID]],_xlfn.XLOOKUP(View[[#This Row],[ID]],Opportunities[ID],Opportunities[OpportunityName]))</f>
        <v>Environmental Monitoring Solution</v>
      </c>
      <c r="J9" s="40" t="str">
        <f>HYPERLINK(_xlfn.XLOOKUP(View[[#This Row],[ID]],Opportunities[ID],Opportunities[CustomerRecordURL]),_xlfn.XLOOKUP(View[[#This Row],[ID]],Opportunities[ID],Opportunities[Customer Name]))</f>
        <v>Waste Management Co</v>
      </c>
      <c r="K9" s="29" t="str">
        <f>_xlfn.XLOOKUP(View[[#This Row],[ID]],Opportunities[ID],Opportunities[DisplayStage])</f>
        <v>➂ - Proposal</v>
      </c>
      <c r="L9" s="1">
        <f>IF(pipelineType="Unweighted",_xlfn.XLOOKUP(View[[#This Row],[ID]],Opportunities[ID],Opportunities[Amount])/1000,_xlfn.XLOOKUP(View[[#This Row],[ID]],Opportunities[ID],Opportunities[Weighted])/1000)</f>
        <v>695.46100000000001</v>
      </c>
      <c r="M9" s="22" t="str">
        <f>_xlfn.XLOOKUP(View[[#This Row],[ID]],Opportunities[ID],Opportunities[WinProbDisplay])</f>
        <v>↙ Low</v>
      </c>
      <c r="N9" s="22" t="str">
        <f ca="1">_xlfn.XLOOKUP(View[[#This Row],[ID]],Opportunities[ID],Opportunities[Diagnosis])</f>
        <v>3 weeks to close @ Proposal</v>
      </c>
      <c r="O9" s="23">
        <f>View[[#This Row],[Estmated Revenue]]</f>
        <v>139.09220000000002</v>
      </c>
      <c r="P9" s="2">
        <f ca="1">IF(_xlfn.XLOOKUP(View[[#This Row],[ID]],Opportunities[ID],Opportunities[Close])&lt;TODAY(),"",_xlfn.XLOOKUP(View[[#This Row],[ID]],Opportunities[ID],Opportunities[Close]))</f>
        <v>45904</v>
      </c>
      <c r="Q9" s="67">
        <f>_xlfn.XLOOKUP(View[[#This Row],[ID]],Opportunities[ID],Opportunities[Years])</f>
        <v>99351.571428571435</v>
      </c>
      <c r="R9" s="20" t="str">
        <f>IF(_xlfn.XLOOKUP(View[[#This Row],[ID]],Opportunities[ID],Opportunities[Comment Log])=0,"",_xlfn.XLOOKUP(View[[#This Row],[ID]],Opportunities[ID],Opportunities[Comment Log]))</f>
        <v/>
      </c>
      <c r="S9">
        <v>32</v>
      </c>
      <c r="T9" s="3">
        <f ca="1">_xlfn.XLOOKUP(View[[#This Row],[ID]],Opportunities[ID],Opportunities[NextMilestoneDate])-TODAY()</f>
        <v>53</v>
      </c>
      <c r="U9"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V9" s="1">
        <f>_xlfn.XLOOKUP(View[[#This Row],[ID]],Opportunities[ID],Opportunities[Weighted])/1000</f>
        <v>139.09220000000002</v>
      </c>
      <c r="W9" s="4">
        <f>_xlfn.XLOOKUP(View[[#This Row],[ID]],Opportunities[ID],Opportunities[Amount])/1000</f>
        <v>695.46100000000001</v>
      </c>
      <c r="X9" t="b">
        <f>View[[#This Row],[Win Probability]]="High"</f>
        <v>0</v>
      </c>
      <c r="Y9">
        <f>SUBTOTAL(103, View[[#This Row],[Status]])</f>
        <v>1</v>
      </c>
    </row>
    <row r="10" spans="1:28" x14ac:dyDescent="0.25">
      <c r="H10" s="46" t="str">
        <f>_xlfn.XLOOKUP(View[[#This Row],[ID]],Opportunities[ID],Opportunities[Status])</f>
        <v>Critical</v>
      </c>
      <c r="I10" s="28" t="str">
        <f>HYPERLINK(siteUrl&amp;"Lists/"&amp;oppList&amp;"/DispForm.aspx?ID="&amp;View[[#This Row],[ID]],_xlfn.XLOOKUP(View[[#This Row],[ID]],Opportunities[ID],Opportunities[OpportunityName]))</f>
        <v>Point of Sale System</v>
      </c>
      <c r="J10" s="40" t="str">
        <f>HYPERLINK(_xlfn.XLOOKUP(View[[#This Row],[ID]],Opportunities[ID],Opportunities[CustomerRecordURL]),_xlfn.XLOOKUP(View[[#This Row],[ID]],Opportunities[ID],Opportunities[Customer Name]))</f>
        <v>Transport Logistics</v>
      </c>
      <c r="K10" s="29" t="str">
        <f>_xlfn.XLOOKUP(View[[#This Row],[ID]],Opportunities[ID],Opportunities[DisplayStage])</f>
        <v>➃ - Negotiation</v>
      </c>
      <c r="L10" s="1">
        <f>IF(pipelineType="Unweighted",_xlfn.XLOOKUP(View[[#This Row],[ID]],Opportunities[ID],Opportunities[Amount])/1000,_xlfn.XLOOKUP(View[[#This Row],[ID]],Opportunities[ID],Opportunities[Weighted])/1000)</f>
        <v>1136.222</v>
      </c>
      <c r="M10" s="22" t="str">
        <f>_xlfn.XLOOKUP(View[[#This Row],[ID]],Opportunities[ID],Opportunities[WinProbDisplay])</f>
        <v>↙ Low</v>
      </c>
      <c r="N10" s="22" t="str">
        <f ca="1">_xlfn.XLOOKUP(View[[#This Row],[ID]],Opportunities[ID],Opportunities[Diagnosis])</f>
        <v/>
      </c>
      <c r="O10" s="23">
        <f>View[[#This Row],[Estmated Revenue]]</f>
        <v>227.24440000000001</v>
      </c>
      <c r="P10" s="2">
        <f ca="1">IF(_xlfn.XLOOKUP(View[[#This Row],[ID]],Opportunities[ID],Opportunities[Close])&lt;TODAY(),"",_xlfn.XLOOKUP(View[[#This Row],[ID]],Opportunities[ID],Opportunities[Close]))</f>
        <v>45909</v>
      </c>
      <c r="Q10" s="67">
        <f>_xlfn.XLOOKUP(View[[#This Row],[ID]],Opportunities[ID],Opportunities[Years])</f>
        <v>252493.77777777778</v>
      </c>
      <c r="R10" s="20" t="str">
        <f>IF(_xlfn.XLOOKUP(View[[#This Row],[ID]],Opportunities[ID],Opportunities[Comment Log])=0,"",_xlfn.XLOOKUP(View[[#This Row],[ID]],Opportunities[ID],Opportunities[Comment Log]))</f>
        <v/>
      </c>
      <c r="S10">
        <v>23</v>
      </c>
      <c r="T10" s="3">
        <f ca="1">_xlfn.XLOOKUP(View[[#This Row],[ID]],Opportunities[ID],Opportunities[NextMilestoneDate])-TODAY()</f>
        <v>41</v>
      </c>
      <c r="U10"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V10" s="1">
        <f>_xlfn.XLOOKUP(View[[#This Row],[ID]],Opportunities[ID],Opportunities[Weighted])/1000</f>
        <v>227.24440000000001</v>
      </c>
      <c r="W10" s="4">
        <f>_xlfn.XLOOKUP(View[[#This Row],[ID]],Opportunities[ID],Opportunities[Amount])/1000</f>
        <v>1136.222</v>
      </c>
      <c r="X10" t="b">
        <f>View[[#This Row],[Win Probability]]="High"</f>
        <v>0</v>
      </c>
      <c r="Y10">
        <f>SUBTOTAL(103, View[[#This Row],[Status]])</f>
        <v>1</v>
      </c>
    </row>
    <row r="11" spans="1:28" x14ac:dyDescent="0.25">
      <c r="H11" s="46" t="str">
        <f>_xlfn.XLOOKUP(View[[#This Row],[ID]],Opportunities[ID],Opportunities[Status])</f>
        <v>Active</v>
      </c>
      <c r="I11" s="28" t="str">
        <f>HYPERLINK(siteUrl&amp;"Lists/"&amp;oppList&amp;"/DispForm.aspx?ID="&amp;View[[#This Row],[ID]],_xlfn.XLOOKUP(View[[#This Row],[ID]],Opportunities[ID],Opportunities[OpportunityName]))</f>
        <v>HR Management System</v>
      </c>
      <c r="J11" s="40" t="str">
        <f>HYPERLINK(_xlfn.XLOOKUP(View[[#This Row],[ID]],Opportunities[ID],Opportunities[CustomerRecordURL]),_xlfn.XLOOKUP(View[[#This Row],[ID]],Opportunities[ID],Opportunities[Customer Name]))</f>
        <v>Sports &amp; Recreation</v>
      </c>
      <c r="K11" s="29" t="str">
        <f>_xlfn.XLOOKUP(View[[#This Row],[ID]],Opportunities[ID],Opportunities[DisplayStage])</f>
        <v>➃ - Negotiation</v>
      </c>
      <c r="L11" s="1">
        <f>IF(pipelineType="Unweighted",_xlfn.XLOOKUP(View[[#This Row],[ID]],Opportunities[ID],Opportunities[Amount])/1000,_xlfn.XLOOKUP(View[[#This Row],[ID]],Opportunities[ID],Opportunities[Weighted])/1000)</f>
        <v>890.63199999999995</v>
      </c>
      <c r="M11" s="22" t="str">
        <f>_xlfn.XLOOKUP(View[[#This Row],[ID]],Opportunities[ID],Opportunities[WinProbDisplay])</f>
        <v>↖ High</v>
      </c>
      <c r="N11" s="22" t="str">
        <f ca="1">_xlfn.XLOOKUP(View[[#This Row],[ID]],Opportunities[ID],Opportunities[Diagnosis])</f>
        <v/>
      </c>
      <c r="O11" s="23">
        <f>View[[#This Row],[Estmated Revenue]]</f>
        <v>801.56880000000001</v>
      </c>
      <c r="P11" s="2">
        <f ca="1">IF(_xlfn.XLOOKUP(View[[#This Row],[ID]],Opportunities[ID],Opportunities[Close])&lt;TODAY(),"",_xlfn.XLOOKUP(View[[#This Row],[ID]],Opportunities[ID],Opportunities[Close]))</f>
        <v>45943</v>
      </c>
      <c r="Q11" s="67">
        <f>_xlfn.XLOOKUP(View[[#This Row],[ID]],Opportunities[ID],Opportunities[Years])</f>
        <v>890632</v>
      </c>
      <c r="R11" s="20" t="str">
        <f>IF(_xlfn.XLOOKUP(View[[#This Row],[ID]],Opportunities[ID],Opportunities[Comment Log])=0,"",_xlfn.XLOOKUP(View[[#This Row],[ID]],Opportunities[ID],Opportunities[Comment Log]))</f>
        <v/>
      </c>
      <c r="S11">
        <v>19</v>
      </c>
      <c r="T11" s="3">
        <f ca="1">_xlfn.XLOOKUP(View[[#This Row],[ID]],Opportunities[ID],Opportunities[NextMilestoneDate])-TODAY()</f>
        <v>4</v>
      </c>
      <c r="U11"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V11" s="1">
        <f>_xlfn.XLOOKUP(View[[#This Row],[ID]],Opportunities[ID],Opportunities[Weighted])/1000</f>
        <v>801.56880000000001</v>
      </c>
      <c r="W11" s="4">
        <f>_xlfn.XLOOKUP(View[[#This Row],[ID]],Opportunities[ID],Opportunities[Amount])/1000</f>
        <v>890.63199999999995</v>
      </c>
      <c r="X11" t="b">
        <f>View[[#This Row],[Win Probability]]="High"</f>
        <v>0</v>
      </c>
      <c r="Y11">
        <f>SUBTOTAL(103, View[[#This Row],[Status]])</f>
        <v>1</v>
      </c>
    </row>
    <row r="12" spans="1:28" x14ac:dyDescent="0.25">
      <c r="H12" s="46" t="str">
        <f>_xlfn.XLOOKUP(View[[#This Row],[ID]],Opportunities[ID],Opportunities[Status])</f>
        <v>Active</v>
      </c>
      <c r="I12" s="28" t="str">
        <f>HYPERLINK(siteUrl&amp;"Lists/"&amp;oppList&amp;"/DispForm.aspx?ID="&amp;View[[#This Row],[ID]],_xlfn.XLOOKUP(View[[#This Row],[ID]],Opportunities[ID],Opportunities[OpportunityName]))</f>
        <v>Safety Management System</v>
      </c>
      <c r="J12" s="40" t="str">
        <f>HYPERLINK(_xlfn.XLOOKUP(View[[#This Row],[ID]],Opportunities[ID],Opportunities[CustomerRecordURL]),_xlfn.XLOOKUP(View[[#This Row],[ID]],Opportunities[ID],Opportunities[Customer Name]))</f>
        <v>Tech Solutions Inc</v>
      </c>
      <c r="K12" s="29" t="str">
        <f>_xlfn.XLOOKUP(View[[#This Row],[ID]],Opportunities[ID],Opportunities[DisplayStage])</f>
        <v>➂ - Proposal</v>
      </c>
      <c r="L12" s="1">
        <f>IF(pipelineType="Unweighted",_xlfn.XLOOKUP(View[[#This Row],[ID]],Opportunities[ID],Opportunities[Amount])/1000,_xlfn.XLOOKUP(View[[#This Row],[ID]],Opportunities[ID],Opportunities[Weighted])/1000)</f>
        <v>1958.261</v>
      </c>
      <c r="M12" s="22" t="str">
        <f>_xlfn.XLOOKUP(View[[#This Row],[ID]],Opportunities[ID],Opportunities[WinProbDisplay])</f>
        <v>← Medium</v>
      </c>
      <c r="N12" s="22" t="str">
        <f ca="1">_xlfn.XLOOKUP(View[[#This Row],[ID]],Opportunities[ID],Opportunities[Diagnosis])</f>
        <v>10 weeks to close @ Proposal</v>
      </c>
      <c r="O12" s="23">
        <f>View[[#This Row],[Estmated Revenue]]</f>
        <v>979.13049999999998</v>
      </c>
      <c r="P12" s="2">
        <f ca="1">IF(_xlfn.XLOOKUP(View[[#This Row],[ID]],Opportunities[ID],Opportunities[Close])&lt;TODAY(),"",_xlfn.XLOOKUP(View[[#This Row],[ID]],Opportunities[ID],Opportunities[Close]))</f>
        <v>45954</v>
      </c>
      <c r="Q12" s="67">
        <f>_xlfn.XLOOKUP(View[[#This Row],[ID]],Opportunities[ID],Opportunities[Years])</f>
        <v>652753.66666666663</v>
      </c>
      <c r="R12" s="20" t="str">
        <f>IF(_xlfn.XLOOKUP(View[[#This Row],[ID]],Opportunities[ID],Opportunities[Comment Log])=0,"",_xlfn.XLOOKUP(View[[#This Row],[ID]],Opportunities[ID],Opportunities[Comment Log]))</f>
        <v/>
      </c>
      <c r="S12">
        <v>33</v>
      </c>
      <c r="T12" s="3">
        <f ca="1">_xlfn.XLOOKUP(View[[#This Row],[ID]],Opportunities[ID],Opportunities[NextMilestoneDate])-TODAY()</f>
        <v>6</v>
      </c>
      <c r="U12"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V12" s="1">
        <f>_xlfn.XLOOKUP(View[[#This Row],[ID]],Opportunities[ID],Opportunities[Weighted])/1000</f>
        <v>979.13049999999998</v>
      </c>
      <c r="W12" s="4">
        <f>_xlfn.XLOOKUP(View[[#This Row],[ID]],Opportunities[ID],Opportunities[Amount])/1000</f>
        <v>1958.261</v>
      </c>
      <c r="X12" t="b">
        <f>View[[#This Row],[Win Probability]]="High"</f>
        <v>0</v>
      </c>
      <c r="Y12">
        <f>SUBTOTAL(103, View[[#This Row],[Status]])</f>
        <v>1</v>
      </c>
    </row>
    <row r="13" spans="1:28" x14ac:dyDescent="0.25">
      <c r="H13" s="46" t="str">
        <f>_xlfn.XLOOKUP(View[[#This Row],[ID]],Opportunities[ID],Opportunities[Status])</f>
        <v>Active</v>
      </c>
      <c r="I13" s="28" t="str">
        <f>HYPERLINK(siteUrl&amp;"Lists/"&amp;oppList&amp;"/DispForm.aspx?ID="&amp;View[[#This Row],[ID]],_xlfn.XLOOKUP(View[[#This Row],[ID]],Opportunities[ID],Opportunities[OpportunityName]))</f>
        <v>Supply Chain Optimization</v>
      </c>
      <c r="J13" s="40" t="str">
        <f>HYPERLINK(_xlfn.XLOOKUP(View[[#This Row],[ID]],Opportunities[ID],Opportunities[CustomerRecordURL]),_xlfn.XLOOKUP(View[[#This Row],[ID]],Opportunities[ID],Opportunities[Customer Name]))</f>
        <v>Hotel Management Group</v>
      </c>
      <c r="K13" s="29" t="str">
        <f>_xlfn.XLOOKUP(View[[#This Row],[ID]],Opportunities[ID],Opportunities[DisplayStage])</f>
        <v>➃ - Negotiation</v>
      </c>
      <c r="L13" s="1">
        <f>IF(pipelineType="Unweighted",_xlfn.XLOOKUP(View[[#This Row],[ID]],Opportunities[ID],Opportunities[Amount])/1000,_xlfn.XLOOKUP(View[[#This Row],[ID]],Opportunities[ID],Opportunities[Weighted])/1000)</f>
        <v>1668.1020000000001</v>
      </c>
      <c r="M13" s="22" t="str">
        <f>_xlfn.XLOOKUP(View[[#This Row],[ID]],Opportunities[ID],Opportunities[WinProbDisplay])</f>
        <v>↙ Low</v>
      </c>
      <c r="N13" s="22" t="str">
        <f ca="1">_xlfn.XLOOKUP(View[[#This Row],[ID]],Opportunities[ID],Opportunities[Diagnosis])</f>
        <v/>
      </c>
      <c r="O13" s="23">
        <f>View[[#This Row],[Estmated Revenue]]</f>
        <v>333.62040000000002</v>
      </c>
      <c r="P13" s="2">
        <f ca="1">IF(_xlfn.XLOOKUP(View[[#This Row],[ID]],Opportunities[ID],Opportunities[Close])&lt;TODAY(),"",_xlfn.XLOOKUP(View[[#This Row],[ID]],Opportunities[ID],Opportunities[Close]))</f>
        <v>45957</v>
      </c>
      <c r="Q13" s="67">
        <f>_xlfn.XLOOKUP(View[[#This Row],[ID]],Opportunities[ID],Opportunities[Years])</f>
        <v>556034</v>
      </c>
      <c r="R13" s="20" t="str">
        <f>IF(_xlfn.XLOOKUP(View[[#This Row],[ID]],Opportunities[ID],Opportunities[Comment Log])=0,"",_xlfn.XLOOKUP(View[[#This Row],[ID]],Opportunities[ID],Opportunities[Comment Log]))</f>
        <v/>
      </c>
      <c r="S13">
        <v>17</v>
      </c>
      <c r="T13" s="3">
        <f ca="1">_xlfn.XLOOKUP(View[[#This Row],[ID]],Opportunities[ID],Opportunities[NextMilestoneDate])-TODAY()</f>
        <v>43</v>
      </c>
      <c r="U13"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V13" s="1">
        <f>_xlfn.XLOOKUP(View[[#This Row],[ID]],Opportunities[ID],Opportunities[Weighted])/1000</f>
        <v>333.62040000000002</v>
      </c>
      <c r="W13" s="4">
        <f>_xlfn.XLOOKUP(View[[#This Row],[ID]],Opportunities[ID],Opportunities[Amount])/1000</f>
        <v>1668.1020000000001</v>
      </c>
      <c r="X13" t="b">
        <f>View[[#This Row],[Win Probability]]="High"</f>
        <v>0</v>
      </c>
      <c r="Y13">
        <f>SUBTOTAL(103, View[[#This Row],[Status]])</f>
        <v>1</v>
      </c>
    </row>
    <row r="14" spans="1:28" x14ac:dyDescent="0.25">
      <c r="H14" s="46" t="str">
        <f>_xlfn.XLOOKUP(View[[#This Row],[ID]],Opportunities[ID],Opportunities[Status])</f>
        <v>Active</v>
      </c>
      <c r="I14" s="28" t="str">
        <f>HYPERLINK(siteUrl&amp;"Lists/"&amp;oppList&amp;"/DispForm.aspx?ID="&amp;View[[#This Row],[ID]],_xlfn.XLOOKUP(View[[#This Row],[ID]],Opportunities[ID],Opportunities[OpportunityName]))</f>
        <v>Database Migration Project</v>
      </c>
      <c r="J14" s="40" t="str">
        <f>HYPERLINK(_xlfn.XLOOKUP(View[[#This Row],[ID]],Opportunities[ID],Opportunities[CustomerRecordURL]),_xlfn.XLOOKUP(View[[#This Row],[ID]],Opportunities[ID],Opportunities[Customer Name]))</f>
        <v>Automotive Parts Plus</v>
      </c>
      <c r="K14" s="29" t="str">
        <f>_xlfn.XLOOKUP(View[[#This Row],[ID]],Opportunities[ID],Opportunities[DisplayStage])</f>
        <v>➁ - Nurturing</v>
      </c>
      <c r="L14" s="1">
        <f>IF(pipelineType="Unweighted",_xlfn.XLOOKUP(View[[#This Row],[ID]],Opportunities[ID],Opportunities[Amount])/1000,_xlfn.XLOOKUP(View[[#This Row],[ID]],Opportunities[ID],Opportunities[Weighted])/1000)</f>
        <v>1236.123</v>
      </c>
      <c r="M14" s="22" t="str">
        <f>_xlfn.XLOOKUP(View[[#This Row],[ID]],Opportunities[ID],Opportunities[WinProbDisplay])</f>
        <v>← Medium</v>
      </c>
      <c r="N14" s="22" t="str">
        <f ca="1">_xlfn.XLOOKUP(View[[#This Row],[ID]],Opportunities[ID],Opportunities[Diagnosis])</f>
        <v>13 weeks to close @ Nurturing</v>
      </c>
      <c r="O14" s="23">
        <f>View[[#This Row],[Estmated Revenue]]</f>
        <v>618.06150000000002</v>
      </c>
      <c r="P14" s="2">
        <f ca="1">IF(_xlfn.XLOOKUP(View[[#This Row],[ID]],Opportunities[ID],Opportunities[Close])&lt;TODAY(),"",_xlfn.XLOOKUP(View[[#This Row],[ID]],Opportunities[ID],Opportunities[Close]))</f>
        <v>45972</v>
      </c>
      <c r="Q14" s="67">
        <f>_xlfn.XLOOKUP(View[[#This Row],[ID]],Opportunities[ID],Opportunities[Years])</f>
        <v>412041</v>
      </c>
      <c r="R14" s="20" t="str">
        <f>IF(_xlfn.XLOOKUP(View[[#This Row],[ID]],Opportunities[ID],Opportunities[Comment Log])=0,"",_xlfn.XLOOKUP(View[[#This Row],[ID]],Opportunities[ID],Opportunities[Comment Log]))</f>
        <v/>
      </c>
      <c r="S14">
        <v>37</v>
      </c>
      <c r="T14" s="3">
        <f ca="1">_xlfn.XLOOKUP(View[[#This Row],[ID]],Opportunities[ID],Opportunities[NextMilestoneDate])-TODAY()</f>
        <v>9</v>
      </c>
      <c r="U14"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V14" s="1">
        <f>_xlfn.XLOOKUP(View[[#This Row],[ID]],Opportunities[ID],Opportunities[Weighted])/1000</f>
        <v>618.06150000000002</v>
      </c>
      <c r="W14" s="4">
        <f>_xlfn.XLOOKUP(View[[#This Row],[ID]],Opportunities[ID],Opportunities[Amount])/1000</f>
        <v>1236.123</v>
      </c>
      <c r="X14" t="b">
        <f>View[[#This Row],[Win Probability]]="High"</f>
        <v>0</v>
      </c>
      <c r="Y14">
        <f>SUBTOTAL(103, View[[#This Row],[Status]])</f>
        <v>1</v>
      </c>
    </row>
    <row r="15" spans="1:28" x14ac:dyDescent="0.25">
      <c r="H15" s="46" t="str">
        <f>_xlfn.XLOOKUP(View[[#This Row],[ID]],Opportunities[ID],Opportunities[Status])</f>
        <v>Active</v>
      </c>
      <c r="I15" s="28" t="str">
        <f>HYPERLINK(siteUrl&amp;"Lists/"&amp;oppList&amp;"/DispForm.aspx?ID="&amp;View[[#This Row],[ID]],_xlfn.XLOOKUP(View[[#This Row],[ID]],Opportunities[ID],Opportunities[OpportunityName]))</f>
        <v>Cloud Migration Initiative</v>
      </c>
      <c r="J15" s="40" t="str">
        <f>HYPERLINK(_xlfn.XLOOKUP(View[[#This Row],[ID]],Opportunities[ID],Opportunities[CustomerRecordURL]),_xlfn.XLOOKUP(View[[#This Row],[ID]],Opportunities[ID],Opportunities[Customer Name]))</f>
        <v>Education First</v>
      </c>
      <c r="K15" s="29" t="str">
        <f>_xlfn.XLOOKUP(View[[#This Row],[ID]],Opportunities[ID],Opportunities[DisplayStage])</f>
        <v>➂ - Proposal</v>
      </c>
      <c r="L15" s="1">
        <f>IF(pipelineType="Unweighted",_xlfn.XLOOKUP(View[[#This Row],[ID]],Opportunities[ID],Opportunities[Amount])/1000,_xlfn.XLOOKUP(View[[#This Row],[ID]],Opportunities[ID],Opportunities[Weighted])/1000)</f>
        <v>1781.9380000000001</v>
      </c>
      <c r="M15" s="22" t="str">
        <f>_xlfn.XLOOKUP(View[[#This Row],[ID]],Opportunities[ID],Opportunities[WinProbDisplay])</f>
        <v>← Medium</v>
      </c>
      <c r="N15" s="22" t="str">
        <f ca="1">_xlfn.XLOOKUP(View[[#This Row],[ID]],Opportunities[ID],Opportunities[Diagnosis])</f>
        <v/>
      </c>
      <c r="O15" s="23">
        <f>View[[#This Row],[Estmated Revenue]]</f>
        <v>890.96900000000005</v>
      </c>
      <c r="P15" s="2">
        <f ca="1">IF(_xlfn.XLOOKUP(View[[#This Row],[ID]],Opportunities[ID],Opportunities[Close])&lt;TODAY(),"",_xlfn.XLOOKUP(View[[#This Row],[ID]],Opportunities[ID],Opportunities[Close]))</f>
        <v>45975</v>
      </c>
      <c r="Q15" s="67">
        <f>_xlfn.XLOOKUP(View[[#This Row],[ID]],Opportunities[ID],Opportunities[Years])</f>
        <v>497285.02325581393</v>
      </c>
      <c r="R15" s="20" t="str">
        <f>IF(_xlfn.XLOOKUP(View[[#This Row],[ID]],Opportunities[ID],Opportunities[Comment Log])=0,"",_xlfn.XLOOKUP(View[[#This Row],[ID]],Opportunities[ID],Opportunities[Comment Log]))</f>
        <v/>
      </c>
      <c r="S15">
        <v>2</v>
      </c>
      <c r="T15" s="3">
        <f ca="1">_xlfn.XLOOKUP(View[[#This Row],[ID]],Opportunities[ID],Opportunities[NextMilestoneDate])-TODAY()</f>
        <v>22</v>
      </c>
      <c r="U15"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V15" s="1">
        <f>_xlfn.XLOOKUP(View[[#This Row],[ID]],Opportunities[ID],Opportunities[Weighted])/1000</f>
        <v>890.96900000000005</v>
      </c>
      <c r="W15" s="4">
        <f>_xlfn.XLOOKUP(View[[#This Row],[ID]],Opportunities[ID],Opportunities[Amount])/1000</f>
        <v>1781.9380000000001</v>
      </c>
      <c r="X15" t="b">
        <f>View[[#This Row],[Win Probability]]="High"</f>
        <v>0</v>
      </c>
      <c r="Y15">
        <f>SUBTOTAL(103, View[[#This Row],[Status]])</f>
        <v>1</v>
      </c>
    </row>
    <row r="16" spans="1:28" x14ac:dyDescent="0.25">
      <c r="H16" s="46" t="str">
        <f>_xlfn.XLOOKUP(View[[#This Row],[ID]],Opportunities[ID],Opportunities[Status])</f>
        <v>Critical</v>
      </c>
      <c r="I16" s="28" t="str">
        <f>HYPERLINK(siteUrl&amp;"Lists/"&amp;oppList&amp;"/DispForm.aspx?ID="&amp;View[[#This Row],[ID]],_xlfn.XLOOKUP(View[[#This Row],[ID]],Opportunities[ID],Opportunities[OpportunityName]))</f>
        <v>Marketing Automation Platform</v>
      </c>
      <c r="J16" s="40" t="str">
        <f>HYPERLINK(_xlfn.XLOOKUP(View[[#This Row],[ID]],Opportunities[ID],Opportunities[CustomerRecordURL]),_xlfn.XLOOKUP(View[[#This Row],[ID]],Opportunities[ID],Opportunities[Customer Name]))</f>
        <v>Telecommunications Inc</v>
      </c>
      <c r="K16" s="29" t="str">
        <f>_xlfn.XLOOKUP(View[[#This Row],[ID]],Opportunities[ID],Opportunities[DisplayStage])</f>
        <v>➂ - Proposal</v>
      </c>
      <c r="L16" s="1">
        <f>IF(pipelineType="Unweighted",_xlfn.XLOOKUP(View[[#This Row],[ID]],Opportunities[ID],Opportunities[Amount])/1000,_xlfn.XLOOKUP(View[[#This Row],[ID]],Opportunities[ID],Opportunities[Weighted])/1000)</f>
        <v>1161.4259999999999</v>
      </c>
      <c r="M16" s="22" t="str">
        <f>_xlfn.XLOOKUP(View[[#This Row],[ID]],Opportunities[ID],Opportunities[WinProbDisplay])</f>
        <v>↙ Low</v>
      </c>
      <c r="N16" s="22" t="str">
        <f ca="1">_xlfn.XLOOKUP(View[[#This Row],[ID]],Opportunities[ID],Opportunities[Diagnosis])</f>
        <v/>
      </c>
      <c r="O16" s="23">
        <f>View[[#This Row],[Estmated Revenue]]</f>
        <v>232.2852</v>
      </c>
      <c r="P16" s="2">
        <f ca="1">IF(_xlfn.XLOOKUP(View[[#This Row],[ID]],Opportunities[ID],Opportunities[Close])&lt;TODAY(),"",_xlfn.XLOOKUP(View[[#This Row],[ID]],Opportunities[ID],Opportunities[Close]))</f>
        <v>46016</v>
      </c>
      <c r="Q16" s="67">
        <f>_xlfn.XLOOKUP(View[[#This Row],[ID]],Opportunities[ID],Opportunities[Years])</f>
        <v>232285.2</v>
      </c>
      <c r="R16" s="20" t="str">
        <f>IF(_xlfn.XLOOKUP(View[[#This Row],[ID]],Opportunities[ID],Opportunities[Comment Log])=0,"",_xlfn.XLOOKUP(View[[#This Row],[ID]],Opportunities[ID],Opportunities[Comment Log]))</f>
        <v/>
      </c>
      <c r="S16">
        <v>20</v>
      </c>
      <c r="T16" s="3">
        <f ca="1">_xlfn.XLOOKUP(View[[#This Row],[ID]],Opportunities[ID],Opportunities[NextMilestoneDate])-TODAY()</f>
        <v>8</v>
      </c>
      <c r="U16"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V16" s="1">
        <f>_xlfn.XLOOKUP(View[[#This Row],[ID]],Opportunities[ID],Opportunities[Weighted])/1000</f>
        <v>232.2852</v>
      </c>
      <c r="W16" s="4">
        <f>_xlfn.XLOOKUP(View[[#This Row],[ID]],Opportunities[ID],Opportunities[Amount])/1000</f>
        <v>1161.4259999999999</v>
      </c>
      <c r="X16" t="b">
        <f>View[[#This Row],[Win Probability]]="High"</f>
        <v>0</v>
      </c>
      <c r="Y16">
        <f>SUBTOTAL(103, View[[#This Row],[Status]])</f>
        <v>1</v>
      </c>
    </row>
    <row r="17" spans="8:25" x14ac:dyDescent="0.25">
      <c r="H17" s="46" t="str">
        <f>_xlfn.XLOOKUP(View[[#This Row],[ID]],Opportunities[ID],Opportunities[Status])</f>
        <v>Active</v>
      </c>
      <c r="I17" s="28" t="str">
        <f>HYPERLINK(siteUrl&amp;"Lists/"&amp;oppList&amp;"/DispForm.aspx?ID="&amp;View[[#This Row],[ID]],_xlfn.XLOOKUP(View[[#This Row],[ID]],Opportunities[ID],Opportunities[OpportunityName]))</f>
        <v>Compliance Management Tool</v>
      </c>
      <c r="J17" s="40" t="str">
        <f>HYPERLINK(_xlfn.XLOOKUP(View[[#This Row],[ID]],Opportunities[ID],Opportunities[CustomerRecordURL]),_xlfn.XLOOKUP(View[[#This Row],[ID]],Opportunities[ID],Opportunities[Customer Name]))</f>
        <v>Mining Operations</v>
      </c>
      <c r="K17" s="29" t="str">
        <f>_xlfn.XLOOKUP(View[[#This Row],[ID]],Opportunities[ID],Opportunities[DisplayStage])</f>
        <v>➁ - Nurturing</v>
      </c>
      <c r="L17" s="1">
        <f>IF(pipelineType="Unweighted",_xlfn.XLOOKUP(View[[#This Row],[ID]],Opportunities[ID],Opportunities[Amount])/1000,_xlfn.XLOOKUP(View[[#This Row],[ID]],Opportunities[ID],Opportunities[Weighted])/1000)</f>
        <v>994.88199999999995</v>
      </c>
      <c r="M17" s="22" t="str">
        <f>_xlfn.XLOOKUP(View[[#This Row],[ID]],Opportunities[ID],Opportunities[WinProbDisplay])</f>
        <v>↙ Low</v>
      </c>
      <c r="N17" s="22" t="str">
        <f ca="1">_xlfn.XLOOKUP(View[[#This Row],[ID]],Opportunities[ID],Opportunities[Diagnosis])</f>
        <v>21 weeks to close @ Nurturing</v>
      </c>
      <c r="O17" s="23">
        <f>View[[#This Row],[Estmated Revenue]]</f>
        <v>198.97640000000001</v>
      </c>
      <c r="P17" s="2">
        <f ca="1">IF(_xlfn.XLOOKUP(View[[#This Row],[ID]],Opportunities[ID],Opportunities[Close])&lt;TODAY(),"",_xlfn.XLOOKUP(View[[#This Row],[ID]],Opportunities[ID],Opportunities[Close]))</f>
        <v>46031</v>
      </c>
      <c r="Q17" s="67">
        <f>_xlfn.XLOOKUP(View[[#This Row],[ID]],Opportunities[ID],Opportunities[Years])</f>
        <v>165813.66666666666</v>
      </c>
      <c r="R17" s="20" t="str">
        <f>IF(_xlfn.XLOOKUP(View[[#This Row],[ID]],Opportunities[ID],Opportunities[Comment Log])=0,"",_xlfn.XLOOKUP(View[[#This Row],[ID]],Opportunities[ID],Opportunities[Comment Log]))</f>
        <v/>
      </c>
      <c r="S17">
        <v>24</v>
      </c>
      <c r="T17" s="3">
        <f ca="1">_xlfn.XLOOKUP(View[[#This Row],[ID]],Opportunities[ID],Opportunities[NextMilestoneDate])-TODAY()</f>
        <v>25</v>
      </c>
      <c r="U17"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V17" s="1">
        <f>_xlfn.XLOOKUP(View[[#This Row],[ID]],Opportunities[ID],Opportunities[Weighted])/1000</f>
        <v>198.97640000000001</v>
      </c>
      <c r="W17" s="4">
        <f>_xlfn.XLOOKUP(View[[#This Row],[ID]],Opportunities[ID],Opportunities[Amount])/1000</f>
        <v>994.88199999999995</v>
      </c>
      <c r="X17" t="b">
        <f>View[[#This Row],[Win Probability]]="High"</f>
        <v>0</v>
      </c>
      <c r="Y17">
        <f>SUBTOTAL(103, View[[#This Row],[Status]])</f>
        <v>1</v>
      </c>
    </row>
    <row r="18" spans="8:25" x14ac:dyDescent="0.25">
      <c r="H18" s="46" t="str">
        <f>_xlfn.XLOOKUP(View[[#This Row],[ID]],Opportunities[ID],Opportunities[Status])</f>
        <v>At Risk</v>
      </c>
      <c r="I18" s="28" t="str">
        <f>HYPERLINK(siteUrl&amp;"Lists/"&amp;oppList&amp;"/DispForm.aspx?ID="&amp;View[[#This Row],[ID]],_xlfn.XLOOKUP(View[[#This Row],[ID]],Opportunities[ID],Opportunities[OpportunityName]))</f>
        <v>Quality Management System</v>
      </c>
      <c r="J18" s="40" t="str">
        <f>HYPERLINK(_xlfn.XLOOKUP(View[[#This Row],[ID]],Opportunities[ID],Opportunities[CustomerRecordURL]),_xlfn.XLOOKUP(View[[#This Row],[ID]],Opportunities[ID],Opportunities[Customer Name]))</f>
        <v>Environmental Services</v>
      </c>
      <c r="K18" s="29" t="str">
        <f>_xlfn.XLOOKUP(View[[#This Row],[ID]],Opportunities[ID],Opportunities[DisplayStage])</f>
        <v>➂ - Proposal</v>
      </c>
      <c r="L18" s="1">
        <f>IF(pipelineType="Unweighted",_xlfn.XLOOKUP(View[[#This Row],[ID]],Opportunities[ID],Opportunities[Amount])/1000,_xlfn.XLOOKUP(View[[#This Row],[ID]],Opportunities[ID],Opportunities[Weighted])/1000)</f>
        <v>945.28399999999999</v>
      </c>
      <c r="M18" s="22" t="str">
        <f>_xlfn.XLOOKUP(View[[#This Row],[ID]],Opportunities[ID],Opportunities[WinProbDisplay])</f>
        <v>← Medium</v>
      </c>
      <c r="N18" s="22" t="str">
        <f ca="1">_xlfn.XLOOKUP(View[[#This Row],[ID]],Opportunities[ID],Opportunities[Diagnosis])</f>
        <v/>
      </c>
      <c r="O18" s="23">
        <f>View[[#This Row],[Estmated Revenue]]</f>
        <v>472.642</v>
      </c>
      <c r="P18" s="2">
        <f ca="1">IF(_xlfn.XLOOKUP(View[[#This Row],[ID]],Opportunities[ID],Opportunities[Close])&lt;TODAY(),"",_xlfn.XLOOKUP(View[[#This Row],[ID]],Opportunities[ID],Opportunities[Close]))</f>
        <v>46059</v>
      </c>
      <c r="Q18" s="67">
        <f>_xlfn.XLOOKUP(View[[#This Row],[ID]],Opportunities[ID],Opportunities[Years])</f>
        <v>472642</v>
      </c>
      <c r="R18" s="20" t="str">
        <f>IF(_xlfn.XLOOKUP(View[[#This Row],[ID]],Opportunities[ID],Opportunities[Comment Log])=0,"",_xlfn.XLOOKUP(View[[#This Row],[ID]],Opportunities[ID],Opportunities[Comment Log]))</f>
        <v/>
      </c>
      <c r="S18">
        <v>16</v>
      </c>
      <c r="T18" s="3">
        <f ca="1">_xlfn.XLOOKUP(View[[#This Row],[ID]],Opportunities[ID],Opportunities[NextMilestoneDate])-TODAY()</f>
        <v>51</v>
      </c>
      <c r="U18"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V18" s="1">
        <f>_xlfn.XLOOKUP(View[[#This Row],[ID]],Opportunities[ID],Opportunities[Weighted])/1000</f>
        <v>472.642</v>
      </c>
      <c r="W18" s="4">
        <f>_xlfn.XLOOKUP(View[[#This Row],[ID]],Opportunities[ID],Opportunities[Amount])/1000</f>
        <v>945.28399999999999</v>
      </c>
      <c r="X18" t="b">
        <f>View[[#This Row],[Win Probability]]="High"</f>
        <v>0</v>
      </c>
      <c r="Y18">
        <f>SUBTOTAL(103, View[[#This Row],[Status]])</f>
        <v>1</v>
      </c>
    </row>
    <row r="19" spans="8:25" x14ac:dyDescent="0.25">
      <c r="H19" s="46" t="str">
        <f>_xlfn.XLOOKUP(View[[#This Row],[ID]],Opportunities[ID],Opportunities[Status])</f>
        <v>Active</v>
      </c>
      <c r="I19" s="28" t="str">
        <f>HYPERLINK(siteUrl&amp;"Lists/"&amp;oppList&amp;"/DispForm.aspx?ID="&amp;View[[#This Row],[ID]],_xlfn.XLOOKUP(View[[#This Row],[ID]],Opportunities[ID],Opportunities[OpportunityName]))</f>
        <v>Mobile Application Development</v>
      </c>
      <c r="J19" s="40" t="str">
        <f>HYPERLINK(_xlfn.XLOOKUP(View[[#This Row],[ID]],Opportunities[ID],Opportunities[CustomerRecordURL]),_xlfn.XLOOKUP(View[[#This Row],[ID]],Opportunities[ID],Opportunities[Customer Name]))</f>
        <v>Consulting Experts</v>
      </c>
      <c r="K19" s="29" t="str">
        <f>_xlfn.XLOOKUP(View[[#This Row],[ID]],Opportunities[ID],Opportunities[DisplayStage])</f>
        <v>➁ - Nurturing</v>
      </c>
      <c r="L19" s="1">
        <f>IF(pipelineType="Unweighted",_xlfn.XLOOKUP(View[[#This Row],[ID]],Opportunities[ID],Opportunities[Amount])/1000,_xlfn.XLOOKUP(View[[#This Row],[ID]],Opportunities[ID],Opportunities[Weighted])/1000)</f>
        <v>1085.1759999999999</v>
      </c>
      <c r="M19" s="22" t="str">
        <f>_xlfn.XLOOKUP(View[[#This Row],[ID]],Opportunities[ID],Opportunities[WinProbDisplay])</f>
        <v>← Medium</v>
      </c>
      <c r="N19" s="22" t="str">
        <f ca="1">_xlfn.XLOOKUP(View[[#This Row],[ID]],Opportunities[ID],Opportunities[Diagnosis])</f>
        <v/>
      </c>
      <c r="O19" s="23">
        <f>View[[#This Row],[Estmated Revenue]]</f>
        <v>542.58799999999997</v>
      </c>
      <c r="P19" s="2">
        <f ca="1">IF(_xlfn.XLOOKUP(View[[#This Row],[ID]],Opportunities[ID],Opportunities[Close])&lt;TODAY(),"",_xlfn.XLOOKUP(View[[#This Row],[ID]],Opportunities[ID],Opportunities[Close]))</f>
        <v>46063</v>
      </c>
      <c r="Q19" s="67">
        <f>_xlfn.XLOOKUP(View[[#This Row],[ID]],Opportunities[ID],Opportunities[Years])</f>
        <v>1085176</v>
      </c>
      <c r="R19" s="20" t="str">
        <f>IF(_xlfn.XLOOKUP(View[[#This Row],[ID]],Opportunities[ID],Opportunities[Comment Log])=0,"",_xlfn.XLOOKUP(View[[#This Row],[ID]],Opportunities[ID],Opportunities[Comment Log]))</f>
        <v/>
      </c>
      <c r="S19">
        <v>10</v>
      </c>
      <c r="T19" s="3">
        <f ca="1">_xlfn.XLOOKUP(View[[#This Row],[ID]],Opportunities[ID],Opportunities[NextMilestoneDate])-TODAY()</f>
        <v>46</v>
      </c>
      <c r="U19"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V19" s="1">
        <f>_xlfn.XLOOKUP(View[[#This Row],[ID]],Opportunities[ID],Opportunities[Weighted])/1000</f>
        <v>542.58799999999997</v>
      </c>
      <c r="W19" s="4">
        <f>_xlfn.XLOOKUP(View[[#This Row],[ID]],Opportunities[ID],Opportunities[Amount])/1000</f>
        <v>1085.1759999999999</v>
      </c>
      <c r="X19" t="b">
        <f>View[[#This Row],[Win Probability]]="High"</f>
        <v>0</v>
      </c>
      <c r="Y19">
        <f>SUBTOTAL(103, View[[#This Row],[Status]])</f>
        <v>1</v>
      </c>
    </row>
    <row r="20" spans="8:25" x14ac:dyDescent="0.25">
      <c r="H20" s="46" t="str">
        <f>_xlfn.XLOOKUP(View[[#This Row],[ID]],Opportunities[ID],Opportunities[Status])</f>
        <v>At Risk</v>
      </c>
      <c r="I20" s="28" t="str">
        <f>HYPERLINK(siteUrl&amp;"Lists/"&amp;oppList&amp;"/DispForm.aspx?ID="&amp;View[[#This Row],[ID]],_xlfn.XLOOKUP(View[[#This Row],[ID]],Opportunities[ID],Opportunities[OpportunityName]))</f>
        <v>Fleet Management System</v>
      </c>
      <c r="J20" s="40" t="str">
        <f>HYPERLINK(_xlfn.XLOOKUP(View[[#This Row],[ID]],Opportunities[ID],Opportunities[CustomerRecordURL]),_xlfn.XLOOKUP(View[[#This Row],[ID]],Opportunities[ID],Opportunities[Customer Name]))</f>
        <v>Pharmaceutical Research</v>
      </c>
      <c r="K20" s="29" t="str">
        <f>_xlfn.XLOOKUP(View[[#This Row],[ID]],Opportunities[ID],Opportunities[DisplayStage])</f>
        <v>➃ - Negotiation</v>
      </c>
      <c r="L20" s="1">
        <f>IF(pipelineType="Unweighted",_xlfn.XLOOKUP(View[[#This Row],[ID]],Opportunities[ID],Opportunities[Amount])/1000,_xlfn.XLOOKUP(View[[#This Row],[ID]],Opportunities[ID],Opportunities[Weighted])/1000)</f>
        <v>768.86500000000001</v>
      </c>
      <c r="M20" s="22" t="str">
        <f>_xlfn.XLOOKUP(View[[#This Row],[ID]],Opportunities[ID],Opportunities[WinProbDisplay])</f>
        <v>↙ Low</v>
      </c>
      <c r="N20" s="22" t="str">
        <f ca="1">_xlfn.XLOOKUP(View[[#This Row],[ID]],Opportunities[ID],Opportunities[Diagnosis])</f>
        <v/>
      </c>
      <c r="O20" s="23">
        <f>View[[#This Row],[Estmated Revenue]]</f>
        <v>153.773</v>
      </c>
      <c r="P20" s="2">
        <f ca="1">IF(_xlfn.XLOOKUP(View[[#This Row],[ID]],Opportunities[ID],Opportunities[Close])&lt;TODAY(),"",_xlfn.XLOOKUP(View[[#This Row],[ID]],Opportunities[ID],Opportunities[Close]))</f>
        <v>46099</v>
      </c>
      <c r="Q20" s="67">
        <f>_xlfn.XLOOKUP(View[[#This Row],[ID]],Opportunities[ID],Opportunities[Years])</f>
        <v>192216.25</v>
      </c>
      <c r="R20" s="20" t="str">
        <f>IF(_xlfn.XLOOKUP(View[[#This Row],[ID]],Opportunities[ID],Opportunities[Comment Log])=0,"",_xlfn.XLOOKUP(View[[#This Row],[ID]],Opportunities[ID],Opportunities[Comment Log]))</f>
        <v/>
      </c>
      <c r="S20">
        <v>31</v>
      </c>
      <c r="T20" s="3">
        <f ca="1">_xlfn.XLOOKUP(View[[#This Row],[ID]],Opportunities[ID],Opportunities[NextMilestoneDate])-TODAY()</f>
        <v>41</v>
      </c>
      <c r="U20"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V20" s="1">
        <f>_xlfn.XLOOKUP(View[[#This Row],[ID]],Opportunities[ID],Opportunities[Weighted])/1000</f>
        <v>153.773</v>
      </c>
      <c r="W20" s="4">
        <f>_xlfn.XLOOKUP(View[[#This Row],[ID]],Opportunities[ID],Opportunities[Amount])/1000</f>
        <v>768.86500000000001</v>
      </c>
      <c r="X20" t="b">
        <f>View[[#This Row],[Win Probability]]="High"</f>
        <v>0</v>
      </c>
      <c r="Y20">
        <f>SUBTOTAL(103, View[[#This Row],[Status]])</f>
        <v>1</v>
      </c>
    </row>
    <row r="21" spans="8:25" x14ac:dyDescent="0.25">
      <c r="H21" s="46" t="str">
        <f>_xlfn.XLOOKUP(View[[#This Row],[ID]],Opportunities[ID],Opportunities[Status])</f>
        <v>At Risk</v>
      </c>
      <c r="I21" s="28" t="str">
        <f>HYPERLINK(siteUrl&amp;"Lists/"&amp;oppList&amp;"/DispForm.aspx?ID="&amp;View[[#This Row],[ID]],_xlfn.XLOOKUP(View[[#This Row],[ID]],Opportunities[ID],Opportunities[OpportunityName]))</f>
        <v>Customer Portal Development</v>
      </c>
      <c r="J21" s="40" t="str">
        <f>HYPERLINK(_xlfn.XLOOKUP(View[[#This Row],[ID]],Opportunities[ID],Opportunities[CustomerRecordURL]),_xlfn.XLOOKUP(View[[#This Row],[ID]],Opportunities[ID],Opportunities[Customer Name]))</f>
        <v>Publishing House</v>
      </c>
      <c r="K21" s="29" t="str">
        <f>_xlfn.XLOOKUP(View[[#This Row],[ID]],Opportunities[ID],Opportunities[DisplayStage])</f>
        <v>➀ - Lead Qualification</v>
      </c>
      <c r="L21" s="1">
        <f>IF(pipelineType="Unweighted",_xlfn.XLOOKUP(View[[#This Row],[ID]],Opportunities[ID],Opportunities[Amount])/1000,_xlfn.XLOOKUP(View[[#This Row],[ID]],Opportunities[ID],Opportunities[Weighted])/1000)</f>
        <v>1310.673</v>
      </c>
      <c r="M21" s="22" t="str">
        <f>_xlfn.XLOOKUP(View[[#This Row],[ID]],Opportunities[ID],Opportunities[WinProbDisplay])</f>
        <v>↙ Low</v>
      </c>
      <c r="N21" s="22" t="str">
        <f ca="1">_xlfn.XLOOKUP(View[[#This Row],[ID]],Opportunities[ID],Opportunities[Diagnosis])</f>
        <v>37 weeks to close @ Lead Qualification</v>
      </c>
      <c r="O21" s="23">
        <f>View[[#This Row],[Estmated Revenue]]</f>
        <v>262.13459999999998</v>
      </c>
      <c r="P21" s="2">
        <f ca="1">IF(_xlfn.XLOOKUP(View[[#This Row],[ID]],Opportunities[ID],Opportunities[Close])&lt;TODAY(),"",_xlfn.XLOOKUP(View[[#This Row],[ID]],Opportunities[ID],Opportunities[Close]))</f>
        <v>46139</v>
      </c>
      <c r="Q21" s="67">
        <f>_xlfn.XLOOKUP(View[[#This Row],[ID]],Opportunities[ID],Opportunities[Years])</f>
        <v>187239</v>
      </c>
      <c r="R21" s="20" t="str">
        <f>IF(_xlfn.XLOOKUP(View[[#This Row],[ID]],Opportunities[ID],Opportunities[Comment Log])=0,"",_xlfn.XLOOKUP(View[[#This Row],[ID]],Opportunities[ID],Opportunities[Comment Log]))</f>
        <v/>
      </c>
      <c r="S21">
        <v>9</v>
      </c>
      <c r="T21" s="3">
        <f ca="1">_xlfn.XLOOKUP(View[[#This Row],[ID]],Opportunities[ID],Opportunities[NextMilestoneDate])-TODAY()</f>
        <v>49</v>
      </c>
      <c r="U21"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V21" s="1">
        <f>_xlfn.XLOOKUP(View[[#This Row],[ID]],Opportunities[ID],Opportunities[Weighted])/1000</f>
        <v>262.13459999999998</v>
      </c>
      <c r="W21" s="4">
        <f>_xlfn.XLOOKUP(View[[#This Row],[ID]],Opportunities[ID],Opportunities[Amount])/1000</f>
        <v>1310.673</v>
      </c>
      <c r="X21" t="b">
        <f>View[[#This Row],[Win Probability]]="High"</f>
        <v>0</v>
      </c>
      <c r="Y21">
        <f>SUBTOTAL(103, View[[#This Row],[Status]])</f>
        <v>1</v>
      </c>
    </row>
    <row r="22" spans="8:25" x14ac:dyDescent="0.25">
      <c r="H22" s="46" t="str">
        <f>_xlfn.XLOOKUP(View[[#This Row],[ID]],Opportunities[ID],Opportunities[Status])</f>
        <v>Active</v>
      </c>
      <c r="I22" s="28" t="str">
        <f>HYPERLINK(siteUrl&amp;"Lists/"&amp;oppList&amp;"/DispForm.aspx?ID="&amp;View[[#This Row],[ID]],_xlfn.XLOOKUP(View[[#This Row],[ID]],Opportunities[ID],Opportunities[OpportunityName]))</f>
        <v>Digital Transformation Project</v>
      </c>
      <c r="J22" s="40" t="str">
        <f>HYPERLINK(_xlfn.XLOOKUP(View[[#This Row],[ID]],Opportunities[ID],Opportunities[CustomerRecordURL]),_xlfn.XLOOKUP(View[[#This Row],[ID]],Opportunities[ID],Opportunities[Customer Name]))</f>
        <v>Professional Services Group</v>
      </c>
      <c r="K22" s="29" t="str">
        <f>_xlfn.XLOOKUP(View[[#This Row],[ID]],Opportunities[ID],Opportunities[DisplayStage])</f>
        <v>➄ - Project Execution</v>
      </c>
      <c r="L22" s="1">
        <f>IF(pipelineType="Unweighted",_xlfn.XLOOKUP(View[[#This Row],[ID]],Opportunities[ID],Opportunities[Amount])/1000,_xlfn.XLOOKUP(View[[#This Row],[ID]],Opportunities[ID],Opportunities[Weighted])/1000)</f>
        <v>826.10500000000002</v>
      </c>
      <c r="M22" s="22" t="str">
        <f>_xlfn.XLOOKUP(View[[#This Row],[ID]],Opportunities[ID],Opportunities[WinProbDisplay])</f>
        <v>← Medium</v>
      </c>
      <c r="N22" s="22" t="str">
        <f>_xlfn.XLOOKUP(View[[#This Row],[ID]],Opportunities[ID],Opportunities[Diagnosis])</f>
        <v/>
      </c>
      <c r="O22" s="23">
        <f>View[[#This Row],[Estmated Revenue]]</f>
        <v>413.05250000000001</v>
      </c>
      <c r="P22" s="2">
        <f ca="1">IF(_xlfn.XLOOKUP(View[[#This Row],[ID]],Opportunities[ID],Opportunities[Close])&lt;TODAY(),"",_xlfn.XLOOKUP(View[[#This Row],[ID]],Opportunities[ID],Opportunities[Close]))</f>
        <v>46140</v>
      </c>
      <c r="Q22" s="67">
        <f>_xlfn.XLOOKUP(View[[#This Row],[ID]],Opportunities[ID],Opportunities[Years])</f>
        <v>150200.90909090909</v>
      </c>
      <c r="R22" s="20" t="str">
        <f>IF(_xlfn.XLOOKUP(View[[#This Row],[ID]],Opportunities[ID],Opportunities[Comment Log])=0,"",_xlfn.XLOOKUP(View[[#This Row],[ID]],Opportunities[ID],Opportunities[Comment Log]))</f>
        <v/>
      </c>
      <c r="S22">
        <v>6</v>
      </c>
      <c r="T22" s="3">
        <f ca="1">_xlfn.XLOOKUP(View[[#This Row],[ID]],Opportunities[ID],Opportunities[NextMilestoneDate])-TODAY()</f>
        <v>16</v>
      </c>
      <c r="U22"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V22" s="1">
        <f>_xlfn.XLOOKUP(View[[#This Row],[ID]],Opportunities[ID],Opportunities[Weighted])/1000</f>
        <v>413.05250000000001</v>
      </c>
      <c r="W22" s="4">
        <f>_xlfn.XLOOKUP(View[[#This Row],[ID]],Opportunities[ID],Opportunities[Amount])/1000</f>
        <v>826.10500000000002</v>
      </c>
      <c r="X22" t="b">
        <f>View[[#This Row],[Win Probability]]="High"</f>
        <v>0</v>
      </c>
      <c r="Y22">
        <f>SUBTOTAL(103, View[[#This Row],[Status]])</f>
        <v>1</v>
      </c>
    </row>
    <row r="23" spans="8:25" x14ac:dyDescent="0.25">
      <c r="H23" s="46" t="str">
        <f>_xlfn.XLOOKUP(View[[#This Row],[ID]],Opportunities[ID],Opportunities[Status])</f>
        <v>Active</v>
      </c>
      <c r="I23" s="28" t="str">
        <f>HYPERLINK(siteUrl&amp;"Lists/"&amp;oppList&amp;"/DispForm.aspx?ID="&amp;View[[#This Row],[ID]],_xlfn.XLOOKUP(View[[#This Row],[ID]],Opportunities[ID],Opportunities[OpportunityName]))</f>
        <v>Financial Planning Software</v>
      </c>
      <c r="J23" s="40" t="str">
        <f>HYPERLINK(_xlfn.XLOOKUP(View[[#This Row],[ID]],Opportunities[ID],Opportunities[CustomerRecordURL]),_xlfn.XLOOKUP(View[[#This Row],[ID]],Opportunities[ID],Opportunities[Customer Name]))</f>
        <v>Construction Dynamics</v>
      </c>
      <c r="K23" s="29" t="str">
        <f>_xlfn.XLOOKUP(View[[#This Row],[ID]],Opportunities[ID],Opportunities[DisplayStage])</f>
        <v>➀ - Lead Qualification</v>
      </c>
      <c r="L23" s="1">
        <f>IF(pipelineType="Unweighted",_xlfn.XLOOKUP(View[[#This Row],[ID]],Opportunities[ID],Opportunities[Amount])/1000,_xlfn.XLOOKUP(View[[#This Row],[ID]],Opportunities[ID],Opportunities[Weighted])/1000)</f>
        <v>2218.1280000000002</v>
      </c>
      <c r="M23" s="22" t="str">
        <f>_xlfn.XLOOKUP(View[[#This Row],[ID]],Opportunities[ID],Opportunities[WinProbDisplay])</f>
        <v>← Medium</v>
      </c>
      <c r="N23" s="22" t="str">
        <f ca="1">_xlfn.XLOOKUP(View[[#This Row],[ID]],Opportunities[ID],Opportunities[Diagnosis])</f>
        <v/>
      </c>
      <c r="O23" s="23">
        <f>View[[#This Row],[Estmated Revenue]]</f>
        <v>1109.0640000000001</v>
      </c>
      <c r="P23" s="2">
        <f ca="1">IF(_xlfn.XLOOKUP(View[[#This Row],[ID]],Opportunities[ID],Opportunities[Close])&lt;TODAY(),"",_xlfn.XLOOKUP(View[[#This Row],[ID]],Opportunities[ID],Opportunities[Close]))</f>
        <v>46153</v>
      </c>
      <c r="Q23" s="67">
        <f>_xlfn.XLOOKUP(View[[#This Row],[ID]],Opportunities[ID],Opportunities[Years])</f>
        <v>443625.6</v>
      </c>
      <c r="R23" s="20" t="str">
        <f>IF(_xlfn.XLOOKUP(View[[#This Row],[ID]],Opportunities[ID],Opportunities[Comment Log])=0,"",_xlfn.XLOOKUP(View[[#This Row],[ID]],Opportunities[ID],Opportunities[Comment Log]))</f>
        <v/>
      </c>
      <c r="S23">
        <v>18</v>
      </c>
      <c r="T23" s="3">
        <f ca="1">_xlfn.XLOOKUP(View[[#This Row],[ID]],Opportunities[ID],Opportunities[NextMilestoneDate])-TODAY()</f>
        <v>44</v>
      </c>
      <c r="U23"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V23" s="1">
        <f>_xlfn.XLOOKUP(View[[#This Row],[ID]],Opportunities[ID],Opportunities[Weighted])/1000</f>
        <v>1109.0640000000001</v>
      </c>
      <c r="W23" s="4">
        <f>_xlfn.XLOOKUP(View[[#This Row],[ID]],Opportunities[ID],Opportunities[Amount])/1000</f>
        <v>2218.1280000000002</v>
      </c>
      <c r="X23" t="b">
        <f>View[[#This Row],[Win Probability]]="High"</f>
        <v>0</v>
      </c>
      <c r="Y23">
        <f>SUBTOTAL(103, View[[#This Row],[Status]])</f>
        <v>1</v>
      </c>
    </row>
    <row r="24" spans="8:25" x14ac:dyDescent="0.25">
      <c r="H24" s="46" t="str">
        <f>_xlfn.XLOOKUP(View[[#This Row],[ID]],Opportunities[ID],Opportunities[Status])</f>
        <v>Active</v>
      </c>
      <c r="I24" s="28" t="str">
        <f>HYPERLINK(siteUrl&amp;"Lists/"&amp;oppList&amp;"/DispForm.aspx?ID="&amp;View[[#This Row],[ID]],_xlfn.XLOOKUP(View[[#This Row],[ID]],Opportunities[ID],Opportunities[OpportunityName]))</f>
        <v>ERP Implementation Project</v>
      </c>
      <c r="J24" s="40" t="str">
        <f>HYPERLINK(_xlfn.XLOOKUP(View[[#This Row],[ID]],Opportunities[ID],Opportunities[CustomerRecordURL]),_xlfn.XLOOKUP(View[[#This Row],[ID]],Opportunities[ID],Opportunities[Customer Name]))</f>
        <v>Agricultural Systems</v>
      </c>
      <c r="K24" s="29" t="str">
        <f>_xlfn.XLOOKUP(View[[#This Row],[ID]],Opportunities[ID],Opportunities[DisplayStage])</f>
        <v>➀ - Lead Qualification</v>
      </c>
      <c r="L24" s="1">
        <f>IF(pipelineType="Unweighted",_xlfn.XLOOKUP(View[[#This Row],[ID]],Opportunities[ID],Opportunities[Amount])/1000,_xlfn.XLOOKUP(View[[#This Row],[ID]],Opportunities[ID],Opportunities[Weighted])/1000)</f>
        <v>1488.0429999999999</v>
      </c>
      <c r="M24" s="22" t="str">
        <f>_xlfn.XLOOKUP(View[[#This Row],[ID]],Opportunities[ID],Opportunities[WinProbDisplay])</f>
        <v>↙ Low</v>
      </c>
      <c r="N24" s="22" t="str">
        <f ca="1">_xlfn.XLOOKUP(View[[#This Row],[ID]],Opportunities[ID],Opportunities[Diagnosis])</f>
        <v/>
      </c>
      <c r="O24" s="23">
        <f>View[[#This Row],[Estmated Revenue]]</f>
        <v>297.60860000000002</v>
      </c>
      <c r="P24" s="2">
        <f ca="1">IF(_xlfn.XLOOKUP(View[[#This Row],[ID]],Opportunities[ID],Opportunities[Close])&lt;TODAY(),"",_xlfn.XLOOKUP(View[[#This Row],[ID]],Opportunities[ID],Opportunities[Close]))</f>
        <v>46157</v>
      </c>
      <c r="Q24" s="67">
        <f>_xlfn.XLOOKUP(View[[#This Row],[ID]],Opportunities[ID],Opportunities[Years])</f>
        <v>248007.16666666666</v>
      </c>
      <c r="R24" s="20" t="str">
        <f>IF(_xlfn.XLOOKUP(View[[#This Row],[ID]],Opportunities[ID],Opportunities[Comment Log])=0,"",_xlfn.XLOOKUP(View[[#This Row],[ID]],Opportunities[ID],Opportunities[Comment Log]))</f>
        <v/>
      </c>
      <c r="S24">
        <v>1</v>
      </c>
      <c r="T24" s="3">
        <f ca="1">_xlfn.XLOOKUP(View[[#This Row],[ID]],Opportunities[ID],Opportunities[NextMilestoneDate])-TODAY()</f>
        <v>16</v>
      </c>
      <c r="U24"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V24" s="1">
        <f>_xlfn.XLOOKUP(View[[#This Row],[ID]],Opportunities[ID],Opportunities[Weighted])/1000</f>
        <v>297.60860000000002</v>
      </c>
      <c r="W24" s="4">
        <f>_xlfn.XLOOKUP(View[[#This Row],[ID]],Opportunities[ID],Opportunities[Amount])/1000</f>
        <v>1488.0429999999999</v>
      </c>
      <c r="X24" t="b">
        <f>View[[#This Row],[Win Probability]]="High"</f>
        <v>0</v>
      </c>
      <c r="Y24">
        <f>SUBTOTAL(103, View[[#This Row],[Status]])</f>
        <v>1</v>
      </c>
    </row>
    <row r="25" spans="8:25" x14ac:dyDescent="0.25">
      <c r="H25" s="46" t="str">
        <f>_xlfn.XLOOKUP(View[[#This Row],[ID]],Opportunities[ID],Opportunities[Status])</f>
        <v>Active</v>
      </c>
      <c r="I25" s="28" t="str">
        <f>HYPERLINK(siteUrl&amp;"Lists/"&amp;oppList&amp;"/DispForm.aspx?ID="&amp;View[[#This Row],[ID]],_xlfn.XLOOKUP(View[[#This Row],[ID]],Opportunities[ID],Opportunities[OpportunityName]))</f>
        <v>Inventory Management Solution</v>
      </c>
      <c r="J25" s="40" t="str">
        <f>HYPERLINK(_xlfn.XLOOKUP(View[[#This Row],[ID]],Opportunities[ID],Opportunities[CustomerRecordURL]),_xlfn.XLOOKUP(View[[#This Row],[ID]],Opportunities[ID],Opportunities[Customer Name]))</f>
        <v>Transport Logistics</v>
      </c>
      <c r="K25" s="29" t="str">
        <f>_xlfn.XLOOKUP(View[[#This Row],[ID]],Opportunities[ID],Opportunities[DisplayStage])</f>
        <v>➁ - Nurturing</v>
      </c>
      <c r="L25" s="1">
        <f>IF(pipelineType="Unweighted",_xlfn.XLOOKUP(View[[#This Row],[ID]],Opportunities[ID],Opportunities[Amount])/1000,_xlfn.XLOOKUP(View[[#This Row],[ID]],Opportunities[ID],Opportunities[Weighted])/1000)</f>
        <v>1524.787</v>
      </c>
      <c r="M25" s="22" t="str">
        <f>_xlfn.XLOOKUP(View[[#This Row],[ID]],Opportunities[ID],Opportunities[WinProbDisplay])</f>
        <v>↖ High</v>
      </c>
      <c r="N25" s="22" t="str">
        <f ca="1">_xlfn.XLOOKUP(View[[#This Row],[ID]],Opportunities[ID],Opportunities[Diagnosis])</f>
        <v/>
      </c>
      <c r="O25" s="23">
        <f>View[[#This Row],[Estmated Revenue]]</f>
        <v>1372.3083000000001</v>
      </c>
      <c r="P25" s="2">
        <f ca="1">IF(_xlfn.XLOOKUP(View[[#This Row],[ID]],Opportunities[ID],Opportunities[Close])&lt;TODAY(),"",_xlfn.XLOOKUP(View[[#This Row],[ID]],Opportunities[ID],Opportunities[Close]))</f>
        <v>46167</v>
      </c>
      <c r="Q25" s="67">
        <f>_xlfn.XLOOKUP(View[[#This Row],[ID]],Opportunities[ID],Opportunities[Years])</f>
        <v>351873.92307692312</v>
      </c>
      <c r="R25" s="20" t="str">
        <f>IF(_xlfn.XLOOKUP(View[[#This Row],[ID]],Opportunities[ID],Opportunities[Comment Log])=0,"",_xlfn.XLOOKUP(View[[#This Row],[ID]],Opportunities[ID],Opportunities[Comment Log]))</f>
        <v/>
      </c>
      <c r="S25">
        <v>22</v>
      </c>
      <c r="T25" s="3">
        <f ca="1">_xlfn.XLOOKUP(View[[#This Row],[ID]],Opportunities[ID],Opportunities[NextMilestoneDate])-TODAY()</f>
        <v>46</v>
      </c>
      <c r="U25"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V25" s="1">
        <f>_xlfn.XLOOKUP(View[[#This Row],[ID]],Opportunities[ID],Opportunities[Weighted])/1000</f>
        <v>1372.3083000000001</v>
      </c>
      <c r="W25" s="4">
        <f>_xlfn.XLOOKUP(View[[#This Row],[ID]],Opportunities[ID],Opportunities[Amount])/1000</f>
        <v>1524.787</v>
      </c>
      <c r="X25" t="b">
        <f>View[[#This Row],[Win Probability]]="High"</f>
        <v>0</v>
      </c>
      <c r="Y25">
        <f>SUBTOTAL(103, View[[#This Row],[Status]])</f>
        <v>1</v>
      </c>
    </row>
    <row r="26" spans="8:25" x14ac:dyDescent="0.25">
      <c r="H26" s="46" t="str">
        <f>_xlfn.XLOOKUP(View[[#This Row],[ID]],Opportunities[ID],Opportunities[Status])</f>
        <v>Active</v>
      </c>
      <c r="I26" s="28" t="str">
        <f>HYPERLINK(siteUrl&amp;"Lists/"&amp;oppList&amp;"/DispForm.aspx?ID="&amp;View[[#This Row],[ID]],_xlfn.XLOOKUP(View[[#This Row],[ID]],Opportunities[ID],Opportunities[OpportunityName]))</f>
        <v>Backup &amp; Recovery System</v>
      </c>
      <c r="J26" s="40" t="str">
        <f>HYPERLINK(_xlfn.XLOOKUP(View[[#This Row],[ID]],Opportunities[ID],Opportunities[CustomerRecordURL]),_xlfn.XLOOKUP(View[[#This Row],[ID]],Opportunities[ID],Opportunities[Customer Name]))</f>
        <v>Global Industries</v>
      </c>
      <c r="K26" s="29" t="str">
        <f>_xlfn.XLOOKUP(View[[#This Row],[ID]],Opportunities[ID],Opportunities[DisplayStage])</f>
        <v>➀ - Lead Qualification</v>
      </c>
      <c r="L26" s="1">
        <f>IF(pipelineType="Unweighted",_xlfn.XLOOKUP(View[[#This Row],[ID]],Opportunities[ID],Opportunities[Amount])/1000,_xlfn.XLOOKUP(View[[#This Row],[ID]],Opportunities[ID],Opportunities[Weighted])/1000)</f>
        <v>1666.3440000000001</v>
      </c>
      <c r="M26" s="22" t="str">
        <f>_xlfn.XLOOKUP(View[[#This Row],[ID]],Opportunities[ID],Opportunities[WinProbDisplay])</f>
        <v>← Medium</v>
      </c>
      <c r="N26" s="22" t="str">
        <f ca="1">_xlfn.XLOOKUP(View[[#This Row],[ID]],Opportunities[ID],Opportunities[Diagnosis])</f>
        <v/>
      </c>
      <c r="O26" s="23">
        <f>View[[#This Row],[Estmated Revenue]]</f>
        <v>833.17200000000003</v>
      </c>
      <c r="P26" s="2">
        <f ca="1">IF(_xlfn.XLOOKUP(View[[#This Row],[ID]],Opportunities[ID],Opportunities[Close])&lt;TODAY(),"",_xlfn.XLOOKUP(View[[#This Row],[ID]],Opportunities[ID],Opportunities[Close]))</f>
        <v>46185</v>
      </c>
      <c r="Q26" s="67">
        <f>_xlfn.XLOOKUP(View[[#This Row],[ID]],Opportunities[ID],Opportunities[Years])</f>
        <v>370298.66666666669</v>
      </c>
      <c r="R26" s="20" t="str">
        <f>IF(_xlfn.XLOOKUP(View[[#This Row],[ID]],Opportunities[ID],Opportunities[Comment Log])=0,"",_xlfn.XLOOKUP(View[[#This Row],[ID]],Opportunities[ID],Opportunities[Comment Log]))</f>
        <v/>
      </c>
      <c r="S26">
        <v>27</v>
      </c>
      <c r="T26" s="3">
        <f ca="1">_xlfn.XLOOKUP(View[[#This Row],[ID]],Opportunities[ID],Opportunities[NextMilestoneDate])-TODAY()</f>
        <v>22</v>
      </c>
      <c r="U26"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V26" s="1">
        <f>_xlfn.XLOOKUP(View[[#This Row],[ID]],Opportunities[ID],Opportunities[Weighted])/1000</f>
        <v>833.17200000000003</v>
      </c>
      <c r="W26" s="4">
        <f>_xlfn.XLOOKUP(View[[#This Row],[ID]],Opportunities[ID],Opportunities[Amount])/1000</f>
        <v>1666.3440000000001</v>
      </c>
      <c r="X26" t="b">
        <f>View[[#This Row],[Win Probability]]="High"</f>
        <v>0</v>
      </c>
      <c r="Y26">
        <f>SUBTOTAL(103, View[[#This Row],[Status]])</f>
        <v>1</v>
      </c>
    </row>
    <row r="27" spans="8:25" x14ac:dyDescent="0.25">
      <c r="H27" s="46" t="str">
        <f>_xlfn.XLOOKUP(View[[#This Row],[ID]],Opportunities[ID],Opportunities[Status])</f>
        <v>Active</v>
      </c>
      <c r="I27" s="28" t="str">
        <f>HYPERLINK(siteUrl&amp;"Lists/"&amp;oppList&amp;"/DispForm.aspx?ID="&amp;View[[#This Row],[ID]],_xlfn.XLOOKUP(View[[#This Row],[ID]],Opportunities[ID],Opportunities[OpportunityName]))</f>
        <v>Performance Analytics Dashboard</v>
      </c>
      <c r="J27" s="40" t="str">
        <f>HYPERLINK(_xlfn.XLOOKUP(View[[#This Row],[ID]],Opportunities[ID],Opportunities[CustomerRecordURL]),_xlfn.XLOOKUP(View[[#This Row],[ID]],Opportunities[ID],Opportunities[Customer Name]))</f>
        <v>Chemical Processing</v>
      </c>
      <c r="K27" s="29" t="str">
        <f>_xlfn.XLOOKUP(View[[#This Row],[ID]],Opportunities[ID],Opportunities[DisplayStage])</f>
        <v>➁ - Nurturing</v>
      </c>
      <c r="L27" s="1">
        <f>IF(pipelineType="Unweighted",_xlfn.XLOOKUP(View[[#This Row],[ID]],Opportunities[ID],Opportunities[Amount])/1000,_xlfn.XLOOKUP(View[[#This Row],[ID]],Opportunities[ID],Opportunities[Weighted])/1000)</f>
        <v>800.33600000000001</v>
      </c>
      <c r="M27" s="22" t="str">
        <f>_xlfn.XLOOKUP(View[[#This Row],[ID]],Opportunities[ID],Opportunities[WinProbDisplay])</f>
        <v>↖ High</v>
      </c>
      <c r="N27" s="22" t="str">
        <f ca="1">_xlfn.XLOOKUP(View[[#This Row],[ID]],Opportunities[ID],Opportunities[Diagnosis])</f>
        <v/>
      </c>
      <c r="O27" s="23">
        <f>View[[#This Row],[Estmated Revenue]]</f>
        <v>720.30240000000003</v>
      </c>
      <c r="P27" s="2">
        <f ca="1">IF(_xlfn.XLOOKUP(View[[#This Row],[ID]],Opportunities[ID],Opportunities[Close])&lt;TODAY(),"",_xlfn.XLOOKUP(View[[#This Row],[ID]],Opportunities[ID],Opportunities[Close]))</f>
        <v>46192</v>
      </c>
      <c r="Q27" s="67">
        <f>_xlfn.XLOOKUP(View[[#This Row],[ID]],Opportunities[ID],Opportunities[Years])</f>
        <v>800336</v>
      </c>
      <c r="R27" s="20" t="str">
        <f>IF(_xlfn.XLOOKUP(View[[#This Row],[ID]],Opportunities[ID],Opportunities[Comment Log])=0,"",_xlfn.XLOOKUP(View[[#This Row],[ID]],Opportunities[ID],Opportunities[Comment Log]))</f>
        <v/>
      </c>
      <c r="S27">
        <v>34</v>
      </c>
      <c r="T27" s="3">
        <f ca="1">_xlfn.XLOOKUP(View[[#This Row],[ID]],Opportunities[ID],Opportunities[NextMilestoneDate])-TODAY()</f>
        <v>41</v>
      </c>
      <c r="U27"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V27" s="1">
        <f>_xlfn.XLOOKUP(View[[#This Row],[ID]],Opportunities[ID],Opportunities[Weighted])/1000</f>
        <v>720.30240000000003</v>
      </c>
      <c r="W27" s="4">
        <f>_xlfn.XLOOKUP(View[[#This Row],[ID]],Opportunities[ID],Opportunities[Amount])/1000</f>
        <v>800.33600000000001</v>
      </c>
      <c r="X27" t="b">
        <f>View[[#This Row],[Win Probability]]="High"</f>
        <v>0</v>
      </c>
      <c r="Y27">
        <f>SUBTOTAL(103, View[[#This Row],[Status]])</f>
        <v>1</v>
      </c>
    </row>
    <row r="28" spans="8:25" x14ac:dyDescent="0.25">
      <c r="H28" s="46" t="str">
        <f>_xlfn.XLOOKUP(View[[#This Row],[ID]],Opportunities[ID],Opportunities[Status])</f>
        <v>Active</v>
      </c>
      <c r="I28" s="28" t="str">
        <f>HYPERLINK(siteUrl&amp;"Lists/"&amp;oppList&amp;"/DispForm.aspx?ID="&amp;View[[#This Row],[ID]],_xlfn.XLOOKUP(View[[#This Row],[ID]],Opportunities[ID],Opportunities[OpportunityName]))</f>
        <v>Document Management System</v>
      </c>
      <c r="J28" s="40" t="str">
        <f>HYPERLINK(_xlfn.XLOOKUP(View[[#This Row],[ID]],Opportunities[ID],Opportunities[CustomerRecordURL]),_xlfn.XLOOKUP(View[[#This Row],[ID]],Opportunities[ID],Opportunities[Customer Name]))</f>
        <v>Global Industries</v>
      </c>
      <c r="K28" s="29" t="str">
        <f>_xlfn.XLOOKUP(View[[#This Row],[ID]],Opportunities[ID],Opportunities[DisplayStage])</f>
        <v>➀ - Lead Qualification</v>
      </c>
      <c r="L28" s="1">
        <f>IF(pipelineType="Unweighted",_xlfn.XLOOKUP(View[[#This Row],[ID]],Opportunities[ID],Opportunities[Amount])/1000,_xlfn.XLOOKUP(View[[#This Row],[ID]],Opportunities[ID],Opportunities[Weighted])/1000)</f>
        <v>1061.325</v>
      </c>
      <c r="M28" s="22" t="str">
        <f>_xlfn.XLOOKUP(View[[#This Row],[ID]],Opportunities[ID],Opportunities[WinProbDisplay])</f>
        <v>← Medium</v>
      </c>
      <c r="N28" s="22" t="str">
        <f ca="1">_xlfn.XLOOKUP(View[[#This Row],[ID]],Opportunities[ID],Opportunities[Diagnosis])</f>
        <v/>
      </c>
      <c r="O28" s="23">
        <f>View[[#This Row],[Estmated Revenue]]</f>
        <v>530.66250000000002</v>
      </c>
      <c r="P28" s="2">
        <f ca="1">IF(_xlfn.XLOOKUP(View[[#This Row],[ID]],Opportunities[ID],Opportunities[Close])&lt;TODAY(),"",_xlfn.XLOOKUP(View[[#This Row],[ID]],Opportunities[ID],Opportunities[Close]))</f>
        <v>46204</v>
      </c>
      <c r="Q28" s="67">
        <f>_xlfn.XLOOKUP(View[[#This Row],[ID]],Opportunities[ID],Opportunities[Years])</f>
        <v>353775</v>
      </c>
      <c r="R28" s="20" t="str">
        <f>IF(_xlfn.XLOOKUP(View[[#This Row],[ID]],Opportunities[ID],Opportunities[Comment Log])=0,"",_xlfn.XLOOKUP(View[[#This Row],[ID]],Opportunities[ID],Opportunities[Comment Log]))</f>
        <v/>
      </c>
      <c r="S28">
        <v>14</v>
      </c>
      <c r="T28" s="3">
        <f ca="1">_xlfn.XLOOKUP(View[[#This Row],[ID]],Opportunities[ID],Opportunities[NextMilestoneDate])-TODAY()</f>
        <v>10</v>
      </c>
      <c r="U28"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V28" s="1">
        <f>_xlfn.XLOOKUP(View[[#This Row],[ID]],Opportunities[ID],Opportunities[Weighted])/1000</f>
        <v>530.66250000000002</v>
      </c>
      <c r="W28" s="4">
        <f>_xlfn.XLOOKUP(View[[#This Row],[ID]],Opportunities[ID],Opportunities[Amount])/1000</f>
        <v>1061.325</v>
      </c>
      <c r="X28" t="b">
        <f>View[[#This Row],[Win Probability]]="High"</f>
        <v>0</v>
      </c>
      <c r="Y28">
        <f>SUBTOTAL(103, View[[#This Row],[Status]])</f>
        <v>1</v>
      </c>
    </row>
    <row r="29" spans="8:25" x14ac:dyDescent="0.25">
      <c r="H29" s="46" t="str">
        <f>_xlfn.XLOOKUP(View[[#This Row],[ID]],Opportunities[ID],Opportunities[Status])</f>
        <v>Active</v>
      </c>
      <c r="I29" s="28" t="str">
        <f>HYPERLINK(siteUrl&amp;"Lists/"&amp;oppList&amp;"/DispForm.aspx?ID="&amp;View[[#This Row],[ID]],_xlfn.XLOOKUP(View[[#This Row],[ID]],Opportunities[ID],Opportunities[OpportunityName]))</f>
        <v>Manufacturing Automation System</v>
      </c>
      <c r="J29" s="40" t="str">
        <f>HYPERLINK(_xlfn.XLOOKUP(View[[#This Row],[ID]],Opportunities[ID],Opportunities[CustomerRecordURL]),_xlfn.XLOOKUP(View[[#This Row],[ID]],Opportunities[ID],Opportunities[Customer Name]))</f>
        <v>Food Service Partners</v>
      </c>
      <c r="K29" s="29" t="str">
        <f>_xlfn.XLOOKUP(View[[#This Row],[ID]],Opportunities[ID],Opportunities[DisplayStage])</f>
        <v>➀ - Lead Qualification</v>
      </c>
      <c r="L29" s="1">
        <f>IF(pipelineType="Unweighted",_xlfn.XLOOKUP(View[[#This Row],[ID]],Opportunities[ID],Opportunities[Amount])/1000,_xlfn.XLOOKUP(View[[#This Row],[ID]],Opportunities[ID],Opportunities[Weighted])/1000)</f>
        <v>744.79899999999998</v>
      </c>
      <c r="M29" s="22" t="str">
        <f>_xlfn.XLOOKUP(View[[#This Row],[ID]],Opportunities[ID],Opportunities[WinProbDisplay])</f>
        <v>← Medium</v>
      </c>
      <c r="N29" s="22" t="str">
        <f ca="1">_xlfn.XLOOKUP(View[[#This Row],[ID]],Opportunities[ID],Opportunities[Diagnosis])</f>
        <v/>
      </c>
      <c r="O29" s="23">
        <f>View[[#This Row],[Estmated Revenue]]</f>
        <v>372.39949999999999</v>
      </c>
      <c r="P29" s="2">
        <f ca="1">IF(_xlfn.XLOOKUP(View[[#This Row],[ID]],Opportunities[ID],Opportunities[Close])&lt;TODAY(),"",_xlfn.XLOOKUP(View[[#This Row],[ID]],Opportunities[ID],Opportunities[Close]))</f>
        <v>46216</v>
      </c>
      <c r="Q29" s="67">
        <f>_xlfn.XLOOKUP(View[[#This Row],[ID]],Opportunities[ID],Opportunities[Years])</f>
        <v>124133.16666666667</v>
      </c>
      <c r="R29" s="20" t="str">
        <f>IF(_xlfn.XLOOKUP(View[[#This Row],[ID]],Opportunities[ID],Opportunities[Comment Log])=0,"",_xlfn.XLOOKUP(View[[#This Row],[ID]],Opportunities[ID],Opportunities[Comment Log]))</f>
        <v/>
      </c>
      <c r="S29">
        <v>4</v>
      </c>
      <c r="T29" s="3">
        <f ca="1">_xlfn.XLOOKUP(View[[#This Row],[ID]],Opportunities[ID],Opportunities[NextMilestoneDate])-TODAY()</f>
        <v>12</v>
      </c>
      <c r="U29"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V29" s="1">
        <f>_xlfn.XLOOKUP(View[[#This Row],[ID]],Opportunities[ID],Opportunities[Weighted])/1000</f>
        <v>372.39949999999999</v>
      </c>
      <c r="W29" s="4">
        <f>_xlfn.XLOOKUP(View[[#This Row],[ID]],Opportunities[ID],Opportunities[Amount])/1000</f>
        <v>744.79899999999998</v>
      </c>
      <c r="X29" t="b">
        <f>View[[#This Row],[Win Probability]]="High"</f>
        <v>0</v>
      </c>
      <c r="Y29">
        <f>SUBTOTAL(103, View[[#This Row],[Status]])</f>
        <v>1</v>
      </c>
    </row>
    <row r="30" spans="8:25" x14ac:dyDescent="0.25">
      <c r="H30" s="46" t="str">
        <f>_xlfn.XLOOKUP(View[[#This Row],[ID]],Opportunities[ID],Opportunities[Status])</f>
        <v>Active</v>
      </c>
      <c r="I30" s="28" t="str">
        <f>HYPERLINK(siteUrl&amp;"Lists/"&amp;oppList&amp;"/DispForm.aspx?ID="&amp;View[[#This Row],[ID]],_xlfn.XLOOKUP(View[[#This Row],[ID]],Opportunities[ID],Opportunities[OpportunityName]))</f>
        <v>Cybersecurity Enhancement</v>
      </c>
      <c r="J30" s="40" t="str">
        <f>HYPERLINK(_xlfn.XLOOKUP(View[[#This Row],[ID]],Opportunities[ID],Opportunities[CustomerRecordURL]),_xlfn.XLOOKUP(View[[#This Row],[ID]],Opportunities[ID],Opportunities[Customer Name]))</f>
        <v>Insurance Specialists</v>
      </c>
      <c r="K30" s="29" t="str">
        <f>_xlfn.XLOOKUP(View[[#This Row],[ID]],Opportunities[ID],Opportunities[DisplayStage])</f>
        <v>➄ - Project Execution</v>
      </c>
      <c r="L30" s="1">
        <f>IF(pipelineType="Unweighted",_xlfn.XLOOKUP(View[[#This Row],[ID]],Opportunities[ID],Opportunities[Amount])/1000,_xlfn.XLOOKUP(View[[#This Row],[ID]],Opportunities[ID],Opportunities[Weighted])/1000)</f>
        <v>1087.125</v>
      </c>
      <c r="M30" s="22" t="str">
        <f>_xlfn.XLOOKUP(View[[#This Row],[ID]],Opportunities[ID],Opportunities[WinProbDisplay])</f>
        <v>← Medium</v>
      </c>
      <c r="N30" s="22" t="str">
        <f>_xlfn.XLOOKUP(View[[#This Row],[ID]],Opportunities[ID],Opportunities[Diagnosis])</f>
        <v/>
      </c>
      <c r="O30" s="23">
        <f>View[[#This Row],[Estmated Revenue]]</f>
        <v>543.5625</v>
      </c>
      <c r="P30" s="2">
        <f ca="1">IF(_xlfn.XLOOKUP(View[[#This Row],[ID]],Opportunities[ID],Opportunities[Close])&lt;TODAY(),"",_xlfn.XLOOKUP(View[[#This Row],[ID]],Opportunities[ID],Opportunities[Close]))</f>
        <v>46226</v>
      </c>
      <c r="Q30" s="67">
        <f>_xlfn.XLOOKUP(View[[#This Row],[ID]],Opportunities[ID],Opportunities[Years])</f>
        <v>135890.625</v>
      </c>
      <c r="R30" s="20" t="str">
        <f>IF(_xlfn.XLOOKUP(View[[#This Row],[ID]],Opportunities[ID],Opportunities[Comment Log])=0,"",_xlfn.XLOOKUP(View[[#This Row],[ID]],Opportunities[ID],Opportunities[Comment Log]))</f>
        <v/>
      </c>
      <c r="S30">
        <v>12</v>
      </c>
      <c r="T30" s="3">
        <f ca="1">_xlfn.XLOOKUP(View[[#This Row],[ID]],Opportunities[ID],Opportunities[NextMilestoneDate])-TODAY()</f>
        <v>28</v>
      </c>
      <c r="U30"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V30" s="1">
        <f>_xlfn.XLOOKUP(View[[#This Row],[ID]],Opportunities[ID],Opportunities[Weighted])/1000</f>
        <v>543.5625</v>
      </c>
      <c r="W30" s="4">
        <f>_xlfn.XLOOKUP(View[[#This Row],[ID]],Opportunities[ID],Opportunities[Amount])/1000</f>
        <v>1087.125</v>
      </c>
      <c r="X30" t="b">
        <f>View[[#This Row],[Win Probability]]="High"</f>
        <v>0</v>
      </c>
      <c r="Y30">
        <f>SUBTOTAL(103, View[[#This Row],[Status]])</f>
        <v>1</v>
      </c>
    </row>
    <row r="31" spans="8:25" x14ac:dyDescent="0.25">
      <c r="H31" s="46" t="str">
        <f>_xlfn.XLOOKUP(View[[#This Row],[ID]],Opportunities[ID],Opportunities[Status])</f>
        <v>Active</v>
      </c>
      <c r="I31" s="28" t="str">
        <f>HYPERLINK(siteUrl&amp;"Lists/"&amp;oppList&amp;"/DispForm.aspx?ID="&amp;View[[#This Row],[ID]],_xlfn.XLOOKUP(View[[#This Row],[ID]],Opportunities[ID],Opportunities[OpportunityName]))</f>
        <v>Customer Service Platform</v>
      </c>
      <c r="J31" s="40" t="str">
        <f>HYPERLINK(_xlfn.XLOOKUP(View[[#This Row],[ID]],Opportunities[ID],Opportunities[CustomerRecordURL]),_xlfn.XLOOKUP(View[[#This Row],[ID]],Opportunities[ID],Opportunities[Customer Name]))</f>
        <v>ACME Corporation</v>
      </c>
      <c r="K31" s="29" t="str">
        <f>_xlfn.XLOOKUP(View[[#This Row],[ID]],Opportunities[ID],Opportunities[DisplayStage])</f>
        <v>➁ - Nurturing</v>
      </c>
      <c r="L31" s="1">
        <f>IF(pipelineType="Unweighted",_xlfn.XLOOKUP(View[[#This Row],[ID]],Opportunities[ID],Opportunities[Amount])/1000,_xlfn.XLOOKUP(View[[#This Row],[ID]],Opportunities[ID],Opportunities[Weighted])/1000)</f>
        <v>1172.164</v>
      </c>
      <c r="M31" s="22" t="str">
        <f>_xlfn.XLOOKUP(View[[#This Row],[ID]],Opportunities[ID],Opportunities[WinProbDisplay])</f>
        <v>← Medium</v>
      </c>
      <c r="N31" s="22" t="str">
        <f ca="1">_xlfn.XLOOKUP(View[[#This Row],[ID]],Opportunities[ID],Opportunities[Diagnosis])</f>
        <v/>
      </c>
      <c r="O31" s="23">
        <f>View[[#This Row],[Estmated Revenue]]</f>
        <v>586.08199999999999</v>
      </c>
      <c r="P31" s="2">
        <f ca="1">IF(_xlfn.XLOOKUP(View[[#This Row],[ID]],Opportunities[ID],Opportunities[Close])&lt;TODAY(),"",_xlfn.XLOOKUP(View[[#This Row],[ID]],Opportunities[ID],Opportunities[Close]))</f>
        <v>46233</v>
      </c>
      <c r="Q31" s="67">
        <f>_xlfn.XLOOKUP(View[[#This Row],[ID]],Opportunities[ID],Opportunities[Years])</f>
        <v>146520.5</v>
      </c>
      <c r="R31" s="20" t="str">
        <f>IF(_xlfn.XLOOKUP(View[[#This Row],[ID]],Opportunities[ID],Opportunities[Comment Log])=0,"",_xlfn.XLOOKUP(View[[#This Row],[ID]],Opportunities[ID],Opportunities[Comment Log]))</f>
        <v/>
      </c>
      <c r="S31">
        <v>30</v>
      </c>
      <c r="T31" s="3">
        <f ca="1">_xlfn.XLOOKUP(View[[#This Row],[ID]],Opportunities[ID],Opportunities[NextMilestoneDate])-TODAY()</f>
        <v>35</v>
      </c>
      <c r="U31"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V31" s="1">
        <f>_xlfn.XLOOKUP(View[[#This Row],[ID]],Opportunities[ID],Opportunities[Weighted])/1000</f>
        <v>586.08199999999999</v>
      </c>
      <c r="W31" s="4">
        <f>_xlfn.XLOOKUP(View[[#This Row],[ID]],Opportunities[ID],Opportunities[Amount])/1000</f>
        <v>1172.164</v>
      </c>
      <c r="X31" t="b">
        <f>View[[#This Row],[Win Probability]]="High"</f>
        <v>0</v>
      </c>
      <c r="Y31">
        <f>SUBTOTAL(103, View[[#This Row],[Status]])</f>
        <v>1</v>
      </c>
    </row>
    <row r="32" spans="8:25" x14ac:dyDescent="0.25">
      <c r="H32" s="46" t="str">
        <f>_xlfn.XLOOKUP(View[[#This Row],[ID]],Opportunities[ID],Opportunities[Status])</f>
        <v>Active</v>
      </c>
      <c r="I32" s="28" t="str">
        <f>HYPERLINK(siteUrl&amp;"Lists/"&amp;oppList&amp;"/DispForm.aspx?ID="&amp;View[[#This Row],[ID]],_xlfn.XLOOKUP(View[[#This Row],[ID]],Opportunities[ID],Opportunities[OpportunityName]))</f>
        <v>E-commerce Platform</v>
      </c>
      <c r="J32" s="40" t="str">
        <f>HYPERLINK(_xlfn.XLOOKUP(View[[#This Row],[ID]],Opportunities[ID],Opportunities[CustomerRecordURL]),_xlfn.XLOOKUP(View[[#This Row],[ID]],Opportunities[ID],Opportunities[Customer Name]))</f>
        <v>Global Industries</v>
      </c>
      <c r="K32" s="29" t="str">
        <f>_xlfn.XLOOKUP(View[[#This Row],[ID]],Opportunities[ID],Opportunities[DisplayStage])</f>
        <v>➃ - Negotiation</v>
      </c>
      <c r="L32" s="1">
        <f>IF(pipelineType="Unweighted",_xlfn.XLOOKUP(View[[#This Row],[ID]],Opportunities[ID],Opportunities[Amount])/1000,_xlfn.XLOOKUP(View[[#This Row],[ID]],Opportunities[ID],Opportunities[Weighted])/1000)</f>
        <v>1236.6369999999999</v>
      </c>
      <c r="M32" s="22" t="str">
        <f>_xlfn.XLOOKUP(View[[#This Row],[ID]],Opportunities[ID],Opportunities[WinProbDisplay])</f>
        <v>← Medium</v>
      </c>
      <c r="N32" s="22" t="str">
        <f ca="1">_xlfn.XLOOKUP(View[[#This Row],[ID]],Opportunities[ID],Opportunities[Diagnosis])</f>
        <v/>
      </c>
      <c r="O32" s="23">
        <f>View[[#This Row],[Estmated Revenue]]</f>
        <v>618.31849999999997</v>
      </c>
      <c r="P32" s="2">
        <f ca="1">IF(_xlfn.XLOOKUP(View[[#This Row],[ID]],Opportunities[ID],Opportunities[Close])&lt;TODAY(),"",_xlfn.XLOOKUP(View[[#This Row],[ID]],Opportunities[ID],Opportunities[Close]))</f>
        <v>46246</v>
      </c>
      <c r="Q32" s="67">
        <f>_xlfn.XLOOKUP(View[[#This Row],[ID]],Opportunities[ID],Opportunities[Years])</f>
        <v>302849.87755102041</v>
      </c>
      <c r="R32" s="20" t="str">
        <f>IF(_xlfn.XLOOKUP(View[[#This Row],[ID]],Opportunities[ID],Opportunities[Comment Log])=0,"",_xlfn.XLOOKUP(View[[#This Row],[ID]],Opportunities[ID],Opportunities[Comment Log]))</f>
        <v/>
      </c>
      <c r="S32">
        <v>13</v>
      </c>
      <c r="T32" s="3">
        <f ca="1">_xlfn.XLOOKUP(View[[#This Row],[ID]],Opportunities[ID],Opportunities[NextMilestoneDate])-TODAY()</f>
        <v>57</v>
      </c>
      <c r="U32"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V32" s="1">
        <f>_xlfn.XLOOKUP(View[[#This Row],[ID]],Opportunities[ID],Opportunities[Weighted])/1000</f>
        <v>618.31849999999997</v>
      </c>
      <c r="W32" s="4">
        <f>_xlfn.XLOOKUP(View[[#This Row],[ID]],Opportunities[ID],Opportunities[Amount])/1000</f>
        <v>1236.6369999999999</v>
      </c>
      <c r="X32" t="b">
        <f>View[[#This Row],[Win Probability]]="High"</f>
        <v>0</v>
      </c>
      <c r="Y32">
        <f>SUBTOTAL(103, View[[#This Row],[Status]])</f>
        <v>1</v>
      </c>
    </row>
    <row r="33" spans="8:25" x14ac:dyDescent="0.25">
      <c r="H33" s="46" t="str">
        <f>_xlfn.XLOOKUP(View[[#This Row],[ID]],Opportunities[ID],Opportunities[Status])</f>
        <v>Active</v>
      </c>
      <c r="I33" s="28" t="str">
        <f>HYPERLINK(siteUrl&amp;"Lists/"&amp;oppList&amp;"/DispForm.aspx?ID="&amp;View[[#This Row],[ID]],_xlfn.XLOOKUP(View[[#This Row],[ID]],Opportunities[ID],Opportunities[OpportunityName]))</f>
        <v>API Development Project</v>
      </c>
      <c r="J33" s="40" t="str">
        <f>HYPERLINK(_xlfn.XLOOKUP(View[[#This Row],[ID]],Opportunities[ID],Opportunities[CustomerRecordURL]),_xlfn.XLOOKUP(View[[#This Row],[ID]],Opportunities[ID],Opportunities[Customer Name]))</f>
        <v>Tech Solutions Inc</v>
      </c>
      <c r="K33" s="29" t="str">
        <f>_xlfn.XLOOKUP(View[[#This Row],[ID]],Opportunities[ID],Opportunities[DisplayStage])</f>
        <v>➄ - Project Execution</v>
      </c>
      <c r="L33" s="1">
        <f>IF(pipelineType="Unweighted",_xlfn.XLOOKUP(View[[#This Row],[ID]],Opportunities[ID],Opportunities[Amount])/1000,_xlfn.XLOOKUP(View[[#This Row],[ID]],Opportunities[ID],Opportunities[Weighted])/1000)</f>
        <v>2176.6320000000001</v>
      </c>
      <c r="M33" s="22" t="str">
        <f>_xlfn.XLOOKUP(View[[#This Row],[ID]],Opportunities[ID],Opportunities[WinProbDisplay])</f>
        <v>← Medium</v>
      </c>
      <c r="N33" s="22" t="str">
        <f>_xlfn.XLOOKUP(View[[#This Row],[ID]],Opportunities[ID],Opportunities[Diagnosis])</f>
        <v/>
      </c>
      <c r="O33" s="23">
        <f>View[[#This Row],[Estmated Revenue]]</f>
        <v>1088.316</v>
      </c>
      <c r="P33" s="2">
        <f ca="1">IF(_xlfn.XLOOKUP(View[[#This Row],[ID]],Opportunities[ID],Opportunities[Close])&lt;TODAY(),"",_xlfn.XLOOKUP(View[[#This Row],[ID]],Opportunities[ID],Opportunities[Close]))</f>
        <v>46253</v>
      </c>
      <c r="Q33" s="67">
        <f>_xlfn.XLOOKUP(View[[#This Row],[ID]],Opportunities[ID],Opportunities[Years])</f>
        <v>502299.69230769237</v>
      </c>
      <c r="R33" s="20" t="str">
        <f>IF(_xlfn.XLOOKUP(View[[#This Row],[ID]],Opportunities[ID],Opportunities[Comment Log])=0,"",_xlfn.XLOOKUP(View[[#This Row],[ID]],Opportunities[ID],Opportunities[Comment Log]))</f>
        <v/>
      </c>
      <c r="S33">
        <v>39</v>
      </c>
      <c r="T33" s="3">
        <f ca="1">_xlfn.XLOOKUP(View[[#This Row],[ID]],Opportunities[ID],Opportunities[NextMilestoneDate])-TODAY()</f>
        <v>26</v>
      </c>
      <c r="U33"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V33" s="1">
        <f>_xlfn.XLOOKUP(View[[#This Row],[ID]],Opportunities[ID],Opportunities[Weighted])/1000</f>
        <v>1088.316</v>
      </c>
      <c r="W33" s="4">
        <f>_xlfn.XLOOKUP(View[[#This Row],[ID]],Opportunities[ID],Opportunities[Amount])/1000</f>
        <v>2176.6320000000001</v>
      </c>
      <c r="X33" t="b">
        <f>View[[#This Row],[Win Probability]]="High"</f>
        <v>0</v>
      </c>
      <c r="Y33">
        <f>SUBTOTAL(103, View[[#This Row],[Status]])</f>
        <v>1</v>
      </c>
    </row>
    <row r="34" spans="8:25" x14ac:dyDescent="0.25">
      <c r="H34" s="46" t="str">
        <f>_xlfn.XLOOKUP(View[[#This Row],[ID]],Opportunities[ID],Opportunities[Status])</f>
        <v>Active</v>
      </c>
      <c r="I34" s="28" t="str">
        <f>HYPERLINK(siteUrl&amp;"Lists/"&amp;oppList&amp;"/DispForm.aspx?ID="&amp;View[[#This Row],[ID]],_xlfn.XLOOKUP(View[[#This Row],[ID]],Opportunities[ID],Opportunities[OpportunityName]))</f>
        <v>Security Assessment &amp; Audit</v>
      </c>
      <c r="J34" s="40" t="str">
        <f>HYPERLINK(_xlfn.XLOOKUP(View[[#This Row],[ID]],Opportunities[ID],Opportunities[CustomerRecordURL]),_xlfn.XLOOKUP(View[[#This Row],[ID]],Opportunities[ID],Opportunities[Customer Name]))</f>
        <v>Real Estate Ventures</v>
      </c>
      <c r="K34" s="29" t="str">
        <f>_xlfn.XLOOKUP(View[[#This Row],[ID]],Opportunities[ID],Opportunities[DisplayStage])</f>
        <v>➁ - Nurturing</v>
      </c>
      <c r="L34" s="1">
        <f>IF(pipelineType="Unweighted",_xlfn.XLOOKUP(View[[#This Row],[ID]],Opportunities[ID],Opportunities[Amount])/1000,_xlfn.XLOOKUP(View[[#This Row],[ID]],Opportunities[ID],Opportunities[Weighted])/1000)</f>
        <v>1153.7249999999999</v>
      </c>
      <c r="M34" s="22" t="str">
        <f>_xlfn.XLOOKUP(View[[#This Row],[ID]],Opportunities[ID],Opportunities[WinProbDisplay])</f>
        <v>← Medium</v>
      </c>
      <c r="N34" s="22" t="str">
        <f ca="1">_xlfn.XLOOKUP(View[[#This Row],[ID]],Opportunities[ID],Opportunities[Diagnosis])</f>
        <v/>
      </c>
      <c r="O34" s="23">
        <f>View[[#This Row],[Estmated Revenue]]</f>
        <v>576.86249999999995</v>
      </c>
      <c r="P34" s="2">
        <f ca="1">IF(_xlfn.XLOOKUP(View[[#This Row],[ID]],Opportunities[ID],Opportunities[Close])&lt;TODAY(),"",_xlfn.XLOOKUP(View[[#This Row],[ID]],Opportunities[ID],Opportunities[Close]))</f>
        <v>46266</v>
      </c>
      <c r="Q34" s="67">
        <f>_xlfn.XLOOKUP(View[[#This Row],[ID]],Opportunities[ID],Opportunities[Years])</f>
        <v>1153725</v>
      </c>
      <c r="R34" s="20" t="str">
        <f>IF(_xlfn.XLOOKUP(View[[#This Row],[ID]],Opportunities[ID],Opportunities[Comment Log])=0,"",_xlfn.XLOOKUP(View[[#This Row],[ID]],Opportunities[ID],Opportunities[Comment Log]))</f>
        <v/>
      </c>
      <c r="S34">
        <v>3</v>
      </c>
      <c r="T34" s="3">
        <f ca="1">_xlfn.XLOOKUP(View[[#This Row],[ID]],Opportunities[ID],Opportunities[NextMilestoneDate])-TODAY()</f>
        <v>43</v>
      </c>
      <c r="U34"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V34" s="1">
        <f>_xlfn.XLOOKUP(View[[#This Row],[ID]],Opportunities[ID],Opportunities[Weighted])/1000</f>
        <v>576.86249999999995</v>
      </c>
      <c r="W34" s="4">
        <f>_xlfn.XLOOKUP(View[[#This Row],[ID]],Opportunities[ID],Opportunities[Amount])/1000</f>
        <v>1153.7249999999999</v>
      </c>
      <c r="X34" t="b">
        <f>View[[#This Row],[Win Probability]]="High"</f>
        <v>0</v>
      </c>
      <c r="Y34">
        <f>SUBTOTAL(103, View[[#This Row],[Status]])</f>
        <v>1</v>
      </c>
    </row>
    <row r="35" spans="8:25" x14ac:dyDescent="0.25">
      <c r="H35" s="46" t="str">
        <f>_xlfn.XLOOKUP(View[[#This Row],[ID]],Opportunities[ID],Opportunities[Status])</f>
        <v>At Risk</v>
      </c>
      <c r="I35" s="28" t="str">
        <f>HYPERLINK(siteUrl&amp;"Lists/"&amp;oppList&amp;"/DispForm.aspx?ID="&amp;View[[#This Row],[ID]],_xlfn.XLOOKUP(View[[#This Row],[ID]],Opportunities[ID],Opportunities[OpportunityName]))</f>
        <v>Data Center Consolidation</v>
      </c>
      <c r="J35" s="40" t="str">
        <f>HYPERLINK(_xlfn.XLOOKUP(View[[#This Row],[ID]],Opportunities[ID],Opportunities[CustomerRecordURL]),_xlfn.XLOOKUP(View[[#This Row],[ID]],Opportunities[ID],Opportunities[Customer Name]))</f>
        <v>Tech Solutions Inc</v>
      </c>
      <c r="K35" s="29" t="str">
        <f>_xlfn.XLOOKUP(View[[#This Row],[ID]],Opportunities[ID],Opportunities[DisplayStage])</f>
        <v>➃ - Negotiation</v>
      </c>
      <c r="L35" s="1">
        <f>IF(pipelineType="Unweighted",_xlfn.XLOOKUP(View[[#This Row],[ID]],Opportunities[ID],Opportunities[Amount])/1000,_xlfn.XLOOKUP(View[[#This Row],[ID]],Opportunities[ID],Opportunities[Weighted])/1000)</f>
        <v>2017.08</v>
      </c>
      <c r="M35" s="22" t="str">
        <f>_xlfn.XLOOKUP(View[[#This Row],[ID]],Opportunities[ID],Opportunities[WinProbDisplay])</f>
        <v>↖ High</v>
      </c>
      <c r="N35" s="22" t="str">
        <f ca="1">_xlfn.XLOOKUP(View[[#This Row],[ID]],Opportunities[ID],Opportunities[Diagnosis])</f>
        <v/>
      </c>
      <c r="O35" s="23">
        <f>View[[#This Row],[Estmated Revenue]]</f>
        <v>1815.3720000000001</v>
      </c>
      <c r="P35" s="2">
        <f ca="1">IF(_xlfn.XLOOKUP(View[[#This Row],[ID]],Opportunities[ID],Opportunities[Close])&lt;TODAY(),"",_xlfn.XLOOKUP(View[[#This Row],[ID]],Opportunities[ID],Opportunities[Close]))</f>
        <v>46318</v>
      </c>
      <c r="Q35" s="67">
        <f>_xlfn.XLOOKUP(View[[#This Row],[ID]],Opportunities[ID],Opportunities[Years])</f>
        <v>504270</v>
      </c>
      <c r="R35" s="20" t="str">
        <f>IF(_xlfn.XLOOKUP(View[[#This Row],[ID]],Opportunities[ID],Opportunities[Comment Log])=0,"",_xlfn.XLOOKUP(View[[#This Row],[ID]],Opportunities[ID],Opportunities[Comment Log]))</f>
        <v/>
      </c>
      <c r="S35">
        <v>11</v>
      </c>
      <c r="T35" s="3">
        <f ca="1">_xlfn.XLOOKUP(View[[#This Row],[ID]],Opportunities[ID],Opportunities[NextMilestoneDate])-TODAY()</f>
        <v>41</v>
      </c>
      <c r="U35"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V35" s="1">
        <f>_xlfn.XLOOKUP(View[[#This Row],[ID]],Opportunities[ID],Opportunities[Weighted])/1000</f>
        <v>1815.3720000000001</v>
      </c>
      <c r="W35" s="4">
        <f>_xlfn.XLOOKUP(View[[#This Row],[ID]],Opportunities[ID],Opportunities[Amount])/1000</f>
        <v>2017.08</v>
      </c>
      <c r="X35" t="b">
        <f>View[[#This Row],[Win Probability]]="High"</f>
        <v>0</v>
      </c>
      <c r="Y35">
        <f>SUBTOTAL(103, View[[#This Row],[Status]])</f>
        <v>1</v>
      </c>
    </row>
    <row r="36" spans="8:25" x14ac:dyDescent="0.25">
      <c r="H36" s="46" t="str">
        <f>_xlfn.XLOOKUP(View[[#This Row],[ID]],Opportunities[ID],Opportunities[Status])</f>
        <v>Active</v>
      </c>
      <c r="I36" s="28" t="str">
        <f>HYPERLINK(siteUrl&amp;"Lists/"&amp;oppList&amp;"/DispForm.aspx?ID="&amp;View[[#This Row],[ID]],_xlfn.XLOOKUP(View[[#This Row],[ID]],Opportunities[ID],Opportunities[OpportunityName]))</f>
        <v>Website Redesign Project</v>
      </c>
      <c r="J36" s="40" t="str">
        <f>HYPERLINK(_xlfn.XLOOKUP(View[[#This Row],[ID]],Opportunities[ID],Opportunities[CustomerRecordURL]),_xlfn.XLOOKUP(View[[#This Row],[ID]],Opportunities[ID],Opportunities[Customer Name]))</f>
        <v>ACME Corporation</v>
      </c>
      <c r="K36" s="29" t="str">
        <f>_xlfn.XLOOKUP(View[[#This Row],[ID]],Opportunities[ID],Opportunities[DisplayStage])</f>
        <v>➀ - Lead Qualification</v>
      </c>
      <c r="L36" s="1">
        <f>IF(pipelineType="Unweighted",_xlfn.XLOOKUP(View[[#This Row],[ID]],Opportunities[ID],Opportunities[Amount])/1000,_xlfn.XLOOKUP(View[[#This Row],[ID]],Opportunities[ID],Opportunities[Weighted])/1000)</f>
        <v>1213.43</v>
      </c>
      <c r="M36" s="22" t="str">
        <f>_xlfn.XLOOKUP(View[[#This Row],[ID]],Opportunities[ID],Opportunities[WinProbDisplay])</f>
        <v>← Medium</v>
      </c>
      <c r="N36" s="22" t="str">
        <f ca="1">_xlfn.XLOOKUP(View[[#This Row],[ID]],Opportunities[ID],Opportunities[Diagnosis])</f>
        <v/>
      </c>
      <c r="O36" s="23">
        <f>View[[#This Row],[Estmated Revenue]]</f>
        <v>606.71500000000003</v>
      </c>
      <c r="P36" s="2">
        <f ca="1">IF(_xlfn.XLOOKUP(View[[#This Row],[ID]],Opportunities[ID],Opportunities[Close])&lt;TODAY(),"",_xlfn.XLOOKUP(View[[#This Row],[ID]],Opportunities[ID],Opportunities[Close]))</f>
        <v>46325</v>
      </c>
      <c r="Q36" s="67">
        <f>_xlfn.XLOOKUP(View[[#This Row],[ID]],Opportunities[ID],Opportunities[Years])</f>
        <v>323581.33333333331</v>
      </c>
      <c r="R36" s="20" t="str">
        <f>IF(_xlfn.XLOOKUP(View[[#This Row],[ID]],Opportunities[ID],Opportunities[Comment Log])=0,"",_xlfn.XLOOKUP(View[[#This Row],[ID]],Opportunities[ID],Opportunities[Comment Log]))</f>
        <v/>
      </c>
      <c r="S36">
        <v>28</v>
      </c>
      <c r="T36" s="3">
        <f ca="1">_xlfn.XLOOKUP(View[[#This Row],[ID]],Opportunities[ID],Opportunities[NextMilestoneDate])-TODAY()</f>
        <v>15</v>
      </c>
      <c r="U36"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V36" s="1">
        <f>_xlfn.XLOOKUP(View[[#This Row],[ID]],Opportunities[ID],Opportunities[Weighted])/1000</f>
        <v>606.71500000000003</v>
      </c>
      <c r="W36" s="4">
        <f>_xlfn.XLOOKUP(View[[#This Row],[ID]],Opportunities[ID],Opportunities[Amount])/1000</f>
        <v>1213.43</v>
      </c>
      <c r="X36" t="b">
        <f>View[[#This Row],[Win Probability]]="High"</f>
        <v>0</v>
      </c>
      <c r="Y36">
        <f>SUBTOTAL(103, View[[#This Row],[Status]])</f>
        <v>1</v>
      </c>
    </row>
    <row r="37" spans="8:25" x14ac:dyDescent="0.25">
      <c r="H37" s="46" t="str">
        <f>_xlfn.XLOOKUP(View[[#This Row],[ID]],Opportunities[ID],Opportunities[Status])</f>
        <v>Active</v>
      </c>
      <c r="I37" s="28" t="str">
        <f>HYPERLINK(siteUrl&amp;"Lists/"&amp;oppList&amp;"/DispForm.aspx?ID="&amp;View[[#This Row],[ID]],_xlfn.XLOOKUP(View[[#This Row],[ID]],Opportunities[ID],Opportunities[OpportunityName]))</f>
        <v>Network Infrastructure Upgrade</v>
      </c>
      <c r="J37" s="40" t="str">
        <f>HYPERLINK(_xlfn.XLOOKUP(View[[#This Row],[ID]],Opportunities[ID],Opportunities[CustomerRecordURL]),_xlfn.XLOOKUP(View[[#This Row],[ID]],Opportunities[ID],Opportunities[Customer Name]))</f>
        <v>Media Communications</v>
      </c>
      <c r="K37" s="29" t="str">
        <f>_xlfn.XLOOKUP(View[[#This Row],[ID]],Opportunities[ID],Opportunities[DisplayStage])</f>
        <v>➄ - Project Execution</v>
      </c>
      <c r="L37" s="1">
        <f>IF(pipelineType="Unweighted",_xlfn.XLOOKUP(View[[#This Row],[ID]],Opportunities[ID],Opportunities[Amount])/1000,_xlfn.XLOOKUP(View[[#This Row],[ID]],Opportunities[ID],Opportunities[Weighted])/1000)</f>
        <v>1002.514</v>
      </c>
      <c r="M37" s="22" t="str">
        <f>_xlfn.XLOOKUP(View[[#This Row],[ID]],Opportunities[ID],Opportunities[WinProbDisplay])</f>
        <v>← Medium</v>
      </c>
      <c r="N37" s="22" t="str">
        <f>_xlfn.XLOOKUP(View[[#This Row],[ID]],Opportunities[ID],Opportunities[Diagnosis])</f>
        <v/>
      </c>
      <c r="O37" s="23">
        <f>View[[#This Row],[Estmated Revenue]]</f>
        <v>501.25700000000001</v>
      </c>
      <c r="P37" s="2">
        <f ca="1">IF(_xlfn.XLOOKUP(View[[#This Row],[ID]],Opportunities[ID],Opportunities[Close])&lt;TODAY(),"",_xlfn.XLOOKUP(View[[#This Row],[ID]],Opportunities[ID],Opportunities[Close]))</f>
        <v>46330</v>
      </c>
      <c r="Q37" s="67">
        <f>_xlfn.XLOOKUP(View[[#This Row],[ID]],Opportunities[ID],Opportunities[Years])</f>
        <v>334171.33333333331</v>
      </c>
      <c r="R37" s="20" t="str">
        <f>IF(_xlfn.XLOOKUP(View[[#This Row],[ID]],Opportunities[ID],Opportunities[Comment Log])=0,"",_xlfn.XLOOKUP(View[[#This Row],[ID]],Opportunities[ID],Opportunities[Comment Log]))</f>
        <v/>
      </c>
      <c r="S37">
        <v>7</v>
      </c>
      <c r="T37" s="3">
        <f ca="1">_xlfn.XLOOKUP(View[[#This Row],[ID]],Opportunities[ID],Opportunities[NextMilestoneDate])-TODAY()</f>
        <v>6</v>
      </c>
      <c r="U37"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V37" s="1">
        <f>_xlfn.XLOOKUP(View[[#This Row],[ID]],Opportunities[ID],Opportunities[Weighted])/1000</f>
        <v>501.25700000000001</v>
      </c>
      <c r="W37" s="4">
        <f>_xlfn.XLOOKUP(View[[#This Row],[ID]],Opportunities[ID],Opportunities[Amount])/1000</f>
        <v>1002.514</v>
      </c>
      <c r="X37" t="b">
        <f>View[[#This Row],[Win Probability]]="High"</f>
        <v>0</v>
      </c>
      <c r="Y37">
        <f>SUBTOTAL(103, View[[#This Row],[Status]])</f>
        <v>1</v>
      </c>
    </row>
    <row r="38" spans="8:25" x14ac:dyDescent="0.25">
      <c r="H38" s="46" t="str">
        <f>_xlfn.XLOOKUP(View[[#This Row],[ID]],Opportunities[ID],Opportunities[Status])</f>
        <v>Active</v>
      </c>
      <c r="I38" s="28" t="str">
        <f>HYPERLINK(siteUrl&amp;"Lists/"&amp;oppList&amp;"/DispForm.aspx?ID="&amp;View[[#This Row],[ID]],_xlfn.XLOOKUP(View[[#This Row],[ID]],Opportunities[ID],Opportunities[OpportunityName]))</f>
        <v>Machine Learning Implementation</v>
      </c>
      <c r="J38" s="40" t="str">
        <f>HYPERLINK(_xlfn.XLOOKUP(View[[#This Row],[ID]],Opportunities[ID],Opportunities[CustomerRecordURL]),_xlfn.XLOOKUP(View[[#This Row],[ID]],Opportunities[ID],Opportunities[Customer Name]))</f>
        <v>Pharmaceutical Research</v>
      </c>
      <c r="K38" s="29" t="str">
        <f>_xlfn.XLOOKUP(View[[#This Row],[ID]],Opportunities[ID],Opportunities[DisplayStage])</f>
        <v>➂ - Proposal</v>
      </c>
      <c r="L38" s="1">
        <f>IF(pipelineType="Unweighted",_xlfn.XLOOKUP(View[[#This Row],[ID]],Opportunities[ID],Opportunities[Amount])/1000,_xlfn.XLOOKUP(View[[#This Row],[ID]],Opportunities[ID],Opportunities[Weighted])/1000)</f>
        <v>481.92599999999999</v>
      </c>
      <c r="M38" s="22" t="str">
        <f>_xlfn.XLOOKUP(View[[#This Row],[ID]],Opportunities[ID],Opportunities[WinProbDisplay])</f>
        <v>↖ High</v>
      </c>
      <c r="N38" s="22" t="str">
        <f ca="1">_xlfn.XLOOKUP(View[[#This Row],[ID]],Opportunities[ID],Opportunities[Diagnosis])</f>
        <v/>
      </c>
      <c r="O38" s="23">
        <f>View[[#This Row],[Estmated Revenue]]</f>
        <v>433.73340000000002</v>
      </c>
      <c r="P38" s="2">
        <f ca="1">IF(_xlfn.XLOOKUP(View[[#This Row],[ID]],Opportunities[ID],Opportunities[Close])&lt;TODAY(),"",_xlfn.XLOOKUP(View[[#This Row],[ID]],Opportunities[ID],Opportunities[Close]))</f>
        <v>46338</v>
      </c>
      <c r="Q38" s="67">
        <f>_xlfn.XLOOKUP(View[[#This Row],[ID]],Opportunities[ID],Opportunities[Years])</f>
        <v>80321</v>
      </c>
      <c r="R38" s="20" t="str">
        <f>IF(_xlfn.XLOOKUP(View[[#This Row],[ID]],Opportunities[ID],Opportunities[Comment Log])=0,"",_xlfn.XLOOKUP(View[[#This Row],[ID]],Opportunities[ID],Opportunities[Comment Log]))</f>
        <v/>
      </c>
      <c r="S38">
        <v>40</v>
      </c>
      <c r="T38" s="3">
        <f ca="1">_xlfn.XLOOKUP(View[[#This Row],[ID]],Opportunities[ID],Opportunities[NextMilestoneDate])-TODAY()</f>
        <v>15</v>
      </c>
      <c r="U38"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V38" s="1">
        <f>_xlfn.XLOOKUP(View[[#This Row],[ID]],Opportunities[ID],Opportunities[Weighted])/1000</f>
        <v>433.73340000000002</v>
      </c>
      <c r="W38" s="4">
        <f>_xlfn.XLOOKUP(View[[#This Row],[ID]],Opportunities[ID],Opportunities[Amount])/1000</f>
        <v>481.92599999999999</v>
      </c>
      <c r="X38" t="b">
        <f>View[[#This Row],[Win Probability]]="High"</f>
        <v>0</v>
      </c>
      <c r="Y38">
        <f>SUBTOTAL(103, View[[#This Row],[Status]])</f>
        <v>1</v>
      </c>
    </row>
    <row r="39" spans="8:25" x14ac:dyDescent="0.25">
      <c r="H39" s="46" t="str">
        <f>_xlfn.XLOOKUP(View[[#This Row],[ID]],Opportunities[ID],Opportunities[Status])</f>
        <v>Active</v>
      </c>
      <c r="I39" s="28" t="str">
        <f>HYPERLINK(siteUrl&amp;"Lists/"&amp;oppList&amp;"/DispForm.aspx?ID="&amp;View[[#This Row],[ID]],_xlfn.XLOOKUP(View[[#This Row],[ID]],Opportunities[ID],Opportunities[OpportunityName]))</f>
        <v>Legacy System Modernization</v>
      </c>
      <c r="J39" s="40" t="str">
        <f>HYPERLINK(_xlfn.XLOOKUP(View[[#This Row],[ID]],Opportunities[ID],Opportunities[CustomerRecordURL]),_xlfn.XLOOKUP(View[[#This Row],[ID]],Opportunities[ID],Opportunities[Customer Name]))</f>
        <v>Textile Manufacturing</v>
      </c>
      <c r="K39" s="29" t="str">
        <f>_xlfn.XLOOKUP(View[[#This Row],[ID]],Opportunities[ID],Opportunities[DisplayStage])</f>
        <v>➂ - Proposal</v>
      </c>
      <c r="L39" s="1">
        <f>IF(pipelineType="Unweighted",_xlfn.XLOOKUP(View[[#This Row],[ID]],Opportunities[ID],Opportunities[Amount])/1000,_xlfn.XLOOKUP(View[[#This Row],[ID]],Opportunities[ID],Opportunities[Weighted])/1000)</f>
        <v>914.80499999999995</v>
      </c>
      <c r="M39" s="22" t="str">
        <f>_xlfn.XLOOKUP(View[[#This Row],[ID]],Opportunities[ID],Opportunities[WinProbDisplay])</f>
        <v>← Medium</v>
      </c>
      <c r="N39" s="22" t="str">
        <f ca="1">_xlfn.XLOOKUP(View[[#This Row],[ID]],Opportunities[ID],Opportunities[Diagnosis])</f>
        <v/>
      </c>
      <c r="O39" s="23">
        <f>View[[#This Row],[Estmated Revenue]]</f>
        <v>457.40249999999997</v>
      </c>
      <c r="P39" s="2">
        <f ca="1">IF(_xlfn.XLOOKUP(View[[#This Row],[ID]],Opportunities[ID],Opportunities[Close])&lt;TODAY(),"",_xlfn.XLOOKUP(View[[#This Row],[ID]],Opportunities[ID],Opportunities[Close]))</f>
        <v>46339</v>
      </c>
      <c r="Q39" s="67">
        <f>_xlfn.XLOOKUP(View[[#This Row],[ID]],Opportunities[ID],Opportunities[Years])</f>
        <v>203290</v>
      </c>
      <c r="R39" s="20" t="str">
        <f>IF(_xlfn.XLOOKUP(View[[#This Row],[ID]],Opportunities[ID],Opportunities[Comment Log])=0,"",_xlfn.XLOOKUP(View[[#This Row],[ID]],Opportunities[ID],Opportunities[Comment Log]))</f>
        <v/>
      </c>
      <c r="S39">
        <v>38</v>
      </c>
      <c r="T39" s="3">
        <f ca="1">_xlfn.XLOOKUP(View[[#This Row],[ID]],Opportunities[ID],Opportunities[NextMilestoneDate])-TODAY()</f>
        <v>52</v>
      </c>
      <c r="U39"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V39" s="1">
        <f>_xlfn.XLOOKUP(View[[#This Row],[ID]],Opportunities[ID],Opportunities[Weighted])/1000</f>
        <v>457.40249999999997</v>
      </c>
      <c r="W39" s="4">
        <f>_xlfn.XLOOKUP(View[[#This Row],[ID]],Opportunities[ID],Opportunities[Amount])/1000</f>
        <v>914.80499999999995</v>
      </c>
      <c r="X39" t="b">
        <f>View[[#This Row],[Win Probability]]="High"</f>
        <v>0</v>
      </c>
      <c r="Y39">
        <f>SUBTOTAL(103, View[[#This Row],[Status]])</f>
        <v>1</v>
      </c>
    </row>
    <row r="40" spans="8:25" x14ac:dyDescent="0.25">
      <c r="H40" s="46" t="str">
        <f>_xlfn.XLOOKUP(View[[#This Row],[ID]],Opportunities[ID],Opportunities[Status])</f>
        <v>Active</v>
      </c>
      <c r="I40" s="28" t="str">
        <f>HYPERLINK(siteUrl&amp;"Lists/"&amp;oppList&amp;"/DispForm.aspx?ID="&amp;View[[#This Row],[ID]],_xlfn.XLOOKUP(View[[#This Row],[ID]],Opportunities[ID],Opportunities[OpportunityName]))</f>
        <v>Healthcare Data Analytics Platform</v>
      </c>
      <c r="J40" s="40" t="str">
        <f>HYPERLINK(_xlfn.XLOOKUP(View[[#This Row],[ID]],Opportunities[ID],Opportunities[CustomerRecordURL]),_xlfn.XLOOKUP(View[[#This Row],[ID]],Opportunities[ID],Opportunities[Customer Name]))</f>
        <v>Food Service Partners</v>
      </c>
      <c r="K40" s="29" t="str">
        <f>_xlfn.XLOOKUP(View[[#This Row],[ID]],Opportunities[ID],Opportunities[DisplayStage])</f>
        <v>➂ - Proposal</v>
      </c>
      <c r="L40" s="1">
        <f>IF(pipelineType="Unweighted",_xlfn.XLOOKUP(View[[#This Row],[ID]],Opportunities[ID],Opportunities[Amount])/1000,_xlfn.XLOOKUP(View[[#This Row],[ID]],Opportunities[ID],Opportunities[Weighted])/1000)</f>
        <v>1248.5219999999999</v>
      </c>
      <c r="M40" s="22" t="str">
        <f>_xlfn.XLOOKUP(View[[#This Row],[ID]],Opportunities[ID],Opportunities[WinProbDisplay])</f>
        <v>← Medium</v>
      </c>
      <c r="N40" s="22" t="str">
        <f ca="1">_xlfn.XLOOKUP(View[[#This Row],[ID]],Opportunities[ID],Opportunities[Diagnosis])</f>
        <v/>
      </c>
      <c r="O40" s="23">
        <f>View[[#This Row],[Estmated Revenue]]</f>
        <v>624.26099999999997</v>
      </c>
      <c r="P40" s="2">
        <f ca="1">IF(_xlfn.XLOOKUP(View[[#This Row],[ID]],Opportunities[ID],Opportunities[Close])&lt;TODAY(),"",_xlfn.XLOOKUP(View[[#This Row],[ID]],Opportunities[ID],Opportunities[Close]))</f>
        <v>46352</v>
      </c>
      <c r="Q40" s="67">
        <f>_xlfn.XLOOKUP(View[[#This Row],[ID]],Opportunities[ID],Opportunities[Years])</f>
        <v>416174</v>
      </c>
      <c r="R40" s="20" t="str">
        <f>IF(_xlfn.XLOOKUP(View[[#This Row],[ID]],Opportunities[ID],Opportunities[Comment Log])=0,"",_xlfn.XLOOKUP(View[[#This Row],[ID]],Opportunities[ID],Opportunities[Comment Log]))</f>
        <v/>
      </c>
      <c r="S40">
        <v>5</v>
      </c>
      <c r="T40" s="3">
        <f ca="1">_xlfn.XLOOKUP(View[[#This Row],[ID]],Opportunities[ID],Opportunities[NextMilestoneDate])-TODAY()</f>
        <v>13</v>
      </c>
      <c r="U40"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V40" s="1">
        <f>_xlfn.XLOOKUP(View[[#This Row],[ID]],Opportunities[ID],Opportunities[Weighted])/1000</f>
        <v>624.26099999999997</v>
      </c>
      <c r="W40" s="4">
        <f>_xlfn.XLOOKUP(View[[#This Row],[ID]],Opportunities[ID],Opportunities[Amount])/1000</f>
        <v>1248.5219999999999</v>
      </c>
      <c r="X40" t="b">
        <f>View[[#This Row],[Win Probability]]="High"</f>
        <v>0</v>
      </c>
      <c r="Y40">
        <f>SUBTOTAL(103, View[[#This Row],[Status]])</f>
        <v>1</v>
      </c>
    </row>
    <row r="41" spans="8:25" x14ac:dyDescent="0.25">
      <c r="H41" s="46" t="str">
        <f>_xlfn.XLOOKUP(View[[#This Row],[ID]],Opportunities[ID],Opportunities[Status])</f>
        <v>Active</v>
      </c>
      <c r="I41" s="28" t="str">
        <f>HYPERLINK(siteUrl&amp;"Lists/"&amp;oppList&amp;"/DispForm.aspx?ID="&amp;View[[#This Row],[ID]],_xlfn.XLOOKUP(View[[#This Row],[ID]],Opportunities[ID],Opportunities[OpportunityName]))</f>
        <v>Integration Services Project</v>
      </c>
      <c r="J41" s="40" t="str">
        <f>HYPERLINK(_xlfn.XLOOKUP(View[[#This Row],[ID]],Opportunities[ID],Opportunities[CustomerRecordURL]),_xlfn.XLOOKUP(View[[#This Row],[ID]],Opportunities[ID],Opportunities[Customer Name]))</f>
        <v>ACME Corporation</v>
      </c>
      <c r="K41" s="29" t="str">
        <f>_xlfn.XLOOKUP(View[[#This Row],[ID]],Opportunities[ID],Opportunities[DisplayStage])</f>
        <v>➀ - Lead Qualification</v>
      </c>
      <c r="L41" s="1">
        <f>IF(pipelineType="Unweighted",_xlfn.XLOOKUP(View[[#This Row],[ID]],Opportunities[ID],Opportunities[Amount])/1000,_xlfn.XLOOKUP(View[[#This Row],[ID]],Opportunities[ID],Opportunities[Weighted])/1000)</f>
        <v>1199.2270000000001</v>
      </c>
      <c r="M41" s="22" t="str">
        <f>_xlfn.XLOOKUP(View[[#This Row],[ID]],Opportunities[ID],Opportunities[WinProbDisplay])</f>
        <v>← Medium</v>
      </c>
      <c r="N41" s="22" t="str">
        <f ca="1">_xlfn.XLOOKUP(View[[#This Row],[ID]],Opportunities[ID],Opportunities[Diagnosis])</f>
        <v/>
      </c>
      <c r="O41" s="23">
        <f>View[[#This Row],[Estmated Revenue]]</f>
        <v>599.61350000000004</v>
      </c>
      <c r="P41" s="2">
        <f ca="1">IF(_xlfn.XLOOKUP(View[[#This Row],[ID]],Opportunities[ID],Opportunities[Close])&lt;TODAY(),"",_xlfn.XLOOKUP(View[[#This Row],[ID]],Opportunities[ID],Opportunities[Close]))</f>
        <v>46367</v>
      </c>
      <c r="Q41" s="67">
        <f>_xlfn.XLOOKUP(View[[#This Row],[ID]],Opportunities[ID],Opportunities[Years])</f>
        <v>599613.5</v>
      </c>
      <c r="R41" s="20" t="str">
        <f>IF(_xlfn.XLOOKUP(View[[#This Row],[ID]],Opportunities[ID],Opportunities[Comment Log])=0,"",_xlfn.XLOOKUP(View[[#This Row],[ID]],Opportunities[ID],Opportunities[Comment Log]))</f>
        <v/>
      </c>
      <c r="S41">
        <v>36</v>
      </c>
      <c r="T41" s="3">
        <f ca="1">_xlfn.XLOOKUP(View[[#This Row],[ID]],Opportunities[ID],Opportunities[NextMilestoneDate])-TODAY()</f>
        <v>47</v>
      </c>
      <c r="U41"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V41" s="1">
        <f>_xlfn.XLOOKUP(View[[#This Row],[ID]],Opportunities[ID],Opportunities[Weighted])/1000</f>
        <v>599.61350000000004</v>
      </c>
      <c r="W41" s="4">
        <f>_xlfn.XLOOKUP(View[[#This Row],[ID]],Opportunities[ID],Opportunities[Amount])/1000</f>
        <v>1199.2270000000001</v>
      </c>
      <c r="X41" t="b">
        <f>View[[#This Row],[Win Probability]]="High"</f>
        <v>0</v>
      </c>
      <c r="Y41">
        <f>SUBTOTAL(103, View[[#This Row],[Status]])</f>
        <v>1</v>
      </c>
    </row>
    <row r="42" spans="8:25" x14ac:dyDescent="0.25">
      <c r="H42" s="46" t="str">
        <f>_xlfn.XLOOKUP(View[[#This Row],[ID]],Opportunities[ID],Opportunities[Status])</f>
        <v>Active</v>
      </c>
      <c r="I42" s="28" t="str">
        <f>HYPERLINK(siteUrl&amp;"Lists/"&amp;oppList&amp;"/DispForm.aspx?ID="&amp;View[[#This Row],[ID]],_xlfn.XLOOKUP(View[[#This Row],[ID]],Opportunities[ID],Opportunities[OpportunityName]))</f>
        <v>Training &amp; Development Program</v>
      </c>
      <c r="J42" s="40" t="str">
        <f>HYPERLINK(_xlfn.XLOOKUP(View[[#This Row],[ID]],Opportunities[ID],Opportunities[CustomerRecordURL]),_xlfn.XLOOKUP(View[[#This Row],[ID]],Opportunities[ID],Opportunities[Customer Name]))</f>
        <v>Security Solutions</v>
      </c>
      <c r="K42" s="29" t="str">
        <f>_xlfn.XLOOKUP(View[[#This Row],[ID]],Opportunities[ID],Opportunities[DisplayStage])</f>
        <v>➄ - Project Execution</v>
      </c>
      <c r="L42" s="1">
        <f>IF(pipelineType="Unweighted",_xlfn.XLOOKUP(View[[#This Row],[ID]],Opportunities[ID],Opportunities[Amount])/1000,_xlfn.XLOOKUP(View[[#This Row],[ID]],Opportunities[ID],Opportunities[Weighted])/1000)</f>
        <v>1525.787</v>
      </c>
      <c r="M42" s="22" t="str">
        <f>_xlfn.XLOOKUP(View[[#This Row],[ID]],Opportunities[ID],Opportunities[WinProbDisplay])</f>
        <v>↖ High</v>
      </c>
      <c r="N42" s="22" t="str">
        <f>_xlfn.XLOOKUP(View[[#This Row],[ID]],Opportunities[ID],Opportunities[Diagnosis])</f>
        <v/>
      </c>
      <c r="O42" s="23">
        <f>View[[#This Row],[Estmated Revenue]]</f>
        <v>1373.2083</v>
      </c>
      <c r="P42" s="2">
        <f ca="1">IF(_xlfn.XLOOKUP(View[[#This Row],[ID]],Opportunities[ID],Opportunities[Close])&lt;TODAY(),"",_xlfn.XLOOKUP(View[[#This Row],[ID]],Opportunities[ID],Opportunities[Close]))</f>
        <v>46377</v>
      </c>
      <c r="Q42" s="67">
        <f>_xlfn.XLOOKUP(View[[#This Row],[ID]],Opportunities[ID],Opportunities[Years])</f>
        <v>389562.63829787233</v>
      </c>
      <c r="R42" s="20" t="str">
        <f>IF(_xlfn.XLOOKUP(View[[#This Row],[ID]],Opportunities[ID],Opportunities[Comment Log])=0,"",_xlfn.XLOOKUP(View[[#This Row],[ID]],Opportunities[ID],Opportunities[Comment Log]))</f>
        <v/>
      </c>
      <c r="S42">
        <v>15</v>
      </c>
      <c r="T42" s="3">
        <f ca="1">_xlfn.XLOOKUP(View[[#This Row],[ID]],Opportunities[ID],Opportunities[NextMilestoneDate])-TODAY()</f>
        <v>31</v>
      </c>
      <c r="U42"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V42" s="1">
        <f>_xlfn.XLOOKUP(View[[#This Row],[ID]],Opportunities[ID],Opportunities[Weighted])/1000</f>
        <v>1373.2083</v>
      </c>
      <c r="W42" s="4">
        <f>_xlfn.XLOOKUP(View[[#This Row],[ID]],Opportunities[ID],Opportunities[Amount])/1000</f>
        <v>1525.787</v>
      </c>
      <c r="X42" t="b">
        <f>View[[#This Row],[Win Probability]]="High"</f>
        <v>0</v>
      </c>
      <c r="Y42">
        <f>SUBTOTAL(103, View[[#This Row],[Status]])</f>
        <v>1</v>
      </c>
    </row>
    <row r="43" spans="8:25" x14ac:dyDescent="0.25">
      <c r="H43" s="46" t="str">
        <f>_xlfn.XLOOKUP(View[[#This Row],[ID]],Opportunities[ID],Opportunities[Status])</f>
        <v>Active</v>
      </c>
      <c r="I43" s="28" t="str">
        <f>HYPERLINK(siteUrl&amp;"Lists/"&amp;oppList&amp;"/DispForm.aspx?ID="&amp;View[[#This Row],[ID]],_xlfn.XLOOKUP(View[[#This Row],[ID]],Opportunities[ID],Opportunities[OpportunityName]))</f>
        <v>Project Management Software</v>
      </c>
      <c r="J43" s="40" t="str">
        <f>HYPERLINK(_xlfn.XLOOKUP(View[[#This Row],[ID]],Opportunities[ID],Opportunities[CustomerRecordURL]),_xlfn.XLOOKUP(View[[#This Row],[ID]],Opportunities[ID],Opportunities[Customer Name]))</f>
        <v>Media Communications</v>
      </c>
      <c r="K43" s="29" t="str">
        <f>_xlfn.XLOOKUP(View[[#This Row],[ID]],Opportunities[ID],Opportunities[DisplayStage])</f>
        <v>➀ - Lead Qualification</v>
      </c>
      <c r="L43" s="1">
        <f>IF(pipelineType="Unweighted",_xlfn.XLOOKUP(View[[#This Row],[ID]],Opportunities[ID],Opportunities[Amount])/1000,_xlfn.XLOOKUP(View[[#This Row],[ID]],Opportunities[ID],Opportunities[Weighted])/1000)</f>
        <v>1052.288</v>
      </c>
      <c r="M43" s="22" t="str">
        <f>_xlfn.XLOOKUP(View[[#This Row],[ID]],Opportunities[ID],Opportunities[WinProbDisplay])</f>
        <v>← Medium</v>
      </c>
      <c r="N43" s="22" t="str">
        <f ca="1">_xlfn.XLOOKUP(View[[#This Row],[ID]],Opportunities[ID],Opportunities[Diagnosis])</f>
        <v/>
      </c>
      <c r="O43" s="23">
        <f>View[[#This Row],[Estmated Revenue]]</f>
        <v>526.14400000000001</v>
      </c>
      <c r="P43" s="2">
        <f ca="1">IF(_xlfn.XLOOKUP(View[[#This Row],[ID]],Opportunities[ID],Opportunities[Close])&lt;TODAY(),"",_xlfn.XLOOKUP(View[[#This Row],[ID]],Opportunities[ID],Opportunities[Close]))</f>
        <v>46380</v>
      </c>
      <c r="Q43" s="67">
        <f>_xlfn.XLOOKUP(View[[#This Row],[ID]],Opportunities[ID],Opportunities[Years])</f>
        <v>280610.13333333336</v>
      </c>
      <c r="R43" s="20" t="str">
        <f>IF(_xlfn.XLOOKUP(View[[#This Row],[ID]],Opportunities[ID],Opportunities[Comment Log])=0,"",_xlfn.XLOOKUP(View[[#This Row],[ID]],Opportunities[ID],Opportunities[Comment Log]))</f>
        <v/>
      </c>
      <c r="S43">
        <v>25</v>
      </c>
      <c r="T43" s="3">
        <f ca="1">_xlfn.XLOOKUP(View[[#This Row],[ID]],Opportunities[ID],Opportunities[NextMilestoneDate])-TODAY()</f>
        <v>37</v>
      </c>
      <c r="U43"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V43" s="1">
        <f>_xlfn.XLOOKUP(View[[#This Row],[ID]],Opportunities[ID],Opportunities[Weighted])/1000</f>
        <v>526.14400000000001</v>
      </c>
      <c r="W43" s="4">
        <f>_xlfn.XLOOKUP(View[[#This Row],[ID]],Opportunities[ID],Opportunities[Amount])/1000</f>
        <v>1052.288</v>
      </c>
      <c r="X43" t="b">
        <f>View[[#This Row],[Win Probability]]="High"</f>
        <v>0</v>
      </c>
      <c r="Y43">
        <f>SUBTOTAL(103, View[[#This Row],[Status]])</f>
        <v>1</v>
      </c>
    </row>
    <row r="44" spans="8:25" x14ac:dyDescent="0.25">
      <c r="H44" s="46" t="str">
        <f>_xlfn.XLOOKUP(View[[#This Row],[ID]],Opportunities[ID],Opportunities[Status])</f>
        <v>Active</v>
      </c>
      <c r="I44" s="28" t="str">
        <f>HYPERLINK(siteUrl&amp;"Lists/"&amp;oppList&amp;"/DispForm.aspx?ID="&amp;View[[#This Row],[ID]],_xlfn.XLOOKUP(View[[#This Row],[ID]],Opportunities[ID],Opportunities[OpportunityName]))</f>
        <v>Workflow Automation Tool</v>
      </c>
      <c r="J44" s="40" t="str">
        <f>HYPERLINK(_xlfn.XLOOKUP(View[[#This Row],[ID]],Opportunities[ID],Opportunities[CustomerRecordURL]),_xlfn.XLOOKUP(View[[#This Row],[ID]],Opportunities[ID],Opportunities[Customer Name]))</f>
        <v>Construction Dynamics</v>
      </c>
      <c r="K44" s="29" t="str">
        <f>_xlfn.XLOOKUP(View[[#This Row],[ID]],Opportunities[ID],Opportunities[DisplayStage])</f>
        <v>➁ - Nurturing</v>
      </c>
      <c r="L44" s="1">
        <f>IF(pipelineType="Unweighted",_xlfn.XLOOKUP(View[[#This Row],[ID]],Opportunities[ID],Opportunities[Amount])/1000,_xlfn.XLOOKUP(View[[#This Row],[ID]],Opportunities[ID],Opportunities[Weighted])/1000)</f>
        <v>1834.664</v>
      </c>
      <c r="M44" s="22" t="str">
        <f>_xlfn.XLOOKUP(View[[#This Row],[ID]],Opportunities[ID],Opportunities[WinProbDisplay])</f>
        <v>↙ Low</v>
      </c>
      <c r="N44" s="22" t="str">
        <f ca="1">_xlfn.XLOOKUP(View[[#This Row],[ID]],Opportunities[ID],Opportunities[Diagnosis])</f>
        <v/>
      </c>
      <c r="O44" s="23">
        <f>View[[#This Row],[Estmated Revenue]]</f>
        <v>366.93280000000004</v>
      </c>
      <c r="P44" s="2">
        <f ca="1">IF(_xlfn.XLOOKUP(View[[#This Row],[ID]],Opportunities[ID],Opportunities[Close])&lt;TODAY(),"",_xlfn.XLOOKUP(View[[#This Row],[ID]],Opportunities[ID],Opportunities[Close]))</f>
        <v>46392</v>
      </c>
      <c r="Q44" s="67">
        <f>_xlfn.XLOOKUP(View[[#This Row],[ID]],Opportunities[ID],Opportunities[Years])</f>
        <v>1834664</v>
      </c>
      <c r="R44" s="20" t="str">
        <f>IF(_xlfn.XLOOKUP(View[[#This Row],[ID]],Opportunities[ID],Opportunities[Comment Log])=0,"",_xlfn.XLOOKUP(View[[#This Row],[ID]],Opportunities[ID],Opportunities[Comment Log]))</f>
        <v/>
      </c>
      <c r="S44">
        <v>35</v>
      </c>
      <c r="T44" s="3">
        <f ca="1">_xlfn.XLOOKUP(View[[#This Row],[ID]],Opportunities[ID],Opportunities[NextMilestoneDate])-TODAY()</f>
        <v>14</v>
      </c>
      <c r="U44" s="29"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V44" s="1">
        <f>_xlfn.XLOOKUP(View[[#This Row],[ID]],Opportunities[ID],Opportunities[Weighted])/1000</f>
        <v>366.93280000000004</v>
      </c>
      <c r="W44" s="4">
        <f>_xlfn.XLOOKUP(View[[#This Row],[ID]],Opportunities[ID],Opportunities[Amount])/1000</f>
        <v>1834.664</v>
      </c>
      <c r="X44" t="b">
        <f>View[[#This Row],[Win Probability]]="High"</f>
        <v>0</v>
      </c>
      <c r="Y44">
        <f>SUBTOTAL(103, View[[#This Row],[Status]])</f>
        <v>1</v>
      </c>
    </row>
    <row r="45" spans="8:25" x14ac:dyDescent="0.25">
      <c r="H45" s="46" t="str">
        <f>_xlfn.XLOOKUP(View[[#This Row],[ID]],Opportunities[ID],Opportunities[Status])</f>
        <v>Active</v>
      </c>
      <c r="I45" s="28" t="str">
        <f>HYPERLINK(siteUrl&amp;"Lists/"&amp;oppList&amp;"/DispForm.aspx?ID="&amp;View[[#This Row],[ID]],_xlfn.XLOOKUP(View[[#This Row],[ID]],Opportunities[ID],Opportunities[OpportunityName]))</f>
        <v>CRM System Upgrade</v>
      </c>
      <c r="J45" s="40" t="str">
        <f>HYPERLINK(_xlfn.XLOOKUP(View[[#This Row],[ID]],Opportunities[ID],Opportunities[CustomerRecordURL]),_xlfn.XLOOKUP(View[[#This Row],[ID]],Opportunities[ID],Opportunities[Customer Name]))</f>
        <v>ACME Corporation</v>
      </c>
      <c r="K45" s="29" t="str">
        <f>_xlfn.XLOOKUP(View[[#This Row],[ID]],Opportunities[ID],Opportunities[DisplayStage])</f>
        <v>➅ - Closeout</v>
      </c>
      <c r="L45" s="1">
        <f>IF(pipelineType="Unweighted",_xlfn.XLOOKUP(View[[#This Row],[ID]],Opportunities[ID],Opportunities[Amount])/1000,_xlfn.XLOOKUP(View[[#This Row],[ID]],Opportunities[ID],Opportunities[Weighted])/1000)</f>
        <v>1002.288</v>
      </c>
      <c r="M45" s="22" t="str">
        <f>_xlfn.XLOOKUP(View[[#This Row],[ID]],Opportunities[ID],Opportunities[WinProbDisplay])</f>
        <v>↖ High</v>
      </c>
      <c r="N45" s="22" t="str">
        <f>_xlfn.XLOOKUP(View[[#This Row],[ID]],Opportunities[ID],Opportunities[Diagnosis])</f>
        <v/>
      </c>
      <c r="O45" s="23">
        <f>View[[#This Row],[Estmated Revenue]]</f>
        <v>902.05920000000003</v>
      </c>
      <c r="P45" s="2" t="str">
        <f ca="1">IF(_xlfn.XLOOKUP(View[[#This Row],[ID]],Opportunities[ID],Opportunities[Close])&lt;TODAY(),"",_xlfn.XLOOKUP(View[[#This Row],[ID]],Opportunities[ID],Opportunities[Close]))</f>
        <v/>
      </c>
      <c r="Q45" s="67">
        <f>_xlfn.XLOOKUP(View[[#This Row],[ID]],Opportunities[ID],Opportunities[Years])</f>
        <v>286368</v>
      </c>
      <c r="R45" s="20" t="str">
        <f>IF(_xlfn.XLOOKUP(View[[#This Row],[ID]],Opportunities[ID],Opportunities[Comment Log])=0,"",_xlfn.XLOOKUP(View[[#This Row],[ID]],Opportunities[ID],Opportunities[Comment Log]))</f>
        <v/>
      </c>
      <c r="S45">
        <v>21</v>
      </c>
      <c r="T45" s="3">
        <f ca="1">_xlfn.XLOOKUP(View[[#This Row],[ID]],Opportunities[ID],Opportunities[NextMilestoneDate])-TODAY()</f>
        <v>57</v>
      </c>
      <c r="U45" s="29" t="e">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#VALUE!</v>
      </c>
      <c r="V45" s="1">
        <f>_xlfn.XLOOKUP(View[[#This Row],[ID]],Opportunities[ID],Opportunities[Weighted])/1000</f>
        <v>902.05920000000003</v>
      </c>
      <c r="W45" s="4">
        <f>_xlfn.XLOOKUP(View[[#This Row],[ID]],Opportunities[ID],Opportunities[Amount])/1000</f>
        <v>1002.288</v>
      </c>
      <c r="X45" t="b">
        <f>View[[#This Row],[Win Probability]]="High"</f>
        <v>0</v>
      </c>
      <c r="Y45">
        <f>SUBTOTAL(103, View[[#This Row],[Status]])</f>
        <v>1</v>
      </c>
    </row>
    <row r="46" spans="8:25" x14ac:dyDescent="0.25">
      <c r="H46" s="46" t="str">
        <f>_xlfn.XLOOKUP(View[[#This Row],[ID]],Opportunities[ID],Opportunities[Status])</f>
        <v>Active</v>
      </c>
      <c r="I46" s="28" t="str">
        <f>HYPERLINK(siteUrl&amp;"Lists/"&amp;oppList&amp;"/DispForm.aspx?ID="&amp;View[[#This Row],[ID]],_xlfn.XLOOKUP(View[[#This Row],[ID]],Opportunities[ID],Opportunities[OpportunityName]))</f>
        <v>Business Intelligence Solution</v>
      </c>
      <c r="J46" s="40" t="str">
        <f>HYPERLINK(_xlfn.XLOOKUP(View[[#This Row],[ID]],Opportunities[ID],Opportunities[CustomerRecordURL]),_xlfn.XLOOKUP(View[[#This Row],[ID]],Opportunities[ID],Opportunities[Customer Name]))</f>
        <v>Professional Services Group</v>
      </c>
      <c r="K46" s="29" t="str">
        <f>_xlfn.XLOOKUP(View[[#This Row],[ID]],Opportunities[ID],Opportunities[DisplayStage])</f>
        <v>➅ - Closeout</v>
      </c>
      <c r="L46" s="1">
        <f>IF(pipelineType="Unweighted",_xlfn.XLOOKUP(View[[#This Row],[ID]],Opportunities[ID],Opportunities[Amount])/1000,_xlfn.XLOOKUP(View[[#This Row],[ID]],Opportunities[ID],Opportunities[Weighted])/1000)</f>
        <v>1003.602</v>
      </c>
      <c r="M46" s="22" t="str">
        <f>_xlfn.XLOOKUP(View[[#This Row],[ID]],Opportunities[ID],Opportunities[WinProbDisplay])</f>
        <v>← Medium</v>
      </c>
      <c r="N46" s="22" t="str">
        <f>_xlfn.XLOOKUP(View[[#This Row],[ID]],Opportunities[ID],Opportunities[Diagnosis])</f>
        <v/>
      </c>
      <c r="O46" s="23">
        <f>View[[#This Row],[Estmated Revenue]]</f>
        <v>501.80099999999999</v>
      </c>
      <c r="P46" s="2" t="str">
        <f ca="1">IF(_xlfn.XLOOKUP(View[[#This Row],[ID]],Opportunities[ID],Opportunities[Close])&lt;TODAY(),"",_xlfn.XLOOKUP(View[[#This Row],[ID]],Opportunities[ID],Opportunities[Close]))</f>
        <v/>
      </c>
      <c r="Q46" s="67">
        <f>_xlfn.XLOOKUP(View[[#This Row],[ID]],Opportunities[ID],Opportunities[Years])</f>
        <v>250900.5</v>
      </c>
      <c r="R46" s="20" t="str">
        <f>IF(_xlfn.XLOOKUP(View[[#This Row],[ID]],Opportunities[ID],Opportunities[Comment Log])=0,"",_xlfn.XLOOKUP(View[[#This Row],[ID]],Opportunities[ID],Opportunities[Comment Log]))</f>
        <v/>
      </c>
      <c r="S46">
        <v>8</v>
      </c>
      <c r="T46" s="3">
        <f ca="1">_xlfn.XLOOKUP(View[[#This Row],[ID]],Opportunities[ID],Opportunities[NextMilestoneDate])-TODAY()</f>
        <v>15</v>
      </c>
      <c r="U46" s="29" t="e">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#VALUE!</v>
      </c>
      <c r="V46" s="1">
        <f>_xlfn.XLOOKUP(View[[#This Row],[ID]],Opportunities[ID],Opportunities[Weighted])/1000</f>
        <v>501.80099999999999</v>
      </c>
      <c r="W46" s="4">
        <f>_xlfn.XLOOKUP(View[[#This Row],[ID]],Opportunities[ID],Opportunities[Amount])/1000</f>
        <v>1003.602</v>
      </c>
      <c r="X46" t="b">
        <f>View[[#This Row],[Win Probability]]="High"</f>
        <v>0</v>
      </c>
      <c r="Y46">
        <f>SUBTOTAL(103, View[[#This Row],[Status]])</f>
        <v>1</v>
      </c>
    </row>
    <row r="47" spans="8:25" x14ac:dyDescent="0.25">
      <c r="H47" s="46" t="str">
        <f>_xlfn.XLOOKUP(View[[#This Row],[ID]],Opportunities[ID],Opportunities[Status])</f>
        <v>Active</v>
      </c>
      <c r="I47" s="28" t="str">
        <f>HYPERLINK(siteUrl&amp;"Lists/"&amp;oppList&amp;"/DispForm.aspx?ID="&amp;View[[#This Row],[ID]],_xlfn.XLOOKUP(View[[#This Row],[ID]],Opportunities[ID],Opportunities[OpportunityName]))</f>
        <v>Social Media Management Tool</v>
      </c>
      <c r="J47" s="40" t="str">
        <f>HYPERLINK(_xlfn.XLOOKUP(View[[#This Row],[ID]],Opportunities[ID],Opportunities[CustomerRecordURL]),_xlfn.XLOOKUP(View[[#This Row],[ID]],Opportunities[ID],Opportunities[Customer Name]))</f>
        <v>Education First</v>
      </c>
      <c r="K47" s="29" t="str">
        <f>_xlfn.XLOOKUP(View[[#This Row],[ID]],Opportunities[ID],Opportunities[DisplayStage])</f>
        <v>➄ - Project Execution</v>
      </c>
      <c r="L47" s="1">
        <f>IF(pipelineType="Unweighted",_xlfn.XLOOKUP(View[[#This Row],[ID]],Opportunities[ID],Opportunities[Amount])/1000,_xlfn.XLOOKUP(View[[#This Row],[ID]],Opportunities[ID],Opportunities[Weighted])/1000)</f>
        <v>1805.761</v>
      </c>
      <c r="M47" s="22" t="str">
        <f>_xlfn.XLOOKUP(View[[#This Row],[ID]],Opportunities[ID],Opportunities[WinProbDisplay])</f>
        <v>← Medium</v>
      </c>
      <c r="N47" s="22" t="str">
        <f>_xlfn.XLOOKUP(View[[#This Row],[ID]],Opportunities[ID],Opportunities[Diagnosis])</f>
        <v/>
      </c>
      <c r="O47" s="23">
        <f>View[[#This Row],[Estmated Revenue]]</f>
        <v>902.88049999999998</v>
      </c>
      <c r="P47" s="2" t="str">
        <f ca="1">IF(_xlfn.XLOOKUP(View[[#This Row],[ID]],Opportunities[ID],Opportunities[Close])&lt;TODAY(),"",_xlfn.XLOOKUP(View[[#This Row],[ID]],Opportunities[ID],Opportunities[Close]))</f>
        <v/>
      </c>
      <c r="Q47" s="67">
        <f>_xlfn.XLOOKUP(View[[#This Row],[ID]],Opportunities[ID],Opportunities[Years])</f>
        <v>300960.16666666669</v>
      </c>
      <c r="R47" s="20" t="str">
        <f>IF(_xlfn.XLOOKUP(View[[#This Row],[ID]],Opportunities[ID],Opportunities[Comment Log])=0,"",_xlfn.XLOOKUP(View[[#This Row],[ID]],Opportunities[ID],Opportunities[Comment Log]))</f>
        <v/>
      </c>
      <c r="S47">
        <v>29</v>
      </c>
      <c r="T47" s="3">
        <f ca="1">_xlfn.XLOOKUP(View[[#This Row],[ID]],Opportunities[ID],Opportunities[NextMilestoneDate])-TODAY()</f>
        <v>26</v>
      </c>
      <c r="U47" s="29" t="e">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#VALUE!</v>
      </c>
      <c r="V47" s="1">
        <f>_xlfn.XLOOKUP(View[[#This Row],[ID]],Opportunities[ID],Opportunities[Weighted])/1000</f>
        <v>902.88049999999998</v>
      </c>
      <c r="W47" s="4">
        <f>_xlfn.XLOOKUP(View[[#This Row],[ID]],Opportunities[ID],Opportunities[Amount])/1000</f>
        <v>1805.761</v>
      </c>
      <c r="X47" t="b">
        <f>View[[#This Row],[Win Probability]]="High"</f>
        <v>0</v>
      </c>
      <c r="Y47">
        <f>SUBTOTAL(103, View[[#This Row],[Status]])</f>
        <v>1</v>
      </c>
    </row>
  </sheetData>
  <phoneticPr fontId="4" type="noConversion"/>
  <conditionalFormatting sqref="H8:H47">
    <cfRule type="expression" dxfId="104" priority="8">
      <formula>H8="At Risk"</formula>
    </cfRule>
    <cfRule type="expression" dxfId="103" priority="9">
      <formula>H8="Critical"</formula>
    </cfRule>
    <cfRule type="expression" dxfId="102" priority="10">
      <formula>H8="Active"</formula>
    </cfRule>
    <cfRule type="expression" dxfId="101" priority="11">
      <formula>H8="⚠"</formula>
    </cfRule>
    <cfRule type="expression" dxfId="100" priority="12">
      <formula>H8="⮾"</formula>
    </cfRule>
    <cfRule type="expression" dxfId="99" priority="13">
      <formula>H8="✓"</formula>
    </cfRule>
  </conditionalFormatting>
  <conditionalFormatting sqref="H9:I47 I8">
    <cfRule type="expression" dxfId="98" priority="36">
      <formula>H8="⚠"</formula>
    </cfRule>
  </conditionalFormatting>
  <conditionalFormatting sqref="I8 H9:I47">
    <cfRule type="expression" dxfId="97" priority="37">
      <formula>H8="⮾"</formula>
    </cfRule>
    <cfRule type="expression" dxfId="96" priority="38">
      <formula>H8="✓"</formula>
    </cfRule>
  </conditionalFormatting>
  <conditionalFormatting sqref="J8">
    <cfRule type="iconSet" priority="14">
      <iconSet iconSet="4Rating">
        <cfvo type="percent" val="0"/>
        <cfvo type="percent" val="25"/>
        <cfvo type="percent" val="50"/>
        <cfvo type="percent" val="75"/>
      </iconSet>
    </cfRule>
  </conditionalFormatting>
  <conditionalFormatting sqref="K8:K47">
    <cfRule type="expression" dxfId="95" priority="23">
      <formula>K8="3 - Proposal"</formula>
    </cfRule>
    <cfRule type="expression" dxfId="94" priority="24">
      <formula>K8="4 - Negotiation"</formula>
    </cfRule>
    <cfRule type="expression" dxfId="93" priority="25">
      <formula>K8="5 - Project Execution"</formula>
    </cfRule>
    <cfRule type="expression" dxfId="92" priority="26">
      <formula>K8="6 - Closeout"</formula>
    </cfRule>
    <cfRule type="expression" dxfId="91" priority="27">
      <formula>K8="1 - Lead Qualification"</formula>
    </cfRule>
    <cfRule type="expression" dxfId="90" priority="28">
      <formula>K8="2 - Nurturing"</formula>
    </cfRule>
  </conditionalFormatting>
  <conditionalFormatting sqref="T8:T47">
    <cfRule type="colorScale" priority="934">
      <colorScale>
        <cfvo type="min"/>
        <cfvo type="max"/>
        <color rgb="FF63BE7B"/>
        <color rgb="FFFCFCFF"/>
      </colorScale>
    </cfRule>
  </conditionalFormatting>
  <conditionalFormatting sqref="V8:V47">
    <cfRule type="dataBar" priority="936">
      <dataBar>
        <cfvo type="min"/>
        <cfvo type="max"/>
        <color rgb="FF638EC6"/>
      </dataBar>
      <extLst>
        <ext xmlns:x14="http://schemas.microsoft.com/office/spreadsheetml/2009/9/main" uri="{B025F937-C7B1-47D3-B67F-A62EFF666E3E}">
          <x14:id>{F92FD29D-C88D-410A-ACA9-27F3C313DEBC}</x14:id>
        </ext>
      </extLst>
    </cfRule>
  </conditionalFormatting>
  <conditionalFormatting sqref="W8">
    <cfRule type="dataBar" priority="21">
      <dataBar>
        <cfvo type="min"/>
        <cfvo type="max"/>
        <color rgb="FF638EC6"/>
      </dataBar>
      <extLst>
        <ext xmlns:x14="http://schemas.microsoft.com/office/spreadsheetml/2009/9/main" uri="{B025F937-C7B1-47D3-B67F-A62EFF666E3E}">
          <x14:id>{2422D1C5-79B1-490D-9A73-8B6B0ECAC5E0}</x14:id>
        </ext>
      </extLst>
    </cfRule>
  </conditionalFormatting>
  <conditionalFormatting sqref="W8:W47">
    <cfRule type="dataBar" priority="938">
      <dataBar>
        <cfvo type="min"/>
        <cfvo type="max"/>
        <color rgb="FF638EC6"/>
      </dataBar>
      <extLst>
        <ext xmlns:x14="http://schemas.microsoft.com/office/spreadsheetml/2009/9/main" uri="{B025F937-C7B1-47D3-B67F-A62EFF666E3E}">
          <x14:id>{6F3859E8-06BC-4889-A7F8-351765CFA609}</x14:id>
        </ext>
      </extLst>
    </cfRule>
  </conditionalFormatting>
  <conditionalFormatting sqref="A2:A5 H7:R7 H1:R2">
    <cfRule type="expression" dxfId="89" priority="7">
      <formula>deployType="Citizen"</formula>
    </cfRule>
  </conditionalFormatting>
  <conditionalFormatting sqref="E2:E3">
    <cfRule type="expression" dxfId="88" priority="6">
      <formula>deployType="Citizen"</formula>
    </cfRule>
  </conditionalFormatting>
  <conditionalFormatting sqref="Q8:Q47">
    <cfRule type="dataBar" priority="1">
      <dataBar>
        <cfvo type="min"/>
        <cfvo type="max"/>
        <color rgb="FF638EC6"/>
      </dataBar>
      <extLst>
        <ext xmlns:x14="http://schemas.microsoft.com/office/spreadsheetml/2009/9/main" uri="{B025F937-C7B1-47D3-B67F-A62EFF666E3E}">
          <x14:id>{1E946555-D664-46D9-9105-157B002F9635}</x14:id>
        </ext>
      </extLst>
    </cfRule>
  </conditionalFormatting>
  <conditionalFormatting sqref="M8:N47">
    <cfRule type="iconSet" priority="939">
      <iconSet iconSet="4Rating">
        <cfvo type="percent" val="0"/>
        <cfvo type="percent" val="25"/>
        <cfvo type="percent" val="50"/>
        <cfvo type="percent" val="75"/>
      </iconSet>
    </cfRule>
  </conditionalFormatting>
  <dataValidations disablePrompts="1" count="2">
    <dataValidation type="list" allowBlank="1" showInputMessage="1" showErrorMessage="1" sqref="F2" xr:uid="{0FFE2634-DCDA-4577-9878-5674941738A4}">
      <formula1>"FQ,CQ"</formula1>
    </dataValidation>
    <dataValidation type="list" allowBlank="1" showInputMessage="1" showErrorMessage="1" sqref="F3" xr:uid="{C0AF4A22-B492-4108-8DF4-750B60E03FFE}">
      <formula1>"Unweighted,Weighted"</formula1>
    </dataValidation>
  </dataValidations>
  <pageMargins left="0.7" right="0.7" top="0.75" bottom="0.75" header="0.3" footer="0.3"/>
  <pageSetup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V8:V47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W8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W8:W47</xm:sqref>
        </x14:conditionalFormatting>
        <x14:conditionalFormatting xmlns:xm="http://schemas.microsoft.com/office/excel/2006/main">
          <x14:cfRule type="dataBar" id="{1E946555-D664-46D9-9105-157B002F9635}">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s>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A1A09-BCE8-4185-AF5C-DF0883F95538}">
  <sheetPr>
    <tabColor rgb="FF660000"/>
  </sheetPr>
  <dimension ref="A1:J76"/>
  <sheetViews>
    <sheetView workbookViewId="0"/>
  </sheetViews>
  <sheetFormatPr defaultRowHeight="15" x14ac:dyDescent="0.25"/>
  <cols>
    <col min="1" max="1" width="5" bestFit="1" customWidth="1"/>
    <col min="2" max="2" width="19.140625" bestFit="1" customWidth="1"/>
    <col min="3" max="3" width="19.28515625" bestFit="1" customWidth="1"/>
    <col min="4" max="4" width="15" bestFit="1" customWidth="1"/>
    <col min="5" max="5" width="15.7109375" bestFit="1" customWidth="1"/>
    <col min="6" max="6" width="43.85546875" bestFit="1" customWidth="1"/>
    <col min="7" max="7" width="14.7109375" bestFit="1" customWidth="1"/>
    <col min="8" max="8" width="26.140625" bestFit="1" customWidth="1"/>
    <col min="9" max="10" width="14.85546875" bestFit="1" customWidth="1"/>
  </cols>
  <sheetData>
    <row r="1" spans="1:10" x14ac:dyDescent="0.25">
      <c r="A1" t="s">
        <v>0</v>
      </c>
      <c r="B1" t="s">
        <v>450</v>
      </c>
      <c r="C1" t="s">
        <v>451</v>
      </c>
      <c r="D1" t="s">
        <v>452</v>
      </c>
      <c r="E1" t="s">
        <v>453</v>
      </c>
      <c r="F1" t="s">
        <v>454</v>
      </c>
      <c r="G1" t="s">
        <v>455</v>
      </c>
      <c r="H1" t="s">
        <v>85</v>
      </c>
      <c r="I1" t="s">
        <v>2</v>
      </c>
      <c r="J1" t="s">
        <v>1</v>
      </c>
    </row>
    <row r="2" spans="1:10" x14ac:dyDescent="0.25">
      <c r="A2">
        <v>1</v>
      </c>
      <c r="B2" t="s">
        <v>456</v>
      </c>
      <c r="C2" t="s">
        <v>457</v>
      </c>
      <c r="D2" t="s">
        <v>458</v>
      </c>
      <c r="E2" t="s">
        <v>459</v>
      </c>
      <c r="F2" t="s">
        <v>460</v>
      </c>
      <c r="G2">
        <v>1</v>
      </c>
      <c r="H2" t="s">
        <v>106</v>
      </c>
      <c r="I2" s="45">
        <v>45881.657743055555</v>
      </c>
      <c r="J2" s="45">
        <v>45881.657743055555</v>
      </c>
    </row>
    <row r="3" spans="1:10" x14ac:dyDescent="0.25">
      <c r="A3">
        <v>2</v>
      </c>
      <c r="B3" t="s">
        <v>461</v>
      </c>
      <c r="C3" t="s">
        <v>462</v>
      </c>
      <c r="D3" t="s">
        <v>463</v>
      </c>
      <c r="E3" t="s">
        <v>464</v>
      </c>
      <c r="F3" t="s">
        <v>465</v>
      </c>
      <c r="G3">
        <v>1</v>
      </c>
      <c r="H3" t="s">
        <v>106</v>
      </c>
      <c r="I3" s="45">
        <v>45881.657766203702</v>
      </c>
      <c r="J3" s="45">
        <v>45881.657766203702</v>
      </c>
    </row>
    <row r="4" spans="1:10" x14ac:dyDescent="0.25">
      <c r="A4">
        <v>3</v>
      </c>
      <c r="B4" t="s">
        <v>466</v>
      </c>
      <c r="C4" t="s">
        <v>467</v>
      </c>
      <c r="D4" t="s">
        <v>468</v>
      </c>
      <c r="E4" t="s">
        <v>469</v>
      </c>
      <c r="F4" t="s">
        <v>470</v>
      </c>
      <c r="G4">
        <v>1</v>
      </c>
      <c r="H4" t="s">
        <v>106</v>
      </c>
      <c r="I4" s="45">
        <v>45881.657789351855</v>
      </c>
      <c r="J4" s="45">
        <v>45881.657789351855</v>
      </c>
    </row>
    <row r="5" spans="1:10" x14ac:dyDescent="0.25">
      <c r="A5">
        <v>4</v>
      </c>
      <c r="B5" t="s">
        <v>471</v>
      </c>
      <c r="C5" t="s">
        <v>472</v>
      </c>
      <c r="D5" t="s">
        <v>473</v>
      </c>
      <c r="E5" t="s">
        <v>474</v>
      </c>
      <c r="F5" t="s">
        <v>475</v>
      </c>
      <c r="G5">
        <v>2</v>
      </c>
      <c r="H5" t="s">
        <v>88</v>
      </c>
      <c r="I5" s="45">
        <v>45881.657812500001</v>
      </c>
      <c r="J5" s="45">
        <v>45881.657812500001</v>
      </c>
    </row>
    <row r="6" spans="1:10" x14ac:dyDescent="0.25">
      <c r="A6">
        <v>5</v>
      </c>
      <c r="B6" t="s">
        <v>476</v>
      </c>
      <c r="C6" t="s">
        <v>277</v>
      </c>
      <c r="D6" t="s">
        <v>477</v>
      </c>
      <c r="E6" t="s">
        <v>478</v>
      </c>
      <c r="F6" t="s">
        <v>479</v>
      </c>
      <c r="G6">
        <v>2</v>
      </c>
      <c r="H6" t="s">
        <v>88</v>
      </c>
      <c r="I6" s="45">
        <v>45881.657824074071</v>
      </c>
      <c r="J6" s="45">
        <v>45881.657824074071</v>
      </c>
    </row>
    <row r="7" spans="1:10" x14ac:dyDescent="0.25">
      <c r="A7">
        <v>6</v>
      </c>
      <c r="B7" t="s">
        <v>480</v>
      </c>
      <c r="C7" t="s">
        <v>123</v>
      </c>
      <c r="D7" t="s">
        <v>481</v>
      </c>
      <c r="E7" t="s">
        <v>482</v>
      </c>
      <c r="F7" t="s">
        <v>483</v>
      </c>
      <c r="G7">
        <v>3</v>
      </c>
      <c r="H7" t="s">
        <v>119</v>
      </c>
      <c r="I7" s="45">
        <v>45881.657847222225</v>
      </c>
      <c r="J7" s="45">
        <v>45881.657847222225</v>
      </c>
    </row>
    <row r="8" spans="1:10" x14ac:dyDescent="0.25">
      <c r="A8">
        <v>7</v>
      </c>
      <c r="B8" t="s">
        <v>484</v>
      </c>
      <c r="C8" t="s">
        <v>226</v>
      </c>
      <c r="D8" t="s">
        <v>485</v>
      </c>
      <c r="E8" t="s">
        <v>486</v>
      </c>
      <c r="F8" t="s">
        <v>487</v>
      </c>
      <c r="G8">
        <v>3</v>
      </c>
      <c r="H8" t="s">
        <v>119</v>
      </c>
      <c r="I8" s="45">
        <v>45881.657870370371</v>
      </c>
      <c r="J8" s="45">
        <v>45881.657870370371</v>
      </c>
    </row>
    <row r="9" spans="1:10" x14ac:dyDescent="0.25">
      <c r="A9">
        <v>8</v>
      </c>
      <c r="B9" t="s">
        <v>488</v>
      </c>
      <c r="C9" t="s">
        <v>489</v>
      </c>
      <c r="D9" t="s">
        <v>490</v>
      </c>
      <c r="E9" t="s">
        <v>491</v>
      </c>
      <c r="F9" t="s">
        <v>492</v>
      </c>
      <c r="G9">
        <v>3</v>
      </c>
      <c r="H9" t="s">
        <v>119</v>
      </c>
      <c r="I9" s="45">
        <v>45881.657893518517</v>
      </c>
      <c r="J9" s="45">
        <v>45881.657893518517</v>
      </c>
    </row>
    <row r="10" spans="1:10" x14ac:dyDescent="0.25">
      <c r="A10">
        <v>9</v>
      </c>
      <c r="B10" t="s">
        <v>493</v>
      </c>
      <c r="C10" t="s">
        <v>494</v>
      </c>
      <c r="D10" t="s">
        <v>495</v>
      </c>
      <c r="E10" t="s">
        <v>496</v>
      </c>
      <c r="F10" t="s">
        <v>497</v>
      </c>
      <c r="G10">
        <v>4</v>
      </c>
      <c r="H10" t="s">
        <v>126</v>
      </c>
      <c r="I10" s="45">
        <v>45881.657916666663</v>
      </c>
      <c r="J10" s="45">
        <v>45881.657916666663</v>
      </c>
    </row>
    <row r="11" spans="1:10" x14ac:dyDescent="0.25">
      <c r="A11">
        <v>10</v>
      </c>
      <c r="B11" t="s">
        <v>498</v>
      </c>
      <c r="C11" t="s">
        <v>499</v>
      </c>
      <c r="D11" t="s">
        <v>500</v>
      </c>
      <c r="E11" t="s">
        <v>501</v>
      </c>
      <c r="F11" t="s">
        <v>502</v>
      </c>
      <c r="G11">
        <v>4</v>
      </c>
      <c r="H11" t="s">
        <v>126</v>
      </c>
      <c r="I11" s="45">
        <v>45881.65792824074</v>
      </c>
      <c r="J11" s="45">
        <v>45881.65792824074</v>
      </c>
    </row>
    <row r="12" spans="1:10" x14ac:dyDescent="0.25">
      <c r="A12">
        <v>11</v>
      </c>
      <c r="B12" t="s">
        <v>503</v>
      </c>
      <c r="C12" t="s">
        <v>133</v>
      </c>
      <c r="D12" t="s">
        <v>504</v>
      </c>
      <c r="E12" t="s">
        <v>505</v>
      </c>
      <c r="F12" t="s">
        <v>506</v>
      </c>
      <c r="G12">
        <v>5</v>
      </c>
      <c r="H12" t="s">
        <v>134</v>
      </c>
      <c r="I12" s="45">
        <v>45881.657951388886</v>
      </c>
      <c r="J12" s="45">
        <v>45881.657951388886</v>
      </c>
    </row>
    <row r="13" spans="1:10" x14ac:dyDescent="0.25">
      <c r="A13">
        <v>12</v>
      </c>
      <c r="B13" t="s">
        <v>507</v>
      </c>
      <c r="C13" t="s">
        <v>118</v>
      </c>
      <c r="D13" t="s">
        <v>508</v>
      </c>
      <c r="E13" t="s">
        <v>509</v>
      </c>
      <c r="F13" t="s">
        <v>510</v>
      </c>
      <c r="G13">
        <v>5</v>
      </c>
      <c r="H13" t="s">
        <v>134</v>
      </c>
      <c r="I13" s="45">
        <v>45881.657986111109</v>
      </c>
      <c r="J13" s="45">
        <v>45881.657986111109</v>
      </c>
    </row>
    <row r="14" spans="1:10" x14ac:dyDescent="0.25">
      <c r="A14">
        <v>13</v>
      </c>
      <c r="B14" t="s">
        <v>511</v>
      </c>
      <c r="C14" t="s">
        <v>462</v>
      </c>
      <c r="D14" t="s">
        <v>512</v>
      </c>
      <c r="E14" t="s">
        <v>513</v>
      </c>
      <c r="F14" t="s">
        <v>514</v>
      </c>
      <c r="G14">
        <v>6</v>
      </c>
      <c r="H14" t="s">
        <v>274</v>
      </c>
      <c r="I14" s="45">
        <v>45881.657997685186</v>
      </c>
      <c r="J14" s="45">
        <v>45881.657997685186</v>
      </c>
    </row>
    <row r="15" spans="1:10" x14ac:dyDescent="0.25">
      <c r="A15">
        <v>14</v>
      </c>
      <c r="B15" t="s">
        <v>515</v>
      </c>
      <c r="C15" t="s">
        <v>457</v>
      </c>
      <c r="D15" t="s">
        <v>516</v>
      </c>
      <c r="E15" t="s">
        <v>517</v>
      </c>
      <c r="F15" t="s">
        <v>518</v>
      </c>
      <c r="G15">
        <v>6</v>
      </c>
      <c r="H15" t="s">
        <v>274</v>
      </c>
      <c r="I15" s="45">
        <v>45881.658020833333</v>
      </c>
      <c r="J15" s="45">
        <v>45881.658020833333</v>
      </c>
    </row>
    <row r="16" spans="1:10" x14ac:dyDescent="0.25">
      <c r="A16">
        <v>15</v>
      </c>
      <c r="B16" t="s">
        <v>519</v>
      </c>
      <c r="C16" t="s">
        <v>520</v>
      </c>
      <c r="D16" t="s">
        <v>521</v>
      </c>
      <c r="E16" t="s">
        <v>522</v>
      </c>
      <c r="F16" t="s">
        <v>523</v>
      </c>
      <c r="G16">
        <v>7</v>
      </c>
      <c r="H16" t="s">
        <v>281</v>
      </c>
      <c r="I16" s="45">
        <v>45881.658043981479</v>
      </c>
      <c r="J16" s="45">
        <v>45881.658043981479</v>
      </c>
    </row>
    <row r="17" spans="1:10" x14ac:dyDescent="0.25">
      <c r="A17">
        <v>16</v>
      </c>
      <c r="B17" t="s">
        <v>524</v>
      </c>
      <c r="C17" t="s">
        <v>494</v>
      </c>
      <c r="D17" t="s">
        <v>525</v>
      </c>
      <c r="E17" t="s">
        <v>526</v>
      </c>
      <c r="F17" t="s">
        <v>527</v>
      </c>
      <c r="G17">
        <v>7</v>
      </c>
      <c r="H17" t="s">
        <v>281</v>
      </c>
      <c r="I17" s="45">
        <v>45881.658067129632</v>
      </c>
      <c r="J17" s="45">
        <v>45881.658067129632</v>
      </c>
    </row>
    <row r="18" spans="1:10" x14ac:dyDescent="0.25">
      <c r="A18">
        <v>17</v>
      </c>
      <c r="B18" t="s">
        <v>528</v>
      </c>
      <c r="C18" t="s">
        <v>118</v>
      </c>
      <c r="D18" t="s">
        <v>529</v>
      </c>
      <c r="E18" t="s">
        <v>530</v>
      </c>
      <c r="F18" t="s">
        <v>531</v>
      </c>
      <c r="G18">
        <v>7</v>
      </c>
      <c r="H18" t="s">
        <v>281</v>
      </c>
      <c r="I18" s="45">
        <v>45881.658078703702</v>
      </c>
      <c r="J18" s="45">
        <v>45881.658078703702</v>
      </c>
    </row>
    <row r="19" spans="1:10" x14ac:dyDescent="0.25">
      <c r="A19">
        <v>18</v>
      </c>
      <c r="B19" t="s">
        <v>532</v>
      </c>
      <c r="C19" t="s">
        <v>499</v>
      </c>
      <c r="D19" t="s">
        <v>533</v>
      </c>
      <c r="E19" t="s">
        <v>534</v>
      </c>
      <c r="F19" t="s">
        <v>535</v>
      </c>
      <c r="G19">
        <v>8</v>
      </c>
      <c r="H19" t="s">
        <v>288</v>
      </c>
      <c r="I19" s="45">
        <v>45881.658101851855</v>
      </c>
      <c r="J19" s="45">
        <v>45881.658101851855</v>
      </c>
    </row>
    <row r="20" spans="1:10" x14ac:dyDescent="0.25">
      <c r="A20">
        <v>19</v>
      </c>
      <c r="B20" t="s">
        <v>536</v>
      </c>
      <c r="C20" t="s">
        <v>537</v>
      </c>
      <c r="D20" t="s">
        <v>538</v>
      </c>
      <c r="E20" t="s">
        <v>539</v>
      </c>
      <c r="F20" t="s">
        <v>540</v>
      </c>
      <c r="G20">
        <v>8</v>
      </c>
      <c r="H20" t="s">
        <v>288</v>
      </c>
      <c r="I20" s="45">
        <v>45881.658148148148</v>
      </c>
      <c r="J20" s="45">
        <v>45881.658148148148</v>
      </c>
    </row>
    <row r="21" spans="1:10" x14ac:dyDescent="0.25">
      <c r="A21">
        <v>20</v>
      </c>
      <c r="B21" t="s">
        <v>541</v>
      </c>
      <c r="C21" t="s">
        <v>116</v>
      </c>
      <c r="D21" t="s">
        <v>542</v>
      </c>
      <c r="E21" t="s">
        <v>543</v>
      </c>
      <c r="F21" t="s">
        <v>544</v>
      </c>
      <c r="G21">
        <v>8</v>
      </c>
      <c r="H21" t="s">
        <v>288</v>
      </c>
      <c r="I21" s="45">
        <v>45881.658171296294</v>
      </c>
      <c r="J21" s="45">
        <v>45881.658171296294</v>
      </c>
    </row>
    <row r="22" spans="1:10" x14ac:dyDescent="0.25">
      <c r="A22">
        <v>21</v>
      </c>
      <c r="B22" t="s">
        <v>545</v>
      </c>
      <c r="C22" t="s">
        <v>123</v>
      </c>
      <c r="D22" t="s">
        <v>546</v>
      </c>
      <c r="E22" t="s">
        <v>547</v>
      </c>
      <c r="F22" t="s">
        <v>548</v>
      </c>
      <c r="G22">
        <v>9</v>
      </c>
      <c r="H22" t="s">
        <v>294</v>
      </c>
      <c r="I22" s="45">
        <v>45881.658182870371</v>
      </c>
      <c r="J22" s="45">
        <v>45881.658182870371</v>
      </c>
    </row>
    <row r="23" spans="1:10" x14ac:dyDescent="0.25">
      <c r="A23">
        <v>22</v>
      </c>
      <c r="B23" t="s">
        <v>549</v>
      </c>
      <c r="C23" t="s">
        <v>271</v>
      </c>
      <c r="D23" t="s">
        <v>550</v>
      </c>
      <c r="E23" t="s">
        <v>551</v>
      </c>
      <c r="F23" t="s">
        <v>552</v>
      </c>
      <c r="G23">
        <v>9</v>
      </c>
      <c r="H23" t="s">
        <v>294</v>
      </c>
      <c r="I23" s="45">
        <v>45881.658206018517</v>
      </c>
      <c r="J23" s="45">
        <v>45881.658206018517</v>
      </c>
    </row>
    <row r="24" spans="1:10" x14ac:dyDescent="0.25">
      <c r="A24">
        <v>23</v>
      </c>
      <c r="B24" t="s">
        <v>553</v>
      </c>
      <c r="C24" t="s">
        <v>554</v>
      </c>
      <c r="D24" t="s">
        <v>555</v>
      </c>
      <c r="E24" t="s">
        <v>556</v>
      </c>
      <c r="F24" t="s">
        <v>557</v>
      </c>
      <c r="G24">
        <v>9</v>
      </c>
      <c r="H24" t="s">
        <v>294</v>
      </c>
      <c r="I24" s="45">
        <v>45881.658229166664</v>
      </c>
      <c r="J24" s="45">
        <v>45881.658229166664</v>
      </c>
    </row>
    <row r="25" spans="1:10" x14ac:dyDescent="0.25">
      <c r="A25">
        <v>24</v>
      </c>
      <c r="B25" t="s">
        <v>558</v>
      </c>
      <c r="C25" t="s">
        <v>554</v>
      </c>
      <c r="D25" t="s">
        <v>559</v>
      </c>
      <c r="E25" t="s">
        <v>560</v>
      </c>
      <c r="F25" t="s">
        <v>561</v>
      </c>
      <c r="G25">
        <v>10</v>
      </c>
      <c r="H25" t="s">
        <v>302</v>
      </c>
      <c r="I25" s="45">
        <v>45881.658252314817</v>
      </c>
      <c r="J25" s="45">
        <v>45881.658252314817</v>
      </c>
    </row>
    <row r="26" spans="1:10" x14ac:dyDescent="0.25">
      <c r="A26">
        <v>25</v>
      </c>
      <c r="B26" t="s">
        <v>562</v>
      </c>
      <c r="C26" t="s">
        <v>563</v>
      </c>
      <c r="D26" t="s">
        <v>564</v>
      </c>
      <c r="E26" t="s">
        <v>565</v>
      </c>
      <c r="F26" t="s">
        <v>566</v>
      </c>
      <c r="G26">
        <v>10</v>
      </c>
      <c r="H26" t="s">
        <v>302</v>
      </c>
      <c r="I26" s="45">
        <v>45881.658275462964</v>
      </c>
      <c r="J26" s="45">
        <v>45881.658275462964</v>
      </c>
    </row>
    <row r="27" spans="1:10" x14ac:dyDescent="0.25">
      <c r="A27">
        <v>26</v>
      </c>
      <c r="B27" t="s">
        <v>567</v>
      </c>
      <c r="C27" t="s">
        <v>467</v>
      </c>
      <c r="D27" t="s">
        <v>568</v>
      </c>
      <c r="E27" t="s">
        <v>569</v>
      </c>
      <c r="F27" t="s">
        <v>570</v>
      </c>
      <c r="G27">
        <v>11</v>
      </c>
      <c r="H27" t="s">
        <v>310</v>
      </c>
      <c r="I27" s="45">
        <v>45881.65829861111</v>
      </c>
      <c r="J27" s="45">
        <v>45881.65829861111</v>
      </c>
    </row>
    <row r="28" spans="1:10" x14ac:dyDescent="0.25">
      <c r="A28">
        <v>27</v>
      </c>
      <c r="B28" t="s">
        <v>571</v>
      </c>
      <c r="C28" t="s">
        <v>116</v>
      </c>
      <c r="D28" t="s">
        <v>572</v>
      </c>
      <c r="E28" t="s">
        <v>573</v>
      </c>
      <c r="F28" t="s">
        <v>574</v>
      </c>
      <c r="G28">
        <v>11</v>
      </c>
      <c r="H28" t="s">
        <v>310</v>
      </c>
      <c r="I28" s="45">
        <v>45881.658310185187</v>
      </c>
      <c r="J28" s="45">
        <v>45881.658310185187</v>
      </c>
    </row>
    <row r="29" spans="1:10" x14ac:dyDescent="0.25">
      <c r="A29">
        <v>28</v>
      </c>
      <c r="B29" t="s">
        <v>575</v>
      </c>
      <c r="C29" t="s">
        <v>563</v>
      </c>
      <c r="D29" t="s">
        <v>576</v>
      </c>
      <c r="E29" t="s">
        <v>577</v>
      </c>
      <c r="F29" t="s">
        <v>578</v>
      </c>
      <c r="G29">
        <v>11</v>
      </c>
      <c r="H29" t="s">
        <v>310</v>
      </c>
      <c r="I29" s="45">
        <v>45881.658333333333</v>
      </c>
      <c r="J29" s="45">
        <v>45881.658333333333</v>
      </c>
    </row>
    <row r="30" spans="1:10" x14ac:dyDescent="0.25">
      <c r="A30">
        <v>29</v>
      </c>
      <c r="B30" t="s">
        <v>579</v>
      </c>
      <c r="C30" t="s">
        <v>123</v>
      </c>
      <c r="D30" t="s">
        <v>580</v>
      </c>
      <c r="E30" t="s">
        <v>581</v>
      </c>
      <c r="F30" t="s">
        <v>582</v>
      </c>
      <c r="G30">
        <v>12</v>
      </c>
      <c r="H30" t="s">
        <v>317</v>
      </c>
      <c r="I30" s="45">
        <v>45881.658356481479</v>
      </c>
      <c r="J30" s="45">
        <v>45881.658356481479</v>
      </c>
    </row>
    <row r="31" spans="1:10" x14ac:dyDescent="0.25">
      <c r="A31">
        <v>30</v>
      </c>
      <c r="B31" t="s">
        <v>583</v>
      </c>
      <c r="C31" t="s">
        <v>125</v>
      </c>
      <c r="D31" t="s">
        <v>584</v>
      </c>
      <c r="E31" t="s">
        <v>585</v>
      </c>
      <c r="F31" t="s">
        <v>586</v>
      </c>
      <c r="G31">
        <v>12</v>
      </c>
      <c r="H31" t="s">
        <v>317</v>
      </c>
      <c r="I31" s="45">
        <v>45881.658379629633</v>
      </c>
      <c r="J31" s="45">
        <v>45881.658379629633</v>
      </c>
    </row>
    <row r="32" spans="1:10" x14ac:dyDescent="0.25">
      <c r="A32">
        <v>31</v>
      </c>
      <c r="B32" t="s">
        <v>587</v>
      </c>
      <c r="C32" t="s">
        <v>499</v>
      </c>
      <c r="D32" t="s">
        <v>588</v>
      </c>
      <c r="E32" t="s">
        <v>589</v>
      </c>
      <c r="F32" t="s">
        <v>590</v>
      </c>
      <c r="G32">
        <v>13</v>
      </c>
      <c r="H32" t="s">
        <v>324</v>
      </c>
      <c r="I32" s="45">
        <v>45881.658402777779</v>
      </c>
      <c r="J32" s="45">
        <v>45881.658402777779</v>
      </c>
    </row>
    <row r="33" spans="1:10" x14ac:dyDescent="0.25">
      <c r="A33">
        <v>32</v>
      </c>
      <c r="B33" t="s">
        <v>591</v>
      </c>
      <c r="C33" t="s">
        <v>592</v>
      </c>
      <c r="D33" t="s">
        <v>593</v>
      </c>
      <c r="E33" t="s">
        <v>594</v>
      </c>
      <c r="F33" t="s">
        <v>595</v>
      </c>
      <c r="G33">
        <v>13</v>
      </c>
      <c r="H33" t="s">
        <v>324</v>
      </c>
      <c r="I33" s="45">
        <v>45881.658425925925</v>
      </c>
      <c r="J33" s="45">
        <v>45881.658425925925</v>
      </c>
    </row>
    <row r="34" spans="1:10" x14ac:dyDescent="0.25">
      <c r="A34">
        <v>33</v>
      </c>
      <c r="B34" t="s">
        <v>596</v>
      </c>
      <c r="C34" t="s">
        <v>467</v>
      </c>
      <c r="D34" t="s">
        <v>597</v>
      </c>
      <c r="E34" t="s">
        <v>598</v>
      </c>
      <c r="F34" t="s">
        <v>599</v>
      </c>
      <c r="G34">
        <v>13</v>
      </c>
      <c r="H34" t="s">
        <v>324</v>
      </c>
      <c r="I34" s="45">
        <v>45881.658449074072</v>
      </c>
      <c r="J34" s="45">
        <v>45881.658449074072</v>
      </c>
    </row>
    <row r="35" spans="1:10" x14ac:dyDescent="0.25">
      <c r="A35">
        <v>34</v>
      </c>
      <c r="B35" t="s">
        <v>600</v>
      </c>
      <c r="C35" t="s">
        <v>601</v>
      </c>
      <c r="D35" t="s">
        <v>602</v>
      </c>
      <c r="E35" t="s">
        <v>603</v>
      </c>
      <c r="F35" t="s">
        <v>604</v>
      </c>
      <c r="G35">
        <v>14</v>
      </c>
      <c r="H35" t="s">
        <v>331</v>
      </c>
      <c r="I35" s="45">
        <v>45881.658460648148</v>
      </c>
      <c r="J35" s="45">
        <v>45881.658460648148</v>
      </c>
    </row>
    <row r="36" spans="1:10" x14ac:dyDescent="0.25">
      <c r="A36">
        <v>35</v>
      </c>
      <c r="B36" t="s">
        <v>605</v>
      </c>
      <c r="C36" t="s">
        <v>457</v>
      </c>
      <c r="D36" t="s">
        <v>606</v>
      </c>
      <c r="E36" t="s">
        <v>607</v>
      </c>
      <c r="F36" t="s">
        <v>608</v>
      </c>
      <c r="G36">
        <v>14</v>
      </c>
      <c r="H36" t="s">
        <v>331</v>
      </c>
      <c r="I36" s="45">
        <v>45881.658483796295</v>
      </c>
      <c r="J36" s="45">
        <v>45881.658483796295</v>
      </c>
    </row>
    <row r="37" spans="1:10" x14ac:dyDescent="0.25">
      <c r="A37">
        <v>36</v>
      </c>
      <c r="B37" t="s">
        <v>368</v>
      </c>
      <c r="C37" t="s">
        <v>520</v>
      </c>
      <c r="D37" t="s">
        <v>609</v>
      </c>
      <c r="E37" t="s">
        <v>610</v>
      </c>
      <c r="F37" t="s">
        <v>611</v>
      </c>
      <c r="G37">
        <v>15</v>
      </c>
      <c r="H37" t="s">
        <v>338</v>
      </c>
      <c r="I37" s="45">
        <v>45881.658506944441</v>
      </c>
      <c r="J37" s="45">
        <v>45881.658506944441</v>
      </c>
    </row>
    <row r="38" spans="1:10" x14ac:dyDescent="0.25">
      <c r="A38">
        <v>37</v>
      </c>
      <c r="B38" t="s">
        <v>545</v>
      </c>
      <c r="C38" t="s">
        <v>467</v>
      </c>
      <c r="D38" t="s">
        <v>612</v>
      </c>
      <c r="E38" t="s">
        <v>613</v>
      </c>
      <c r="F38" t="s">
        <v>614</v>
      </c>
      <c r="G38">
        <v>15</v>
      </c>
      <c r="H38" t="s">
        <v>338</v>
      </c>
      <c r="I38" s="45">
        <v>45881.658530092594</v>
      </c>
      <c r="J38" s="45">
        <v>45881.658530092594</v>
      </c>
    </row>
    <row r="39" spans="1:10" x14ac:dyDescent="0.25">
      <c r="A39">
        <v>38</v>
      </c>
      <c r="B39" t="s">
        <v>615</v>
      </c>
      <c r="C39" t="s">
        <v>138</v>
      </c>
      <c r="D39" t="s">
        <v>616</v>
      </c>
      <c r="E39" t="s">
        <v>617</v>
      </c>
      <c r="F39" t="s">
        <v>618</v>
      </c>
      <c r="G39">
        <v>15</v>
      </c>
      <c r="H39" t="s">
        <v>338</v>
      </c>
      <c r="I39" s="45">
        <v>45881.658541666664</v>
      </c>
      <c r="J39" s="45">
        <v>45881.658541666664</v>
      </c>
    </row>
    <row r="40" spans="1:10" x14ac:dyDescent="0.25">
      <c r="A40">
        <v>39</v>
      </c>
      <c r="B40" t="s">
        <v>619</v>
      </c>
      <c r="C40" t="s">
        <v>457</v>
      </c>
      <c r="D40" t="s">
        <v>620</v>
      </c>
      <c r="E40" t="s">
        <v>621</v>
      </c>
      <c r="F40" t="s">
        <v>622</v>
      </c>
      <c r="G40">
        <v>16</v>
      </c>
      <c r="H40" t="s">
        <v>346</v>
      </c>
      <c r="I40" s="45">
        <v>45881.658564814818</v>
      </c>
      <c r="J40" s="45">
        <v>45881.658564814818</v>
      </c>
    </row>
    <row r="41" spans="1:10" x14ac:dyDescent="0.25">
      <c r="A41">
        <v>40</v>
      </c>
      <c r="B41" t="s">
        <v>623</v>
      </c>
      <c r="C41" t="s">
        <v>537</v>
      </c>
      <c r="D41" t="s">
        <v>624</v>
      </c>
      <c r="E41" t="s">
        <v>625</v>
      </c>
      <c r="F41" t="s">
        <v>626</v>
      </c>
      <c r="G41">
        <v>16</v>
      </c>
      <c r="H41" t="s">
        <v>346</v>
      </c>
      <c r="I41" s="45">
        <v>45881.658587962964</v>
      </c>
      <c r="J41" s="45">
        <v>45881.658587962964</v>
      </c>
    </row>
    <row r="42" spans="1:10" x14ac:dyDescent="0.25">
      <c r="A42">
        <v>41</v>
      </c>
      <c r="B42" t="s">
        <v>591</v>
      </c>
      <c r="C42" t="s">
        <v>125</v>
      </c>
      <c r="D42" t="s">
        <v>627</v>
      </c>
      <c r="E42" t="s">
        <v>628</v>
      </c>
      <c r="F42" t="s">
        <v>629</v>
      </c>
      <c r="G42">
        <v>16</v>
      </c>
      <c r="H42" t="s">
        <v>346</v>
      </c>
      <c r="I42" s="45">
        <v>45881.65861111111</v>
      </c>
      <c r="J42" s="45">
        <v>45881.65861111111</v>
      </c>
    </row>
    <row r="43" spans="1:10" x14ac:dyDescent="0.25">
      <c r="A43">
        <v>42</v>
      </c>
      <c r="B43" t="s">
        <v>630</v>
      </c>
      <c r="C43" t="s">
        <v>457</v>
      </c>
      <c r="D43" t="s">
        <v>631</v>
      </c>
      <c r="E43" t="s">
        <v>632</v>
      </c>
      <c r="F43" t="s">
        <v>633</v>
      </c>
      <c r="G43">
        <v>17</v>
      </c>
      <c r="H43" t="s">
        <v>354</v>
      </c>
      <c r="I43" s="45">
        <v>45881.658634259256</v>
      </c>
      <c r="J43" s="45">
        <v>45881.658634259256</v>
      </c>
    </row>
    <row r="44" spans="1:10" x14ac:dyDescent="0.25">
      <c r="A44">
        <v>43</v>
      </c>
      <c r="B44" t="s">
        <v>634</v>
      </c>
      <c r="C44" t="s">
        <v>116</v>
      </c>
      <c r="D44" t="s">
        <v>635</v>
      </c>
      <c r="E44" t="s">
        <v>636</v>
      </c>
      <c r="F44" t="s">
        <v>637</v>
      </c>
      <c r="G44">
        <v>17</v>
      </c>
      <c r="H44" t="s">
        <v>354</v>
      </c>
      <c r="I44" s="45">
        <v>45881.65865740741</v>
      </c>
      <c r="J44" s="45">
        <v>45881.65865740741</v>
      </c>
    </row>
    <row r="45" spans="1:10" x14ac:dyDescent="0.25">
      <c r="A45">
        <v>44</v>
      </c>
      <c r="B45" t="s">
        <v>638</v>
      </c>
      <c r="C45" t="s">
        <v>639</v>
      </c>
      <c r="D45" t="s">
        <v>640</v>
      </c>
      <c r="E45" t="s">
        <v>641</v>
      </c>
      <c r="F45" t="s">
        <v>642</v>
      </c>
      <c r="G45">
        <v>17</v>
      </c>
      <c r="H45" t="s">
        <v>354</v>
      </c>
      <c r="I45" s="45">
        <v>45881.658680555556</v>
      </c>
      <c r="J45" s="45">
        <v>45881.658680555556</v>
      </c>
    </row>
    <row r="46" spans="1:10" x14ac:dyDescent="0.25">
      <c r="A46">
        <v>45</v>
      </c>
      <c r="B46" t="s">
        <v>643</v>
      </c>
      <c r="C46" t="s">
        <v>118</v>
      </c>
      <c r="D46" t="s">
        <v>644</v>
      </c>
      <c r="E46" t="s">
        <v>645</v>
      </c>
      <c r="F46" t="s">
        <v>646</v>
      </c>
      <c r="G46">
        <v>18</v>
      </c>
      <c r="H46" t="s">
        <v>362</v>
      </c>
      <c r="I46" s="45">
        <v>45881.658692129633</v>
      </c>
      <c r="J46" s="45">
        <v>45881.658692129633</v>
      </c>
    </row>
    <row r="47" spans="1:10" x14ac:dyDescent="0.25">
      <c r="A47">
        <v>46</v>
      </c>
      <c r="B47" t="s">
        <v>647</v>
      </c>
      <c r="C47" t="s">
        <v>554</v>
      </c>
      <c r="D47" t="s">
        <v>648</v>
      </c>
      <c r="E47" t="s">
        <v>649</v>
      </c>
      <c r="F47" t="s">
        <v>650</v>
      </c>
      <c r="G47">
        <v>18</v>
      </c>
      <c r="H47" t="s">
        <v>362</v>
      </c>
      <c r="I47" s="45">
        <v>45881.658715277779</v>
      </c>
      <c r="J47" s="45">
        <v>45881.658715277779</v>
      </c>
    </row>
    <row r="48" spans="1:10" x14ac:dyDescent="0.25">
      <c r="A48">
        <v>47</v>
      </c>
      <c r="B48" t="s">
        <v>651</v>
      </c>
      <c r="C48" t="s">
        <v>639</v>
      </c>
      <c r="D48" t="s">
        <v>652</v>
      </c>
      <c r="E48" t="s">
        <v>653</v>
      </c>
      <c r="F48" t="s">
        <v>654</v>
      </c>
      <c r="G48">
        <v>18</v>
      </c>
      <c r="H48" t="s">
        <v>362</v>
      </c>
      <c r="I48" s="45">
        <v>45881.658738425926</v>
      </c>
      <c r="J48" s="45">
        <v>45881.658738425926</v>
      </c>
    </row>
    <row r="49" spans="1:10" x14ac:dyDescent="0.25">
      <c r="A49">
        <v>48</v>
      </c>
      <c r="B49" t="s">
        <v>655</v>
      </c>
      <c r="C49" t="s">
        <v>114</v>
      </c>
      <c r="D49" t="s">
        <v>656</v>
      </c>
      <c r="E49" t="s">
        <v>657</v>
      </c>
      <c r="F49" t="s">
        <v>658</v>
      </c>
      <c r="G49">
        <v>19</v>
      </c>
      <c r="H49" t="s">
        <v>370</v>
      </c>
      <c r="I49" s="45">
        <v>45881.658761574072</v>
      </c>
      <c r="J49" s="45">
        <v>45881.658761574072</v>
      </c>
    </row>
    <row r="50" spans="1:10" x14ac:dyDescent="0.25">
      <c r="A50">
        <v>49</v>
      </c>
      <c r="B50" t="s">
        <v>659</v>
      </c>
      <c r="C50" t="s">
        <v>114</v>
      </c>
      <c r="D50" t="s">
        <v>660</v>
      </c>
      <c r="E50" t="s">
        <v>661</v>
      </c>
      <c r="F50" t="s">
        <v>662</v>
      </c>
      <c r="G50">
        <v>19</v>
      </c>
      <c r="H50" t="s">
        <v>370</v>
      </c>
      <c r="I50" s="45">
        <v>45881.658784722225</v>
      </c>
      <c r="J50" s="45">
        <v>45881.658784722225</v>
      </c>
    </row>
    <row r="51" spans="1:10" x14ac:dyDescent="0.25">
      <c r="A51">
        <v>50</v>
      </c>
      <c r="B51" t="s">
        <v>663</v>
      </c>
      <c r="C51" t="s">
        <v>494</v>
      </c>
      <c r="D51" t="s">
        <v>664</v>
      </c>
      <c r="E51" t="s">
        <v>665</v>
      </c>
      <c r="F51" t="s">
        <v>666</v>
      </c>
      <c r="G51">
        <v>19</v>
      </c>
      <c r="H51" t="s">
        <v>370</v>
      </c>
      <c r="I51" s="45">
        <v>45881.658796296295</v>
      </c>
      <c r="J51" s="45">
        <v>45881.658796296295</v>
      </c>
    </row>
    <row r="52" spans="1:10" x14ac:dyDescent="0.25">
      <c r="A52">
        <v>51</v>
      </c>
      <c r="B52" t="s">
        <v>667</v>
      </c>
      <c r="C52" t="s">
        <v>668</v>
      </c>
      <c r="D52" t="s">
        <v>669</v>
      </c>
      <c r="E52" t="s">
        <v>670</v>
      </c>
      <c r="F52" t="s">
        <v>671</v>
      </c>
      <c r="G52">
        <v>20</v>
      </c>
      <c r="H52" t="s">
        <v>189</v>
      </c>
      <c r="I52" s="45">
        <v>45881.658819444441</v>
      </c>
      <c r="J52" s="45">
        <v>45881.658819444441</v>
      </c>
    </row>
    <row r="53" spans="1:10" x14ac:dyDescent="0.25">
      <c r="A53">
        <v>52</v>
      </c>
      <c r="B53" t="s">
        <v>672</v>
      </c>
      <c r="C53" t="s">
        <v>138</v>
      </c>
      <c r="D53" t="s">
        <v>673</v>
      </c>
      <c r="E53" t="s">
        <v>674</v>
      </c>
      <c r="F53" t="s">
        <v>675</v>
      </c>
      <c r="G53">
        <v>20</v>
      </c>
      <c r="H53" t="s">
        <v>189</v>
      </c>
      <c r="I53" s="45">
        <v>45881.658842592595</v>
      </c>
      <c r="J53" s="45">
        <v>45881.658842592595</v>
      </c>
    </row>
    <row r="54" spans="1:10" x14ac:dyDescent="0.25">
      <c r="A54">
        <v>53</v>
      </c>
      <c r="B54" t="s">
        <v>676</v>
      </c>
      <c r="C54" t="s">
        <v>138</v>
      </c>
      <c r="D54" t="s">
        <v>677</v>
      </c>
      <c r="E54" t="s">
        <v>678</v>
      </c>
      <c r="F54" t="s">
        <v>679</v>
      </c>
      <c r="G54">
        <v>20</v>
      </c>
      <c r="H54" t="s">
        <v>189</v>
      </c>
      <c r="I54" s="45">
        <v>45881.658865740741</v>
      </c>
      <c r="J54" s="45">
        <v>45881.658865740741</v>
      </c>
    </row>
    <row r="55" spans="1:10" x14ac:dyDescent="0.25">
      <c r="A55">
        <v>54</v>
      </c>
      <c r="B55" t="s">
        <v>680</v>
      </c>
      <c r="C55" t="s">
        <v>125</v>
      </c>
      <c r="D55" t="s">
        <v>681</v>
      </c>
      <c r="E55" t="s">
        <v>682</v>
      </c>
      <c r="F55" t="s">
        <v>683</v>
      </c>
      <c r="G55">
        <v>21</v>
      </c>
      <c r="H55" t="s">
        <v>197</v>
      </c>
      <c r="I55" s="45">
        <v>45881.658888888887</v>
      </c>
      <c r="J55" s="45">
        <v>45881.658888888887</v>
      </c>
    </row>
    <row r="56" spans="1:10" x14ac:dyDescent="0.25">
      <c r="A56">
        <v>55</v>
      </c>
      <c r="B56" t="s">
        <v>684</v>
      </c>
      <c r="C56" t="s">
        <v>271</v>
      </c>
      <c r="D56" t="s">
        <v>685</v>
      </c>
      <c r="E56" t="s">
        <v>686</v>
      </c>
      <c r="F56" t="s">
        <v>687</v>
      </c>
      <c r="G56">
        <v>21</v>
      </c>
      <c r="H56" t="s">
        <v>197</v>
      </c>
      <c r="I56" s="45">
        <v>45881.658900462964</v>
      </c>
      <c r="J56" s="45">
        <v>45881.658900462964</v>
      </c>
    </row>
    <row r="57" spans="1:10" x14ac:dyDescent="0.25">
      <c r="A57">
        <v>56</v>
      </c>
      <c r="B57" t="s">
        <v>688</v>
      </c>
      <c r="C57" t="s">
        <v>226</v>
      </c>
      <c r="D57" t="s">
        <v>689</v>
      </c>
      <c r="E57" t="s">
        <v>690</v>
      </c>
      <c r="F57" t="s">
        <v>691</v>
      </c>
      <c r="G57">
        <v>22</v>
      </c>
      <c r="H57" t="s">
        <v>205</v>
      </c>
      <c r="I57" s="45">
        <v>45881.65892361111</v>
      </c>
      <c r="J57" s="45">
        <v>45881.65892361111</v>
      </c>
    </row>
    <row r="58" spans="1:10" x14ac:dyDescent="0.25">
      <c r="A58">
        <v>57</v>
      </c>
      <c r="B58" t="s">
        <v>692</v>
      </c>
      <c r="C58" t="s">
        <v>693</v>
      </c>
      <c r="D58" t="s">
        <v>694</v>
      </c>
      <c r="E58" t="s">
        <v>695</v>
      </c>
      <c r="F58" t="s">
        <v>696</v>
      </c>
      <c r="G58">
        <v>22</v>
      </c>
      <c r="H58" t="s">
        <v>205</v>
      </c>
      <c r="I58" s="45">
        <v>45881.658946759257</v>
      </c>
      <c r="J58" s="45">
        <v>45881.658946759257</v>
      </c>
    </row>
    <row r="59" spans="1:10" x14ac:dyDescent="0.25">
      <c r="A59">
        <v>58</v>
      </c>
      <c r="B59" t="s">
        <v>697</v>
      </c>
      <c r="C59" t="s">
        <v>118</v>
      </c>
      <c r="D59" t="s">
        <v>698</v>
      </c>
      <c r="E59" t="s">
        <v>699</v>
      </c>
      <c r="F59" t="s">
        <v>700</v>
      </c>
      <c r="G59">
        <v>23</v>
      </c>
      <c r="H59" t="s">
        <v>213</v>
      </c>
      <c r="I59" s="45">
        <v>45881.658958333333</v>
      </c>
      <c r="J59" s="45">
        <v>45881.658958333333</v>
      </c>
    </row>
    <row r="60" spans="1:10" x14ac:dyDescent="0.25">
      <c r="A60">
        <v>59</v>
      </c>
      <c r="B60" t="s">
        <v>701</v>
      </c>
      <c r="C60" t="s">
        <v>114</v>
      </c>
      <c r="D60" t="s">
        <v>702</v>
      </c>
      <c r="E60" t="s">
        <v>703</v>
      </c>
      <c r="F60" t="s">
        <v>704</v>
      </c>
      <c r="G60">
        <v>23</v>
      </c>
      <c r="H60" t="s">
        <v>213</v>
      </c>
      <c r="I60" s="45">
        <v>45881.65898148148</v>
      </c>
      <c r="J60" s="45">
        <v>45881.65898148148</v>
      </c>
    </row>
    <row r="61" spans="1:10" x14ac:dyDescent="0.25">
      <c r="A61">
        <v>60</v>
      </c>
      <c r="B61" t="s">
        <v>705</v>
      </c>
      <c r="C61" t="s">
        <v>9</v>
      </c>
      <c r="D61" t="s">
        <v>706</v>
      </c>
      <c r="E61" t="s">
        <v>707</v>
      </c>
      <c r="F61" t="s">
        <v>708</v>
      </c>
      <c r="G61">
        <v>24</v>
      </c>
      <c r="H61" t="s">
        <v>221</v>
      </c>
      <c r="I61" s="45">
        <v>45881.659004629626</v>
      </c>
      <c r="J61" s="45">
        <v>45881.659004629626</v>
      </c>
    </row>
    <row r="62" spans="1:10" x14ac:dyDescent="0.25">
      <c r="A62">
        <v>61</v>
      </c>
      <c r="B62" t="s">
        <v>709</v>
      </c>
      <c r="C62" t="s">
        <v>133</v>
      </c>
      <c r="D62" t="s">
        <v>710</v>
      </c>
      <c r="E62" t="s">
        <v>711</v>
      </c>
      <c r="F62" t="s">
        <v>712</v>
      </c>
      <c r="G62">
        <v>24</v>
      </c>
      <c r="H62" t="s">
        <v>221</v>
      </c>
      <c r="I62" s="45">
        <v>45881.65902777778</v>
      </c>
      <c r="J62" s="45">
        <v>45881.65902777778</v>
      </c>
    </row>
    <row r="63" spans="1:10" x14ac:dyDescent="0.25">
      <c r="A63">
        <v>62</v>
      </c>
      <c r="B63" t="s">
        <v>713</v>
      </c>
      <c r="C63" t="s">
        <v>271</v>
      </c>
      <c r="D63" t="s">
        <v>714</v>
      </c>
      <c r="E63" t="s">
        <v>715</v>
      </c>
      <c r="F63" t="s">
        <v>716</v>
      </c>
      <c r="G63">
        <v>25</v>
      </c>
      <c r="H63" t="s">
        <v>229</v>
      </c>
      <c r="I63" s="45">
        <v>45881.659050925926</v>
      </c>
      <c r="J63" s="45">
        <v>45881.659050925926</v>
      </c>
    </row>
    <row r="64" spans="1:10" x14ac:dyDescent="0.25">
      <c r="A64">
        <v>63</v>
      </c>
      <c r="B64" t="s">
        <v>717</v>
      </c>
      <c r="C64" t="s">
        <v>123</v>
      </c>
      <c r="D64" t="s">
        <v>718</v>
      </c>
      <c r="E64" t="s">
        <v>719</v>
      </c>
      <c r="F64" t="s">
        <v>720</v>
      </c>
      <c r="G64">
        <v>25</v>
      </c>
      <c r="H64" t="s">
        <v>229</v>
      </c>
      <c r="I64" s="45">
        <v>45881.659062500003</v>
      </c>
      <c r="J64" s="45">
        <v>45881.659062500003</v>
      </c>
    </row>
    <row r="65" spans="1:10" x14ac:dyDescent="0.25">
      <c r="A65">
        <v>64</v>
      </c>
      <c r="B65" t="s">
        <v>721</v>
      </c>
      <c r="C65" t="s">
        <v>601</v>
      </c>
      <c r="D65" t="s">
        <v>722</v>
      </c>
      <c r="E65" t="s">
        <v>723</v>
      </c>
      <c r="F65" t="s">
        <v>724</v>
      </c>
      <c r="G65">
        <v>25</v>
      </c>
      <c r="H65" t="s">
        <v>229</v>
      </c>
      <c r="I65" s="45">
        <v>45881.659085648149</v>
      </c>
      <c r="J65" s="45">
        <v>45881.659085648149</v>
      </c>
    </row>
    <row r="66" spans="1:10" x14ac:dyDescent="0.25">
      <c r="A66">
        <v>65</v>
      </c>
      <c r="B66" t="s">
        <v>725</v>
      </c>
      <c r="C66" t="s">
        <v>693</v>
      </c>
      <c r="D66" t="s">
        <v>726</v>
      </c>
      <c r="E66" t="s">
        <v>727</v>
      </c>
      <c r="F66" t="s">
        <v>728</v>
      </c>
      <c r="G66">
        <v>26</v>
      </c>
      <c r="H66" t="s">
        <v>236</v>
      </c>
      <c r="I66" s="45">
        <v>45881.659108796295</v>
      </c>
      <c r="J66" s="45">
        <v>45881.659108796295</v>
      </c>
    </row>
    <row r="67" spans="1:10" x14ac:dyDescent="0.25">
      <c r="A67">
        <v>66</v>
      </c>
      <c r="B67" t="s">
        <v>729</v>
      </c>
      <c r="C67" t="s">
        <v>563</v>
      </c>
      <c r="D67" t="s">
        <v>730</v>
      </c>
      <c r="E67" t="s">
        <v>731</v>
      </c>
      <c r="F67" t="s">
        <v>732</v>
      </c>
      <c r="G67">
        <v>26</v>
      </c>
      <c r="H67" t="s">
        <v>236</v>
      </c>
      <c r="I67" s="45">
        <v>45881.659131944441</v>
      </c>
      <c r="J67" s="45">
        <v>45881.659131944441</v>
      </c>
    </row>
    <row r="68" spans="1:10" x14ac:dyDescent="0.25">
      <c r="A68">
        <v>67</v>
      </c>
      <c r="B68" t="s">
        <v>733</v>
      </c>
      <c r="C68" t="s">
        <v>271</v>
      </c>
      <c r="D68" t="s">
        <v>734</v>
      </c>
      <c r="E68" t="s">
        <v>735</v>
      </c>
      <c r="F68" t="s">
        <v>736</v>
      </c>
      <c r="G68">
        <v>27</v>
      </c>
      <c r="H68" t="s">
        <v>243</v>
      </c>
      <c r="I68" s="45">
        <v>45881.659155092595</v>
      </c>
      <c r="J68" s="45">
        <v>45881.659155092595</v>
      </c>
    </row>
    <row r="69" spans="1:10" x14ac:dyDescent="0.25">
      <c r="A69">
        <v>68</v>
      </c>
      <c r="B69" t="s">
        <v>737</v>
      </c>
      <c r="C69" t="s">
        <v>537</v>
      </c>
      <c r="D69" t="s">
        <v>738</v>
      </c>
      <c r="E69" t="s">
        <v>739</v>
      </c>
      <c r="F69" t="s">
        <v>740</v>
      </c>
      <c r="G69">
        <v>27</v>
      </c>
      <c r="H69" t="s">
        <v>243</v>
      </c>
      <c r="I69" s="45">
        <v>45881.659178240741</v>
      </c>
      <c r="J69" s="45">
        <v>45881.659178240741</v>
      </c>
    </row>
    <row r="70" spans="1:10" x14ac:dyDescent="0.25">
      <c r="A70">
        <v>69</v>
      </c>
      <c r="B70" t="s">
        <v>741</v>
      </c>
      <c r="C70" t="s">
        <v>499</v>
      </c>
      <c r="D70" t="s">
        <v>742</v>
      </c>
      <c r="E70" t="s">
        <v>743</v>
      </c>
      <c r="F70" t="s">
        <v>744</v>
      </c>
      <c r="G70">
        <v>28</v>
      </c>
      <c r="H70" t="s">
        <v>251</v>
      </c>
      <c r="I70" s="45">
        <v>45881.659189814818</v>
      </c>
      <c r="J70" s="45">
        <v>45881.659189814818</v>
      </c>
    </row>
    <row r="71" spans="1:10" x14ac:dyDescent="0.25">
      <c r="A71">
        <v>70</v>
      </c>
      <c r="B71" t="s">
        <v>745</v>
      </c>
      <c r="C71" t="s">
        <v>746</v>
      </c>
      <c r="D71" t="s">
        <v>747</v>
      </c>
      <c r="E71" t="s">
        <v>748</v>
      </c>
      <c r="F71" t="s">
        <v>749</v>
      </c>
      <c r="G71">
        <v>28</v>
      </c>
      <c r="H71" t="s">
        <v>251</v>
      </c>
      <c r="I71" s="45">
        <v>45881.659212962964</v>
      </c>
      <c r="J71" s="45">
        <v>45881.659212962964</v>
      </c>
    </row>
    <row r="72" spans="1:10" x14ac:dyDescent="0.25">
      <c r="A72">
        <v>71</v>
      </c>
      <c r="B72" t="s">
        <v>750</v>
      </c>
      <c r="C72" t="s">
        <v>746</v>
      </c>
      <c r="D72" t="s">
        <v>751</v>
      </c>
      <c r="E72" t="s">
        <v>752</v>
      </c>
      <c r="F72" t="s">
        <v>753</v>
      </c>
      <c r="G72">
        <v>29</v>
      </c>
      <c r="H72" t="s">
        <v>259</v>
      </c>
      <c r="I72" s="45">
        <v>45881.659236111111</v>
      </c>
      <c r="J72" s="45">
        <v>45881.659236111111</v>
      </c>
    </row>
    <row r="73" spans="1:10" x14ac:dyDescent="0.25">
      <c r="A73">
        <v>72</v>
      </c>
      <c r="B73" t="s">
        <v>754</v>
      </c>
      <c r="C73" t="s">
        <v>668</v>
      </c>
      <c r="D73" t="s">
        <v>755</v>
      </c>
      <c r="E73" t="s">
        <v>756</v>
      </c>
      <c r="F73" t="s">
        <v>757</v>
      </c>
      <c r="G73">
        <v>29</v>
      </c>
      <c r="H73" t="s">
        <v>259</v>
      </c>
      <c r="I73" s="45">
        <v>45881.659259259257</v>
      </c>
      <c r="J73" s="45">
        <v>45881.659259259257</v>
      </c>
    </row>
    <row r="74" spans="1:10" x14ac:dyDescent="0.25">
      <c r="A74">
        <v>73</v>
      </c>
      <c r="B74" t="s">
        <v>758</v>
      </c>
      <c r="C74" t="s">
        <v>639</v>
      </c>
      <c r="D74" t="s">
        <v>759</v>
      </c>
      <c r="E74" t="s">
        <v>760</v>
      </c>
      <c r="F74" t="s">
        <v>761</v>
      </c>
      <c r="G74">
        <v>30</v>
      </c>
      <c r="H74" t="s">
        <v>266</v>
      </c>
      <c r="I74" s="45">
        <v>45881.659282407411</v>
      </c>
      <c r="J74" s="45">
        <v>45881.659282407411</v>
      </c>
    </row>
    <row r="75" spans="1:10" x14ac:dyDescent="0.25">
      <c r="A75">
        <v>74</v>
      </c>
      <c r="B75" t="s">
        <v>762</v>
      </c>
      <c r="C75" t="s">
        <v>601</v>
      </c>
      <c r="D75" t="s">
        <v>763</v>
      </c>
      <c r="E75" t="s">
        <v>764</v>
      </c>
      <c r="F75" t="s">
        <v>765</v>
      </c>
      <c r="G75">
        <v>30</v>
      </c>
      <c r="H75" t="s">
        <v>266</v>
      </c>
      <c r="I75" s="45">
        <v>45881.659305555557</v>
      </c>
      <c r="J75" s="45">
        <v>45881.659305555557</v>
      </c>
    </row>
    <row r="76" spans="1:10" x14ac:dyDescent="0.25">
      <c r="A76">
        <v>75</v>
      </c>
      <c r="B76" t="s">
        <v>766</v>
      </c>
      <c r="C76" t="s">
        <v>537</v>
      </c>
      <c r="D76" t="s">
        <v>767</v>
      </c>
      <c r="E76" t="s">
        <v>768</v>
      </c>
      <c r="F76" t="s">
        <v>769</v>
      </c>
      <c r="G76">
        <v>30</v>
      </c>
      <c r="H76" t="s">
        <v>266</v>
      </c>
      <c r="I76" s="45">
        <v>45881.659328703703</v>
      </c>
      <c r="J76" s="45">
        <v>45881.659328703703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07B90-E8CD-462F-8774-5D971542E7E8}">
  <sheetPr>
    <tabColor rgb="FF660000"/>
  </sheetPr>
  <dimension ref="A1:I101"/>
  <sheetViews>
    <sheetView workbookViewId="0"/>
  </sheetViews>
  <sheetFormatPr defaultRowHeight="15" x14ac:dyDescent="0.25"/>
  <cols>
    <col min="1" max="1" width="5" bestFit="1" customWidth="1"/>
    <col min="2" max="2" width="26.5703125" bestFit="1" customWidth="1"/>
    <col min="3" max="3" width="24.42578125" bestFit="1" customWidth="1"/>
    <col min="4" max="4" width="17.140625" bestFit="1" customWidth="1"/>
    <col min="5" max="5" width="18.5703125" bestFit="1" customWidth="1"/>
    <col min="6" max="6" width="16.7109375" bestFit="1" customWidth="1"/>
    <col min="7" max="7" width="32.28515625" bestFit="1" customWidth="1"/>
    <col min="8" max="9" width="14.85546875" bestFit="1" customWidth="1"/>
  </cols>
  <sheetData>
    <row r="1" spans="1:9" x14ac:dyDescent="0.25">
      <c r="A1" t="s">
        <v>0</v>
      </c>
      <c r="B1" t="s">
        <v>411</v>
      </c>
      <c r="C1" t="s">
        <v>412</v>
      </c>
      <c r="D1" t="s">
        <v>413</v>
      </c>
      <c r="E1" t="s">
        <v>414</v>
      </c>
      <c r="F1" t="s">
        <v>415</v>
      </c>
      <c r="G1" t="s">
        <v>416</v>
      </c>
      <c r="H1" t="s">
        <v>2</v>
      </c>
      <c r="I1" t="s">
        <v>1</v>
      </c>
    </row>
    <row r="2" spans="1:9" x14ac:dyDescent="0.25">
      <c r="A2">
        <v>1</v>
      </c>
      <c r="B2" t="s">
        <v>417</v>
      </c>
      <c r="C2" t="s">
        <v>418</v>
      </c>
      <c r="D2" s="45">
        <v>46157.659375000003</v>
      </c>
      <c r="E2" t="s">
        <v>419</v>
      </c>
      <c r="F2">
        <v>1</v>
      </c>
      <c r="G2" t="s">
        <v>91</v>
      </c>
      <c r="H2" s="45">
        <v>45881.660324074073</v>
      </c>
      <c r="I2" s="45">
        <v>45881.660324074073</v>
      </c>
    </row>
    <row r="3" spans="1:9" x14ac:dyDescent="0.25">
      <c r="A3">
        <v>2</v>
      </c>
      <c r="B3" t="s">
        <v>420</v>
      </c>
      <c r="C3" t="s">
        <v>98</v>
      </c>
      <c r="D3" s="45">
        <v>46150.659375000003</v>
      </c>
      <c r="E3" t="s">
        <v>421</v>
      </c>
      <c r="F3">
        <v>1</v>
      </c>
      <c r="G3" t="s">
        <v>91</v>
      </c>
      <c r="H3" s="45">
        <v>45881.66034722222</v>
      </c>
      <c r="I3" s="45">
        <v>45881.66034722222</v>
      </c>
    </row>
    <row r="4" spans="1:9" x14ac:dyDescent="0.25">
      <c r="A4">
        <v>3</v>
      </c>
      <c r="B4" t="s">
        <v>422</v>
      </c>
      <c r="C4" t="s">
        <v>166</v>
      </c>
      <c r="D4" s="45">
        <v>46143.659375000003</v>
      </c>
      <c r="E4" t="s">
        <v>423</v>
      </c>
      <c r="F4">
        <v>1</v>
      </c>
      <c r="G4" t="s">
        <v>91</v>
      </c>
      <c r="H4" s="45">
        <v>45881.660370370373</v>
      </c>
      <c r="I4" s="45">
        <v>45881.660370370373</v>
      </c>
    </row>
    <row r="5" spans="1:9" x14ac:dyDescent="0.25">
      <c r="A5">
        <v>4</v>
      </c>
      <c r="B5" t="s">
        <v>424</v>
      </c>
      <c r="C5" t="s">
        <v>101</v>
      </c>
      <c r="D5" s="45">
        <v>46136.659375000003</v>
      </c>
      <c r="E5" t="s">
        <v>423</v>
      </c>
      <c r="F5">
        <v>1</v>
      </c>
      <c r="G5" t="s">
        <v>91</v>
      </c>
      <c r="H5" s="45">
        <v>45881.660393518519</v>
      </c>
      <c r="I5" s="45">
        <v>45881.660393518519</v>
      </c>
    </row>
    <row r="6" spans="1:9" x14ac:dyDescent="0.25">
      <c r="A6">
        <v>5</v>
      </c>
      <c r="B6" t="s">
        <v>425</v>
      </c>
      <c r="C6" t="s">
        <v>157</v>
      </c>
      <c r="D6" s="45">
        <v>45975.659398148149</v>
      </c>
      <c r="E6" t="s">
        <v>421</v>
      </c>
      <c r="F6">
        <v>2</v>
      </c>
      <c r="G6" t="s">
        <v>94</v>
      </c>
      <c r="H6" s="45">
        <v>45881.660416666666</v>
      </c>
      <c r="I6" s="45">
        <v>45881.660416666666</v>
      </c>
    </row>
    <row r="7" spans="1:9" x14ac:dyDescent="0.25">
      <c r="A7">
        <v>6</v>
      </c>
      <c r="B7" t="s">
        <v>426</v>
      </c>
      <c r="C7" t="s">
        <v>145</v>
      </c>
      <c r="D7" s="45">
        <v>45965.659398148149</v>
      </c>
      <c r="E7" t="s">
        <v>421</v>
      </c>
      <c r="F7">
        <v>2</v>
      </c>
      <c r="G7" t="s">
        <v>94</v>
      </c>
      <c r="H7" s="45">
        <v>45881.660439814812</v>
      </c>
      <c r="I7" s="45">
        <v>45881.660439814812</v>
      </c>
    </row>
    <row r="8" spans="1:9" x14ac:dyDescent="0.25">
      <c r="A8">
        <v>7</v>
      </c>
      <c r="B8" t="s">
        <v>427</v>
      </c>
      <c r="C8" t="s">
        <v>273</v>
      </c>
      <c r="D8" s="45">
        <v>45955.701064814813</v>
      </c>
      <c r="E8" t="s">
        <v>423</v>
      </c>
      <c r="F8">
        <v>2</v>
      </c>
      <c r="G8" t="s">
        <v>94</v>
      </c>
      <c r="H8" s="45">
        <v>45881.660462962966</v>
      </c>
      <c r="I8" s="45">
        <v>45881.660462962966</v>
      </c>
    </row>
    <row r="9" spans="1:9" x14ac:dyDescent="0.25">
      <c r="A9">
        <v>8</v>
      </c>
      <c r="B9" t="s">
        <v>428</v>
      </c>
      <c r="C9" t="s">
        <v>429</v>
      </c>
      <c r="D9" s="45">
        <v>45945.701064814813</v>
      </c>
      <c r="E9" t="s">
        <v>423</v>
      </c>
      <c r="F9">
        <v>2</v>
      </c>
      <c r="G9" t="s">
        <v>94</v>
      </c>
      <c r="H9" s="45">
        <v>45881.660486111112</v>
      </c>
      <c r="I9" s="45">
        <v>45881.660486111112</v>
      </c>
    </row>
    <row r="10" spans="1:9" x14ac:dyDescent="0.25">
      <c r="A10">
        <v>9</v>
      </c>
      <c r="B10" t="s">
        <v>430</v>
      </c>
      <c r="C10" t="s">
        <v>98</v>
      </c>
      <c r="D10" s="45">
        <v>45935.701064814813</v>
      </c>
      <c r="E10" t="s">
        <v>423</v>
      </c>
      <c r="F10">
        <v>2</v>
      </c>
      <c r="G10" t="s">
        <v>94</v>
      </c>
      <c r="H10" s="45">
        <v>45881.660509259258</v>
      </c>
      <c r="I10" s="45">
        <v>45881.660509259258</v>
      </c>
    </row>
    <row r="11" spans="1:9" x14ac:dyDescent="0.25">
      <c r="A11">
        <v>10</v>
      </c>
      <c r="B11" t="s">
        <v>425</v>
      </c>
      <c r="C11" t="s">
        <v>98</v>
      </c>
      <c r="D11" s="45">
        <v>45918.659421296295</v>
      </c>
      <c r="E11" t="s">
        <v>421</v>
      </c>
      <c r="F11">
        <v>3</v>
      </c>
      <c r="G11" t="s">
        <v>97</v>
      </c>
      <c r="H11" s="45">
        <v>45881.660532407404</v>
      </c>
      <c r="I11" s="45">
        <v>45881.660532407404</v>
      </c>
    </row>
    <row r="12" spans="1:9" x14ac:dyDescent="0.25">
      <c r="A12">
        <v>11</v>
      </c>
      <c r="B12" t="s">
        <v>426</v>
      </c>
      <c r="C12" t="s">
        <v>150</v>
      </c>
      <c r="D12" s="45">
        <v>45908.659421296295</v>
      </c>
      <c r="E12" t="s">
        <v>421</v>
      </c>
      <c r="F12">
        <v>3</v>
      </c>
      <c r="G12" t="s">
        <v>97</v>
      </c>
      <c r="H12" s="45">
        <v>45881.660555555558</v>
      </c>
      <c r="I12" s="45">
        <v>45881.660555555558</v>
      </c>
    </row>
    <row r="13" spans="1:9" x14ac:dyDescent="0.25">
      <c r="A13">
        <v>12</v>
      </c>
      <c r="B13" t="s">
        <v>427</v>
      </c>
      <c r="C13" t="s">
        <v>98</v>
      </c>
      <c r="D13" s="45">
        <v>45898.659421296295</v>
      </c>
      <c r="E13" t="s">
        <v>423</v>
      </c>
      <c r="F13">
        <v>3</v>
      </c>
      <c r="G13" t="s">
        <v>97</v>
      </c>
      <c r="H13" s="45">
        <v>45881.660578703704</v>
      </c>
      <c r="I13" s="45">
        <v>45881.660578703704</v>
      </c>
    </row>
    <row r="14" spans="1:9" x14ac:dyDescent="0.25">
      <c r="A14">
        <v>13</v>
      </c>
      <c r="B14" t="s">
        <v>428</v>
      </c>
      <c r="C14" t="s">
        <v>92</v>
      </c>
      <c r="D14" s="45">
        <v>45888.659421296295</v>
      </c>
      <c r="E14" t="s">
        <v>423</v>
      </c>
      <c r="F14">
        <v>3</v>
      </c>
      <c r="G14" t="s">
        <v>97</v>
      </c>
      <c r="H14" s="45">
        <v>45881.660601851851</v>
      </c>
      <c r="I14" s="45">
        <v>45881.660601851851</v>
      </c>
    </row>
    <row r="15" spans="1:9" x14ac:dyDescent="0.25">
      <c r="A15">
        <v>14</v>
      </c>
      <c r="B15" t="s">
        <v>430</v>
      </c>
      <c r="C15" t="s">
        <v>431</v>
      </c>
      <c r="D15" s="45">
        <v>45903.660590277781</v>
      </c>
      <c r="E15" t="s">
        <v>423</v>
      </c>
      <c r="F15">
        <v>3</v>
      </c>
      <c r="G15" t="s">
        <v>97</v>
      </c>
      <c r="H15" s="45">
        <v>45881.660624999997</v>
      </c>
      <c r="I15" s="45">
        <v>45881.660624999997</v>
      </c>
    </row>
    <row r="16" spans="1:9" x14ac:dyDescent="0.25">
      <c r="A16">
        <v>15</v>
      </c>
      <c r="B16" t="s">
        <v>432</v>
      </c>
      <c r="C16" t="s">
        <v>393</v>
      </c>
      <c r="D16" s="45">
        <v>46009.659432870372</v>
      </c>
      <c r="E16" t="s">
        <v>419</v>
      </c>
      <c r="F16">
        <v>4</v>
      </c>
      <c r="G16" t="s">
        <v>100</v>
      </c>
      <c r="H16" s="45">
        <v>45881.66064814815</v>
      </c>
      <c r="I16" s="45">
        <v>45881.66064814815</v>
      </c>
    </row>
    <row r="17" spans="1:9" x14ac:dyDescent="0.25">
      <c r="A17">
        <v>16</v>
      </c>
      <c r="B17" t="s">
        <v>433</v>
      </c>
      <c r="C17" t="s">
        <v>92</v>
      </c>
      <c r="D17" s="45">
        <v>46002.659432870372</v>
      </c>
      <c r="E17" t="s">
        <v>421</v>
      </c>
      <c r="F17">
        <v>4</v>
      </c>
      <c r="G17" t="s">
        <v>100</v>
      </c>
      <c r="H17" s="45">
        <v>45881.660671296297</v>
      </c>
      <c r="I17" s="45">
        <v>45881.660671296297</v>
      </c>
    </row>
    <row r="18" spans="1:9" x14ac:dyDescent="0.25">
      <c r="A18">
        <v>17</v>
      </c>
      <c r="B18" t="s">
        <v>434</v>
      </c>
      <c r="C18" t="s">
        <v>101</v>
      </c>
      <c r="D18" s="45">
        <v>45995.659432870372</v>
      </c>
      <c r="E18" t="s">
        <v>423</v>
      </c>
      <c r="F18">
        <v>4</v>
      </c>
      <c r="G18" t="s">
        <v>100</v>
      </c>
      <c r="H18" s="45">
        <v>45881.660694444443</v>
      </c>
      <c r="I18" s="45">
        <v>45881.660694444443</v>
      </c>
    </row>
    <row r="19" spans="1:9" x14ac:dyDescent="0.25">
      <c r="A19">
        <v>18</v>
      </c>
      <c r="B19" t="s">
        <v>435</v>
      </c>
      <c r="C19" t="s">
        <v>273</v>
      </c>
      <c r="D19" s="45">
        <v>45979.659432870372</v>
      </c>
      <c r="E19" t="s">
        <v>423</v>
      </c>
      <c r="F19">
        <v>4</v>
      </c>
      <c r="G19" t="s">
        <v>100</v>
      </c>
      <c r="H19" s="45">
        <v>45881.660717592589</v>
      </c>
      <c r="I19" s="45">
        <v>45881.660717592589</v>
      </c>
    </row>
    <row r="20" spans="1:9" x14ac:dyDescent="0.25">
      <c r="A20">
        <v>19</v>
      </c>
      <c r="B20" t="s">
        <v>436</v>
      </c>
      <c r="C20" t="s">
        <v>437</v>
      </c>
      <c r="D20" s="45">
        <v>46352.659467592595</v>
      </c>
      <c r="E20" t="s">
        <v>419</v>
      </c>
      <c r="F20">
        <v>5</v>
      </c>
      <c r="G20" t="s">
        <v>103</v>
      </c>
      <c r="H20" s="45">
        <v>45881.660729166666</v>
      </c>
      <c r="I20" s="45">
        <v>45881.660729166666</v>
      </c>
    </row>
    <row r="21" spans="1:9" x14ac:dyDescent="0.25">
      <c r="A21">
        <v>20</v>
      </c>
      <c r="B21" t="s">
        <v>438</v>
      </c>
      <c r="C21" t="s">
        <v>95</v>
      </c>
      <c r="D21" s="45">
        <v>46345.659467592595</v>
      </c>
      <c r="E21" t="s">
        <v>421</v>
      </c>
      <c r="F21">
        <v>5</v>
      </c>
      <c r="G21" t="s">
        <v>103</v>
      </c>
      <c r="H21" s="45">
        <v>45881.660752314812</v>
      </c>
      <c r="I21" s="45">
        <v>45881.660752314812</v>
      </c>
    </row>
    <row r="22" spans="1:9" x14ac:dyDescent="0.25">
      <c r="A22">
        <v>21</v>
      </c>
      <c r="B22" t="s">
        <v>439</v>
      </c>
      <c r="C22" t="s">
        <v>431</v>
      </c>
      <c r="D22" s="45">
        <v>46338.659467592595</v>
      </c>
      <c r="E22" t="s">
        <v>421</v>
      </c>
      <c r="F22">
        <v>5</v>
      </c>
      <c r="G22" t="s">
        <v>103</v>
      </c>
      <c r="H22" s="45">
        <v>45881.660775462966</v>
      </c>
      <c r="I22" s="45">
        <v>45881.660775462966</v>
      </c>
    </row>
    <row r="23" spans="1:9" x14ac:dyDescent="0.25">
      <c r="A23">
        <v>22</v>
      </c>
      <c r="B23" t="s">
        <v>440</v>
      </c>
      <c r="C23" t="s">
        <v>418</v>
      </c>
      <c r="D23" s="45">
        <v>46331.659467592595</v>
      </c>
      <c r="E23" t="s">
        <v>423</v>
      </c>
      <c r="F23">
        <v>5</v>
      </c>
      <c r="G23" t="s">
        <v>103</v>
      </c>
      <c r="H23" s="45">
        <v>45881.660798611112</v>
      </c>
      <c r="I23" s="45">
        <v>45881.660798611112</v>
      </c>
    </row>
    <row r="24" spans="1:9" x14ac:dyDescent="0.25">
      <c r="A24">
        <v>23</v>
      </c>
      <c r="B24" t="s">
        <v>146</v>
      </c>
      <c r="C24" t="s">
        <v>429</v>
      </c>
      <c r="D24" s="45">
        <v>46324.70113425926</v>
      </c>
      <c r="E24" t="s">
        <v>423</v>
      </c>
      <c r="F24">
        <v>5</v>
      </c>
      <c r="G24" t="s">
        <v>103</v>
      </c>
      <c r="H24" s="45">
        <v>45881.660821759258</v>
      </c>
      <c r="I24" s="45">
        <v>45881.660821759258</v>
      </c>
    </row>
    <row r="25" spans="1:9" x14ac:dyDescent="0.25">
      <c r="A25">
        <v>24</v>
      </c>
      <c r="B25" t="s">
        <v>441</v>
      </c>
      <c r="C25" t="s">
        <v>92</v>
      </c>
      <c r="D25" s="45">
        <v>46140.659490740742</v>
      </c>
      <c r="E25" t="s">
        <v>419</v>
      </c>
      <c r="F25">
        <v>6</v>
      </c>
      <c r="G25" t="s">
        <v>147</v>
      </c>
      <c r="H25" s="45">
        <v>45881.660844907405</v>
      </c>
      <c r="I25" s="45">
        <v>45881.660844907405</v>
      </c>
    </row>
    <row r="26" spans="1:9" x14ac:dyDescent="0.25">
      <c r="A26">
        <v>25</v>
      </c>
      <c r="B26" t="s">
        <v>442</v>
      </c>
      <c r="C26" t="s">
        <v>98</v>
      </c>
      <c r="D26" s="45">
        <v>46110.659490740742</v>
      </c>
      <c r="E26" t="s">
        <v>421</v>
      </c>
      <c r="F26">
        <v>6</v>
      </c>
      <c r="G26" t="s">
        <v>147</v>
      </c>
      <c r="H26" s="45">
        <v>45881.660879629628</v>
      </c>
      <c r="I26" s="45">
        <v>45881.660879629628</v>
      </c>
    </row>
    <row r="27" spans="1:9" x14ac:dyDescent="0.25">
      <c r="A27">
        <v>26</v>
      </c>
      <c r="B27" t="s">
        <v>443</v>
      </c>
      <c r="C27" t="s">
        <v>95</v>
      </c>
      <c r="D27" s="45">
        <v>46080.617824074077</v>
      </c>
      <c r="E27" t="s">
        <v>423</v>
      </c>
      <c r="F27">
        <v>6</v>
      </c>
      <c r="G27" t="s">
        <v>147</v>
      </c>
      <c r="H27" s="45">
        <v>45881.660902777781</v>
      </c>
      <c r="I27" s="45">
        <v>45881.660902777781</v>
      </c>
    </row>
    <row r="28" spans="1:9" x14ac:dyDescent="0.25">
      <c r="A28">
        <v>27</v>
      </c>
      <c r="B28" t="s">
        <v>444</v>
      </c>
      <c r="C28" t="s">
        <v>157</v>
      </c>
      <c r="D28" s="45">
        <v>46050.617824074077</v>
      </c>
      <c r="E28" t="s">
        <v>423</v>
      </c>
      <c r="F28">
        <v>6</v>
      </c>
      <c r="G28" t="s">
        <v>147</v>
      </c>
      <c r="H28" s="45">
        <v>45881.660925925928</v>
      </c>
      <c r="I28" s="45">
        <v>45881.660925925928</v>
      </c>
    </row>
    <row r="29" spans="1:9" x14ac:dyDescent="0.25">
      <c r="A29">
        <v>28</v>
      </c>
      <c r="B29" t="s">
        <v>445</v>
      </c>
      <c r="C29" t="s">
        <v>157</v>
      </c>
      <c r="D29" s="45">
        <v>46040.617824074077</v>
      </c>
      <c r="E29" t="s">
        <v>423</v>
      </c>
      <c r="F29">
        <v>6</v>
      </c>
      <c r="G29" t="s">
        <v>147</v>
      </c>
      <c r="H29" s="45">
        <v>45881.660949074074</v>
      </c>
      <c r="I29" s="45">
        <v>45881.660949074074</v>
      </c>
    </row>
    <row r="30" spans="1:9" x14ac:dyDescent="0.25">
      <c r="A30">
        <v>29</v>
      </c>
      <c r="B30" t="s">
        <v>441</v>
      </c>
      <c r="C30" t="s">
        <v>429</v>
      </c>
      <c r="D30" s="45">
        <v>46330.659513888888</v>
      </c>
      <c r="E30" t="s">
        <v>419</v>
      </c>
      <c r="F30">
        <v>7</v>
      </c>
      <c r="G30" t="s">
        <v>149</v>
      </c>
      <c r="H30" s="45">
        <v>45881.660960648151</v>
      </c>
      <c r="I30" s="45">
        <v>45881.660960648151</v>
      </c>
    </row>
    <row r="31" spans="1:9" x14ac:dyDescent="0.25">
      <c r="A31">
        <v>30</v>
      </c>
      <c r="B31" t="s">
        <v>442</v>
      </c>
      <c r="C31" t="s">
        <v>98</v>
      </c>
      <c r="D31" s="45">
        <v>46300.701180555552</v>
      </c>
      <c r="E31" t="s">
        <v>421</v>
      </c>
      <c r="F31">
        <v>7</v>
      </c>
      <c r="G31" t="s">
        <v>149</v>
      </c>
      <c r="H31" s="45">
        <v>45881.660983796297</v>
      </c>
      <c r="I31" s="45">
        <v>45881.660983796297</v>
      </c>
    </row>
    <row r="32" spans="1:9" x14ac:dyDescent="0.25">
      <c r="A32">
        <v>31</v>
      </c>
      <c r="B32" t="s">
        <v>443</v>
      </c>
      <c r="C32" t="s">
        <v>92</v>
      </c>
      <c r="D32" s="45">
        <v>46270.701180555552</v>
      </c>
      <c r="E32" t="s">
        <v>423</v>
      </c>
      <c r="F32">
        <v>7</v>
      </c>
      <c r="G32" t="s">
        <v>149</v>
      </c>
      <c r="H32" s="45">
        <v>45881.661006944443</v>
      </c>
      <c r="I32" s="45">
        <v>45881.661006944443</v>
      </c>
    </row>
    <row r="33" spans="1:9" x14ac:dyDescent="0.25">
      <c r="A33">
        <v>32</v>
      </c>
      <c r="B33" t="s">
        <v>444</v>
      </c>
      <c r="C33" t="s">
        <v>101</v>
      </c>
      <c r="D33" s="45">
        <v>46240.701180555552</v>
      </c>
      <c r="E33" t="s">
        <v>423</v>
      </c>
      <c r="F33">
        <v>7</v>
      </c>
      <c r="G33" t="s">
        <v>149</v>
      </c>
      <c r="H33" s="45">
        <v>45881.661030092589</v>
      </c>
      <c r="I33" s="45">
        <v>45881.661030092589</v>
      </c>
    </row>
    <row r="34" spans="1:9" x14ac:dyDescent="0.25">
      <c r="A34">
        <v>33</v>
      </c>
      <c r="B34" t="s">
        <v>445</v>
      </c>
      <c r="C34" t="s">
        <v>157</v>
      </c>
      <c r="D34" s="45">
        <v>46230.701180555552</v>
      </c>
      <c r="E34" t="s">
        <v>423</v>
      </c>
      <c r="F34">
        <v>7</v>
      </c>
      <c r="G34" t="s">
        <v>149</v>
      </c>
      <c r="H34" s="45">
        <v>45881.661053240743</v>
      </c>
      <c r="I34" s="45">
        <v>45881.661053240743</v>
      </c>
    </row>
    <row r="35" spans="1:9" x14ac:dyDescent="0.25">
      <c r="A35">
        <v>34</v>
      </c>
      <c r="B35" t="s">
        <v>432</v>
      </c>
      <c r="C35" t="s">
        <v>98</v>
      </c>
      <c r="D35" s="45">
        <v>45937.659537037034</v>
      </c>
      <c r="E35" t="s">
        <v>419</v>
      </c>
      <c r="F35">
        <v>8</v>
      </c>
      <c r="G35" t="s">
        <v>152</v>
      </c>
      <c r="H35" s="45">
        <v>45881.661076388889</v>
      </c>
      <c r="I35" s="45">
        <v>45881.661076388889</v>
      </c>
    </row>
    <row r="36" spans="1:9" x14ac:dyDescent="0.25">
      <c r="A36">
        <v>35</v>
      </c>
      <c r="B36" t="s">
        <v>433</v>
      </c>
      <c r="C36" t="s">
        <v>166</v>
      </c>
      <c r="D36" s="45">
        <v>45930.659537037034</v>
      </c>
      <c r="E36" t="s">
        <v>421</v>
      </c>
      <c r="F36">
        <v>8</v>
      </c>
      <c r="G36" t="s">
        <v>152</v>
      </c>
      <c r="H36" s="45">
        <v>45881.661111111112</v>
      </c>
      <c r="I36" s="45">
        <v>45881.661111111112</v>
      </c>
    </row>
    <row r="37" spans="1:9" x14ac:dyDescent="0.25">
      <c r="A37">
        <v>36</v>
      </c>
      <c r="B37" t="s">
        <v>434</v>
      </c>
      <c r="C37" t="s">
        <v>437</v>
      </c>
      <c r="D37" s="45">
        <v>45923.659537037034</v>
      </c>
      <c r="E37" t="s">
        <v>423</v>
      </c>
      <c r="F37">
        <v>8</v>
      </c>
      <c r="G37" t="s">
        <v>152</v>
      </c>
      <c r="H37" s="45">
        <v>45881.661134259259</v>
      </c>
      <c r="I37" s="45">
        <v>45881.661134259259</v>
      </c>
    </row>
    <row r="38" spans="1:9" x14ac:dyDescent="0.25">
      <c r="A38">
        <v>37</v>
      </c>
      <c r="B38" t="s">
        <v>435</v>
      </c>
      <c r="C38" t="s">
        <v>418</v>
      </c>
      <c r="D38" s="45">
        <v>45907.659537037034</v>
      </c>
      <c r="E38" t="s">
        <v>423</v>
      </c>
      <c r="F38">
        <v>8</v>
      </c>
      <c r="G38" t="s">
        <v>152</v>
      </c>
      <c r="H38" s="45">
        <v>45881.661157407405</v>
      </c>
      <c r="I38" s="45">
        <v>45881.661157407405</v>
      </c>
    </row>
    <row r="39" spans="1:9" x14ac:dyDescent="0.25">
      <c r="A39">
        <v>38</v>
      </c>
      <c r="B39" t="s">
        <v>417</v>
      </c>
      <c r="C39" t="s">
        <v>95</v>
      </c>
      <c r="D39" s="45">
        <v>46139.659560185188</v>
      </c>
      <c r="E39" t="s">
        <v>419</v>
      </c>
      <c r="F39">
        <v>9</v>
      </c>
      <c r="G39" t="s">
        <v>154</v>
      </c>
      <c r="H39" s="45">
        <v>45881.661180555559</v>
      </c>
      <c r="I39" s="45">
        <v>45881.661180555559</v>
      </c>
    </row>
    <row r="40" spans="1:9" x14ac:dyDescent="0.25">
      <c r="A40">
        <v>39</v>
      </c>
      <c r="B40" t="s">
        <v>420</v>
      </c>
      <c r="C40" t="s">
        <v>437</v>
      </c>
      <c r="D40" s="45">
        <v>46132.659560185188</v>
      </c>
      <c r="E40" t="s">
        <v>421</v>
      </c>
      <c r="F40">
        <v>9</v>
      </c>
      <c r="G40" t="s">
        <v>154</v>
      </c>
      <c r="H40" s="45">
        <v>45881.661203703705</v>
      </c>
      <c r="I40" s="45">
        <v>45881.661203703705</v>
      </c>
    </row>
    <row r="41" spans="1:9" x14ac:dyDescent="0.25">
      <c r="A41">
        <v>40</v>
      </c>
      <c r="B41" t="s">
        <v>422</v>
      </c>
      <c r="C41" t="s">
        <v>166</v>
      </c>
      <c r="D41" s="45">
        <v>46125.659560185188</v>
      </c>
      <c r="E41" t="s">
        <v>423</v>
      </c>
      <c r="F41">
        <v>9</v>
      </c>
      <c r="G41" t="s">
        <v>154</v>
      </c>
      <c r="H41" s="45">
        <v>45881.661226851851</v>
      </c>
      <c r="I41" s="45">
        <v>45881.661226851851</v>
      </c>
    </row>
    <row r="42" spans="1:9" x14ac:dyDescent="0.25">
      <c r="A42">
        <v>41</v>
      </c>
      <c r="B42" t="s">
        <v>424</v>
      </c>
      <c r="C42" t="s">
        <v>393</v>
      </c>
      <c r="D42" s="45">
        <v>46118.659560185188</v>
      </c>
      <c r="E42" t="s">
        <v>423</v>
      </c>
      <c r="F42">
        <v>9</v>
      </c>
      <c r="G42" t="s">
        <v>154</v>
      </c>
      <c r="H42" s="45">
        <v>45881.661238425928</v>
      </c>
      <c r="I42" s="45">
        <v>45881.661238425928</v>
      </c>
    </row>
    <row r="43" spans="1:9" x14ac:dyDescent="0.25">
      <c r="A43">
        <v>42</v>
      </c>
      <c r="B43" t="s">
        <v>446</v>
      </c>
      <c r="C43" t="s">
        <v>104</v>
      </c>
      <c r="D43" s="45">
        <v>46063.659571759257</v>
      </c>
      <c r="E43" t="s">
        <v>421</v>
      </c>
      <c r="F43">
        <v>10</v>
      </c>
      <c r="G43" t="s">
        <v>155</v>
      </c>
      <c r="H43" s="45">
        <v>45881.661261574074</v>
      </c>
      <c r="I43" s="45">
        <v>45881.661261574074</v>
      </c>
    </row>
    <row r="44" spans="1:9" x14ac:dyDescent="0.25">
      <c r="A44">
        <v>43</v>
      </c>
      <c r="B44" t="s">
        <v>447</v>
      </c>
      <c r="C44" t="s">
        <v>273</v>
      </c>
      <c r="D44" s="45">
        <v>46056.659571759257</v>
      </c>
      <c r="E44" t="s">
        <v>421</v>
      </c>
      <c r="F44">
        <v>10</v>
      </c>
      <c r="G44" t="s">
        <v>155</v>
      </c>
      <c r="H44" s="45">
        <v>45881.66128472222</v>
      </c>
      <c r="I44" s="45">
        <v>45881.66128472222</v>
      </c>
    </row>
    <row r="45" spans="1:9" x14ac:dyDescent="0.25">
      <c r="A45">
        <v>44</v>
      </c>
      <c r="B45" t="s">
        <v>448</v>
      </c>
      <c r="C45" t="s">
        <v>150</v>
      </c>
      <c r="D45" s="45">
        <v>46049.659571759257</v>
      </c>
      <c r="E45" t="s">
        <v>423</v>
      </c>
      <c r="F45">
        <v>10</v>
      </c>
      <c r="G45" t="s">
        <v>155</v>
      </c>
      <c r="H45" s="45">
        <v>45881.661307870374</v>
      </c>
      <c r="I45" s="45">
        <v>45881.661307870374</v>
      </c>
    </row>
    <row r="46" spans="1:9" x14ac:dyDescent="0.25">
      <c r="A46">
        <v>45</v>
      </c>
      <c r="B46" t="s">
        <v>449</v>
      </c>
      <c r="C46" t="s">
        <v>95</v>
      </c>
      <c r="D46" s="45">
        <v>46042.659571759257</v>
      </c>
      <c r="E46" t="s">
        <v>423</v>
      </c>
      <c r="F46">
        <v>10</v>
      </c>
      <c r="G46" t="s">
        <v>155</v>
      </c>
      <c r="H46" s="45">
        <v>45881.66133101852</v>
      </c>
      <c r="I46" s="45">
        <v>45881.66133101852</v>
      </c>
    </row>
    <row r="47" spans="1:9" x14ac:dyDescent="0.25">
      <c r="A47">
        <v>46</v>
      </c>
      <c r="B47" t="s">
        <v>446</v>
      </c>
      <c r="C47" t="s">
        <v>95</v>
      </c>
      <c r="D47" s="45">
        <v>46318.659594907411</v>
      </c>
      <c r="E47" t="s">
        <v>421</v>
      </c>
      <c r="F47">
        <v>11</v>
      </c>
      <c r="G47" t="s">
        <v>156</v>
      </c>
      <c r="H47" s="45">
        <v>45881.661354166667</v>
      </c>
      <c r="I47" s="45">
        <v>45881.661354166667</v>
      </c>
    </row>
    <row r="48" spans="1:9" x14ac:dyDescent="0.25">
      <c r="A48">
        <v>47</v>
      </c>
      <c r="B48" t="s">
        <v>447</v>
      </c>
      <c r="C48" t="s">
        <v>95</v>
      </c>
      <c r="D48" s="45">
        <v>46311.659594907411</v>
      </c>
      <c r="E48" t="s">
        <v>421</v>
      </c>
      <c r="F48">
        <v>11</v>
      </c>
      <c r="G48" t="s">
        <v>156</v>
      </c>
      <c r="H48" s="45">
        <v>45881.661365740743</v>
      </c>
      <c r="I48" s="45">
        <v>45881.661365740743</v>
      </c>
    </row>
    <row r="49" spans="1:9" x14ac:dyDescent="0.25">
      <c r="A49">
        <v>48</v>
      </c>
      <c r="B49" t="s">
        <v>448</v>
      </c>
      <c r="C49" t="s">
        <v>393</v>
      </c>
      <c r="D49" s="45">
        <v>46304.659594907411</v>
      </c>
      <c r="E49" t="s">
        <v>423</v>
      </c>
      <c r="F49">
        <v>11</v>
      </c>
      <c r="G49" t="s">
        <v>156</v>
      </c>
      <c r="H49" s="45">
        <v>45881.66138888889</v>
      </c>
      <c r="I49" s="45">
        <v>45881.66138888889</v>
      </c>
    </row>
    <row r="50" spans="1:9" x14ac:dyDescent="0.25">
      <c r="A50">
        <v>49</v>
      </c>
      <c r="B50" t="s">
        <v>449</v>
      </c>
      <c r="C50" t="s">
        <v>437</v>
      </c>
      <c r="D50" s="45">
        <v>46297.659594907411</v>
      </c>
      <c r="E50" t="s">
        <v>423</v>
      </c>
      <c r="F50">
        <v>11</v>
      </c>
      <c r="G50" t="s">
        <v>156</v>
      </c>
      <c r="H50" s="45">
        <v>45881.661412037036</v>
      </c>
      <c r="I50" s="45">
        <v>45881.661412037036</v>
      </c>
    </row>
    <row r="51" spans="1:9" x14ac:dyDescent="0.25">
      <c r="A51">
        <v>50</v>
      </c>
      <c r="B51" t="s">
        <v>441</v>
      </c>
      <c r="C51" t="s">
        <v>150</v>
      </c>
      <c r="D51" s="45">
        <v>46226.659618055557</v>
      </c>
      <c r="E51" t="s">
        <v>419</v>
      </c>
      <c r="F51">
        <v>12</v>
      </c>
      <c r="G51" t="s">
        <v>158</v>
      </c>
      <c r="H51" s="45">
        <v>45881.661435185182</v>
      </c>
      <c r="I51" s="45">
        <v>45881.661435185182</v>
      </c>
    </row>
    <row r="52" spans="1:9" x14ac:dyDescent="0.25">
      <c r="A52">
        <v>51</v>
      </c>
      <c r="B52" t="s">
        <v>442</v>
      </c>
      <c r="C52" t="s">
        <v>104</v>
      </c>
      <c r="D52" s="45">
        <v>46196.659618055557</v>
      </c>
      <c r="E52" t="s">
        <v>421</v>
      </c>
      <c r="F52">
        <v>12</v>
      </c>
      <c r="G52" t="s">
        <v>158</v>
      </c>
      <c r="H52" s="45">
        <v>45881.661446759259</v>
      </c>
      <c r="I52" s="45">
        <v>45881.661446759259</v>
      </c>
    </row>
    <row r="53" spans="1:9" x14ac:dyDescent="0.25">
      <c r="A53">
        <v>52</v>
      </c>
      <c r="B53" t="s">
        <v>443</v>
      </c>
      <c r="C53" t="s">
        <v>273</v>
      </c>
      <c r="D53" s="45">
        <v>46166.659618055557</v>
      </c>
      <c r="E53" t="s">
        <v>423</v>
      </c>
      <c r="F53">
        <v>12</v>
      </c>
      <c r="G53" t="s">
        <v>158</v>
      </c>
      <c r="H53" s="45">
        <v>45881.661469907405</v>
      </c>
      <c r="I53" s="45">
        <v>45881.661469907405</v>
      </c>
    </row>
    <row r="54" spans="1:9" x14ac:dyDescent="0.25">
      <c r="A54">
        <v>53</v>
      </c>
      <c r="B54" t="s">
        <v>444</v>
      </c>
      <c r="C54" t="s">
        <v>431</v>
      </c>
      <c r="D54" s="45">
        <v>46136.659618055557</v>
      </c>
      <c r="E54" t="s">
        <v>423</v>
      </c>
      <c r="F54">
        <v>12</v>
      </c>
      <c r="G54" t="s">
        <v>158</v>
      </c>
      <c r="H54" s="45">
        <v>45881.661493055559</v>
      </c>
      <c r="I54" s="45">
        <v>45881.661493055559</v>
      </c>
    </row>
    <row r="55" spans="1:9" x14ac:dyDescent="0.25">
      <c r="A55">
        <v>54</v>
      </c>
      <c r="B55" t="s">
        <v>445</v>
      </c>
      <c r="C55" t="s">
        <v>418</v>
      </c>
      <c r="D55" s="45">
        <v>46126.659618055557</v>
      </c>
      <c r="E55" t="s">
        <v>423</v>
      </c>
      <c r="F55">
        <v>12</v>
      </c>
      <c r="G55" t="s">
        <v>158</v>
      </c>
      <c r="H55" s="45">
        <v>45881.661516203705</v>
      </c>
      <c r="I55" s="45">
        <v>45881.661516203705</v>
      </c>
    </row>
    <row r="56" spans="1:9" x14ac:dyDescent="0.25">
      <c r="A56">
        <v>55</v>
      </c>
      <c r="B56" t="s">
        <v>446</v>
      </c>
      <c r="C56" t="s">
        <v>101</v>
      </c>
      <c r="D56" s="45">
        <v>46246.659641203703</v>
      </c>
      <c r="E56" t="s">
        <v>421</v>
      </c>
      <c r="F56">
        <v>13</v>
      </c>
      <c r="G56" t="s">
        <v>160</v>
      </c>
      <c r="H56" s="45">
        <v>45881.661539351851</v>
      </c>
      <c r="I56" s="45">
        <v>45881.661539351851</v>
      </c>
    </row>
    <row r="57" spans="1:9" x14ac:dyDescent="0.25">
      <c r="A57">
        <v>56</v>
      </c>
      <c r="B57" t="s">
        <v>447</v>
      </c>
      <c r="C57" t="s">
        <v>92</v>
      </c>
      <c r="D57" s="45">
        <v>46239.659641203703</v>
      </c>
      <c r="E57" t="s">
        <v>421</v>
      </c>
      <c r="F57">
        <v>13</v>
      </c>
      <c r="G57" t="s">
        <v>160</v>
      </c>
      <c r="H57" s="45">
        <v>45881.661562499998</v>
      </c>
      <c r="I57" s="45">
        <v>45881.661562499998</v>
      </c>
    </row>
    <row r="58" spans="1:9" x14ac:dyDescent="0.25">
      <c r="A58">
        <v>57</v>
      </c>
      <c r="B58" t="s">
        <v>448</v>
      </c>
      <c r="C58" t="s">
        <v>166</v>
      </c>
      <c r="D58" s="45">
        <v>46232.659641203703</v>
      </c>
      <c r="E58" t="s">
        <v>423</v>
      </c>
      <c r="F58">
        <v>13</v>
      </c>
      <c r="G58" t="s">
        <v>160</v>
      </c>
      <c r="H58" s="45">
        <v>45881.661585648151</v>
      </c>
      <c r="I58" s="45">
        <v>45881.661585648151</v>
      </c>
    </row>
    <row r="59" spans="1:9" x14ac:dyDescent="0.25">
      <c r="A59">
        <v>58</v>
      </c>
      <c r="B59" t="s">
        <v>449</v>
      </c>
      <c r="C59" t="s">
        <v>104</v>
      </c>
      <c r="D59" s="45">
        <v>46225.659641203703</v>
      </c>
      <c r="E59" t="s">
        <v>423</v>
      </c>
      <c r="F59">
        <v>13</v>
      </c>
      <c r="G59" t="s">
        <v>160</v>
      </c>
      <c r="H59" s="45">
        <v>45881.661597222221</v>
      </c>
      <c r="I59" s="45">
        <v>45881.661597222221</v>
      </c>
    </row>
    <row r="60" spans="1:9" x14ac:dyDescent="0.25">
      <c r="A60">
        <v>59</v>
      </c>
      <c r="B60" t="s">
        <v>417</v>
      </c>
      <c r="C60" t="s">
        <v>145</v>
      </c>
      <c r="D60" s="45">
        <v>46204.65966435185</v>
      </c>
      <c r="E60" t="s">
        <v>419</v>
      </c>
      <c r="F60">
        <v>14</v>
      </c>
      <c r="G60" t="s">
        <v>161</v>
      </c>
      <c r="H60" s="45">
        <v>45881.661620370367</v>
      </c>
      <c r="I60" s="45">
        <v>45881.661620370367</v>
      </c>
    </row>
    <row r="61" spans="1:9" x14ac:dyDescent="0.25">
      <c r="A61">
        <v>60</v>
      </c>
      <c r="B61" t="s">
        <v>420</v>
      </c>
      <c r="C61" t="s">
        <v>157</v>
      </c>
      <c r="D61" s="45">
        <v>46197.65966435185</v>
      </c>
      <c r="E61" t="s">
        <v>421</v>
      </c>
      <c r="F61">
        <v>14</v>
      </c>
      <c r="G61" t="s">
        <v>161</v>
      </c>
      <c r="H61" s="45">
        <v>45881.661643518521</v>
      </c>
      <c r="I61" s="45">
        <v>45881.661643518521</v>
      </c>
    </row>
    <row r="62" spans="1:9" x14ac:dyDescent="0.25">
      <c r="A62">
        <v>61</v>
      </c>
      <c r="B62" t="s">
        <v>422</v>
      </c>
      <c r="C62" t="s">
        <v>418</v>
      </c>
      <c r="D62" s="45">
        <v>46190.65966435185</v>
      </c>
      <c r="E62" t="s">
        <v>423</v>
      </c>
      <c r="F62">
        <v>14</v>
      </c>
      <c r="G62" t="s">
        <v>161</v>
      </c>
      <c r="H62" s="45">
        <v>45881.661666666667</v>
      </c>
      <c r="I62" s="45">
        <v>45881.661666666667</v>
      </c>
    </row>
    <row r="63" spans="1:9" x14ac:dyDescent="0.25">
      <c r="A63">
        <v>62</v>
      </c>
      <c r="B63" t="s">
        <v>424</v>
      </c>
      <c r="C63" t="s">
        <v>95</v>
      </c>
      <c r="D63" s="45">
        <v>46183.65966435185</v>
      </c>
      <c r="E63" t="s">
        <v>423</v>
      </c>
      <c r="F63">
        <v>14</v>
      </c>
      <c r="G63" t="s">
        <v>161</v>
      </c>
      <c r="H63" s="45">
        <v>45881.661678240744</v>
      </c>
      <c r="I63" s="45">
        <v>45881.661678240744</v>
      </c>
    </row>
    <row r="64" spans="1:9" x14ac:dyDescent="0.25">
      <c r="A64">
        <v>63</v>
      </c>
      <c r="B64" t="s">
        <v>441</v>
      </c>
      <c r="C64" t="s">
        <v>92</v>
      </c>
      <c r="D64" s="45">
        <v>46377.659687500003</v>
      </c>
      <c r="E64" t="s">
        <v>419</v>
      </c>
      <c r="F64">
        <v>15</v>
      </c>
      <c r="G64" t="s">
        <v>162</v>
      </c>
      <c r="H64" s="45">
        <v>45881.66170138889</v>
      </c>
      <c r="I64" s="45">
        <v>45881.66170138889</v>
      </c>
    </row>
    <row r="65" spans="1:9" x14ac:dyDescent="0.25">
      <c r="A65">
        <v>64</v>
      </c>
      <c r="B65" t="s">
        <v>442</v>
      </c>
      <c r="C65" t="s">
        <v>95</v>
      </c>
      <c r="D65" s="45">
        <v>46347.659687500003</v>
      </c>
      <c r="E65" t="s">
        <v>421</v>
      </c>
      <c r="F65">
        <v>15</v>
      </c>
      <c r="G65" t="s">
        <v>162</v>
      </c>
      <c r="H65" s="45">
        <v>45881.661724537036</v>
      </c>
      <c r="I65" s="45">
        <v>45881.661724537036</v>
      </c>
    </row>
    <row r="66" spans="1:9" x14ac:dyDescent="0.25">
      <c r="A66">
        <v>65</v>
      </c>
      <c r="B66" t="s">
        <v>443</v>
      </c>
      <c r="C66" t="s">
        <v>92</v>
      </c>
      <c r="D66" s="45">
        <v>46317.701354166667</v>
      </c>
      <c r="E66" t="s">
        <v>423</v>
      </c>
      <c r="F66">
        <v>15</v>
      </c>
      <c r="G66" t="s">
        <v>162</v>
      </c>
      <c r="H66" s="45">
        <v>45881.661747685182</v>
      </c>
      <c r="I66" s="45">
        <v>45881.661747685182</v>
      </c>
    </row>
    <row r="67" spans="1:9" x14ac:dyDescent="0.25">
      <c r="A67">
        <v>66</v>
      </c>
      <c r="B67" t="s">
        <v>444</v>
      </c>
      <c r="C67" t="s">
        <v>437</v>
      </c>
      <c r="D67" s="45">
        <v>46287.701354166667</v>
      </c>
      <c r="E67" t="s">
        <v>423</v>
      </c>
      <c r="F67">
        <v>15</v>
      </c>
      <c r="G67" t="s">
        <v>162</v>
      </c>
      <c r="H67" s="45">
        <v>45881.661770833336</v>
      </c>
      <c r="I67" s="45">
        <v>45881.661770833336</v>
      </c>
    </row>
    <row r="68" spans="1:9" x14ac:dyDescent="0.25">
      <c r="A68">
        <v>67</v>
      </c>
      <c r="B68" t="s">
        <v>445</v>
      </c>
      <c r="C68" t="s">
        <v>95</v>
      </c>
      <c r="D68" s="45">
        <v>46277.701354166667</v>
      </c>
      <c r="E68" t="s">
        <v>423</v>
      </c>
      <c r="F68">
        <v>15</v>
      </c>
      <c r="G68" t="s">
        <v>162</v>
      </c>
      <c r="H68" s="45">
        <v>45881.661782407406</v>
      </c>
      <c r="I68" s="45">
        <v>45881.661782407406</v>
      </c>
    </row>
    <row r="69" spans="1:9" x14ac:dyDescent="0.25">
      <c r="A69">
        <v>68</v>
      </c>
      <c r="B69" t="s">
        <v>436</v>
      </c>
      <c r="C69" t="s">
        <v>98</v>
      </c>
      <c r="D69" s="45">
        <v>46059.659710648149</v>
      </c>
      <c r="E69" t="s">
        <v>419</v>
      </c>
      <c r="F69">
        <v>16</v>
      </c>
      <c r="G69" t="s">
        <v>163</v>
      </c>
      <c r="H69" s="45">
        <v>45881.661817129629</v>
      </c>
      <c r="I69" s="45">
        <v>45881.661817129629</v>
      </c>
    </row>
    <row r="70" spans="1:9" x14ac:dyDescent="0.25">
      <c r="A70">
        <v>69</v>
      </c>
      <c r="B70" t="s">
        <v>438</v>
      </c>
      <c r="C70" t="s">
        <v>166</v>
      </c>
      <c r="D70" s="45">
        <v>46052.659710648149</v>
      </c>
      <c r="E70" t="s">
        <v>421</v>
      </c>
      <c r="F70">
        <v>16</v>
      </c>
      <c r="G70" t="s">
        <v>163</v>
      </c>
      <c r="H70" s="45">
        <v>45881.661828703705</v>
      </c>
      <c r="I70" s="45">
        <v>45881.661828703705</v>
      </c>
    </row>
    <row r="71" spans="1:9" x14ac:dyDescent="0.25">
      <c r="A71">
        <v>70</v>
      </c>
      <c r="B71" t="s">
        <v>439</v>
      </c>
      <c r="C71" t="s">
        <v>429</v>
      </c>
      <c r="D71" s="45">
        <v>46045.659710648149</v>
      </c>
      <c r="E71" t="s">
        <v>421</v>
      </c>
      <c r="F71">
        <v>16</v>
      </c>
      <c r="G71" t="s">
        <v>163</v>
      </c>
      <c r="H71" s="45">
        <v>45881.661851851852</v>
      </c>
      <c r="I71" s="45">
        <v>45881.661851851852</v>
      </c>
    </row>
    <row r="72" spans="1:9" x14ac:dyDescent="0.25">
      <c r="A72">
        <v>71</v>
      </c>
      <c r="B72" t="s">
        <v>440</v>
      </c>
      <c r="C72" t="s">
        <v>418</v>
      </c>
      <c r="D72" s="45">
        <v>46038.659710648149</v>
      </c>
      <c r="E72" t="s">
        <v>423</v>
      </c>
      <c r="F72">
        <v>16</v>
      </c>
      <c r="G72" t="s">
        <v>163</v>
      </c>
      <c r="H72" s="45">
        <v>45881.661874999998</v>
      </c>
      <c r="I72" s="45">
        <v>45881.661874999998</v>
      </c>
    </row>
    <row r="73" spans="1:9" x14ac:dyDescent="0.25">
      <c r="A73">
        <v>72</v>
      </c>
      <c r="B73" t="s">
        <v>146</v>
      </c>
      <c r="C73" t="s">
        <v>393</v>
      </c>
      <c r="D73" s="45">
        <v>46031.659710648149</v>
      </c>
      <c r="E73" t="s">
        <v>423</v>
      </c>
      <c r="F73">
        <v>16</v>
      </c>
      <c r="G73" t="s">
        <v>163</v>
      </c>
      <c r="H73" s="45">
        <v>45881.661898148152</v>
      </c>
      <c r="I73" s="45">
        <v>45881.661898148152</v>
      </c>
    </row>
    <row r="74" spans="1:9" x14ac:dyDescent="0.25">
      <c r="A74">
        <v>73</v>
      </c>
      <c r="B74" t="s">
        <v>446</v>
      </c>
      <c r="C74" t="s">
        <v>437</v>
      </c>
      <c r="D74" s="45">
        <v>46287.659733796296</v>
      </c>
      <c r="E74" t="s">
        <v>421</v>
      </c>
      <c r="F74">
        <v>17</v>
      </c>
      <c r="G74" t="s">
        <v>164</v>
      </c>
      <c r="H74" s="45">
        <v>45881.661909722221</v>
      </c>
      <c r="I74" s="45">
        <v>45881.661909722221</v>
      </c>
    </row>
    <row r="75" spans="1:9" x14ac:dyDescent="0.25">
      <c r="A75">
        <v>74</v>
      </c>
      <c r="B75" t="s">
        <v>447</v>
      </c>
      <c r="C75" t="s">
        <v>101</v>
      </c>
      <c r="D75" s="45">
        <v>46280.659733796296</v>
      </c>
      <c r="E75" t="s">
        <v>421</v>
      </c>
      <c r="F75">
        <v>17</v>
      </c>
      <c r="G75" t="s">
        <v>164</v>
      </c>
      <c r="H75" s="45">
        <v>45881.661932870367</v>
      </c>
      <c r="I75" s="45">
        <v>45881.661932870367</v>
      </c>
    </row>
    <row r="76" spans="1:9" x14ac:dyDescent="0.25">
      <c r="A76">
        <v>75</v>
      </c>
      <c r="B76" t="s">
        <v>448</v>
      </c>
      <c r="C76" t="s">
        <v>150</v>
      </c>
      <c r="D76" s="45">
        <v>46273.659733796296</v>
      </c>
      <c r="E76" t="s">
        <v>423</v>
      </c>
      <c r="F76">
        <v>17</v>
      </c>
      <c r="G76" t="s">
        <v>164</v>
      </c>
      <c r="H76" s="45">
        <v>45881.661956018521</v>
      </c>
      <c r="I76" s="45">
        <v>45881.661956018521</v>
      </c>
    </row>
    <row r="77" spans="1:9" x14ac:dyDescent="0.25">
      <c r="A77">
        <v>76</v>
      </c>
      <c r="B77" t="s">
        <v>449</v>
      </c>
      <c r="C77" t="s">
        <v>95</v>
      </c>
      <c r="D77" s="45">
        <v>46266.659733796296</v>
      </c>
      <c r="E77" t="s">
        <v>423</v>
      </c>
      <c r="F77">
        <v>17</v>
      </c>
      <c r="G77" t="s">
        <v>164</v>
      </c>
      <c r="H77" s="45">
        <v>45881.661979166667</v>
      </c>
      <c r="I77" s="45">
        <v>45881.661979166667</v>
      </c>
    </row>
    <row r="78" spans="1:9" x14ac:dyDescent="0.25">
      <c r="A78">
        <v>77</v>
      </c>
      <c r="B78" t="s">
        <v>417</v>
      </c>
      <c r="C78" t="s">
        <v>393</v>
      </c>
      <c r="D78" s="45">
        <v>46153.659756944442</v>
      </c>
      <c r="E78" t="s">
        <v>419</v>
      </c>
      <c r="F78">
        <v>18</v>
      </c>
      <c r="G78" t="s">
        <v>165</v>
      </c>
      <c r="H78" s="45">
        <v>45881.662002314813</v>
      </c>
      <c r="I78" s="45">
        <v>45881.662002314813</v>
      </c>
    </row>
    <row r="79" spans="1:9" x14ac:dyDescent="0.25">
      <c r="A79">
        <v>78</v>
      </c>
      <c r="B79" t="s">
        <v>420</v>
      </c>
      <c r="C79" t="s">
        <v>437</v>
      </c>
      <c r="D79" s="45">
        <v>46146.659756944442</v>
      </c>
      <c r="E79" t="s">
        <v>421</v>
      </c>
      <c r="F79">
        <v>18</v>
      </c>
      <c r="G79" t="s">
        <v>165</v>
      </c>
      <c r="H79" s="45">
        <v>45881.66202546296</v>
      </c>
      <c r="I79" s="45">
        <v>45881.66202546296</v>
      </c>
    </row>
    <row r="80" spans="1:9" x14ac:dyDescent="0.25">
      <c r="A80">
        <v>79</v>
      </c>
      <c r="B80" t="s">
        <v>422</v>
      </c>
      <c r="C80" t="s">
        <v>150</v>
      </c>
      <c r="D80" s="45">
        <v>46139.659756944442</v>
      </c>
      <c r="E80" t="s">
        <v>423</v>
      </c>
      <c r="F80">
        <v>18</v>
      </c>
      <c r="G80" t="s">
        <v>165</v>
      </c>
      <c r="H80" s="45">
        <v>45881.662048611113</v>
      </c>
      <c r="I80" s="45">
        <v>45881.662048611113</v>
      </c>
    </row>
    <row r="81" spans="1:9" x14ac:dyDescent="0.25">
      <c r="A81">
        <v>80</v>
      </c>
      <c r="B81" t="s">
        <v>424</v>
      </c>
      <c r="C81" t="s">
        <v>150</v>
      </c>
      <c r="D81" s="45">
        <v>46132.659756944442</v>
      </c>
      <c r="E81" t="s">
        <v>423</v>
      </c>
      <c r="F81">
        <v>18</v>
      </c>
      <c r="G81" t="s">
        <v>165</v>
      </c>
      <c r="H81" s="45">
        <v>45881.66207175926</v>
      </c>
      <c r="I81" s="45">
        <v>45881.66207175926</v>
      </c>
    </row>
    <row r="82" spans="1:9" x14ac:dyDescent="0.25">
      <c r="A82">
        <v>81</v>
      </c>
      <c r="B82" t="s">
        <v>446</v>
      </c>
      <c r="C82" t="s">
        <v>92</v>
      </c>
      <c r="D82" s="45">
        <v>45943.659768518519</v>
      </c>
      <c r="E82" t="s">
        <v>421</v>
      </c>
      <c r="F82">
        <v>19</v>
      </c>
      <c r="G82" t="s">
        <v>167</v>
      </c>
      <c r="H82" s="45">
        <v>45881.662094907406</v>
      </c>
      <c r="I82" s="45">
        <v>45881.662094907406</v>
      </c>
    </row>
    <row r="83" spans="1:9" x14ac:dyDescent="0.25">
      <c r="A83">
        <v>82</v>
      </c>
      <c r="B83" t="s">
        <v>447</v>
      </c>
      <c r="C83" t="s">
        <v>101</v>
      </c>
      <c r="D83" s="45">
        <v>45936.659768518519</v>
      </c>
      <c r="E83" t="s">
        <v>421</v>
      </c>
      <c r="F83">
        <v>19</v>
      </c>
      <c r="G83" t="s">
        <v>167</v>
      </c>
      <c r="H83" s="45">
        <v>45881.662118055552</v>
      </c>
      <c r="I83" s="45">
        <v>45881.662118055552</v>
      </c>
    </row>
    <row r="84" spans="1:9" x14ac:dyDescent="0.25">
      <c r="A84">
        <v>83</v>
      </c>
      <c r="B84" t="s">
        <v>448</v>
      </c>
      <c r="C84" t="s">
        <v>418</v>
      </c>
      <c r="D84" s="45">
        <v>45929.659768518519</v>
      </c>
      <c r="E84" t="s">
        <v>423</v>
      </c>
      <c r="F84">
        <v>19</v>
      </c>
      <c r="G84" t="s">
        <v>167</v>
      </c>
      <c r="H84" s="45">
        <v>45881.662129629629</v>
      </c>
      <c r="I84" s="45">
        <v>45881.662129629629</v>
      </c>
    </row>
    <row r="85" spans="1:9" x14ac:dyDescent="0.25">
      <c r="A85">
        <v>84</v>
      </c>
      <c r="B85" t="s">
        <v>449</v>
      </c>
      <c r="C85" t="s">
        <v>431</v>
      </c>
      <c r="D85" s="45">
        <v>45922.659768518519</v>
      </c>
      <c r="E85" t="s">
        <v>423</v>
      </c>
      <c r="F85">
        <v>19</v>
      </c>
      <c r="G85" t="s">
        <v>167</v>
      </c>
      <c r="H85" s="45">
        <v>45881.662152777775</v>
      </c>
      <c r="I85" s="45">
        <v>45881.662152777775</v>
      </c>
    </row>
    <row r="86" spans="1:9" x14ac:dyDescent="0.25">
      <c r="A86">
        <v>85</v>
      </c>
      <c r="B86" t="s">
        <v>436</v>
      </c>
      <c r="C86" t="s">
        <v>418</v>
      </c>
      <c r="D86" s="45">
        <v>46016.659791666665</v>
      </c>
      <c r="E86" t="s">
        <v>419</v>
      </c>
      <c r="F86">
        <v>20</v>
      </c>
      <c r="G86" t="s">
        <v>168</v>
      </c>
      <c r="H86" s="45">
        <v>45881.662175925929</v>
      </c>
      <c r="I86" s="45">
        <v>45881.662175925929</v>
      </c>
    </row>
    <row r="87" spans="1:9" x14ac:dyDescent="0.25">
      <c r="A87">
        <v>86</v>
      </c>
      <c r="B87" t="s">
        <v>438</v>
      </c>
      <c r="C87" t="s">
        <v>98</v>
      </c>
      <c r="D87" s="45">
        <v>46009.659791666665</v>
      </c>
      <c r="E87" t="s">
        <v>421</v>
      </c>
      <c r="F87">
        <v>20</v>
      </c>
      <c r="G87" t="s">
        <v>168</v>
      </c>
      <c r="H87" s="45">
        <v>45881.662199074075</v>
      </c>
      <c r="I87" s="45">
        <v>45881.662199074075</v>
      </c>
    </row>
    <row r="88" spans="1:9" x14ac:dyDescent="0.25">
      <c r="A88">
        <v>87</v>
      </c>
      <c r="B88" t="s">
        <v>439</v>
      </c>
      <c r="C88" t="s">
        <v>431</v>
      </c>
      <c r="D88" s="45">
        <v>46002.659791666665</v>
      </c>
      <c r="E88" t="s">
        <v>421</v>
      </c>
      <c r="F88">
        <v>20</v>
      </c>
      <c r="G88" t="s">
        <v>168</v>
      </c>
      <c r="H88" s="45">
        <v>45881.662222222221</v>
      </c>
      <c r="I88" s="45">
        <v>45881.662222222221</v>
      </c>
    </row>
    <row r="89" spans="1:9" x14ac:dyDescent="0.25">
      <c r="A89">
        <v>88</v>
      </c>
      <c r="B89" t="s">
        <v>440</v>
      </c>
      <c r="C89" t="s">
        <v>104</v>
      </c>
      <c r="D89" s="45">
        <v>45995.659791666665</v>
      </c>
      <c r="E89" t="s">
        <v>423</v>
      </c>
      <c r="F89">
        <v>20</v>
      </c>
      <c r="G89" t="s">
        <v>168</v>
      </c>
      <c r="H89" s="45">
        <v>45881.662245370368</v>
      </c>
      <c r="I89" s="45">
        <v>45881.662245370368</v>
      </c>
    </row>
    <row r="90" spans="1:9" x14ac:dyDescent="0.25">
      <c r="A90">
        <v>89</v>
      </c>
      <c r="B90" t="s">
        <v>146</v>
      </c>
      <c r="C90" t="s">
        <v>95</v>
      </c>
      <c r="D90" s="45">
        <v>45988.659791666665</v>
      </c>
      <c r="E90" t="s">
        <v>423</v>
      </c>
      <c r="F90">
        <v>20</v>
      </c>
      <c r="G90" t="s">
        <v>168</v>
      </c>
      <c r="H90" s="45">
        <v>45881.662256944444</v>
      </c>
      <c r="I90" s="45">
        <v>45881.662256944444</v>
      </c>
    </row>
    <row r="91" spans="1:9" x14ac:dyDescent="0.25">
      <c r="A91">
        <v>90</v>
      </c>
      <c r="B91" t="s">
        <v>432</v>
      </c>
      <c r="C91" t="s">
        <v>95</v>
      </c>
      <c r="D91" s="45">
        <v>46013.659826388888</v>
      </c>
      <c r="E91" t="s">
        <v>419</v>
      </c>
      <c r="F91">
        <v>21</v>
      </c>
      <c r="G91" t="s">
        <v>169</v>
      </c>
      <c r="H91" s="45">
        <v>45881.662280092591</v>
      </c>
      <c r="I91" s="45">
        <v>45881.662280092591</v>
      </c>
    </row>
    <row r="92" spans="1:9" x14ac:dyDescent="0.25">
      <c r="A92">
        <v>91</v>
      </c>
      <c r="B92" t="s">
        <v>433</v>
      </c>
      <c r="C92" t="s">
        <v>95</v>
      </c>
      <c r="D92" s="45">
        <v>46006.659826388888</v>
      </c>
      <c r="E92" t="s">
        <v>421</v>
      </c>
      <c r="F92">
        <v>21</v>
      </c>
      <c r="G92" t="s">
        <v>169</v>
      </c>
      <c r="H92" s="45">
        <v>45881.662303240744</v>
      </c>
      <c r="I92" s="45">
        <v>45881.662303240744</v>
      </c>
    </row>
    <row r="93" spans="1:9" x14ac:dyDescent="0.25">
      <c r="A93">
        <v>92</v>
      </c>
      <c r="B93" t="s">
        <v>434</v>
      </c>
      <c r="C93" t="s">
        <v>101</v>
      </c>
      <c r="D93" s="45">
        <v>45999.659826388888</v>
      </c>
      <c r="E93" t="s">
        <v>423</v>
      </c>
      <c r="F93">
        <v>21</v>
      </c>
      <c r="G93" t="s">
        <v>169</v>
      </c>
      <c r="H93" s="45">
        <v>45881.662326388891</v>
      </c>
      <c r="I93" s="45">
        <v>45881.662326388891</v>
      </c>
    </row>
    <row r="94" spans="1:9" x14ac:dyDescent="0.25">
      <c r="A94">
        <v>93</v>
      </c>
      <c r="B94" t="s">
        <v>435</v>
      </c>
      <c r="C94" t="s">
        <v>393</v>
      </c>
      <c r="D94" s="45">
        <v>45983.659826388888</v>
      </c>
      <c r="E94" t="s">
        <v>423</v>
      </c>
      <c r="F94">
        <v>21</v>
      </c>
      <c r="G94" t="s">
        <v>169</v>
      </c>
      <c r="H94" s="45">
        <v>45881.66233796296</v>
      </c>
      <c r="I94" s="45">
        <v>45881.66233796296</v>
      </c>
    </row>
    <row r="95" spans="1:9" x14ac:dyDescent="0.25">
      <c r="A95">
        <v>94</v>
      </c>
      <c r="B95" t="s">
        <v>436</v>
      </c>
      <c r="C95" t="s">
        <v>431</v>
      </c>
      <c r="D95" s="45">
        <v>46167.659849537034</v>
      </c>
      <c r="E95" t="s">
        <v>419</v>
      </c>
      <c r="F95">
        <v>22</v>
      </c>
      <c r="G95" t="s">
        <v>170</v>
      </c>
      <c r="H95" s="45">
        <v>45881.662361111114</v>
      </c>
      <c r="I95" s="45">
        <v>45881.662361111114</v>
      </c>
    </row>
    <row r="96" spans="1:9" x14ac:dyDescent="0.25">
      <c r="A96">
        <v>95</v>
      </c>
      <c r="B96" t="s">
        <v>438</v>
      </c>
      <c r="C96" t="s">
        <v>157</v>
      </c>
      <c r="D96" s="45">
        <v>46160.659849537034</v>
      </c>
      <c r="E96" t="s">
        <v>421</v>
      </c>
      <c r="F96">
        <v>22</v>
      </c>
      <c r="G96" t="s">
        <v>170</v>
      </c>
      <c r="H96" s="45">
        <v>45881.66238425926</v>
      </c>
      <c r="I96" s="45">
        <v>45881.66238425926</v>
      </c>
    </row>
    <row r="97" spans="1:9" x14ac:dyDescent="0.25">
      <c r="A97">
        <v>96</v>
      </c>
      <c r="B97" t="s">
        <v>439</v>
      </c>
      <c r="C97" t="s">
        <v>104</v>
      </c>
      <c r="D97" s="45">
        <v>46153.659849537034</v>
      </c>
      <c r="E97" t="s">
        <v>421</v>
      </c>
      <c r="F97">
        <v>22</v>
      </c>
      <c r="G97" t="s">
        <v>170</v>
      </c>
      <c r="H97" s="45">
        <v>45881.662407407406</v>
      </c>
      <c r="I97" s="45">
        <v>45881.662407407406</v>
      </c>
    </row>
    <row r="98" spans="1:9" x14ac:dyDescent="0.25">
      <c r="A98">
        <v>97</v>
      </c>
      <c r="B98" t="s">
        <v>440</v>
      </c>
      <c r="C98" t="s">
        <v>104</v>
      </c>
      <c r="D98" s="45">
        <v>46146.659849537034</v>
      </c>
      <c r="E98" t="s">
        <v>423</v>
      </c>
      <c r="F98">
        <v>22</v>
      </c>
      <c r="G98" t="s">
        <v>170</v>
      </c>
      <c r="H98" s="45">
        <v>45881.662418981483</v>
      </c>
      <c r="I98" s="45">
        <v>45881.662418981483</v>
      </c>
    </row>
    <row r="99" spans="1:9" x14ac:dyDescent="0.25">
      <c r="A99">
        <v>98</v>
      </c>
      <c r="B99" t="s">
        <v>146</v>
      </c>
      <c r="C99" t="s">
        <v>104</v>
      </c>
      <c r="D99" s="45">
        <v>46139.659849537034</v>
      </c>
      <c r="E99" t="s">
        <v>423</v>
      </c>
      <c r="F99">
        <v>22</v>
      </c>
      <c r="G99" t="s">
        <v>170</v>
      </c>
      <c r="H99" s="45">
        <v>45881.662442129629</v>
      </c>
      <c r="I99" s="45">
        <v>45881.662442129629</v>
      </c>
    </row>
    <row r="100" spans="1:9" x14ac:dyDescent="0.25">
      <c r="A100">
        <v>99</v>
      </c>
      <c r="B100" t="s">
        <v>446</v>
      </c>
      <c r="C100" t="s">
        <v>145</v>
      </c>
      <c r="D100" s="45">
        <v>45909.659861111111</v>
      </c>
      <c r="E100" t="s">
        <v>421</v>
      </c>
      <c r="F100">
        <v>23</v>
      </c>
      <c r="G100" t="s">
        <v>171</v>
      </c>
      <c r="H100" s="45">
        <v>45881.662465277775</v>
      </c>
      <c r="I100" s="45">
        <v>45881.662465277775</v>
      </c>
    </row>
    <row r="101" spans="1:9" x14ac:dyDescent="0.25">
      <c r="A101">
        <v>100</v>
      </c>
      <c r="B101" t="s">
        <v>447</v>
      </c>
      <c r="C101" t="s">
        <v>418</v>
      </c>
      <c r="D101" s="45">
        <v>45902.659861111111</v>
      </c>
      <c r="E101" t="s">
        <v>421</v>
      </c>
      <c r="F101">
        <v>23</v>
      </c>
      <c r="G101" t="s">
        <v>171</v>
      </c>
      <c r="H101" s="45">
        <v>45881.662488425929</v>
      </c>
      <c r="I101" s="45">
        <v>45881.662488425929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AC0A7-1CAA-4967-B585-7E8016AFE745}">
  <dimension ref="B1:U102"/>
  <sheetViews>
    <sheetView showGridLines="0" workbookViewId="0">
      <selection activeCell="I17" sqref="I17"/>
    </sheetView>
  </sheetViews>
  <sheetFormatPr defaultRowHeight="15" x14ac:dyDescent="0.25"/>
  <cols>
    <col min="1" max="1" width="11.5703125" customWidth="1"/>
    <col min="2" max="2" width="22" bestFit="1" customWidth="1"/>
    <col min="3" max="3" width="16.85546875" bestFit="1" customWidth="1"/>
    <col min="4" max="5" width="7.7109375" bestFit="1" customWidth="1"/>
    <col min="6" max="6" width="11.28515625" bestFit="1" customWidth="1"/>
    <col min="7" max="7" width="10.140625" bestFit="1" customWidth="1"/>
    <col min="8" max="8" width="12.85546875" bestFit="1" customWidth="1"/>
    <col min="9" max="9" width="39.85546875" bestFit="1" customWidth="1"/>
    <col min="10" max="10" width="16.85546875" bestFit="1" customWidth="1"/>
    <col min="11" max="11" width="9.140625" bestFit="1" customWidth="1"/>
    <col min="12" max="14" width="11.7109375" bestFit="1" customWidth="1"/>
    <col min="15" max="15" width="10.140625" bestFit="1" customWidth="1"/>
    <col min="16" max="16" width="12.85546875" bestFit="1" customWidth="1"/>
    <col min="17" max="20" width="10.140625" bestFit="1" customWidth="1"/>
    <col min="21" max="21" width="12.85546875" bestFit="1" customWidth="1"/>
    <col min="22" max="23" width="11.7109375" bestFit="1" customWidth="1"/>
    <col min="24" max="27" width="10.140625" bestFit="1" customWidth="1"/>
    <col min="29" max="31" width="10.140625" bestFit="1" customWidth="1"/>
    <col min="32" max="32" width="12.85546875" bestFit="1" customWidth="1"/>
    <col min="33" max="53" width="10.140625" bestFit="1" customWidth="1"/>
    <col min="54" max="54" width="12" bestFit="1" customWidth="1"/>
    <col min="55" max="59" width="10.140625" bestFit="1" customWidth="1"/>
    <col min="60" max="60" width="12.42578125" bestFit="1" customWidth="1"/>
    <col min="61" max="61" width="12.85546875" bestFit="1" customWidth="1"/>
  </cols>
  <sheetData>
    <row r="1" spans="2:21" x14ac:dyDescent="0.25">
      <c r="I1" s="53" t="s">
        <v>825</v>
      </c>
      <c r="J1" s="53" t="s">
        <v>816</v>
      </c>
    </row>
    <row r="2" spans="2:21" x14ac:dyDescent="0.25">
      <c r="B2" s="59" t="s">
        <v>831</v>
      </c>
      <c r="C2" s="59" t="s">
        <v>816</v>
      </c>
      <c r="D2" s="59"/>
      <c r="E2" s="59"/>
      <c r="F2" s="59"/>
      <c r="I2" s="53" t="s">
        <v>818</v>
      </c>
      <c r="J2" t="s">
        <v>819</v>
      </c>
      <c r="K2" t="s">
        <v>820</v>
      </c>
      <c r="L2" t="s">
        <v>821</v>
      </c>
      <c r="M2" t="s">
        <v>822</v>
      </c>
      <c r="N2" t="s">
        <v>823</v>
      </c>
      <c r="O2" t="s">
        <v>824</v>
      </c>
      <c r="P2" t="s">
        <v>827</v>
      </c>
      <c r="Q2" t="s">
        <v>844</v>
      </c>
      <c r="R2" t="s">
        <v>845</v>
      </c>
      <c r="S2" t="s">
        <v>846</v>
      </c>
      <c r="T2" t="s">
        <v>847</v>
      </c>
      <c r="U2" t="s">
        <v>817</v>
      </c>
    </row>
    <row r="3" spans="2:21" x14ac:dyDescent="0.25">
      <c r="B3" s="59" t="s">
        <v>818</v>
      </c>
      <c r="C3" s="59" t="s">
        <v>25</v>
      </c>
      <c r="D3" s="59" t="s">
        <v>17</v>
      </c>
      <c r="E3" s="59" t="s">
        <v>19</v>
      </c>
      <c r="F3" s="59" t="s">
        <v>817</v>
      </c>
      <c r="I3" s="54" t="s">
        <v>25</v>
      </c>
      <c r="J3" s="55"/>
      <c r="K3" s="55"/>
      <c r="L3" s="55">
        <v>126246.88888888889</v>
      </c>
      <c r="M3" s="55">
        <v>232285.2</v>
      </c>
      <c r="N3" s="55">
        <v>126246.88888888889</v>
      </c>
      <c r="O3" s="55"/>
      <c r="P3" s="55">
        <v>1812869.0222222223</v>
      </c>
      <c r="Q3" s="55"/>
      <c r="R3" s="55"/>
      <c r="S3" s="55"/>
      <c r="T3" s="55"/>
      <c r="U3" s="55">
        <v>2297648</v>
      </c>
    </row>
    <row r="4" spans="2:21" x14ac:dyDescent="0.25">
      <c r="B4" s="56" t="s">
        <v>819</v>
      </c>
      <c r="C4" s="65"/>
      <c r="D4" s="65"/>
      <c r="E4" s="65">
        <v>0.26863424999999996</v>
      </c>
      <c r="F4" s="65">
        <v>0.26863424999999996</v>
      </c>
      <c r="I4" s="29" t="s">
        <v>393</v>
      </c>
      <c r="J4" s="55"/>
      <c r="K4" s="55"/>
      <c r="L4" s="55"/>
      <c r="M4" s="55">
        <v>232285.2</v>
      </c>
      <c r="N4" s="55"/>
      <c r="O4" s="55"/>
      <c r="P4" s="55">
        <v>929140.8</v>
      </c>
      <c r="Q4" s="55"/>
      <c r="R4" s="55"/>
      <c r="S4" s="55"/>
      <c r="T4" s="55"/>
      <c r="U4" s="55">
        <v>1161426</v>
      </c>
    </row>
    <row r="5" spans="2:21" x14ac:dyDescent="0.25">
      <c r="B5" s="56" t="s">
        <v>820</v>
      </c>
      <c r="C5" s="65"/>
      <c r="D5" s="65"/>
      <c r="E5" s="65">
        <v>9.9351571428571428E-2</v>
      </c>
      <c r="F5" s="65">
        <v>9.9351571428571428E-2</v>
      </c>
      <c r="I5" s="58" t="s">
        <v>251</v>
      </c>
      <c r="J5" s="55"/>
      <c r="K5" s="55"/>
      <c r="L5" s="55"/>
      <c r="M5" s="55">
        <v>232285.2</v>
      </c>
      <c r="N5" s="55"/>
      <c r="O5" s="55"/>
      <c r="P5" s="55">
        <v>929140.8</v>
      </c>
      <c r="Q5" s="55"/>
      <c r="R5" s="55"/>
      <c r="S5" s="55"/>
      <c r="T5" s="55"/>
      <c r="U5" s="55">
        <v>1161426</v>
      </c>
    </row>
    <row r="6" spans="2:21" x14ac:dyDescent="0.25">
      <c r="B6" s="56" t="s">
        <v>821</v>
      </c>
      <c r="C6" s="65">
        <v>0.12624688888888888</v>
      </c>
      <c r="D6" s="65"/>
      <c r="E6" s="65">
        <v>2.1935935872093024</v>
      </c>
      <c r="F6" s="65">
        <v>2.3198404760981912</v>
      </c>
      <c r="I6" s="68" t="s">
        <v>168</v>
      </c>
      <c r="J6" s="55"/>
      <c r="K6" s="55"/>
      <c r="L6" s="55"/>
      <c r="M6" s="55">
        <v>232285.2</v>
      </c>
      <c r="N6" s="55"/>
      <c r="O6" s="55"/>
      <c r="P6" s="55">
        <v>929140.8</v>
      </c>
      <c r="Q6" s="55"/>
      <c r="R6" s="55"/>
      <c r="S6" s="55"/>
      <c r="T6" s="55"/>
      <c r="U6" s="55">
        <v>1161426</v>
      </c>
    </row>
    <row r="7" spans="2:21" x14ac:dyDescent="0.25">
      <c r="B7" s="56" t="s">
        <v>822</v>
      </c>
      <c r="C7" s="65">
        <v>0.2322852</v>
      </c>
      <c r="D7" s="65">
        <v>0.1181605</v>
      </c>
      <c r="E7" s="65">
        <v>1.51431942248062</v>
      </c>
      <c r="F7" s="65">
        <v>1.8647651224806201</v>
      </c>
      <c r="I7" s="29" t="s">
        <v>166</v>
      </c>
      <c r="J7" s="55"/>
      <c r="K7" s="55"/>
      <c r="L7" s="55">
        <v>126246.88888888889</v>
      </c>
      <c r="M7" s="55"/>
      <c r="N7" s="55">
        <v>126246.88888888889</v>
      </c>
      <c r="O7" s="55"/>
      <c r="P7" s="55">
        <v>883728.22222222225</v>
      </c>
      <c r="Q7" s="55"/>
      <c r="R7" s="55"/>
      <c r="S7" s="55"/>
      <c r="T7" s="55"/>
      <c r="U7" s="55">
        <v>1136222</v>
      </c>
    </row>
    <row r="8" spans="2:21" x14ac:dyDescent="0.25">
      <c r="B8" s="56" t="s">
        <v>823</v>
      </c>
      <c r="C8" s="65">
        <v>0.12624688888888888</v>
      </c>
      <c r="D8" s="65">
        <v>0.40150762500000003</v>
      </c>
      <c r="E8" s="65">
        <v>1.583865093692741</v>
      </c>
      <c r="F8" s="65">
        <v>2.11161960758163</v>
      </c>
      <c r="I8" s="58" t="s">
        <v>310</v>
      </c>
      <c r="J8" s="55"/>
      <c r="K8" s="55"/>
      <c r="L8" s="55">
        <v>126246.88888888889</v>
      </c>
      <c r="M8" s="55"/>
      <c r="N8" s="55">
        <v>126246.88888888889</v>
      </c>
      <c r="O8" s="55"/>
      <c r="P8" s="55">
        <v>883728.22222222225</v>
      </c>
      <c r="Q8" s="55"/>
      <c r="R8" s="55"/>
      <c r="S8" s="55"/>
      <c r="T8" s="55"/>
      <c r="U8" s="55">
        <v>1136222</v>
      </c>
    </row>
    <row r="9" spans="2:21" x14ac:dyDescent="0.25">
      <c r="B9" s="56" t="s">
        <v>824</v>
      </c>
      <c r="C9" s="65"/>
      <c r="D9" s="65"/>
      <c r="E9" s="65">
        <v>0.42943399358974355</v>
      </c>
      <c r="F9" s="65">
        <v>0.42943399358974355</v>
      </c>
      <c r="I9" s="68" t="s">
        <v>171</v>
      </c>
      <c r="J9" s="55"/>
      <c r="K9" s="55"/>
      <c r="L9" s="55">
        <v>126246.88888888889</v>
      </c>
      <c r="M9" s="55"/>
      <c r="N9" s="55">
        <v>126246.88888888889</v>
      </c>
      <c r="O9" s="55"/>
      <c r="P9" s="55">
        <v>883728.22222222225</v>
      </c>
      <c r="Q9" s="55"/>
      <c r="R9" s="55"/>
      <c r="S9" s="55"/>
      <c r="T9" s="55"/>
      <c r="U9" s="55">
        <v>1136222</v>
      </c>
    </row>
    <row r="10" spans="2:21" x14ac:dyDescent="0.25">
      <c r="B10" s="66" t="s">
        <v>817</v>
      </c>
      <c r="C10" s="64">
        <v>0.48477897777777779</v>
      </c>
      <c r="D10" s="64">
        <v>0.51966812500000004</v>
      </c>
      <c r="E10" s="64">
        <v>6.0891979184009779</v>
      </c>
      <c r="F10" s="64">
        <v>7.0936450211787569</v>
      </c>
      <c r="I10" s="54" t="s">
        <v>17</v>
      </c>
      <c r="J10" s="55"/>
      <c r="K10" s="55"/>
      <c r="L10" s="55"/>
      <c r="M10" s="55">
        <v>118160.5</v>
      </c>
      <c r="N10" s="55">
        <v>401507.625</v>
      </c>
      <c r="O10" s="55"/>
      <c r="P10" s="55">
        <v>4522233.875</v>
      </c>
      <c r="Q10" s="55"/>
      <c r="R10" s="55"/>
      <c r="S10" s="55"/>
      <c r="T10" s="55"/>
      <c r="U10" s="55">
        <v>5041902</v>
      </c>
    </row>
    <row r="11" spans="2:21" x14ac:dyDescent="0.25">
      <c r="I11" s="29" t="s">
        <v>393</v>
      </c>
      <c r="J11" s="55"/>
      <c r="K11" s="55"/>
      <c r="L11" s="55"/>
      <c r="M11" s="55"/>
      <c r="N11" s="55">
        <v>96108.125</v>
      </c>
      <c r="O11" s="55"/>
      <c r="P11" s="55">
        <v>672756.875</v>
      </c>
      <c r="Q11" s="55"/>
      <c r="R11" s="55"/>
      <c r="S11" s="55"/>
      <c r="T11" s="55"/>
      <c r="U11" s="55">
        <v>768865</v>
      </c>
    </row>
    <row r="12" spans="2:21" x14ac:dyDescent="0.25">
      <c r="I12" s="58" t="s">
        <v>338</v>
      </c>
      <c r="J12" s="55"/>
      <c r="K12" s="55"/>
      <c r="L12" s="55"/>
      <c r="M12" s="55"/>
      <c r="N12" s="55">
        <v>96108.125</v>
      </c>
      <c r="O12" s="55"/>
      <c r="P12" s="55">
        <v>672756.875</v>
      </c>
      <c r="Q12" s="55"/>
      <c r="R12" s="55"/>
      <c r="S12" s="55"/>
      <c r="T12" s="55"/>
      <c r="U12" s="55">
        <v>768865</v>
      </c>
    </row>
    <row r="13" spans="2:21" x14ac:dyDescent="0.25">
      <c r="I13" s="68" t="s">
        <v>179</v>
      </c>
      <c r="J13" s="55"/>
      <c r="K13" s="55"/>
      <c r="L13" s="55"/>
      <c r="M13" s="55"/>
      <c r="N13" s="55">
        <v>96108.125</v>
      </c>
      <c r="O13" s="55"/>
      <c r="P13" s="55">
        <v>672756.875</v>
      </c>
      <c r="Q13" s="55"/>
      <c r="R13" s="55"/>
      <c r="S13" s="55"/>
      <c r="T13" s="55"/>
      <c r="U13" s="55">
        <v>768865</v>
      </c>
    </row>
    <row r="14" spans="2:21" x14ac:dyDescent="0.25">
      <c r="I14" s="29" t="s">
        <v>166</v>
      </c>
      <c r="J14" s="55"/>
      <c r="K14" s="55"/>
      <c r="L14" s="55"/>
      <c r="M14" s="55"/>
      <c r="N14" s="55"/>
      <c r="O14" s="55"/>
      <c r="P14" s="55">
        <v>2017080</v>
      </c>
      <c r="Q14" s="55"/>
      <c r="R14" s="55"/>
      <c r="S14" s="55"/>
      <c r="T14" s="55"/>
      <c r="U14" s="55">
        <v>2017080</v>
      </c>
    </row>
    <row r="15" spans="2:21" x14ac:dyDescent="0.25">
      <c r="I15" s="58" t="s">
        <v>119</v>
      </c>
      <c r="J15" s="55"/>
      <c r="K15" s="55"/>
      <c r="L15" s="55"/>
      <c r="M15" s="55"/>
      <c r="N15" s="55"/>
      <c r="O15" s="55"/>
      <c r="P15" s="55">
        <v>2017080</v>
      </c>
      <c r="Q15" s="55"/>
      <c r="R15" s="55"/>
      <c r="S15" s="55"/>
      <c r="T15" s="55"/>
      <c r="U15" s="55">
        <v>2017080</v>
      </c>
    </row>
    <row r="16" spans="2:21" x14ac:dyDescent="0.25">
      <c r="I16" s="68" t="s">
        <v>156</v>
      </c>
      <c r="J16" s="55"/>
      <c r="K16" s="55"/>
      <c r="L16" s="55"/>
      <c r="M16" s="55"/>
      <c r="N16" s="55"/>
      <c r="O16" s="55"/>
      <c r="P16" s="55">
        <v>2017080</v>
      </c>
      <c r="Q16" s="55"/>
      <c r="R16" s="55"/>
      <c r="S16" s="55"/>
      <c r="T16" s="55"/>
      <c r="U16" s="55">
        <v>2017080</v>
      </c>
    </row>
    <row r="17" spans="9:21" x14ac:dyDescent="0.25">
      <c r="I17" s="29" t="s">
        <v>92</v>
      </c>
      <c r="J17" s="55"/>
      <c r="K17" s="55"/>
      <c r="L17" s="55"/>
      <c r="M17" s="55">
        <v>118160.5</v>
      </c>
      <c r="N17" s="55">
        <v>118160.5</v>
      </c>
      <c r="O17" s="55"/>
      <c r="P17" s="55">
        <v>708963</v>
      </c>
      <c r="Q17" s="55"/>
      <c r="R17" s="55"/>
      <c r="S17" s="55"/>
      <c r="T17" s="55"/>
      <c r="U17" s="55">
        <v>945284</v>
      </c>
    </row>
    <row r="18" spans="9:21" x14ac:dyDescent="0.25">
      <c r="I18" s="58" t="s">
        <v>205</v>
      </c>
      <c r="J18" s="55"/>
      <c r="K18" s="55"/>
      <c r="L18" s="55"/>
      <c r="M18" s="55">
        <v>118160.5</v>
      </c>
      <c r="N18" s="55">
        <v>118160.5</v>
      </c>
      <c r="O18" s="55"/>
      <c r="P18" s="55">
        <v>708963</v>
      </c>
      <c r="Q18" s="55"/>
      <c r="R18" s="55"/>
      <c r="S18" s="55"/>
      <c r="T18" s="55"/>
      <c r="U18" s="55">
        <v>945284</v>
      </c>
    </row>
    <row r="19" spans="9:21" x14ac:dyDescent="0.25">
      <c r="I19" s="68" t="s">
        <v>163</v>
      </c>
      <c r="J19" s="55"/>
      <c r="K19" s="55"/>
      <c r="L19" s="55"/>
      <c r="M19" s="55">
        <v>118160.5</v>
      </c>
      <c r="N19" s="55">
        <v>118160.5</v>
      </c>
      <c r="O19" s="55"/>
      <c r="P19" s="55">
        <v>708963</v>
      </c>
      <c r="Q19" s="55"/>
      <c r="R19" s="55"/>
      <c r="S19" s="55"/>
      <c r="T19" s="55"/>
      <c r="U19" s="55">
        <v>945284</v>
      </c>
    </row>
    <row r="20" spans="9:21" x14ac:dyDescent="0.25">
      <c r="I20" s="29" t="s">
        <v>101</v>
      </c>
      <c r="J20" s="55"/>
      <c r="K20" s="55"/>
      <c r="L20" s="55"/>
      <c r="M20" s="55"/>
      <c r="N20" s="55">
        <v>187239</v>
      </c>
      <c r="O20" s="55"/>
      <c r="P20" s="55">
        <v>1123434</v>
      </c>
      <c r="Q20" s="55"/>
      <c r="R20" s="55"/>
      <c r="S20" s="55"/>
      <c r="T20" s="55"/>
      <c r="U20" s="55">
        <v>1310673</v>
      </c>
    </row>
    <row r="21" spans="9:21" x14ac:dyDescent="0.25">
      <c r="I21" s="58" t="s">
        <v>236</v>
      </c>
      <c r="J21" s="55"/>
      <c r="K21" s="55"/>
      <c r="L21" s="55"/>
      <c r="M21" s="55"/>
      <c r="N21" s="55">
        <v>187239</v>
      </c>
      <c r="O21" s="55"/>
      <c r="P21" s="55">
        <v>1123434</v>
      </c>
      <c r="Q21" s="55"/>
      <c r="R21" s="55"/>
      <c r="S21" s="55"/>
      <c r="T21" s="55"/>
      <c r="U21" s="55">
        <v>1310673</v>
      </c>
    </row>
    <row r="22" spans="9:21" x14ac:dyDescent="0.25">
      <c r="I22" s="68" t="s">
        <v>154</v>
      </c>
      <c r="J22" s="55"/>
      <c r="K22" s="55"/>
      <c r="L22" s="55"/>
      <c r="M22" s="55"/>
      <c r="N22" s="55">
        <v>187239</v>
      </c>
      <c r="O22" s="55"/>
      <c r="P22" s="55">
        <v>1123434</v>
      </c>
      <c r="Q22" s="55"/>
      <c r="R22" s="55"/>
      <c r="S22" s="55"/>
      <c r="T22" s="55"/>
      <c r="U22" s="55">
        <v>1310673</v>
      </c>
    </row>
    <row r="23" spans="9:21" x14ac:dyDescent="0.25">
      <c r="I23" s="54" t="s">
        <v>19</v>
      </c>
      <c r="J23" s="55">
        <v>268634.25</v>
      </c>
      <c r="K23" s="55">
        <v>99351.571428571435</v>
      </c>
      <c r="L23" s="55">
        <v>2193593.587209302</v>
      </c>
      <c r="M23" s="55">
        <v>1514319.4224806202</v>
      </c>
      <c r="N23" s="55">
        <v>1583865.0936927414</v>
      </c>
      <c r="O23" s="55">
        <v>429433.99358974362</v>
      </c>
      <c r="P23" s="55">
        <v>35780608.831599019</v>
      </c>
      <c r="Q23" s="55">
        <v>143184</v>
      </c>
      <c r="R23" s="55">
        <v>143184</v>
      </c>
      <c r="S23" s="55">
        <v>143184</v>
      </c>
      <c r="T23" s="55">
        <v>268634.25</v>
      </c>
      <c r="U23" s="55">
        <v>42567993</v>
      </c>
    </row>
    <row r="24" spans="9:21" x14ac:dyDescent="0.25">
      <c r="I24" s="29" t="s">
        <v>393</v>
      </c>
      <c r="J24" s="55"/>
      <c r="K24" s="55"/>
      <c r="L24" s="55"/>
      <c r="M24" s="55">
        <v>1085176</v>
      </c>
      <c r="N24" s="55">
        <v>248007.16666666666</v>
      </c>
      <c r="O24" s="55"/>
      <c r="P24" s="55">
        <v>8241080.833333333</v>
      </c>
      <c r="Q24" s="55"/>
      <c r="R24" s="55"/>
      <c r="S24" s="55"/>
      <c r="T24" s="55"/>
      <c r="U24" s="55">
        <v>9574264</v>
      </c>
    </row>
    <row r="25" spans="9:21" x14ac:dyDescent="0.25">
      <c r="I25" s="58" t="s">
        <v>106</v>
      </c>
      <c r="J25" s="55"/>
      <c r="K25" s="55"/>
      <c r="L25" s="55"/>
      <c r="M25" s="55"/>
      <c r="N25" s="55"/>
      <c r="O25" s="55"/>
      <c r="P25" s="55">
        <v>1199227</v>
      </c>
      <c r="Q25" s="55"/>
      <c r="R25" s="55"/>
      <c r="S25" s="55"/>
      <c r="T25" s="55"/>
      <c r="U25" s="55">
        <v>1199227</v>
      </c>
    </row>
    <row r="26" spans="9:21" x14ac:dyDescent="0.25">
      <c r="I26" s="68" t="s">
        <v>184</v>
      </c>
      <c r="J26" s="55"/>
      <c r="K26" s="55"/>
      <c r="L26" s="55"/>
      <c r="M26" s="55"/>
      <c r="N26" s="55"/>
      <c r="O26" s="55"/>
      <c r="P26" s="55">
        <v>1199227</v>
      </c>
      <c r="Q26" s="55"/>
      <c r="R26" s="55"/>
      <c r="S26" s="55"/>
      <c r="T26" s="55"/>
      <c r="U26" s="55">
        <v>1199227</v>
      </c>
    </row>
    <row r="27" spans="9:21" x14ac:dyDescent="0.25">
      <c r="I27" s="58" t="s">
        <v>362</v>
      </c>
      <c r="J27" s="55"/>
      <c r="K27" s="55"/>
      <c r="L27" s="55"/>
      <c r="M27" s="55"/>
      <c r="N27" s="55">
        <v>248007.16666666666</v>
      </c>
      <c r="O27" s="55"/>
      <c r="P27" s="55">
        <v>1240035.8333333333</v>
      </c>
      <c r="Q27" s="55"/>
      <c r="R27" s="55"/>
      <c r="S27" s="55"/>
      <c r="T27" s="55"/>
      <c r="U27" s="55">
        <v>1488043</v>
      </c>
    </row>
    <row r="28" spans="9:21" x14ac:dyDescent="0.25">
      <c r="I28" s="68" t="s">
        <v>91</v>
      </c>
      <c r="J28" s="55"/>
      <c r="K28" s="55"/>
      <c r="L28" s="55"/>
      <c r="M28" s="55"/>
      <c r="N28" s="55">
        <v>248007.16666666666</v>
      </c>
      <c r="O28" s="55"/>
      <c r="P28" s="55">
        <v>1240035.8333333333</v>
      </c>
      <c r="Q28" s="55"/>
      <c r="R28" s="55"/>
      <c r="S28" s="55"/>
      <c r="T28" s="55"/>
      <c r="U28" s="55">
        <v>1488043</v>
      </c>
    </row>
    <row r="29" spans="9:21" x14ac:dyDescent="0.25">
      <c r="I29" s="58" t="s">
        <v>294</v>
      </c>
      <c r="J29" s="55"/>
      <c r="K29" s="55"/>
      <c r="L29" s="55"/>
      <c r="M29" s="55"/>
      <c r="N29" s="55"/>
      <c r="O29" s="55"/>
      <c r="P29" s="55">
        <v>1834664</v>
      </c>
      <c r="Q29" s="55"/>
      <c r="R29" s="55"/>
      <c r="S29" s="55"/>
      <c r="T29" s="55"/>
      <c r="U29" s="55">
        <v>1834664</v>
      </c>
    </row>
    <row r="30" spans="9:21" x14ac:dyDescent="0.25">
      <c r="I30" s="68" t="s">
        <v>183</v>
      </c>
      <c r="J30" s="55"/>
      <c r="K30" s="55"/>
      <c r="L30" s="55"/>
      <c r="M30" s="55"/>
      <c r="N30" s="55"/>
      <c r="O30" s="55"/>
      <c r="P30" s="55">
        <v>1834664</v>
      </c>
      <c r="Q30" s="55"/>
      <c r="R30" s="55"/>
      <c r="S30" s="55"/>
      <c r="T30" s="55"/>
      <c r="U30" s="55">
        <v>1834664</v>
      </c>
    </row>
    <row r="31" spans="9:21" x14ac:dyDescent="0.25">
      <c r="I31" s="58" t="s">
        <v>266</v>
      </c>
      <c r="J31" s="55"/>
      <c r="K31" s="55"/>
      <c r="L31" s="55"/>
      <c r="M31" s="55">
        <v>1085176</v>
      </c>
      <c r="N31" s="55"/>
      <c r="O31" s="55"/>
      <c r="P31" s="55"/>
      <c r="Q31" s="55"/>
      <c r="R31" s="55"/>
      <c r="S31" s="55"/>
      <c r="T31" s="55"/>
      <c r="U31" s="55">
        <v>1085176</v>
      </c>
    </row>
    <row r="32" spans="9:21" x14ac:dyDescent="0.25">
      <c r="I32" s="68" t="s">
        <v>155</v>
      </c>
      <c r="J32" s="55"/>
      <c r="K32" s="55"/>
      <c r="L32" s="55"/>
      <c r="M32" s="55">
        <v>1085176</v>
      </c>
      <c r="N32" s="55"/>
      <c r="O32" s="55"/>
      <c r="P32" s="55"/>
      <c r="Q32" s="55"/>
      <c r="R32" s="55"/>
      <c r="S32" s="55"/>
      <c r="T32" s="55"/>
      <c r="U32" s="55">
        <v>1085176</v>
      </c>
    </row>
    <row r="33" spans="9:21" x14ac:dyDescent="0.25">
      <c r="I33" s="58" t="s">
        <v>317</v>
      </c>
      <c r="J33" s="55"/>
      <c r="K33" s="55"/>
      <c r="L33" s="55"/>
      <c r="M33" s="55"/>
      <c r="N33" s="55"/>
      <c r="O33" s="55"/>
      <c r="P33" s="55">
        <v>1248522</v>
      </c>
      <c r="Q33" s="55"/>
      <c r="R33" s="55"/>
      <c r="S33" s="55"/>
      <c r="T33" s="55"/>
      <c r="U33" s="55">
        <v>1248522</v>
      </c>
    </row>
    <row r="34" spans="9:21" x14ac:dyDescent="0.25">
      <c r="I34" s="68" t="s">
        <v>103</v>
      </c>
      <c r="J34" s="55"/>
      <c r="K34" s="55"/>
      <c r="L34" s="55"/>
      <c r="M34" s="55"/>
      <c r="N34" s="55"/>
      <c r="O34" s="55"/>
      <c r="P34" s="55">
        <v>1248522</v>
      </c>
      <c r="Q34" s="55"/>
      <c r="R34" s="55"/>
      <c r="S34" s="55"/>
      <c r="T34" s="55"/>
      <c r="U34" s="55">
        <v>1248522</v>
      </c>
    </row>
    <row r="35" spans="9:21" x14ac:dyDescent="0.25">
      <c r="I35" s="58" t="s">
        <v>88</v>
      </c>
      <c r="J35" s="55"/>
      <c r="K35" s="55"/>
      <c r="L35" s="55"/>
      <c r="M35" s="55"/>
      <c r="N35" s="55"/>
      <c r="O35" s="55"/>
      <c r="P35" s="55">
        <v>1666344.0000000002</v>
      </c>
      <c r="Q35" s="55"/>
      <c r="R35" s="55"/>
      <c r="S35" s="55"/>
      <c r="T35" s="55"/>
      <c r="U35" s="55">
        <v>1666344.0000000002</v>
      </c>
    </row>
    <row r="36" spans="9:21" x14ac:dyDescent="0.25">
      <c r="I36" s="68" t="s">
        <v>175</v>
      </c>
      <c r="J36" s="55"/>
      <c r="K36" s="55"/>
      <c r="L36" s="55"/>
      <c r="M36" s="55"/>
      <c r="N36" s="55"/>
      <c r="O36" s="55"/>
      <c r="P36" s="55">
        <v>1666344.0000000002</v>
      </c>
      <c r="Q36" s="55"/>
      <c r="R36" s="55"/>
      <c r="S36" s="55"/>
      <c r="T36" s="55"/>
      <c r="U36" s="55">
        <v>1666344.0000000002</v>
      </c>
    </row>
    <row r="37" spans="9:21" x14ac:dyDescent="0.25">
      <c r="I37" s="58" t="s">
        <v>331</v>
      </c>
      <c r="J37" s="55"/>
      <c r="K37" s="55"/>
      <c r="L37" s="55"/>
      <c r="M37" s="55"/>
      <c r="N37" s="55"/>
      <c r="O37" s="55"/>
      <c r="P37" s="55">
        <v>1052288</v>
      </c>
      <c r="Q37" s="55"/>
      <c r="R37" s="55"/>
      <c r="S37" s="55"/>
      <c r="T37" s="55"/>
      <c r="U37" s="55">
        <v>1052288</v>
      </c>
    </row>
    <row r="38" spans="9:21" x14ac:dyDescent="0.25">
      <c r="I38" s="68" t="s">
        <v>173</v>
      </c>
      <c r="J38" s="55"/>
      <c r="K38" s="55"/>
      <c r="L38" s="55"/>
      <c r="M38" s="55"/>
      <c r="N38" s="55"/>
      <c r="O38" s="55"/>
      <c r="P38" s="55">
        <v>1052288</v>
      </c>
      <c r="Q38" s="55"/>
      <c r="R38" s="55"/>
      <c r="S38" s="55"/>
      <c r="T38" s="55"/>
      <c r="U38" s="55">
        <v>1052288</v>
      </c>
    </row>
    <row r="39" spans="9:21" x14ac:dyDescent="0.25">
      <c r="I39" s="29" t="s">
        <v>166</v>
      </c>
      <c r="J39" s="55"/>
      <c r="K39" s="55"/>
      <c r="L39" s="55"/>
      <c r="M39" s="55"/>
      <c r="N39" s="55"/>
      <c r="O39" s="55"/>
      <c r="P39" s="55">
        <v>1153725</v>
      </c>
      <c r="Q39" s="55"/>
      <c r="R39" s="55"/>
      <c r="S39" s="55"/>
      <c r="T39" s="55"/>
      <c r="U39" s="55">
        <v>1153725</v>
      </c>
    </row>
    <row r="40" spans="9:21" x14ac:dyDescent="0.25">
      <c r="I40" s="58" t="s">
        <v>346</v>
      </c>
      <c r="J40" s="55"/>
      <c r="K40" s="55"/>
      <c r="L40" s="55"/>
      <c r="M40" s="55"/>
      <c r="N40" s="55"/>
      <c r="O40" s="55"/>
      <c r="P40" s="55">
        <v>1153725</v>
      </c>
      <c r="Q40" s="55"/>
      <c r="R40" s="55"/>
      <c r="S40" s="55"/>
      <c r="T40" s="55"/>
      <c r="U40" s="55">
        <v>1153725</v>
      </c>
    </row>
    <row r="41" spans="9:21" x14ac:dyDescent="0.25">
      <c r="I41" s="68" t="s">
        <v>97</v>
      </c>
      <c r="J41" s="55"/>
      <c r="K41" s="55"/>
      <c r="L41" s="55"/>
      <c r="M41" s="55"/>
      <c r="N41" s="55"/>
      <c r="O41" s="55"/>
      <c r="P41" s="55">
        <v>1153725</v>
      </c>
      <c r="Q41" s="55"/>
      <c r="R41" s="55"/>
      <c r="S41" s="55"/>
      <c r="T41" s="55"/>
      <c r="U41" s="55">
        <v>1153725</v>
      </c>
    </row>
    <row r="42" spans="9:21" x14ac:dyDescent="0.25">
      <c r="I42" s="29" t="s">
        <v>104</v>
      </c>
      <c r="J42" s="55"/>
      <c r="K42" s="55"/>
      <c r="L42" s="55">
        <v>652753.66666666663</v>
      </c>
      <c r="M42" s="55">
        <v>165813.66666666666</v>
      </c>
      <c r="N42" s="55">
        <v>221812.8</v>
      </c>
      <c r="O42" s="55"/>
      <c r="P42" s="55">
        <v>6220529.8666666662</v>
      </c>
      <c r="Q42" s="55"/>
      <c r="R42" s="55"/>
      <c r="S42" s="55"/>
      <c r="T42" s="55"/>
      <c r="U42" s="55">
        <v>7260910</v>
      </c>
    </row>
    <row r="43" spans="9:21" x14ac:dyDescent="0.25">
      <c r="I43" s="58" t="s">
        <v>294</v>
      </c>
      <c r="J43" s="55"/>
      <c r="K43" s="55"/>
      <c r="L43" s="55"/>
      <c r="M43" s="55"/>
      <c r="N43" s="55">
        <v>221812.8</v>
      </c>
      <c r="O43" s="55"/>
      <c r="P43" s="55">
        <v>1996315.2000000002</v>
      </c>
      <c r="Q43" s="55"/>
      <c r="R43" s="55"/>
      <c r="S43" s="55"/>
      <c r="T43" s="55"/>
      <c r="U43" s="55">
        <v>2218128</v>
      </c>
    </row>
    <row r="44" spans="9:21" x14ac:dyDescent="0.25">
      <c r="I44" s="68" t="s">
        <v>165</v>
      </c>
      <c r="J44" s="55"/>
      <c r="K44" s="55"/>
      <c r="L44" s="55"/>
      <c r="M44" s="55"/>
      <c r="N44" s="55">
        <v>221812.8</v>
      </c>
      <c r="O44" s="55"/>
      <c r="P44" s="55">
        <v>1996315.2000000002</v>
      </c>
      <c r="Q44" s="55"/>
      <c r="R44" s="55"/>
      <c r="S44" s="55"/>
      <c r="T44" s="55"/>
      <c r="U44" s="55">
        <v>2218128</v>
      </c>
    </row>
    <row r="45" spans="9:21" x14ac:dyDescent="0.25">
      <c r="I45" s="58" t="s">
        <v>354</v>
      </c>
      <c r="J45" s="55"/>
      <c r="K45" s="55"/>
      <c r="L45" s="55"/>
      <c r="M45" s="55"/>
      <c r="N45" s="55"/>
      <c r="O45" s="55"/>
      <c r="P45" s="55">
        <v>1087125</v>
      </c>
      <c r="Q45" s="55"/>
      <c r="R45" s="55"/>
      <c r="S45" s="55"/>
      <c r="T45" s="55"/>
      <c r="U45" s="55">
        <v>1087125</v>
      </c>
    </row>
    <row r="46" spans="9:21" x14ac:dyDescent="0.25">
      <c r="I46" s="68" t="s">
        <v>158</v>
      </c>
      <c r="J46" s="55"/>
      <c r="K46" s="55"/>
      <c r="L46" s="55"/>
      <c r="M46" s="55"/>
      <c r="N46" s="55"/>
      <c r="O46" s="55"/>
      <c r="P46" s="55">
        <v>1087125</v>
      </c>
      <c r="Q46" s="55"/>
      <c r="R46" s="55"/>
      <c r="S46" s="55"/>
      <c r="T46" s="55"/>
      <c r="U46" s="55">
        <v>1087125</v>
      </c>
    </row>
    <row r="47" spans="9:21" x14ac:dyDescent="0.25">
      <c r="I47" s="58" t="s">
        <v>331</v>
      </c>
      <c r="J47" s="55"/>
      <c r="K47" s="55"/>
      <c r="L47" s="55"/>
      <c r="M47" s="55"/>
      <c r="N47" s="55"/>
      <c r="O47" s="55"/>
      <c r="P47" s="55">
        <v>1002514.0000000001</v>
      </c>
      <c r="Q47" s="55"/>
      <c r="R47" s="55"/>
      <c r="S47" s="55"/>
      <c r="T47" s="55"/>
      <c r="U47" s="55">
        <v>1002514.0000000001</v>
      </c>
    </row>
    <row r="48" spans="9:21" x14ac:dyDescent="0.25">
      <c r="I48" s="68" t="s">
        <v>149</v>
      </c>
      <c r="J48" s="55"/>
      <c r="K48" s="55"/>
      <c r="L48" s="55"/>
      <c r="M48" s="55"/>
      <c r="N48" s="55"/>
      <c r="O48" s="55"/>
      <c r="P48" s="55">
        <v>1002514.0000000001</v>
      </c>
      <c r="Q48" s="55"/>
      <c r="R48" s="55"/>
      <c r="S48" s="55"/>
      <c r="T48" s="55"/>
      <c r="U48" s="55">
        <v>1002514.0000000001</v>
      </c>
    </row>
    <row r="49" spans="9:21" x14ac:dyDescent="0.25">
      <c r="I49" s="58" t="s">
        <v>243</v>
      </c>
      <c r="J49" s="55"/>
      <c r="K49" s="55"/>
      <c r="L49" s="55"/>
      <c r="M49" s="55">
        <v>165813.66666666666</v>
      </c>
      <c r="N49" s="55"/>
      <c r="O49" s="55"/>
      <c r="P49" s="55">
        <v>829068.33333333326</v>
      </c>
      <c r="Q49" s="55"/>
      <c r="R49" s="55"/>
      <c r="S49" s="55"/>
      <c r="T49" s="55"/>
      <c r="U49" s="55">
        <v>994881.99999999988</v>
      </c>
    </row>
    <row r="50" spans="9:21" x14ac:dyDescent="0.25">
      <c r="I50" s="68" t="s">
        <v>172</v>
      </c>
      <c r="J50" s="55"/>
      <c r="K50" s="55"/>
      <c r="L50" s="55"/>
      <c r="M50" s="55">
        <v>165813.66666666666</v>
      </c>
      <c r="N50" s="55"/>
      <c r="O50" s="55"/>
      <c r="P50" s="55">
        <v>829068.33333333326</v>
      </c>
      <c r="Q50" s="55"/>
      <c r="R50" s="55"/>
      <c r="S50" s="55"/>
      <c r="T50" s="55"/>
      <c r="U50" s="55">
        <v>994881.99999999988</v>
      </c>
    </row>
    <row r="51" spans="9:21" x14ac:dyDescent="0.25">
      <c r="I51" s="58" t="s">
        <v>119</v>
      </c>
      <c r="J51" s="55"/>
      <c r="K51" s="55"/>
      <c r="L51" s="55">
        <v>652753.66666666663</v>
      </c>
      <c r="M51" s="55"/>
      <c r="N51" s="55"/>
      <c r="O51" s="55"/>
      <c r="P51" s="55">
        <v>1305507.3333333333</v>
      </c>
      <c r="Q51" s="55"/>
      <c r="R51" s="55"/>
      <c r="S51" s="55"/>
      <c r="T51" s="55"/>
      <c r="U51" s="55">
        <v>1958261</v>
      </c>
    </row>
    <row r="52" spans="9:21" x14ac:dyDescent="0.25">
      <c r="I52" s="68" t="s">
        <v>181</v>
      </c>
      <c r="J52" s="55"/>
      <c r="K52" s="55"/>
      <c r="L52" s="55">
        <v>652753.66666666663</v>
      </c>
      <c r="M52" s="55"/>
      <c r="N52" s="55"/>
      <c r="O52" s="55"/>
      <c r="P52" s="55">
        <v>1305507.3333333333</v>
      </c>
      <c r="Q52" s="55"/>
      <c r="R52" s="55"/>
      <c r="S52" s="55"/>
      <c r="T52" s="55"/>
      <c r="U52" s="55">
        <v>1958261</v>
      </c>
    </row>
    <row r="53" spans="9:21" x14ac:dyDescent="0.25">
      <c r="I53" s="29" t="s">
        <v>145</v>
      </c>
      <c r="J53" s="55">
        <v>143184</v>
      </c>
      <c r="K53" s="55">
        <v>99351.571428571435</v>
      </c>
      <c r="L53" s="55">
        <v>235856.33333333331</v>
      </c>
      <c r="M53" s="55">
        <v>139008.5</v>
      </c>
      <c r="N53" s="55">
        <v>282192.5</v>
      </c>
      <c r="O53" s="55">
        <v>46336.166666666664</v>
      </c>
      <c r="P53" s="55">
        <v>4023817.9285714305</v>
      </c>
      <c r="Q53" s="55">
        <v>143184</v>
      </c>
      <c r="R53" s="55">
        <v>143184</v>
      </c>
      <c r="S53" s="55">
        <v>143184</v>
      </c>
      <c r="T53" s="55">
        <v>143184</v>
      </c>
      <c r="U53" s="55">
        <v>5542483.0000000019</v>
      </c>
    </row>
    <row r="54" spans="9:21" x14ac:dyDescent="0.25">
      <c r="I54" s="58" t="s">
        <v>106</v>
      </c>
      <c r="J54" s="55">
        <v>143184</v>
      </c>
      <c r="K54" s="55"/>
      <c r="L54" s="55">
        <v>143184</v>
      </c>
      <c r="M54" s="55"/>
      <c r="N54" s="55">
        <v>143184</v>
      </c>
      <c r="O54" s="55"/>
      <c r="P54" s="55"/>
      <c r="Q54" s="55">
        <v>143184</v>
      </c>
      <c r="R54" s="55">
        <v>143184</v>
      </c>
      <c r="S54" s="55">
        <v>143184</v>
      </c>
      <c r="T54" s="55">
        <v>143184</v>
      </c>
      <c r="U54" s="55">
        <v>1002288</v>
      </c>
    </row>
    <row r="55" spans="9:21" x14ac:dyDescent="0.25">
      <c r="I55" s="68" t="s">
        <v>169</v>
      </c>
      <c r="J55" s="55">
        <v>143184</v>
      </c>
      <c r="K55" s="55"/>
      <c r="L55" s="55">
        <v>143184</v>
      </c>
      <c r="M55" s="55"/>
      <c r="N55" s="55">
        <v>143184</v>
      </c>
      <c r="O55" s="55"/>
      <c r="P55" s="55"/>
      <c r="Q55" s="55">
        <v>143184</v>
      </c>
      <c r="R55" s="55">
        <v>143184</v>
      </c>
      <c r="S55" s="55">
        <v>143184</v>
      </c>
      <c r="T55" s="55">
        <v>143184</v>
      </c>
      <c r="U55" s="55">
        <v>1002288</v>
      </c>
    </row>
    <row r="56" spans="9:21" x14ac:dyDescent="0.25">
      <c r="I56" s="58" t="s">
        <v>370</v>
      </c>
      <c r="J56" s="55"/>
      <c r="K56" s="55"/>
      <c r="L56" s="55">
        <v>92672.333333333328</v>
      </c>
      <c r="M56" s="55">
        <v>139008.5</v>
      </c>
      <c r="N56" s="55">
        <v>139008.5</v>
      </c>
      <c r="O56" s="55">
        <v>46336.166666666664</v>
      </c>
      <c r="P56" s="55">
        <v>1251076.5</v>
      </c>
      <c r="Q56" s="55"/>
      <c r="R56" s="55"/>
      <c r="S56" s="55"/>
      <c r="T56" s="55"/>
      <c r="U56" s="55">
        <v>1668102</v>
      </c>
    </row>
    <row r="57" spans="9:21" x14ac:dyDescent="0.25">
      <c r="I57" s="68" t="s">
        <v>164</v>
      </c>
      <c r="J57" s="55"/>
      <c r="K57" s="55"/>
      <c r="L57" s="55">
        <v>92672.333333333328</v>
      </c>
      <c r="M57" s="55">
        <v>139008.5</v>
      </c>
      <c r="N57" s="55">
        <v>139008.5</v>
      </c>
      <c r="O57" s="55">
        <v>46336.166666666664</v>
      </c>
      <c r="P57" s="55">
        <v>1251076.5</v>
      </c>
      <c r="Q57" s="55"/>
      <c r="R57" s="55"/>
      <c r="S57" s="55"/>
      <c r="T57" s="55"/>
      <c r="U57" s="55">
        <v>1668102</v>
      </c>
    </row>
    <row r="58" spans="9:21" x14ac:dyDescent="0.25">
      <c r="I58" s="58" t="s">
        <v>119</v>
      </c>
      <c r="J58" s="55"/>
      <c r="K58" s="55"/>
      <c r="L58" s="55"/>
      <c r="M58" s="55"/>
      <c r="N58" s="55"/>
      <c r="O58" s="55"/>
      <c r="P58" s="55">
        <v>2176632.0000000019</v>
      </c>
      <c r="Q58" s="55"/>
      <c r="R58" s="55"/>
      <c r="S58" s="55"/>
      <c r="T58" s="55"/>
      <c r="U58" s="55">
        <v>2176632.0000000019</v>
      </c>
    </row>
    <row r="59" spans="9:21" x14ac:dyDescent="0.25">
      <c r="I59" s="68" t="s">
        <v>187</v>
      </c>
      <c r="J59" s="55"/>
      <c r="K59" s="55"/>
      <c r="L59" s="55"/>
      <c r="M59" s="55"/>
      <c r="N59" s="55"/>
      <c r="O59" s="55"/>
      <c r="P59" s="55">
        <v>2176632.0000000019</v>
      </c>
      <c r="Q59" s="55"/>
      <c r="R59" s="55"/>
      <c r="S59" s="55"/>
      <c r="T59" s="55"/>
      <c r="U59" s="55">
        <v>2176632.0000000019</v>
      </c>
    </row>
    <row r="60" spans="9:21" x14ac:dyDescent="0.25">
      <c r="I60" s="58" t="s">
        <v>259</v>
      </c>
      <c r="J60" s="55"/>
      <c r="K60" s="55">
        <v>99351.571428571435</v>
      </c>
      <c r="L60" s="55"/>
      <c r="M60" s="55"/>
      <c r="N60" s="55"/>
      <c r="O60" s="55"/>
      <c r="P60" s="55">
        <v>596109.42857142864</v>
      </c>
      <c r="Q60" s="55"/>
      <c r="R60" s="55"/>
      <c r="S60" s="55"/>
      <c r="T60" s="55"/>
      <c r="U60" s="55">
        <v>695461.00000000012</v>
      </c>
    </row>
    <row r="61" spans="9:21" x14ac:dyDescent="0.25">
      <c r="I61" s="68" t="s">
        <v>180</v>
      </c>
      <c r="J61" s="55"/>
      <c r="K61" s="55">
        <v>99351.571428571435</v>
      </c>
      <c r="L61" s="55"/>
      <c r="M61" s="55"/>
      <c r="N61" s="55"/>
      <c r="O61" s="55"/>
      <c r="P61" s="55">
        <v>596109.42857142864</v>
      </c>
      <c r="Q61" s="55"/>
      <c r="R61" s="55"/>
      <c r="S61" s="55"/>
      <c r="T61" s="55"/>
      <c r="U61" s="55">
        <v>695461.00000000012</v>
      </c>
    </row>
    <row r="62" spans="9:21" x14ac:dyDescent="0.25">
      <c r="I62" s="29" t="s">
        <v>92</v>
      </c>
      <c r="J62" s="55"/>
      <c r="K62" s="55"/>
      <c r="L62" s="55"/>
      <c r="M62" s="55"/>
      <c r="N62" s="55"/>
      <c r="O62" s="55">
        <v>353775</v>
      </c>
      <c r="P62" s="55">
        <v>707550</v>
      </c>
      <c r="Q62" s="55"/>
      <c r="R62" s="55"/>
      <c r="S62" s="55"/>
      <c r="T62" s="55"/>
      <c r="U62" s="55">
        <v>1061325</v>
      </c>
    </row>
    <row r="63" spans="9:21" x14ac:dyDescent="0.25">
      <c r="I63" s="58" t="s">
        <v>88</v>
      </c>
      <c r="J63" s="55"/>
      <c r="K63" s="55"/>
      <c r="L63" s="55"/>
      <c r="M63" s="55"/>
      <c r="N63" s="55"/>
      <c r="O63" s="55">
        <v>353775</v>
      </c>
      <c r="P63" s="55">
        <v>707550</v>
      </c>
      <c r="Q63" s="55"/>
      <c r="R63" s="55"/>
      <c r="S63" s="55"/>
      <c r="T63" s="55"/>
      <c r="U63" s="55">
        <v>1061325</v>
      </c>
    </row>
    <row r="64" spans="9:21" x14ac:dyDescent="0.25">
      <c r="I64" s="68" t="s">
        <v>161</v>
      </c>
      <c r="J64" s="55"/>
      <c r="K64" s="55"/>
      <c r="L64" s="55"/>
      <c r="M64" s="55"/>
      <c r="N64" s="55"/>
      <c r="O64" s="55">
        <v>353775</v>
      </c>
      <c r="P64" s="55">
        <v>707550</v>
      </c>
      <c r="Q64" s="55"/>
      <c r="R64" s="55"/>
      <c r="S64" s="55"/>
      <c r="T64" s="55"/>
      <c r="U64" s="55">
        <v>1061325</v>
      </c>
    </row>
    <row r="65" spans="9:21" x14ac:dyDescent="0.25">
      <c r="I65" s="29" t="s">
        <v>101</v>
      </c>
      <c r="J65" s="55"/>
      <c r="K65" s="55"/>
      <c r="L65" s="55">
        <v>206020.5</v>
      </c>
      <c r="M65" s="55"/>
      <c r="N65" s="55">
        <v>206020.5</v>
      </c>
      <c r="O65" s="55"/>
      <c r="P65" s="55">
        <v>4188953.9999999991</v>
      </c>
      <c r="Q65" s="55"/>
      <c r="R65" s="55"/>
      <c r="S65" s="55"/>
      <c r="T65" s="55"/>
      <c r="U65" s="55">
        <v>4600994.9999999991</v>
      </c>
    </row>
    <row r="66" spans="9:21" x14ac:dyDescent="0.25">
      <c r="I66" s="58" t="s">
        <v>106</v>
      </c>
      <c r="J66" s="55"/>
      <c r="K66" s="55"/>
      <c r="L66" s="55"/>
      <c r="M66" s="55"/>
      <c r="N66" s="55"/>
      <c r="O66" s="55"/>
      <c r="P66" s="55">
        <v>1213430</v>
      </c>
      <c r="Q66" s="55"/>
      <c r="R66" s="55"/>
      <c r="S66" s="55"/>
      <c r="T66" s="55"/>
      <c r="U66" s="55">
        <v>1213430</v>
      </c>
    </row>
    <row r="67" spans="9:21" x14ac:dyDescent="0.25">
      <c r="I67" s="68" t="s">
        <v>176</v>
      </c>
      <c r="J67" s="55"/>
      <c r="K67" s="55"/>
      <c r="L67" s="55"/>
      <c r="M67" s="55"/>
      <c r="N67" s="55"/>
      <c r="O67" s="55"/>
      <c r="P67" s="55">
        <v>1213430</v>
      </c>
      <c r="Q67" s="55"/>
      <c r="R67" s="55"/>
      <c r="S67" s="55"/>
      <c r="T67" s="55"/>
      <c r="U67" s="55">
        <v>1213430</v>
      </c>
    </row>
    <row r="68" spans="9:21" x14ac:dyDescent="0.25">
      <c r="I68" s="58" t="s">
        <v>189</v>
      </c>
      <c r="J68" s="55"/>
      <c r="K68" s="55"/>
      <c r="L68" s="55">
        <v>206020.5</v>
      </c>
      <c r="M68" s="55"/>
      <c r="N68" s="55">
        <v>206020.5</v>
      </c>
      <c r="O68" s="55"/>
      <c r="P68" s="55">
        <v>824082</v>
      </c>
      <c r="Q68" s="55"/>
      <c r="R68" s="55"/>
      <c r="S68" s="55"/>
      <c r="T68" s="55"/>
      <c r="U68" s="55">
        <v>1236123</v>
      </c>
    </row>
    <row r="69" spans="9:21" x14ac:dyDescent="0.25">
      <c r="I69" s="68" t="s">
        <v>185</v>
      </c>
      <c r="J69" s="55"/>
      <c r="K69" s="55"/>
      <c r="L69" s="55">
        <v>206020.5</v>
      </c>
      <c r="M69" s="55"/>
      <c r="N69" s="55">
        <v>206020.5</v>
      </c>
      <c r="O69" s="55"/>
      <c r="P69" s="55">
        <v>824082</v>
      </c>
      <c r="Q69" s="55"/>
      <c r="R69" s="55"/>
      <c r="S69" s="55"/>
      <c r="T69" s="55"/>
      <c r="U69" s="55">
        <v>1236123</v>
      </c>
    </row>
    <row r="70" spans="9:21" x14ac:dyDescent="0.25">
      <c r="I70" s="58" t="s">
        <v>88</v>
      </c>
      <c r="J70" s="55"/>
      <c r="K70" s="55"/>
      <c r="L70" s="55"/>
      <c r="M70" s="55"/>
      <c r="N70" s="55"/>
      <c r="O70" s="55"/>
      <c r="P70" s="55">
        <v>1236636.9999999993</v>
      </c>
      <c r="Q70" s="55"/>
      <c r="R70" s="55"/>
      <c r="S70" s="55"/>
      <c r="T70" s="55"/>
      <c r="U70" s="55">
        <v>1236636.9999999993</v>
      </c>
    </row>
    <row r="71" spans="9:21" x14ac:dyDescent="0.25">
      <c r="I71" s="68" t="s">
        <v>160</v>
      </c>
      <c r="J71" s="55"/>
      <c r="K71" s="55"/>
      <c r="L71" s="55"/>
      <c r="M71" s="55"/>
      <c r="N71" s="55"/>
      <c r="O71" s="55"/>
      <c r="P71" s="55">
        <v>1236636.9999999993</v>
      </c>
      <c r="Q71" s="55"/>
      <c r="R71" s="55"/>
      <c r="S71" s="55"/>
      <c r="T71" s="55"/>
      <c r="U71" s="55">
        <v>1236636.9999999993</v>
      </c>
    </row>
    <row r="72" spans="9:21" x14ac:dyDescent="0.25">
      <c r="I72" s="58" t="s">
        <v>197</v>
      </c>
      <c r="J72" s="55"/>
      <c r="K72" s="55"/>
      <c r="L72" s="55"/>
      <c r="M72" s="55"/>
      <c r="N72" s="55"/>
      <c r="O72" s="55"/>
      <c r="P72" s="55">
        <v>914805</v>
      </c>
      <c r="Q72" s="55"/>
      <c r="R72" s="55"/>
      <c r="S72" s="55"/>
      <c r="T72" s="55"/>
      <c r="U72" s="55">
        <v>914805</v>
      </c>
    </row>
    <row r="73" spans="9:21" x14ac:dyDescent="0.25">
      <c r="I73" s="68" t="s">
        <v>186</v>
      </c>
      <c r="J73" s="55"/>
      <c r="K73" s="55"/>
      <c r="L73" s="55"/>
      <c r="M73" s="55"/>
      <c r="N73" s="55"/>
      <c r="O73" s="55"/>
      <c r="P73" s="55">
        <v>914805</v>
      </c>
      <c r="Q73" s="55"/>
      <c r="R73" s="55"/>
      <c r="S73" s="55"/>
      <c r="T73" s="55"/>
      <c r="U73" s="55">
        <v>914805</v>
      </c>
    </row>
    <row r="74" spans="9:21" x14ac:dyDescent="0.25">
      <c r="I74" s="29" t="s">
        <v>150</v>
      </c>
      <c r="J74" s="55"/>
      <c r="K74" s="55"/>
      <c r="L74" s="55">
        <v>890632</v>
      </c>
      <c r="M74" s="55"/>
      <c r="N74" s="55">
        <v>300960.16666666669</v>
      </c>
      <c r="O74" s="55"/>
      <c r="P74" s="55">
        <v>3477300.8333333335</v>
      </c>
      <c r="Q74" s="55"/>
      <c r="R74" s="55"/>
      <c r="S74" s="55"/>
      <c r="T74" s="55"/>
      <c r="U74" s="55">
        <v>4668893</v>
      </c>
    </row>
    <row r="75" spans="9:21" x14ac:dyDescent="0.25">
      <c r="I75" s="58" t="s">
        <v>106</v>
      </c>
      <c r="J75" s="55"/>
      <c r="K75" s="55"/>
      <c r="L75" s="55"/>
      <c r="M75" s="55"/>
      <c r="N75" s="55"/>
      <c r="O75" s="55"/>
      <c r="P75" s="55">
        <v>1172164</v>
      </c>
      <c r="Q75" s="55"/>
      <c r="R75" s="55"/>
      <c r="S75" s="55"/>
      <c r="T75" s="55"/>
      <c r="U75" s="55">
        <v>1172164</v>
      </c>
    </row>
    <row r="76" spans="9:21" x14ac:dyDescent="0.25">
      <c r="I76" s="68" t="s">
        <v>178</v>
      </c>
      <c r="J76" s="55"/>
      <c r="K76" s="55"/>
      <c r="L76" s="55"/>
      <c r="M76" s="55"/>
      <c r="N76" s="55"/>
      <c r="O76" s="55"/>
      <c r="P76" s="55">
        <v>1172164</v>
      </c>
      <c r="Q76" s="55"/>
      <c r="R76" s="55"/>
      <c r="S76" s="55"/>
      <c r="T76" s="55"/>
      <c r="U76" s="55">
        <v>1172164</v>
      </c>
    </row>
    <row r="77" spans="9:21" x14ac:dyDescent="0.25">
      <c r="I77" s="58" t="s">
        <v>229</v>
      </c>
      <c r="J77" s="55"/>
      <c r="K77" s="55"/>
      <c r="L77" s="55"/>
      <c r="M77" s="55"/>
      <c r="N77" s="55"/>
      <c r="O77" s="55"/>
      <c r="P77" s="55">
        <v>800336</v>
      </c>
      <c r="Q77" s="55"/>
      <c r="R77" s="55"/>
      <c r="S77" s="55"/>
      <c r="T77" s="55"/>
      <c r="U77" s="55">
        <v>800336</v>
      </c>
    </row>
    <row r="78" spans="9:21" x14ac:dyDescent="0.25">
      <c r="I78" s="68" t="s">
        <v>182</v>
      </c>
      <c r="J78" s="55"/>
      <c r="K78" s="55"/>
      <c r="L78" s="55"/>
      <c r="M78" s="55"/>
      <c r="N78" s="55"/>
      <c r="O78" s="55"/>
      <c r="P78" s="55">
        <v>800336</v>
      </c>
      <c r="Q78" s="55"/>
      <c r="R78" s="55"/>
      <c r="S78" s="55"/>
      <c r="T78" s="55"/>
      <c r="U78" s="55">
        <v>800336</v>
      </c>
    </row>
    <row r="79" spans="9:21" x14ac:dyDescent="0.25">
      <c r="I79" s="58" t="s">
        <v>302</v>
      </c>
      <c r="J79" s="55"/>
      <c r="K79" s="55"/>
      <c r="L79" s="55"/>
      <c r="M79" s="55"/>
      <c r="N79" s="55">
        <v>300960.16666666669</v>
      </c>
      <c r="O79" s="55"/>
      <c r="P79" s="55">
        <v>1504800.8333333335</v>
      </c>
      <c r="Q79" s="55"/>
      <c r="R79" s="55"/>
      <c r="S79" s="55"/>
      <c r="T79" s="55"/>
      <c r="U79" s="55">
        <v>1805761.0000000002</v>
      </c>
    </row>
    <row r="80" spans="9:21" x14ac:dyDescent="0.25">
      <c r="I80" s="68" t="s">
        <v>177</v>
      </c>
      <c r="J80" s="55"/>
      <c r="K80" s="55"/>
      <c r="L80" s="55"/>
      <c r="M80" s="55"/>
      <c r="N80" s="55">
        <v>300960.16666666669</v>
      </c>
      <c r="O80" s="55"/>
      <c r="P80" s="55">
        <v>1504800.8333333335</v>
      </c>
      <c r="Q80" s="55"/>
      <c r="R80" s="55"/>
      <c r="S80" s="55"/>
      <c r="T80" s="55"/>
      <c r="U80" s="55">
        <v>1805761.0000000002</v>
      </c>
    </row>
    <row r="81" spans="9:21" x14ac:dyDescent="0.25">
      <c r="I81" s="58" t="s">
        <v>213</v>
      </c>
      <c r="J81" s="55"/>
      <c r="K81" s="55"/>
      <c r="L81" s="55">
        <v>890632</v>
      </c>
      <c r="M81" s="55"/>
      <c r="N81" s="55"/>
      <c r="O81" s="55"/>
      <c r="P81" s="55"/>
      <c r="Q81" s="55"/>
      <c r="R81" s="55"/>
      <c r="S81" s="55"/>
      <c r="T81" s="55"/>
      <c r="U81" s="55">
        <v>890632</v>
      </c>
    </row>
    <row r="82" spans="9:21" x14ac:dyDescent="0.25">
      <c r="I82" s="68" t="s">
        <v>167</v>
      </c>
      <c r="J82" s="55"/>
      <c r="K82" s="55"/>
      <c r="L82" s="55">
        <v>890632</v>
      </c>
      <c r="M82" s="55"/>
      <c r="N82" s="55"/>
      <c r="O82" s="55"/>
      <c r="P82" s="55"/>
      <c r="Q82" s="55"/>
      <c r="R82" s="55"/>
      <c r="S82" s="55"/>
      <c r="T82" s="55"/>
      <c r="U82" s="55">
        <v>890632</v>
      </c>
    </row>
    <row r="83" spans="9:21" x14ac:dyDescent="0.25">
      <c r="I83" s="29" t="s">
        <v>98</v>
      </c>
      <c r="J83" s="55"/>
      <c r="K83" s="55"/>
      <c r="L83" s="55"/>
      <c r="M83" s="55"/>
      <c r="N83" s="55"/>
      <c r="O83" s="55"/>
      <c r="P83" s="55">
        <v>1298379.9999999995</v>
      </c>
      <c r="Q83" s="55"/>
      <c r="R83" s="55"/>
      <c r="S83" s="55"/>
      <c r="T83" s="55"/>
      <c r="U83" s="55">
        <v>1298379.9999999995</v>
      </c>
    </row>
    <row r="84" spans="9:21" x14ac:dyDescent="0.25">
      <c r="I84" s="58" t="s">
        <v>106</v>
      </c>
      <c r="J84" s="55"/>
      <c r="K84" s="55"/>
      <c r="L84" s="55"/>
      <c r="M84" s="55"/>
      <c r="N84" s="55"/>
      <c r="O84" s="55"/>
      <c r="P84" s="55">
        <v>816453.99999999942</v>
      </c>
      <c r="Q84" s="55"/>
      <c r="R84" s="55"/>
      <c r="S84" s="55"/>
      <c r="T84" s="55"/>
      <c r="U84" s="55">
        <v>816453.99999999942</v>
      </c>
    </row>
    <row r="85" spans="9:21" x14ac:dyDescent="0.25">
      <c r="I85" s="68" t="s">
        <v>174</v>
      </c>
      <c r="J85" s="55"/>
      <c r="K85" s="55"/>
      <c r="L85" s="55"/>
      <c r="M85" s="55"/>
      <c r="N85" s="55"/>
      <c r="O85" s="55"/>
      <c r="P85" s="55">
        <v>816453.99999999942</v>
      </c>
      <c r="Q85" s="55"/>
      <c r="R85" s="55"/>
      <c r="S85" s="55"/>
      <c r="T85" s="55"/>
      <c r="U85" s="55">
        <v>816453.99999999942</v>
      </c>
    </row>
    <row r="86" spans="9:21" x14ac:dyDescent="0.25">
      <c r="I86" s="58" t="s">
        <v>338</v>
      </c>
      <c r="J86" s="55"/>
      <c r="K86" s="55"/>
      <c r="L86" s="55"/>
      <c r="M86" s="55"/>
      <c r="N86" s="55"/>
      <c r="O86" s="55"/>
      <c r="P86" s="55">
        <v>481926</v>
      </c>
      <c r="Q86" s="55"/>
      <c r="R86" s="55"/>
      <c r="S86" s="55"/>
      <c r="T86" s="55"/>
      <c r="U86" s="55">
        <v>481926</v>
      </c>
    </row>
    <row r="87" spans="9:21" x14ac:dyDescent="0.25">
      <c r="I87" s="68" t="s">
        <v>188</v>
      </c>
      <c r="J87" s="55"/>
      <c r="K87" s="55"/>
      <c r="L87" s="55"/>
      <c r="M87" s="55"/>
      <c r="N87" s="55"/>
      <c r="O87" s="55"/>
      <c r="P87" s="55">
        <v>481926</v>
      </c>
      <c r="Q87" s="55"/>
      <c r="R87" s="55"/>
      <c r="S87" s="55"/>
      <c r="T87" s="55"/>
      <c r="U87" s="55">
        <v>481926</v>
      </c>
    </row>
    <row r="88" spans="9:21" x14ac:dyDescent="0.25">
      <c r="I88" s="29" t="s">
        <v>157</v>
      </c>
      <c r="J88" s="55"/>
      <c r="K88" s="55"/>
      <c r="L88" s="55">
        <v>82880.837209302321</v>
      </c>
      <c r="M88" s="55">
        <v>124321.25581395348</v>
      </c>
      <c r="N88" s="55">
        <v>199421.71035940803</v>
      </c>
      <c r="O88" s="55"/>
      <c r="P88" s="55">
        <v>2946218.1966173365</v>
      </c>
      <c r="Q88" s="55"/>
      <c r="R88" s="55"/>
      <c r="S88" s="55"/>
      <c r="T88" s="55"/>
      <c r="U88" s="55">
        <v>3352842</v>
      </c>
    </row>
    <row r="89" spans="9:21" x14ac:dyDescent="0.25">
      <c r="I89" s="58" t="s">
        <v>302</v>
      </c>
      <c r="J89" s="55"/>
      <c r="K89" s="55"/>
      <c r="L89" s="55">
        <v>82880.837209302321</v>
      </c>
      <c r="M89" s="55">
        <v>124321.25581395348</v>
      </c>
      <c r="N89" s="55">
        <v>124321.25581395348</v>
      </c>
      <c r="O89" s="55"/>
      <c r="P89" s="55">
        <v>1450414.6511627908</v>
      </c>
      <c r="Q89" s="55"/>
      <c r="R89" s="55"/>
      <c r="S89" s="55"/>
      <c r="T89" s="55"/>
      <c r="U89" s="55">
        <v>1781938</v>
      </c>
    </row>
    <row r="90" spans="9:21" x14ac:dyDescent="0.25">
      <c r="I90" s="68" t="s">
        <v>94</v>
      </c>
      <c r="J90" s="55"/>
      <c r="K90" s="55"/>
      <c r="L90" s="55">
        <v>82880.837209302321</v>
      </c>
      <c r="M90" s="55">
        <v>124321.25581395348</v>
      </c>
      <c r="N90" s="55">
        <v>124321.25581395348</v>
      </c>
      <c r="O90" s="55"/>
      <c r="P90" s="55">
        <v>1450414.6511627908</v>
      </c>
      <c r="Q90" s="55"/>
      <c r="R90" s="55"/>
      <c r="S90" s="55"/>
      <c r="T90" s="55"/>
      <c r="U90" s="55">
        <v>1781938</v>
      </c>
    </row>
    <row r="91" spans="9:21" x14ac:dyDescent="0.25">
      <c r="I91" s="58" t="s">
        <v>317</v>
      </c>
      <c r="J91" s="55"/>
      <c r="K91" s="55"/>
      <c r="L91" s="55"/>
      <c r="M91" s="55"/>
      <c r="N91" s="55"/>
      <c r="O91" s="55"/>
      <c r="P91" s="55">
        <v>744799</v>
      </c>
      <c r="Q91" s="55"/>
      <c r="R91" s="55"/>
      <c r="S91" s="55"/>
      <c r="T91" s="55"/>
      <c r="U91" s="55">
        <v>744799</v>
      </c>
    </row>
    <row r="92" spans="9:21" x14ac:dyDescent="0.25">
      <c r="I92" s="68" t="s">
        <v>100</v>
      </c>
      <c r="J92" s="55"/>
      <c r="K92" s="55"/>
      <c r="L92" s="55"/>
      <c r="M92" s="55"/>
      <c r="N92" s="55"/>
      <c r="O92" s="55"/>
      <c r="P92" s="55">
        <v>744799</v>
      </c>
      <c r="Q92" s="55"/>
      <c r="R92" s="55"/>
      <c r="S92" s="55"/>
      <c r="T92" s="55"/>
      <c r="U92" s="55">
        <v>744799</v>
      </c>
    </row>
    <row r="93" spans="9:21" x14ac:dyDescent="0.25">
      <c r="I93" s="58" t="s">
        <v>324</v>
      </c>
      <c r="J93" s="55"/>
      <c r="K93" s="55"/>
      <c r="L93" s="55"/>
      <c r="M93" s="55"/>
      <c r="N93" s="55">
        <v>75100.454545454544</v>
      </c>
      <c r="O93" s="55"/>
      <c r="P93" s="55">
        <v>751004.54545454553</v>
      </c>
      <c r="Q93" s="55"/>
      <c r="R93" s="55"/>
      <c r="S93" s="55"/>
      <c r="T93" s="55"/>
      <c r="U93" s="55">
        <v>826105.00000000012</v>
      </c>
    </row>
    <row r="94" spans="9:21" x14ac:dyDescent="0.25">
      <c r="I94" s="68" t="s">
        <v>147</v>
      </c>
      <c r="J94" s="55"/>
      <c r="K94" s="55"/>
      <c r="L94" s="55"/>
      <c r="M94" s="55"/>
      <c r="N94" s="55">
        <v>75100.454545454544</v>
      </c>
      <c r="O94" s="55"/>
      <c r="P94" s="55">
        <v>751004.54545454553</v>
      </c>
      <c r="Q94" s="55"/>
      <c r="R94" s="55"/>
      <c r="S94" s="55"/>
      <c r="T94" s="55"/>
      <c r="U94" s="55">
        <v>826105.00000000012</v>
      </c>
    </row>
    <row r="95" spans="9:21" x14ac:dyDescent="0.25">
      <c r="I95" s="29" t="s">
        <v>95</v>
      </c>
      <c r="J95" s="55">
        <v>125450.25</v>
      </c>
      <c r="K95" s="55"/>
      <c r="L95" s="55">
        <v>125450.25</v>
      </c>
      <c r="M95" s="55"/>
      <c r="N95" s="55">
        <v>125450.25</v>
      </c>
      <c r="O95" s="55">
        <v>29322.826923076922</v>
      </c>
      <c r="P95" s="55">
        <v>3523052.1730769221</v>
      </c>
      <c r="Q95" s="55"/>
      <c r="R95" s="55"/>
      <c r="S95" s="55"/>
      <c r="T95" s="55">
        <v>125450.25</v>
      </c>
      <c r="U95" s="55">
        <v>4054175.9999999986</v>
      </c>
    </row>
    <row r="96" spans="9:21" x14ac:dyDescent="0.25">
      <c r="I96" s="58" t="s">
        <v>324</v>
      </c>
      <c r="J96" s="55">
        <v>125450.25</v>
      </c>
      <c r="K96" s="55"/>
      <c r="L96" s="55">
        <v>125450.25</v>
      </c>
      <c r="M96" s="55"/>
      <c r="N96" s="55">
        <v>125450.25</v>
      </c>
      <c r="O96" s="55"/>
      <c r="P96" s="55">
        <v>501801</v>
      </c>
      <c r="Q96" s="55"/>
      <c r="R96" s="55"/>
      <c r="S96" s="55"/>
      <c r="T96" s="55">
        <v>125450.25</v>
      </c>
      <c r="U96" s="55">
        <v>1003602</v>
      </c>
    </row>
    <row r="97" spans="9:21" x14ac:dyDescent="0.25">
      <c r="I97" s="68" t="s">
        <v>152</v>
      </c>
      <c r="J97" s="55">
        <v>125450.25</v>
      </c>
      <c r="K97" s="55"/>
      <c r="L97" s="55">
        <v>125450.25</v>
      </c>
      <c r="M97" s="55"/>
      <c r="N97" s="55">
        <v>125450.25</v>
      </c>
      <c r="O97" s="55"/>
      <c r="P97" s="55">
        <v>501801</v>
      </c>
      <c r="Q97" s="55"/>
      <c r="R97" s="55"/>
      <c r="S97" s="55"/>
      <c r="T97" s="55">
        <v>125450.25</v>
      </c>
      <c r="U97" s="55">
        <v>1003602</v>
      </c>
    </row>
    <row r="98" spans="9:21" x14ac:dyDescent="0.25">
      <c r="I98" s="58" t="s">
        <v>221</v>
      </c>
      <c r="J98" s="55"/>
      <c r="K98" s="55"/>
      <c r="L98" s="55"/>
      <c r="M98" s="55"/>
      <c r="N98" s="55"/>
      <c r="O98" s="55"/>
      <c r="P98" s="55">
        <v>1525786.9999999984</v>
      </c>
      <c r="Q98" s="55"/>
      <c r="R98" s="55"/>
      <c r="S98" s="55"/>
      <c r="T98" s="55"/>
      <c r="U98" s="55">
        <v>1525786.9999999984</v>
      </c>
    </row>
    <row r="99" spans="9:21" x14ac:dyDescent="0.25">
      <c r="I99" s="68" t="s">
        <v>162</v>
      </c>
      <c r="J99" s="55"/>
      <c r="K99" s="55"/>
      <c r="L99" s="55"/>
      <c r="M99" s="55"/>
      <c r="N99" s="55"/>
      <c r="O99" s="55"/>
      <c r="P99" s="55">
        <v>1525786.9999999984</v>
      </c>
      <c r="Q99" s="55"/>
      <c r="R99" s="55"/>
      <c r="S99" s="55"/>
      <c r="T99" s="55"/>
      <c r="U99" s="55">
        <v>1525786.9999999984</v>
      </c>
    </row>
    <row r="100" spans="9:21" x14ac:dyDescent="0.25">
      <c r="I100" s="58" t="s">
        <v>310</v>
      </c>
      <c r="J100" s="55"/>
      <c r="K100" s="55"/>
      <c r="L100" s="55"/>
      <c r="M100" s="55"/>
      <c r="N100" s="55"/>
      <c r="O100" s="55">
        <v>29322.826923076922</v>
      </c>
      <c r="P100" s="55">
        <v>1495464.1730769235</v>
      </c>
      <c r="Q100" s="55"/>
      <c r="R100" s="55"/>
      <c r="S100" s="55"/>
      <c r="T100" s="55"/>
      <c r="U100" s="55">
        <v>1524787.0000000005</v>
      </c>
    </row>
    <row r="101" spans="9:21" x14ac:dyDescent="0.25">
      <c r="I101" s="68" t="s">
        <v>170</v>
      </c>
      <c r="J101" s="55"/>
      <c r="K101" s="55"/>
      <c r="L101" s="55"/>
      <c r="M101" s="55"/>
      <c r="N101" s="55"/>
      <c r="O101" s="55">
        <v>29322.826923076922</v>
      </c>
      <c r="P101" s="55">
        <v>1495464.1730769235</v>
      </c>
      <c r="Q101" s="55"/>
      <c r="R101" s="55"/>
      <c r="S101" s="55"/>
      <c r="T101" s="55"/>
      <c r="U101" s="55">
        <v>1524787.0000000005</v>
      </c>
    </row>
    <row r="102" spans="9:21" x14ac:dyDescent="0.25">
      <c r="I102" s="54" t="s">
        <v>817</v>
      </c>
      <c r="J102" s="55">
        <v>268634.25</v>
      </c>
      <c r="K102" s="55">
        <v>99351.571428571435</v>
      </c>
      <c r="L102" s="55">
        <v>2319840.4760981915</v>
      </c>
      <c r="M102" s="55">
        <v>1864765.1224806202</v>
      </c>
      <c r="N102" s="55">
        <v>2111619.6075816303</v>
      </c>
      <c r="O102" s="55">
        <v>429433.99358974362</v>
      </c>
      <c r="P102" s="55">
        <v>42115711.72882124</v>
      </c>
      <c r="Q102" s="55">
        <v>143184</v>
      </c>
      <c r="R102" s="55">
        <v>143184</v>
      </c>
      <c r="S102" s="55">
        <v>143184</v>
      </c>
      <c r="T102" s="55">
        <v>268634.25</v>
      </c>
      <c r="U102" s="55">
        <v>49907543</v>
      </c>
    </row>
  </sheetData>
  <conditionalFormatting sqref="B2:F3">
    <cfRule type="expression" dxfId="87" priority="5">
      <formula>deployType="Citizen"</formula>
    </cfRule>
  </conditionalFormatting>
  <conditionalFormatting sqref="I1:P2">
    <cfRule type="expression" dxfId="85" priority="3">
      <formula>deployType="Citizen"</formula>
    </cfRule>
  </conditionalFormatting>
  <conditionalFormatting pivot="1" sqref="C10:F10">
    <cfRule type="expression" dxfId="84" priority="1">
      <formula>deployType="Citizen"</formula>
    </cfRule>
  </conditionalFormatting>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theme="1" tint="0.499984740745262"/>
  </sheetPr>
  <dimension ref="A1:I15"/>
  <sheetViews>
    <sheetView showGridLines="0" workbookViewId="0">
      <selection activeCell="G12" sqref="G12"/>
    </sheetView>
  </sheetViews>
  <sheetFormatPr defaultRowHeight="15" x14ac:dyDescent="0.25"/>
  <cols>
    <col min="1" max="1" width="26" customWidth="1"/>
    <col min="2" max="2" width="11" customWidth="1"/>
    <col min="3" max="3" width="8.28515625" bestFit="1" customWidth="1"/>
    <col min="4" max="4" width="8.28515625" customWidth="1"/>
    <col min="5" max="5" width="17.42578125" bestFit="1" customWidth="1"/>
    <col min="6" max="6" width="20" bestFit="1" customWidth="1"/>
    <col min="7" max="7" width="20" customWidth="1"/>
    <col min="8" max="8" width="8.5703125" bestFit="1" customWidth="1"/>
    <col min="9" max="9" width="51" bestFit="1" customWidth="1"/>
    <col min="10" max="10" width="146.5703125" bestFit="1" customWidth="1"/>
    <col min="12" max="12" width="17.42578125" bestFit="1" customWidth="1"/>
    <col min="13" max="13" width="8.28515625" bestFit="1" customWidth="1"/>
    <col min="14" max="14" width="20" bestFit="1" customWidth="1"/>
    <col min="15" max="15" width="19.42578125" bestFit="1" customWidth="1"/>
    <col min="16" max="16" width="20" bestFit="1" customWidth="1"/>
    <col min="17" max="17" width="15.5703125" customWidth="1"/>
  </cols>
  <sheetData>
    <row r="1" spans="1:9" x14ac:dyDescent="0.25">
      <c r="A1" s="41" t="str">
        <f>HYPERLINK("https://github.com/pgaljan/funneler/","Github")</f>
        <v>Github</v>
      </c>
      <c r="E1" s="15" t="s">
        <v>832</v>
      </c>
      <c r="F1" s="24" t="s">
        <v>833</v>
      </c>
      <c r="H1" s="15" t="s">
        <v>49</v>
      </c>
      <c r="I1" s="48" t="s">
        <v>50</v>
      </c>
    </row>
    <row r="2" spans="1:9" x14ac:dyDescent="0.25">
      <c r="A2" s="59" t="s">
        <v>394</v>
      </c>
      <c r="E2" s="15" t="s">
        <v>47</v>
      </c>
      <c r="F2" s="24">
        <v>45689</v>
      </c>
      <c r="H2" s="15" t="s">
        <v>143</v>
      </c>
      <c r="I2" s="49" t="s">
        <v>410</v>
      </c>
    </row>
    <row r="3" spans="1:9" x14ac:dyDescent="0.25">
      <c r="A3" s="41" t="str">
        <f>HYPERLINK("https://github.com/pgaljan/funneler/blob/main/docs/manual-deploy.md","Citizen Developer Guide")</f>
        <v>Citizen Developer Guide</v>
      </c>
    </row>
    <row r="4" spans="1:9" x14ac:dyDescent="0.25">
      <c r="A4" s="41" t="str">
        <f>HYPERLINK("https://github.com/pgaljan/funneler/blob/main/docs/auto-deploy.md","Operator Guide")</f>
        <v>Operator Guide</v>
      </c>
      <c r="E4" s="59" t="s">
        <v>79</v>
      </c>
      <c r="F4" s="59" t="s">
        <v>87</v>
      </c>
    </row>
    <row r="5" spans="1:9" x14ac:dyDescent="0.25">
      <c r="A5" s="41" t="str">
        <f>HYPERLINK("https://github.com/pgaljan/funneler/blob/main/docs/security.md","Security &amp; Governance")</f>
        <v>Security &amp; Governance</v>
      </c>
      <c r="E5" s="26" t="s">
        <v>84</v>
      </c>
      <c r="F5" s="30">
        <v>0.2</v>
      </c>
    </row>
    <row r="6" spans="1:9" x14ac:dyDescent="0.25">
      <c r="A6" s="41" t="str">
        <f>HYPERLINK("https://github.com/pgaljan/funneler/blob/main/docs/code-guide.md","Code Guide")</f>
        <v>Code Guide</v>
      </c>
      <c r="E6" s="26" t="s">
        <v>82</v>
      </c>
      <c r="F6" s="30">
        <v>0.5</v>
      </c>
    </row>
    <row r="7" spans="1:9" x14ac:dyDescent="0.25">
      <c r="A7" s="41" t="str">
        <f>HYPERLINK("https://github.com/pgaljan/funneler/blob/main/docs/form-body-json.md","Form Body JSON")</f>
        <v>Form Body JSON</v>
      </c>
      <c r="E7" s="26" t="s">
        <v>83</v>
      </c>
      <c r="F7" s="30">
        <v>0.9</v>
      </c>
    </row>
    <row r="8" spans="1:9" x14ac:dyDescent="0.25">
      <c r="A8" s="29"/>
    </row>
    <row r="9" spans="1:9" x14ac:dyDescent="0.25">
      <c r="C9" s="59" t="s">
        <v>33</v>
      </c>
      <c r="D9" s="59" t="s">
        <v>400</v>
      </c>
      <c r="E9" s="59" t="s">
        <v>86</v>
      </c>
      <c r="F9" s="59" t="s">
        <v>377</v>
      </c>
      <c r="G9" s="59" t="s">
        <v>837</v>
      </c>
    </row>
    <row r="10" spans="1:9" ht="20.25" x14ac:dyDescent="0.3">
      <c r="C10" s="25">
        <v>1</v>
      </c>
      <c r="D10" s="44" t="s">
        <v>401</v>
      </c>
      <c r="E10" s="25" t="s">
        <v>20</v>
      </c>
      <c r="F10" s="25" t="str">
        <f>stage[[#This Row],[Symbol]]&amp;" - "&amp;stage[[#This Row],[Stage Name]]</f>
        <v>➀ - Lead Qualification</v>
      </c>
      <c r="G10" s="25">
        <v>270</v>
      </c>
    </row>
    <row r="11" spans="1:9" ht="20.25" x14ac:dyDescent="0.3">
      <c r="C11" s="25">
        <v>2</v>
      </c>
      <c r="D11" s="44" t="s">
        <v>402</v>
      </c>
      <c r="E11" s="25" t="s">
        <v>23</v>
      </c>
      <c r="F11" s="25" t="str">
        <f>stage[[#This Row],[Symbol]]&amp;" - "&amp;stage[[#This Row],[Stage Name]]</f>
        <v>➁ - Nurturing</v>
      </c>
      <c r="G11" s="25">
        <v>180</v>
      </c>
    </row>
    <row r="12" spans="1:9" ht="20.25" x14ac:dyDescent="0.3">
      <c r="C12" s="25">
        <v>3</v>
      </c>
      <c r="D12" s="44" t="s">
        <v>403</v>
      </c>
      <c r="E12" s="25" t="s">
        <v>22</v>
      </c>
      <c r="F12" s="25" t="str">
        <f>stage[[#This Row],[Symbol]]&amp;" - "&amp;stage[[#This Row],[Stage Name]]</f>
        <v>➂ - Proposal</v>
      </c>
      <c r="G12" s="25">
        <v>90</v>
      </c>
    </row>
    <row r="13" spans="1:9" ht="20.25" x14ac:dyDescent="0.3">
      <c r="C13" s="25">
        <v>4</v>
      </c>
      <c r="D13" s="44" t="s">
        <v>404</v>
      </c>
      <c r="E13" s="25" t="s">
        <v>18</v>
      </c>
      <c r="F13" s="25" t="str">
        <f>stage[[#This Row],[Symbol]]&amp;" - "&amp;stage[[#This Row],[Stage Name]]</f>
        <v>➃ - Negotiation</v>
      </c>
      <c r="G13" s="25">
        <v>7</v>
      </c>
    </row>
    <row r="14" spans="1:9" ht="20.25" x14ac:dyDescent="0.3">
      <c r="C14" s="25">
        <v>5</v>
      </c>
      <c r="D14" s="44" t="s">
        <v>405</v>
      </c>
      <c r="E14" s="25" t="s">
        <v>21</v>
      </c>
      <c r="F14" s="25" t="str">
        <f>stage[[#This Row],[Symbol]]&amp;" - "&amp;stage[[#This Row],[Stage Name]]</f>
        <v>➄ - Project Execution</v>
      </c>
      <c r="G14" s="25">
        <v>0</v>
      </c>
    </row>
    <row r="15" spans="1:9" ht="20.25" x14ac:dyDescent="0.3">
      <c r="C15" s="25">
        <v>6</v>
      </c>
      <c r="D15" s="44" t="s">
        <v>406</v>
      </c>
      <c r="E15" s="25" t="s">
        <v>24</v>
      </c>
      <c r="F15" s="25" t="str">
        <f>stage[[#This Row],[Symbol]]&amp;" - "&amp;stage[[#This Row],[Stage Name]]</f>
        <v>➅ - Closeout</v>
      </c>
      <c r="G15" s="25">
        <v>0</v>
      </c>
    </row>
  </sheetData>
  <conditionalFormatting sqref="E1:E2">
    <cfRule type="expression" dxfId="83" priority="7">
      <formula>deployType="Citizen"</formula>
    </cfRule>
  </conditionalFormatting>
  <conditionalFormatting sqref="A2">
    <cfRule type="expression" dxfId="82" priority="5">
      <formula>deployType="Citizen"</formula>
    </cfRule>
  </conditionalFormatting>
  <conditionalFormatting sqref="E4:F4">
    <cfRule type="expression" dxfId="81" priority="4">
      <formula>deployType="Citizen"</formula>
    </cfRule>
  </conditionalFormatting>
  <conditionalFormatting sqref="C9:F9">
    <cfRule type="expression" dxfId="80" priority="3">
      <formula>deployType="Citizen"</formula>
    </cfRule>
  </conditionalFormatting>
  <conditionalFormatting sqref="H1:H2">
    <cfRule type="expression" dxfId="79" priority="2">
      <formula>deployType="Citizen"</formula>
    </cfRule>
  </conditionalFormatting>
  <conditionalFormatting sqref="G9">
    <cfRule type="expression" dxfId="78" priority="1">
      <formula>deployType="Citizen"</formula>
    </cfRule>
  </conditionalFormatting>
  <dataValidations count="1">
    <dataValidation type="list" allowBlank="1" showInputMessage="1" showErrorMessage="1" sqref="F1" xr:uid="{16D661C0-42AA-4226-AABF-796A8BD387AE}">
      <formula1>"Citizen,Operator"</formula1>
    </dataValidation>
  </dataValidations>
  <hyperlinks>
    <hyperlink ref="I1" r:id="rId1" xr:uid="{5E8860C9-D945-4D2C-8E62-DBDFC7016757}"/>
  </hyperlinks>
  <pageMargins left="0.7" right="0.7" top="0.75" bottom="0.75" header="0.3" footer="0.3"/>
  <pageSetup orientation="portrait"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84038-B13C-44A7-93D1-3773667FD4F9}">
  <sheetPr>
    <tabColor theme="9" tint="0.79998168889431442"/>
  </sheetPr>
  <dimension ref="A1:F11"/>
  <sheetViews>
    <sheetView showGridLines="0" workbookViewId="0">
      <selection activeCell="A8" sqref="A8"/>
    </sheetView>
  </sheetViews>
  <sheetFormatPr defaultRowHeight="15" x14ac:dyDescent="0.25"/>
  <cols>
    <col min="1" max="1" width="5.85546875" bestFit="1" customWidth="1"/>
    <col min="2" max="2" width="13.7109375" bestFit="1" customWidth="1"/>
    <col min="3" max="3" width="51" bestFit="1" customWidth="1"/>
    <col min="5" max="5" width="27.140625" bestFit="1" customWidth="1"/>
    <col min="6" max="6" width="149.140625" bestFit="1" customWidth="1"/>
  </cols>
  <sheetData>
    <row r="1" spans="1:6" x14ac:dyDescent="0.25">
      <c r="A1" s="27" t="str">
        <f>HYPERLINK(siteUrl&amp;"/Lists/"&amp;custList,"Test")</f>
        <v>Test</v>
      </c>
      <c r="B1" s="47" t="s">
        <v>144</v>
      </c>
      <c r="C1" s="50" t="str">
        <f>listPrefix &amp; custListAppend</f>
        <v>auto12Customers</v>
      </c>
      <c r="E1" s="42" t="s">
        <v>397</v>
      </c>
      <c r="F1" s="37" t="s">
        <v>808</v>
      </c>
    </row>
    <row r="2" spans="1:6" x14ac:dyDescent="0.25">
      <c r="A2" s="27" t="str">
        <f>HYPERLINK(siteUrl&amp;"/Lists/"&amp;oppList,"Test")</f>
        <v>Test</v>
      </c>
      <c r="B2" s="47" t="s">
        <v>48</v>
      </c>
      <c r="C2" s="50" t="str">
        <f>listPrefix &amp; oppListAppend</f>
        <v>auto12Opportunities</v>
      </c>
      <c r="E2" s="43" t="s">
        <v>407</v>
      </c>
      <c r="F2" s="41" t="str">
        <f>HYPERLINK("https://github.com/pgaljan/funneler/blob/main/docs/auto-deploy.md#Prerequisites","Prerequisites")</f>
        <v>Prerequisites</v>
      </c>
    </row>
    <row r="3" spans="1:6" x14ac:dyDescent="0.25">
      <c r="A3" s="27" t="str">
        <f>HYPERLINK(siteUrl&amp;"/Lists/"&amp;contactList,"Test")</f>
        <v>Test</v>
      </c>
      <c r="B3" s="47" t="s">
        <v>408</v>
      </c>
      <c r="C3" s="50" t="str">
        <f>listPrefix &amp; contactListAppend</f>
        <v>auto12Contacts</v>
      </c>
      <c r="E3" s="43" t="s">
        <v>398</v>
      </c>
      <c r="F3" s="37" t="s">
        <v>395</v>
      </c>
    </row>
    <row r="4" spans="1:6" x14ac:dyDescent="0.25">
      <c r="A4" s="27" t="str">
        <f>HYPERLINK(siteUrl&amp;"/Lists/"&amp;milestoneList,"Test")</f>
        <v>Test</v>
      </c>
      <c r="B4" s="47" t="s">
        <v>409</v>
      </c>
      <c r="C4" s="50" t="str">
        <f>listPrefix &amp; milestoneListAppend</f>
        <v>auto12Milestones</v>
      </c>
      <c r="F4" s="39" t="s">
        <v>392</v>
      </c>
    </row>
    <row r="5" spans="1:6" x14ac:dyDescent="0.25">
      <c r="B5" s="47" t="s">
        <v>390</v>
      </c>
      <c r="C5" s="49" t="s">
        <v>391</v>
      </c>
      <c r="F5" s="38" t="str" cm="1">
        <f t="array" ref="F5">"./Deploy-Lists.ps1"&amp; psAftermetter</f>
        <v>./Deploy-Lists.ps1 -SiteUrl "https://cleansheet5.sharepoint.com/sites/SalesFunnel/" -ListPrefix "auto12" -ClientId "4f2cadf3-cdfe-4c73-819d-6e8141ad5b51"</v>
      </c>
    </row>
    <row r="6" spans="1:6" x14ac:dyDescent="0.25">
      <c r="F6" s="38" t="str" cm="1">
        <f t="array" ref="F6">"./Set-Required-Fields.ps1" &amp;psAftermetter</f>
        <v>./Set-Required-Fields.ps1 -SiteUrl "https://cleansheet5.sharepoint.com/sites/SalesFunnel/" -ListPrefix "auto12" -ClientId "4f2cadf3-cdfe-4c73-819d-6e8141ad5b51"</v>
      </c>
    </row>
    <row r="7" spans="1:6" x14ac:dyDescent="0.25">
      <c r="F7" s="38" t="str" cm="1">
        <f t="array" ref="F7">"./Add-Comment-Log.ps1"&amp;psAftermetter</f>
        <v>./Add-Comment-Log.ps1 -SiteUrl "https://cleansheet5.sharepoint.com/sites/SalesFunnel/" -ListPrefix "auto12" -ClientId "4f2cadf3-cdfe-4c73-819d-6e8141ad5b51"</v>
      </c>
    </row>
    <row r="8" spans="1:6" x14ac:dyDescent="0.25">
      <c r="F8" s="38" t="str" cm="1">
        <f t="array" ref="F8">"./Populate-Sample-Data.ps1"&amp;psAftermetter</f>
        <v>./Populate-Sample-Data.ps1 -SiteUrl "https://cleansheet5.sharepoint.com/sites/SalesFunnel/" -ListPrefix "auto12" -ClientId "4f2cadf3-cdfe-4c73-819d-6e8141ad5b51"</v>
      </c>
    </row>
    <row r="9" spans="1:6" x14ac:dyDescent="0.25">
      <c r="F9" s="37" t="s">
        <v>396</v>
      </c>
    </row>
    <row r="10" spans="1:6" x14ac:dyDescent="0.25">
      <c r="F10" s="38" t="str" cm="1">
        <f t="array" ref="F10">"./Audit-List-Security.ps1"&amp;psAftermetter</f>
        <v>./Audit-List-Security.ps1 -SiteUrl "https://cleansheet5.sharepoint.com/sites/SalesFunnel/" -ListPrefix "auto12" -ClientId "4f2cadf3-cdfe-4c73-819d-6e8141ad5b51"</v>
      </c>
    </row>
    <row r="11" spans="1:6" x14ac:dyDescent="0.25">
      <c r="F11" s="38" t="str" cm="1">
        <f t="array" ref="F11">"./Delete-Lists.ps1"&amp;psAftermetter</f>
        <v>./Delete-Lists.ps1 -SiteUrl "https://cleansheet5.sharepoint.com/sites/SalesFunnel/" -ListPrefix "auto12" -ClientId "4f2cadf3-cdfe-4c73-819d-6e8141ad5b51"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E114-0536-43AF-BC58-FF19F3A7EFAB}">
  <dimension ref="A1:Q580"/>
  <sheetViews>
    <sheetView tabSelected="1" workbookViewId="0">
      <selection activeCell="L16" sqref="L16"/>
    </sheetView>
  </sheetViews>
  <sheetFormatPr defaultRowHeight="15" x14ac:dyDescent="0.25"/>
  <cols>
    <col min="1" max="1" width="16.28515625" bestFit="1" customWidth="1"/>
    <col min="2" max="2" width="14" bestFit="1" customWidth="1"/>
    <col min="3" max="3" width="18.140625" bestFit="1" customWidth="1"/>
    <col min="4" max="4" width="8.28515625" bestFit="1" customWidth="1"/>
    <col min="5" max="5" width="8.5703125" bestFit="1" customWidth="1"/>
    <col min="6" max="6" width="12" bestFit="1" customWidth="1"/>
    <col min="7" max="7" width="14.42578125" bestFit="1" customWidth="1"/>
    <col min="8" max="8" width="20.140625" bestFit="1" customWidth="1"/>
    <col min="9" max="9" width="19.28515625" bestFit="1" customWidth="1"/>
    <col min="10" max="10" width="32.28515625" bestFit="1" customWidth="1"/>
    <col min="11" max="11" width="26.140625" bestFit="1" customWidth="1"/>
    <col min="12" max="12" width="17.42578125" bestFit="1" customWidth="1"/>
    <col min="13" max="13" width="12.42578125" bestFit="1" customWidth="1"/>
    <col min="14" max="14" width="16.7109375" bestFit="1" customWidth="1"/>
    <col min="15" max="15" width="15" bestFit="1" customWidth="1"/>
    <col min="16" max="16" width="17.28515625" bestFit="1" customWidth="1"/>
  </cols>
  <sheetData>
    <row r="1" spans="1:17" x14ac:dyDescent="0.25">
      <c r="A1" t="s">
        <v>809</v>
      </c>
      <c r="B1" t="s">
        <v>385</v>
      </c>
      <c r="C1" t="s">
        <v>810</v>
      </c>
      <c r="D1" t="s">
        <v>31</v>
      </c>
      <c r="E1" t="s">
        <v>32</v>
      </c>
      <c r="F1" t="s">
        <v>41</v>
      </c>
      <c r="G1" t="s">
        <v>811</v>
      </c>
      <c r="H1" t="s">
        <v>812</v>
      </c>
      <c r="I1" t="s">
        <v>814</v>
      </c>
      <c r="J1" t="s">
        <v>90</v>
      </c>
      <c r="K1" t="s">
        <v>815</v>
      </c>
      <c r="L1" t="s">
        <v>412</v>
      </c>
      <c r="M1" t="s">
        <v>826</v>
      </c>
      <c r="N1" t="s">
        <v>829</v>
      </c>
      <c r="O1" t="s">
        <v>828</v>
      </c>
      <c r="P1" t="s">
        <v>830</v>
      </c>
      <c r="Q1" t="s">
        <v>843</v>
      </c>
    </row>
    <row r="2" spans="1:17" x14ac:dyDescent="0.25">
      <c r="A2">
        <v>21</v>
      </c>
      <c r="B2">
        <v>1</v>
      </c>
      <c r="C2" s="31">
        <v>45078</v>
      </c>
      <c r="D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FY24-Q2</v>
      </c>
      <c r="E2" s="51" t="str">
        <f>"CY"&amp;RIGHT(YEAR(transactions[[#This Row],[TransactionDate]]),2)&amp;"-Q"&amp;ROUNDUP(MONTH(transactions[[#This Row],[TransactionDate]])/3, 0)</f>
        <v>CY23-Q2</v>
      </c>
      <c r="F2" s="52">
        <f>transactions[[#This Row],[UnWeighted]]*_xlfn.XLOOKUP(transactions[[#This Row],[OpportunityID]],Opportunities[ID],Opportunities[WinProbabilityValue])</f>
        <v>128865.60000000001</v>
      </c>
      <c r="G2" s="52">
        <f>_xlfn.XLOOKUP(transactions[[#This Row],[OpportunityID]],Opportunities[ID],Opportunities[Amount])/IF(_xlfn.XLOOKUP(transactions[[#This Row],[OpportunityID]],Opportunities[ID],Opportunities[Recurrences])=0,1,_xlfn.XLOOKUP(transactions[[#This Row],[OpportunityID]],Opportunities[ID],Opportunities[Recurrences]))</f>
        <v>143184</v>
      </c>
      <c r="H2" s="51" t="str">
        <f>_xlfn.XLOOKUP(transactions[[#This Row],[OpportunityID]],Opportunities[ID],Opportunities[Status])</f>
        <v>Active</v>
      </c>
      <c r="I2" s="51" t="str">
        <f>_xlfn.XLOOKUP(transactions[[#This Row],[OpportunityID]],Opportunities[ID],Opportunities[Stage])</f>
        <v>Closeout</v>
      </c>
      <c r="J2" s="51" t="str">
        <f>_xlfn.XLOOKUP(transactions[[#This Row],[OpportunityID]],Opportunities[ID],Opportunities[OpportunityName])</f>
        <v>CRM System Upgrade</v>
      </c>
      <c r="K2" s="51" t="str">
        <f>_xlfn.XLOOKUP(transactions[[#This Row],[CustomerId]],Customers[Id],Customers[Customer Name])</f>
        <v>ACME Corporation</v>
      </c>
      <c r="L2" s="51" t="str">
        <f>_xlfn.XLOOKUP(transactions[[#This Row],[OpportunityID]],Opportunities[ID],Opportunities[OpportunityOwner])</f>
        <v>Jennifer PM</v>
      </c>
      <c r="M2" s="51" t="str">
        <f ca="1">IF((transactions[[#This Row],[TransactionDate]]-TODAY())&lt;=366,transactions[[#This Row],[FQ]],"Out-year")</f>
        <v>FY24-Q2</v>
      </c>
      <c r="N2" s="55">
        <f>transactions[[#This Row],[UnWeighted]]/1000</f>
        <v>143.184</v>
      </c>
      <c r="O2" s="55">
        <f>transactions[[#This Row],[Weighted]]/1000</f>
        <v>128.8656</v>
      </c>
      <c r="P2" s="55">
        <f>transactions[[#This Row],[$K Unweighted]]/1000</f>
        <v>0.14318400000000001</v>
      </c>
      <c r="Q2" s="55" t="b">
        <f ca="1">transactions[[#This Row],[TransactionDate]]&gt;TODAY()</f>
        <v>0</v>
      </c>
    </row>
    <row r="3" spans="1:17" x14ac:dyDescent="0.25">
      <c r="A3">
        <v>21</v>
      </c>
      <c r="B3">
        <v>1</v>
      </c>
      <c r="C3" s="31">
        <v>45261</v>
      </c>
      <c r="D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FY24-Q4</v>
      </c>
      <c r="E3" s="51" t="str">
        <f>"CY"&amp;RIGHT(YEAR(transactions[[#This Row],[TransactionDate]]),2)&amp;"-Q"&amp;ROUNDUP(MONTH(transactions[[#This Row],[TransactionDate]])/3, 0)</f>
        <v>CY23-Q4</v>
      </c>
      <c r="F3" s="52">
        <f>transactions[[#This Row],[UnWeighted]]*_xlfn.XLOOKUP(transactions[[#This Row],[OpportunityID]],Opportunities[ID],Opportunities[WinProbabilityValue])</f>
        <v>128865.60000000001</v>
      </c>
      <c r="G3" s="52">
        <f>_xlfn.XLOOKUP(transactions[[#This Row],[OpportunityID]],Opportunities[ID],Opportunities[Amount])/IF(_xlfn.XLOOKUP(transactions[[#This Row],[OpportunityID]],Opportunities[ID],Opportunities[Recurrences])=0,1,_xlfn.XLOOKUP(transactions[[#This Row],[OpportunityID]],Opportunities[ID],Opportunities[Recurrences]))</f>
        <v>143184</v>
      </c>
      <c r="H3" s="51" t="str">
        <f>_xlfn.XLOOKUP(transactions[[#This Row],[OpportunityID]],Opportunities[ID],Opportunities[Status])</f>
        <v>Active</v>
      </c>
      <c r="I3" s="51" t="str">
        <f>_xlfn.XLOOKUP(transactions[[#This Row],[OpportunityID]],Opportunities[ID],Opportunities[Stage])</f>
        <v>Closeout</v>
      </c>
      <c r="J3" s="51" t="str">
        <f>_xlfn.XLOOKUP(transactions[[#This Row],[OpportunityID]],Opportunities[ID],Opportunities[OpportunityName])</f>
        <v>CRM System Upgrade</v>
      </c>
      <c r="K3" s="51" t="str">
        <f>_xlfn.XLOOKUP(transactions[[#This Row],[CustomerId]],Customers[Id],Customers[Customer Name])</f>
        <v>ACME Corporation</v>
      </c>
      <c r="L3" s="51" t="str">
        <f>_xlfn.XLOOKUP(transactions[[#This Row],[OpportunityID]],Opportunities[ID],Opportunities[OpportunityOwner])</f>
        <v>Jennifer PM</v>
      </c>
      <c r="M3" s="51" t="str">
        <f ca="1">IF((transactions[[#This Row],[TransactionDate]]-TODAY())&lt;=366,transactions[[#This Row],[FQ]],"Out-year")</f>
        <v>FY24-Q4</v>
      </c>
      <c r="N3" s="55">
        <f>transactions[[#This Row],[UnWeighted]]/1000</f>
        <v>143.184</v>
      </c>
      <c r="O3" s="55">
        <f>transactions[[#This Row],[Weighted]]/1000</f>
        <v>128.8656</v>
      </c>
      <c r="P3" s="55">
        <f>transactions[[#This Row],[$K Unweighted]]/1000</f>
        <v>0.14318400000000001</v>
      </c>
      <c r="Q3" s="55" t="b">
        <f ca="1">transactions[[#This Row],[TransactionDate]]&gt;TODAY()</f>
        <v>0</v>
      </c>
    </row>
    <row r="4" spans="1:17" x14ac:dyDescent="0.25">
      <c r="A4">
        <v>21</v>
      </c>
      <c r="B4">
        <v>1</v>
      </c>
      <c r="C4" s="31">
        <v>45444</v>
      </c>
      <c r="D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FY25-Q2</v>
      </c>
      <c r="E4" s="51" t="str">
        <f>"CY"&amp;RIGHT(YEAR(transactions[[#This Row],[TransactionDate]]),2)&amp;"-Q"&amp;ROUNDUP(MONTH(transactions[[#This Row],[TransactionDate]])/3, 0)</f>
        <v>CY24-Q2</v>
      </c>
      <c r="F4" s="52">
        <f>transactions[[#This Row],[UnWeighted]]*_xlfn.XLOOKUP(transactions[[#This Row],[OpportunityID]],Opportunities[ID],Opportunities[WinProbabilityValue])</f>
        <v>128865.60000000001</v>
      </c>
      <c r="G4" s="52">
        <f>_xlfn.XLOOKUP(transactions[[#This Row],[OpportunityID]],Opportunities[ID],Opportunities[Amount])/IF(_xlfn.XLOOKUP(transactions[[#This Row],[OpportunityID]],Opportunities[ID],Opportunities[Recurrences])=0,1,_xlfn.XLOOKUP(transactions[[#This Row],[OpportunityID]],Opportunities[ID],Opportunities[Recurrences]))</f>
        <v>143184</v>
      </c>
      <c r="H4" s="51" t="str">
        <f>_xlfn.XLOOKUP(transactions[[#This Row],[OpportunityID]],Opportunities[ID],Opportunities[Status])</f>
        <v>Active</v>
      </c>
      <c r="I4" s="51" t="str">
        <f>_xlfn.XLOOKUP(transactions[[#This Row],[OpportunityID]],Opportunities[ID],Opportunities[Stage])</f>
        <v>Closeout</v>
      </c>
      <c r="J4" s="51" t="str">
        <f>_xlfn.XLOOKUP(transactions[[#This Row],[OpportunityID]],Opportunities[ID],Opportunities[OpportunityName])</f>
        <v>CRM System Upgrade</v>
      </c>
      <c r="K4" s="51" t="str">
        <f>_xlfn.XLOOKUP(transactions[[#This Row],[CustomerId]],Customers[Id],Customers[Customer Name])</f>
        <v>ACME Corporation</v>
      </c>
      <c r="L4" s="51" t="str">
        <f>_xlfn.XLOOKUP(transactions[[#This Row],[OpportunityID]],Opportunities[ID],Opportunities[OpportunityOwner])</f>
        <v>Jennifer PM</v>
      </c>
      <c r="M4" s="51" t="str">
        <f ca="1">IF((transactions[[#This Row],[TransactionDate]]-TODAY())&lt;=366,transactions[[#This Row],[FQ]],"Out-year")</f>
        <v>FY25-Q2</v>
      </c>
      <c r="N4" s="55">
        <f>transactions[[#This Row],[UnWeighted]]/1000</f>
        <v>143.184</v>
      </c>
      <c r="O4" s="55">
        <f>transactions[[#This Row],[Weighted]]/1000</f>
        <v>128.8656</v>
      </c>
      <c r="P4" s="55">
        <f>transactions[[#This Row],[$K Unweighted]]/1000</f>
        <v>0.14318400000000001</v>
      </c>
      <c r="Q4" s="55" t="b">
        <f ca="1">transactions[[#This Row],[TransactionDate]]&gt;TODAY()</f>
        <v>0</v>
      </c>
    </row>
    <row r="5" spans="1:17" x14ac:dyDescent="0.25">
      <c r="A5">
        <v>21</v>
      </c>
      <c r="B5">
        <v>1</v>
      </c>
      <c r="C5" s="31">
        <v>45627</v>
      </c>
      <c r="D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FY25-Q4</v>
      </c>
      <c r="E5" s="51" t="str">
        <f>"CY"&amp;RIGHT(YEAR(transactions[[#This Row],[TransactionDate]]),2)&amp;"-Q"&amp;ROUNDUP(MONTH(transactions[[#This Row],[TransactionDate]])/3, 0)</f>
        <v>CY24-Q4</v>
      </c>
      <c r="F5" s="52">
        <f>transactions[[#This Row],[UnWeighted]]*_xlfn.XLOOKUP(transactions[[#This Row],[OpportunityID]],Opportunities[ID],Opportunities[WinProbabilityValue])</f>
        <v>128865.60000000001</v>
      </c>
      <c r="G5" s="52">
        <f>_xlfn.XLOOKUP(transactions[[#This Row],[OpportunityID]],Opportunities[ID],Opportunities[Amount])/IF(_xlfn.XLOOKUP(transactions[[#This Row],[OpportunityID]],Opportunities[ID],Opportunities[Recurrences])=0,1,_xlfn.XLOOKUP(transactions[[#This Row],[OpportunityID]],Opportunities[ID],Opportunities[Recurrences]))</f>
        <v>143184</v>
      </c>
      <c r="H5" s="51" t="str">
        <f>_xlfn.XLOOKUP(transactions[[#This Row],[OpportunityID]],Opportunities[ID],Opportunities[Status])</f>
        <v>Active</v>
      </c>
      <c r="I5" s="51" t="str">
        <f>_xlfn.XLOOKUP(transactions[[#This Row],[OpportunityID]],Opportunities[ID],Opportunities[Stage])</f>
        <v>Closeout</v>
      </c>
      <c r="J5" s="51" t="str">
        <f>_xlfn.XLOOKUP(transactions[[#This Row],[OpportunityID]],Opportunities[ID],Opportunities[OpportunityName])</f>
        <v>CRM System Upgrade</v>
      </c>
      <c r="K5" s="51" t="str">
        <f>_xlfn.XLOOKUP(transactions[[#This Row],[CustomerId]],Customers[Id],Customers[Customer Name])</f>
        <v>ACME Corporation</v>
      </c>
      <c r="L5" s="51" t="str">
        <f>_xlfn.XLOOKUP(transactions[[#This Row],[OpportunityID]],Opportunities[ID],Opportunities[OpportunityOwner])</f>
        <v>Jennifer PM</v>
      </c>
      <c r="M5" s="51" t="str">
        <f ca="1">IF((transactions[[#This Row],[TransactionDate]]-TODAY())&lt;=366,transactions[[#This Row],[FQ]],"Out-year")</f>
        <v>FY25-Q4</v>
      </c>
      <c r="N5" s="55">
        <f>transactions[[#This Row],[UnWeighted]]/1000</f>
        <v>143.184</v>
      </c>
      <c r="O5" s="55">
        <f>transactions[[#This Row],[Weighted]]/1000</f>
        <v>128.8656</v>
      </c>
      <c r="P5" s="55">
        <f>transactions[[#This Row],[$K Unweighted]]/1000</f>
        <v>0.14318400000000001</v>
      </c>
      <c r="Q5" s="55" t="b">
        <f ca="1">transactions[[#This Row],[TransactionDate]]&gt;TODAY()</f>
        <v>0</v>
      </c>
    </row>
    <row r="6" spans="1:17" x14ac:dyDescent="0.25">
      <c r="A6">
        <v>8</v>
      </c>
      <c r="B6">
        <v>13</v>
      </c>
      <c r="C6" s="31">
        <v>45628</v>
      </c>
      <c r="D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FY25-Q4</v>
      </c>
      <c r="E6" s="51" t="str">
        <f>"CY"&amp;RIGHT(YEAR(transactions[[#This Row],[TransactionDate]]),2)&amp;"-Q"&amp;ROUNDUP(MONTH(transactions[[#This Row],[TransactionDate]])/3, 0)</f>
        <v>CY24-Q4</v>
      </c>
      <c r="F6" s="52">
        <f>transactions[[#This Row],[UnWeighted]]*_xlfn.XLOOKUP(transactions[[#This Row],[OpportunityID]],Opportunities[ID],Opportunities[WinProbabilityValue])</f>
        <v>62725.125</v>
      </c>
      <c r="G6" s="52">
        <f>_xlfn.XLOOKUP(transactions[[#This Row],[OpportunityID]],Opportunities[ID],Opportunities[Amount])/IF(_xlfn.XLOOKUP(transactions[[#This Row],[OpportunityID]],Opportunities[ID],Opportunities[Recurrences])=0,1,_xlfn.XLOOKUP(transactions[[#This Row],[OpportunityID]],Opportunities[ID],Opportunities[Recurrences]))</f>
        <v>125450.25</v>
      </c>
      <c r="H6" s="51" t="str">
        <f>_xlfn.XLOOKUP(transactions[[#This Row],[OpportunityID]],Opportunities[ID],Opportunities[Status])</f>
        <v>Active</v>
      </c>
      <c r="I6" s="51" t="str">
        <f>_xlfn.XLOOKUP(transactions[[#This Row],[OpportunityID]],Opportunities[ID],Opportunities[Stage])</f>
        <v>Closeout</v>
      </c>
      <c r="J6" s="51" t="str">
        <f>_xlfn.XLOOKUP(transactions[[#This Row],[OpportunityID]],Opportunities[ID],Opportunities[OpportunityName])</f>
        <v>Business Intelligence Solution</v>
      </c>
      <c r="K6" s="51" t="str">
        <f>_xlfn.XLOOKUP(transactions[[#This Row],[CustomerId]],Customers[Id],Customers[Customer Name])</f>
        <v>Professional Services Group</v>
      </c>
      <c r="L6" s="51" t="str">
        <f>_xlfn.XLOOKUP(transactions[[#This Row],[OpportunityID]],Opportunities[ID],Opportunities[OpportunityOwner])</f>
        <v>Sarah Director</v>
      </c>
      <c r="M6" s="51" t="str">
        <f ca="1">IF((transactions[[#This Row],[TransactionDate]]-TODAY())&lt;=366,transactions[[#This Row],[FQ]],"Out-year")</f>
        <v>FY25-Q4</v>
      </c>
      <c r="N6" s="55">
        <f>transactions[[#This Row],[UnWeighted]]/1000</f>
        <v>125.45025</v>
      </c>
      <c r="O6" s="55">
        <f>transactions[[#This Row],[Weighted]]/1000</f>
        <v>62.725124999999998</v>
      </c>
      <c r="P6" s="55">
        <f>transactions[[#This Row],[$K Unweighted]]/1000</f>
        <v>0.12545024999999999</v>
      </c>
      <c r="Q6" s="55" t="b">
        <f ca="1">transactions[[#This Row],[TransactionDate]]&gt;TODAY()</f>
        <v>0</v>
      </c>
    </row>
    <row r="7" spans="1:17" x14ac:dyDescent="0.25">
      <c r="A7">
        <v>21</v>
      </c>
      <c r="B7">
        <v>1</v>
      </c>
      <c r="C7" s="31">
        <v>45809</v>
      </c>
      <c r="D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FY26-Q2</v>
      </c>
      <c r="E7" s="51" t="str">
        <f>"CY"&amp;RIGHT(YEAR(transactions[[#This Row],[TransactionDate]]),2)&amp;"-Q"&amp;ROUNDUP(MONTH(transactions[[#This Row],[TransactionDate]])/3, 0)</f>
        <v>CY25-Q2</v>
      </c>
      <c r="F7" s="52">
        <f>transactions[[#This Row],[UnWeighted]]*_xlfn.XLOOKUP(transactions[[#This Row],[OpportunityID]],Opportunities[ID],Opportunities[WinProbabilityValue])</f>
        <v>128865.60000000001</v>
      </c>
      <c r="G7" s="52">
        <f>_xlfn.XLOOKUP(transactions[[#This Row],[OpportunityID]],Opportunities[ID],Opportunities[Amount])/IF(_xlfn.XLOOKUP(transactions[[#This Row],[OpportunityID]],Opportunities[ID],Opportunities[Recurrences])=0,1,_xlfn.XLOOKUP(transactions[[#This Row],[OpportunityID]],Opportunities[ID],Opportunities[Recurrences]))</f>
        <v>143184</v>
      </c>
      <c r="H7" s="51" t="str">
        <f>_xlfn.XLOOKUP(transactions[[#This Row],[OpportunityID]],Opportunities[ID],Opportunities[Status])</f>
        <v>Active</v>
      </c>
      <c r="I7" s="51" t="str">
        <f>_xlfn.XLOOKUP(transactions[[#This Row],[OpportunityID]],Opportunities[ID],Opportunities[Stage])</f>
        <v>Closeout</v>
      </c>
      <c r="J7" s="51" t="str">
        <f>_xlfn.XLOOKUP(transactions[[#This Row],[OpportunityID]],Opportunities[ID],Opportunities[OpportunityName])</f>
        <v>CRM System Upgrade</v>
      </c>
      <c r="K7" s="51" t="str">
        <f>_xlfn.XLOOKUP(transactions[[#This Row],[CustomerId]],Customers[Id],Customers[Customer Name])</f>
        <v>ACME Corporation</v>
      </c>
      <c r="L7" s="51" t="str">
        <f>_xlfn.XLOOKUP(transactions[[#This Row],[OpportunityID]],Opportunities[ID],Opportunities[OpportunityOwner])</f>
        <v>Jennifer PM</v>
      </c>
      <c r="M7" s="51" t="str">
        <f ca="1">IF((transactions[[#This Row],[TransactionDate]]-TODAY())&lt;=366,transactions[[#This Row],[FQ]],"Out-year")</f>
        <v>FY26-Q2</v>
      </c>
      <c r="N7" s="55">
        <f>transactions[[#This Row],[UnWeighted]]/1000</f>
        <v>143.184</v>
      </c>
      <c r="O7" s="55">
        <f>transactions[[#This Row],[Weighted]]/1000</f>
        <v>128.8656</v>
      </c>
      <c r="P7" s="55">
        <f>transactions[[#This Row],[$K Unweighted]]/1000</f>
        <v>0.14318400000000001</v>
      </c>
      <c r="Q7" s="55" t="b">
        <f ca="1">transactions[[#This Row],[TransactionDate]]&gt;TODAY()</f>
        <v>0</v>
      </c>
    </row>
    <row r="8" spans="1:17" x14ac:dyDescent="0.25">
      <c r="A8">
        <v>8</v>
      </c>
      <c r="B8">
        <v>13</v>
      </c>
      <c r="C8" s="31">
        <v>45810</v>
      </c>
      <c r="D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FY26-Q2</v>
      </c>
      <c r="E8" s="51" t="str">
        <f>"CY"&amp;RIGHT(YEAR(transactions[[#This Row],[TransactionDate]]),2)&amp;"-Q"&amp;ROUNDUP(MONTH(transactions[[#This Row],[TransactionDate]])/3, 0)</f>
        <v>CY25-Q2</v>
      </c>
      <c r="F8" s="52">
        <f>transactions[[#This Row],[UnWeighted]]*_xlfn.XLOOKUP(transactions[[#This Row],[OpportunityID]],Opportunities[ID],Opportunities[WinProbabilityValue])</f>
        <v>62725.125</v>
      </c>
      <c r="G8" s="52">
        <f>_xlfn.XLOOKUP(transactions[[#This Row],[OpportunityID]],Opportunities[ID],Opportunities[Amount])/IF(_xlfn.XLOOKUP(transactions[[#This Row],[OpportunityID]],Opportunities[ID],Opportunities[Recurrences])=0,1,_xlfn.XLOOKUP(transactions[[#This Row],[OpportunityID]],Opportunities[ID],Opportunities[Recurrences]))</f>
        <v>125450.25</v>
      </c>
      <c r="H8" s="51" t="str">
        <f>_xlfn.XLOOKUP(transactions[[#This Row],[OpportunityID]],Opportunities[ID],Opportunities[Status])</f>
        <v>Active</v>
      </c>
      <c r="I8" s="51" t="str">
        <f>_xlfn.XLOOKUP(transactions[[#This Row],[OpportunityID]],Opportunities[ID],Opportunities[Stage])</f>
        <v>Closeout</v>
      </c>
      <c r="J8" s="51" t="str">
        <f>_xlfn.XLOOKUP(transactions[[#This Row],[OpportunityID]],Opportunities[ID],Opportunities[OpportunityName])</f>
        <v>Business Intelligence Solution</v>
      </c>
      <c r="K8" s="51" t="str">
        <f>_xlfn.XLOOKUP(transactions[[#This Row],[CustomerId]],Customers[Id],Customers[Customer Name])</f>
        <v>Professional Services Group</v>
      </c>
      <c r="L8" s="51" t="str">
        <f>_xlfn.XLOOKUP(transactions[[#This Row],[OpportunityID]],Opportunities[ID],Opportunities[OpportunityOwner])</f>
        <v>Sarah Director</v>
      </c>
      <c r="M8" s="51" t="str">
        <f ca="1">IF((transactions[[#This Row],[TransactionDate]]-TODAY())&lt;=366,transactions[[#This Row],[FQ]],"Out-year")</f>
        <v>FY26-Q2</v>
      </c>
      <c r="N8" s="55">
        <f>transactions[[#This Row],[UnWeighted]]/1000</f>
        <v>125.45025</v>
      </c>
      <c r="O8" s="55">
        <f>transactions[[#This Row],[Weighted]]/1000</f>
        <v>62.725124999999998</v>
      </c>
      <c r="P8" s="55">
        <f>transactions[[#This Row],[$K Unweighted]]/1000</f>
        <v>0.12545024999999999</v>
      </c>
      <c r="Q8" s="55" t="b">
        <f ca="1">transactions[[#This Row],[TransactionDate]]&gt;TODAY()</f>
        <v>0</v>
      </c>
    </row>
    <row r="9" spans="1:17" x14ac:dyDescent="0.25">
      <c r="A9">
        <v>32</v>
      </c>
      <c r="B9">
        <v>29</v>
      </c>
      <c r="C9" s="31">
        <v>45953</v>
      </c>
      <c r="D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FY26-Q3</v>
      </c>
      <c r="E9" s="51" t="str">
        <f>"CY"&amp;RIGHT(YEAR(transactions[[#This Row],[TransactionDate]]),2)&amp;"-Q"&amp;ROUNDUP(MONTH(transactions[[#This Row],[TransactionDate]])/3, 0)</f>
        <v>CY25-Q4</v>
      </c>
      <c r="F9" s="52">
        <f>transactions[[#This Row],[UnWeighted]]*_xlfn.XLOOKUP(transactions[[#This Row],[OpportunityID]],Opportunities[ID],Opportunities[WinProbabilityValue])</f>
        <v>19870.314285714288</v>
      </c>
      <c r="G9" s="52">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9" s="51" t="str">
        <f>_xlfn.XLOOKUP(transactions[[#This Row],[OpportunityID]],Opportunities[ID],Opportunities[Status])</f>
        <v>Active</v>
      </c>
      <c r="I9" s="51" t="str">
        <f>_xlfn.XLOOKUP(transactions[[#This Row],[OpportunityID]],Opportunities[ID],Opportunities[Stage])</f>
        <v>Proposal</v>
      </c>
      <c r="J9" s="51" t="str">
        <f>_xlfn.XLOOKUP(transactions[[#This Row],[OpportunityID]],Opportunities[ID],Opportunities[OpportunityName])</f>
        <v>Environmental Monitoring Solution</v>
      </c>
      <c r="K9" s="51" t="str">
        <f>_xlfn.XLOOKUP(transactions[[#This Row],[CustomerId]],Customers[Id],Customers[Customer Name])</f>
        <v>Waste Management Co</v>
      </c>
      <c r="L9" s="51" t="str">
        <f>_xlfn.XLOOKUP(transactions[[#This Row],[OpportunityID]],Opportunities[ID],Opportunities[OpportunityOwner])</f>
        <v>Jennifer PM</v>
      </c>
      <c r="M9" s="51" t="str">
        <f ca="1">IF((transactions[[#This Row],[TransactionDate]]-TODAY())&lt;=366,transactions[[#This Row],[FQ]],"Out-year")</f>
        <v>FY26-Q3</v>
      </c>
      <c r="N9" s="55">
        <f>transactions[[#This Row],[UnWeighted]]/1000</f>
        <v>99.351571428571432</v>
      </c>
      <c r="O9" s="55">
        <f>transactions[[#This Row],[Weighted]]/1000</f>
        <v>19.87031428571429</v>
      </c>
      <c r="P9" s="55">
        <f>transactions[[#This Row],[$K Unweighted]]/1000</f>
        <v>9.9351571428571428E-2</v>
      </c>
      <c r="Q9" s="55" t="b">
        <f ca="1">transactions[[#This Row],[TransactionDate]]&gt;TODAY()</f>
        <v>1</v>
      </c>
    </row>
    <row r="10" spans="1:17" x14ac:dyDescent="0.25">
      <c r="A10">
        <v>37</v>
      </c>
      <c r="B10">
        <v>20</v>
      </c>
      <c r="C10" s="31">
        <v>45979</v>
      </c>
      <c r="D1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0" s="51" t="str">
        <f>"CY"&amp;RIGHT(YEAR(transactions[[#This Row],[TransactionDate]]),2)&amp;"-Q"&amp;ROUNDUP(MONTH(transactions[[#This Row],[TransactionDate]])/3, 0)</f>
        <v>CY25-Q4</v>
      </c>
      <c r="F10" s="52">
        <f>transactions[[#This Row],[UnWeighted]]*_xlfn.XLOOKUP(transactions[[#This Row],[OpportunityID]],Opportunities[ID],Opportunities[WinProbabilityValue])</f>
        <v>103010.25</v>
      </c>
      <c r="G10" s="52">
        <f>_xlfn.XLOOKUP(transactions[[#This Row],[OpportunityID]],Opportunities[ID],Opportunities[Amount])/IF(_xlfn.XLOOKUP(transactions[[#This Row],[OpportunityID]],Opportunities[ID],Opportunities[Recurrences])=0,1,_xlfn.XLOOKUP(transactions[[#This Row],[OpportunityID]],Opportunities[ID],Opportunities[Recurrences]))</f>
        <v>206020.5</v>
      </c>
      <c r="H10" s="51" t="str">
        <f>_xlfn.XLOOKUP(transactions[[#This Row],[OpportunityID]],Opportunities[ID],Opportunities[Status])</f>
        <v>Active</v>
      </c>
      <c r="I10" s="51" t="str">
        <f>_xlfn.XLOOKUP(transactions[[#This Row],[OpportunityID]],Opportunities[ID],Opportunities[Stage])</f>
        <v>Nurturing</v>
      </c>
      <c r="J10" s="51" t="str">
        <f>_xlfn.XLOOKUP(transactions[[#This Row],[OpportunityID]],Opportunities[ID],Opportunities[OpportunityName])</f>
        <v>Database Migration Project</v>
      </c>
      <c r="K10" s="51" t="str">
        <f>_xlfn.XLOOKUP(transactions[[#This Row],[CustomerId]],Customers[Id],Customers[Customer Name])</f>
        <v>Automotive Parts Plus</v>
      </c>
      <c r="L10" s="51" t="str">
        <f>_xlfn.XLOOKUP(transactions[[#This Row],[OpportunityID]],Opportunities[ID],Opportunities[OpportunityOwner])</f>
        <v>Lisa Engineer</v>
      </c>
      <c r="M10" s="51" t="str">
        <f ca="1">IF((transactions[[#This Row],[TransactionDate]]-TODAY())&lt;=366,transactions[[#This Row],[FQ]],"Out-year")</f>
        <v>FY26-Q4</v>
      </c>
      <c r="N10" s="55">
        <f>transactions[[#This Row],[UnWeighted]]/1000</f>
        <v>206.0205</v>
      </c>
      <c r="O10" s="55">
        <f>transactions[[#This Row],[Weighted]]/1000</f>
        <v>103.01025</v>
      </c>
      <c r="P10" s="55">
        <f>transactions[[#This Row],[$K Unweighted]]/1000</f>
        <v>0.2060205</v>
      </c>
      <c r="Q10" s="55" t="b">
        <f ca="1">transactions[[#This Row],[TransactionDate]]&gt;TODAY()</f>
        <v>1</v>
      </c>
    </row>
    <row r="11" spans="1:17" x14ac:dyDescent="0.25">
      <c r="A11">
        <v>23</v>
      </c>
      <c r="B11">
        <v>11</v>
      </c>
      <c r="C11" s="31">
        <v>45981</v>
      </c>
      <c r="D1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1" s="51" t="str">
        <f>"CY"&amp;RIGHT(YEAR(transactions[[#This Row],[TransactionDate]]),2)&amp;"-Q"&amp;ROUNDUP(MONTH(transactions[[#This Row],[TransactionDate]])/3, 0)</f>
        <v>CY25-Q4</v>
      </c>
      <c r="F11" s="52">
        <f>transactions[[#This Row],[UnWeighted]]*_xlfn.XLOOKUP(transactions[[#This Row],[OpportunityID]],Opportunities[ID],Opportunities[WinProbabilityValue])</f>
        <v>25249.37777777778</v>
      </c>
      <c r="G11" s="52">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11" s="51" t="str">
        <f>_xlfn.XLOOKUP(transactions[[#This Row],[OpportunityID]],Opportunities[ID],Opportunities[Status])</f>
        <v>Critical</v>
      </c>
      <c r="I11" s="51" t="str">
        <f>_xlfn.XLOOKUP(transactions[[#This Row],[OpportunityID]],Opportunities[ID],Opportunities[Stage])</f>
        <v>Negotiation</v>
      </c>
      <c r="J11" s="51" t="str">
        <f>_xlfn.XLOOKUP(transactions[[#This Row],[OpportunityID]],Opportunities[ID],Opportunities[OpportunityName])</f>
        <v>Point of Sale System</v>
      </c>
      <c r="K11" s="51" t="str">
        <f>_xlfn.XLOOKUP(transactions[[#This Row],[CustomerId]],Customers[Id],Customers[Customer Name])</f>
        <v>Transport Logistics</v>
      </c>
      <c r="L11" s="51" t="str">
        <f>_xlfn.XLOOKUP(transactions[[#This Row],[OpportunityID]],Opportunities[ID],Opportunities[OpportunityOwner])</f>
        <v>David Specialist</v>
      </c>
      <c r="M11" s="51" t="str">
        <f ca="1">IF((transactions[[#This Row],[TransactionDate]]-TODAY())&lt;=366,transactions[[#This Row],[FQ]],"Out-year")</f>
        <v>FY26-Q4</v>
      </c>
      <c r="N11" s="55">
        <f>transactions[[#This Row],[UnWeighted]]/1000</f>
        <v>126.24688888888889</v>
      </c>
      <c r="O11" s="55">
        <f>transactions[[#This Row],[Weighted]]/1000</f>
        <v>25.249377777777781</v>
      </c>
      <c r="P11" s="55">
        <f>transactions[[#This Row],[$K Unweighted]]/1000</f>
        <v>0.12624688888888888</v>
      </c>
      <c r="Q11" s="55" t="b">
        <f ca="1">transactions[[#This Row],[TransactionDate]]&gt;TODAY()</f>
        <v>1</v>
      </c>
    </row>
    <row r="12" spans="1:17" x14ac:dyDescent="0.25">
      <c r="A12">
        <v>21</v>
      </c>
      <c r="B12">
        <v>1</v>
      </c>
      <c r="C12" s="31">
        <v>45992</v>
      </c>
      <c r="D1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2" s="51" t="str">
        <f>"CY"&amp;RIGHT(YEAR(transactions[[#This Row],[TransactionDate]]),2)&amp;"-Q"&amp;ROUNDUP(MONTH(transactions[[#This Row],[TransactionDate]])/3, 0)</f>
        <v>CY25-Q4</v>
      </c>
      <c r="F12" s="52">
        <f>transactions[[#This Row],[UnWeighted]]*_xlfn.XLOOKUP(transactions[[#This Row],[OpportunityID]],Opportunities[ID],Opportunities[WinProbabilityValue])</f>
        <v>128865.60000000001</v>
      </c>
      <c r="G12" s="52">
        <f>_xlfn.XLOOKUP(transactions[[#This Row],[OpportunityID]],Opportunities[ID],Opportunities[Amount])/IF(_xlfn.XLOOKUP(transactions[[#This Row],[OpportunityID]],Opportunities[ID],Opportunities[Recurrences])=0,1,_xlfn.XLOOKUP(transactions[[#This Row],[OpportunityID]],Opportunities[ID],Opportunities[Recurrences]))</f>
        <v>143184</v>
      </c>
      <c r="H12" s="51" t="str">
        <f>_xlfn.XLOOKUP(transactions[[#This Row],[OpportunityID]],Opportunities[ID],Opportunities[Status])</f>
        <v>Active</v>
      </c>
      <c r="I12" s="51" t="str">
        <f>_xlfn.XLOOKUP(transactions[[#This Row],[OpportunityID]],Opportunities[ID],Opportunities[Stage])</f>
        <v>Closeout</v>
      </c>
      <c r="J12" s="51" t="str">
        <f>_xlfn.XLOOKUP(transactions[[#This Row],[OpportunityID]],Opportunities[ID],Opportunities[OpportunityName])</f>
        <v>CRM System Upgrade</v>
      </c>
      <c r="K12" s="51" t="str">
        <f>_xlfn.XLOOKUP(transactions[[#This Row],[CustomerId]],Customers[Id],Customers[Customer Name])</f>
        <v>ACME Corporation</v>
      </c>
      <c r="L12" s="51" t="str">
        <f>_xlfn.XLOOKUP(transactions[[#This Row],[OpportunityID]],Opportunities[ID],Opportunities[OpportunityOwner])</f>
        <v>Jennifer PM</v>
      </c>
      <c r="M12" s="51" t="str">
        <f ca="1">IF((transactions[[#This Row],[TransactionDate]]-TODAY())&lt;=366,transactions[[#This Row],[FQ]],"Out-year")</f>
        <v>FY26-Q4</v>
      </c>
      <c r="N12" s="55">
        <f>transactions[[#This Row],[UnWeighted]]/1000</f>
        <v>143.184</v>
      </c>
      <c r="O12" s="55">
        <f>transactions[[#This Row],[Weighted]]/1000</f>
        <v>128.8656</v>
      </c>
      <c r="P12" s="55">
        <f>transactions[[#This Row],[$K Unweighted]]/1000</f>
        <v>0.14318400000000001</v>
      </c>
      <c r="Q12" s="55" t="b">
        <f ca="1">transactions[[#This Row],[TransactionDate]]&gt;TODAY()</f>
        <v>1</v>
      </c>
    </row>
    <row r="13" spans="1:17" x14ac:dyDescent="0.25">
      <c r="A13">
        <v>8</v>
      </c>
      <c r="B13">
        <v>13</v>
      </c>
      <c r="C13" s="31">
        <v>45993</v>
      </c>
      <c r="D1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3" s="51" t="str">
        <f>"CY"&amp;RIGHT(YEAR(transactions[[#This Row],[TransactionDate]]),2)&amp;"-Q"&amp;ROUNDUP(MONTH(transactions[[#This Row],[TransactionDate]])/3, 0)</f>
        <v>CY25-Q4</v>
      </c>
      <c r="F13" s="52">
        <f>transactions[[#This Row],[UnWeighted]]*_xlfn.XLOOKUP(transactions[[#This Row],[OpportunityID]],Opportunities[ID],Opportunities[WinProbabilityValue])</f>
        <v>62725.125</v>
      </c>
      <c r="G13" s="52">
        <f>_xlfn.XLOOKUP(transactions[[#This Row],[OpportunityID]],Opportunities[ID],Opportunities[Amount])/IF(_xlfn.XLOOKUP(transactions[[#This Row],[OpportunityID]],Opportunities[ID],Opportunities[Recurrences])=0,1,_xlfn.XLOOKUP(transactions[[#This Row],[OpportunityID]],Opportunities[ID],Opportunities[Recurrences]))</f>
        <v>125450.25</v>
      </c>
      <c r="H13" s="51" t="str">
        <f>_xlfn.XLOOKUP(transactions[[#This Row],[OpportunityID]],Opportunities[ID],Opportunities[Status])</f>
        <v>Active</v>
      </c>
      <c r="I13" s="51" t="str">
        <f>_xlfn.XLOOKUP(transactions[[#This Row],[OpportunityID]],Opportunities[ID],Opportunities[Stage])</f>
        <v>Closeout</v>
      </c>
      <c r="J13" s="51" t="str">
        <f>_xlfn.XLOOKUP(transactions[[#This Row],[OpportunityID]],Opportunities[ID],Opportunities[OpportunityName])</f>
        <v>Business Intelligence Solution</v>
      </c>
      <c r="K13" s="51" t="str">
        <f>_xlfn.XLOOKUP(transactions[[#This Row],[CustomerId]],Customers[Id],Customers[Customer Name])</f>
        <v>Professional Services Group</v>
      </c>
      <c r="L13" s="51" t="str">
        <f>_xlfn.XLOOKUP(transactions[[#This Row],[OpportunityID]],Opportunities[ID],Opportunities[OpportunityOwner])</f>
        <v>Sarah Director</v>
      </c>
      <c r="M13" s="51" t="str">
        <f ca="1">IF((transactions[[#This Row],[TransactionDate]]-TODAY())&lt;=366,transactions[[#This Row],[FQ]],"Out-year")</f>
        <v>FY26-Q4</v>
      </c>
      <c r="N13" s="55">
        <f>transactions[[#This Row],[UnWeighted]]/1000</f>
        <v>125.45025</v>
      </c>
      <c r="O13" s="55">
        <f>transactions[[#This Row],[Weighted]]/1000</f>
        <v>62.725124999999998</v>
      </c>
      <c r="P13" s="55">
        <f>transactions[[#This Row],[$K Unweighted]]/1000</f>
        <v>0.12545024999999999</v>
      </c>
      <c r="Q13" s="55" t="b">
        <f ca="1">transactions[[#This Row],[TransactionDate]]&gt;TODAY()</f>
        <v>1</v>
      </c>
    </row>
    <row r="14" spans="1:17" x14ac:dyDescent="0.25">
      <c r="A14">
        <v>17</v>
      </c>
      <c r="B14">
        <v>19</v>
      </c>
      <c r="C14" s="31">
        <v>46000</v>
      </c>
      <c r="D1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4" s="51" t="str">
        <f>"CY"&amp;RIGHT(YEAR(transactions[[#This Row],[TransactionDate]]),2)&amp;"-Q"&amp;ROUNDUP(MONTH(transactions[[#This Row],[TransactionDate]])/3, 0)</f>
        <v>CY25-Q4</v>
      </c>
      <c r="F14" s="52">
        <f>transactions[[#This Row],[UnWeighted]]*_xlfn.XLOOKUP(transactions[[#This Row],[OpportunityID]],Opportunities[ID],Opportunities[WinProbabilityValue])</f>
        <v>9267.2333333333336</v>
      </c>
      <c r="G14"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4" s="51" t="str">
        <f>_xlfn.XLOOKUP(transactions[[#This Row],[OpportunityID]],Opportunities[ID],Opportunities[Status])</f>
        <v>Active</v>
      </c>
      <c r="I14" s="51" t="str">
        <f>_xlfn.XLOOKUP(transactions[[#This Row],[OpportunityID]],Opportunities[ID],Opportunities[Stage])</f>
        <v>Negotiation</v>
      </c>
      <c r="J14" s="51" t="str">
        <f>_xlfn.XLOOKUP(transactions[[#This Row],[OpportunityID]],Opportunities[ID],Opportunities[OpportunityName])</f>
        <v>Supply Chain Optimization</v>
      </c>
      <c r="K14" s="51" t="str">
        <f>_xlfn.XLOOKUP(transactions[[#This Row],[CustomerId]],Customers[Id],Customers[Customer Name])</f>
        <v>Hotel Management Group</v>
      </c>
      <c r="L14" s="51" t="str">
        <f>_xlfn.XLOOKUP(transactions[[#This Row],[OpportunityID]],Opportunities[ID],Opportunities[OpportunityOwner])</f>
        <v>Jennifer PM</v>
      </c>
      <c r="M14" s="51" t="str">
        <f ca="1">IF((transactions[[#This Row],[TransactionDate]]-TODAY())&lt;=366,transactions[[#This Row],[FQ]],"Out-year")</f>
        <v>FY26-Q4</v>
      </c>
      <c r="N14" s="55">
        <f>transactions[[#This Row],[UnWeighted]]/1000</f>
        <v>46.336166666666664</v>
      </c>
      <c r="O14" s="55">
        <f>transactions[[#This Row],[Weighted]]/1000</f>
        <v>9.2672333333333334</v>
      </c>
      <c r="P14" s="55">
        <f>transactions[[#This Row],[$K Unweighted]]/1000</f>
        <v>4.6336166666666664E-2</v>
      </c>
      <c r="Q14" s="55" t="b">
        <f ca="1">transactions[[#This Row],[TransactionDate]]&gt;TODAY()</f>
        <v>1</v>
      </c>
    </row>
    <row r="15" spans="1:17" x14ac:dyDescent="0.25">
      <c r="A15">
        <v>2</v>
      </c>
      <c r="B15">
        <v>10</v>
      </c>
      <c r="C15" s="31">
        <v>46008</v>
      </c>
      <c r="D1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5" s="51" t="str">
        <f>"CY"&amp;RIGHT(YEAR(transactions[[#This Row],[TransactionDate]]),2)&amp;"-Q"&amp;ROUNDUP(MONTH(transactions[[#This Row],[TransactionDate]])/3, 0)</f>
        <v>CY25-Q4</v>
      </c>
      <c r="F15" s="52">
        <f>transactions[[#This Row],[UnWeighted]]*_xlfn.XLOOKUP(transactions[[#This Row],[OpportunityID]],Opportunities[ID],Opportunities[WinProbabilityValue])</f>
        <v>20720.20930232558</v>
      </c>
      <c r="G15"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5" s="51" t="str">
        <f>_xlfn.XLOOKUP(transactions[[#This Row],[OpportunityID]],Opportunities[ID],Opportunities[Status])</f>
        <v>Active</v>
      </c>
      <c r="I15" s="51" t="str">
        <f>_xlfn.XLOOKUP(transactions[[#This Row],[OpportunityID]],Opportunities[ID],Opportunities[Stage])</f>
        <v>Proposal</v>
      </c>
      <c r="J15" s="51" t="str">
        <f>_xlfn.XLOOKUP(transactions[[#This Row],[OpportunityID]],Opportunities[ID],Opportunities[OpportunityName])</f>
        <v>Cloud Migration Initiative</v>
      </c>
      <c r="K15" s="51" t="str">
        <f>_xlfn.XLOOKUP(transactions[[#This Row],[CustomerId]],Customers[Id],Customers[Customer Name])</f>
        <v>Education First</v>
      </c>
      <c r="L15" s="51" t="str">
        <f>_xlfn.XLOOKUP(transactions[[#This Row],[OpportunityID]],Opportunities[ID],Opportunities[OpportunityOwner])</f>
        <v>Robert Analyst</v>
      </c>
      <c r="M15" s="51" t="str">
        <f ca="1">IF((transactions[[#This Row],[TransactionDate]]-TODAY())&lt;=366,transactions[[#This Row],[FQ]],"Out-year")</f>
        <v>FY26-Q4</v>
      </c>
      <c r="N15" s="55">
        <f>transactions[[#This Row],[UnWeighted]]/1000</f>
        <v>41.440418604651157</v>
      </c>
      <c r="O15" s="55">
        <f>transactions[[#This Row],[Weighted]]/1000</f>
        <v>20.720209302325578</v>
      </c>
      <c r="P15" s="55">
        <f>transactions[[#This Row],[$K Unweighted]]/1000</f>
        <v>4.1440418604651155E-2</v>
      </c>
      <c r="Q15" s="55" t="b">
        <f ca="1">transactions[[#This Row],[TransactionDate]]&gt;TODAY()</f>
        <v>1</v>
      </c>
    </row>
    <row r="16" spans="1:17" x14ac:dyDescent="0.25">
      <c r="A16">
        <v>33</v>
      </c>
      <c r="B16">
        <v>3</v>
      </c>
      <c r="C16" s="31">
        <v>46013</v>
      </c>
      <c r="D1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6" s="51" t="str">
        <f>"CY"&amp;RIGHT(YEAR(transactions[[#This Row],[TransactionDate]]),2)&amp;"-Q"&amp;ROUNDUP(MONTH(transactions[[#This Row],[TransactionDate]])/3, 0)</f>
        <v>CY25-Q4</v>
      </c>
      <c r="F16" s="52">
        <f>transactions[[#This Row],[UnWeighted]]*_xlfn.XLOOKUP(transactions[[#This Row],[OpportunityID]],Opportunities[ID],Opportunities[WinProbabilityValue])</f>
        <v>326376.83333333331</v>
      </c>
      <c r="G16" s="52">
        <f>_xlfn.XLOOKUP(transactions[[#This Row],[OpportunityID]],Opportunities[ID],Opportunities[Amount])/IF(_xlfn.XLOOKUP(transactions[[#This Row],[OpportunityID]],Opportunities[ID],Opportunities[Recurrences])=0,1,_xlfn.XLOOKUP(transactions[[#This Row],[OpportunityID]],Opportunities[ID],Opportunities[Recurrences]))</f>
        <v>652753.66666666663</v>
      </c>
      <c r="H16" s="51" t="str">
        <f>_xlfn.XLOOKUP(transactions[[#This Row],[OpportunityID]],Opportunities[ID],Opportunities[Status])</f>
        <v>Active</v>
      </c>
      <c r="I16" s="51" t="str">
        <f>_xlfn.XLOOKUP(transactions[[#This Row],[OpportunityID]],Opportunities[ID],Opportunities[Stage])</f>
        <v>Proposal</v>
      </c>
      <c r="J16" s="51" t="str">
        <f>_xlfn.XLOOKUP(transactions[[#This Row],[OpportunityID]],Opportunities[ID],Opportunities[OpportunityName])</f>
        <v>Safety Management System</v>
      </c>
      <c r="K16" s="51" t="str">
        <f>_xlfn.XLOOKUP(transactions[[#This Row],[CustomerId]],Customers[Id],Customers[Customer Name])</f>
        <v>Tech Solutions Inc</v>
      </c>
      <c r="L16" s="51" t="str">
        <f>_xlfn.XLOOKUP(transactions[[#This Row],[OpportunityID]],Opportunities[ID],Opportunities[OpportunityOwner])</f>
        <v>Dr. Tech Advisor</v>
      </c>
      <c r="M16" s="51" t="str">
        <f ca="1">IF((transactions[[#This Row],[TransactionDate]]-TODAY())&lt;=366,transactions[[#This Row],[FQ]],"Out-year")</f>
        <v>FY26-Q4</v>
      </c>
      <c r="N16" s="55">
        <f>transactions[[#This Row],[UnWeighted]]/1000</f>
        <v>652.75366666666662</v>
      </c>
      <c r="O16" s="55">
        <f>transactions[[#This Row],[Weighted]]/1000</f>
        <v>326.37683333333331</v>
      </c>
      <c r="P16" s="55">
        <f>transactions[[#This Row],[$K Unweighted]]/1000</f>
        <v>0.65275366666666657</v>
      </c>
      <c r="Q16" s="55" t="b">
        <f ca="1">transactions[[#This Row],[TransactionDate]]&gt;TODAY()</f>
        <v>1</v>
      </c>
    </row>
    <row r="17" spans="1:17" x14ac:dyDescent="0.25">
      <c r="A17">
        <v>19</v>
      </c>
      <c r="B17">
        <v>23</v>
      </c>
      <c r="C17" s="31">
        <v>46023</v>
      </c>
      <c r="D1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7" s="51" t="str">
        <f>"CY"&amp;RIGHT(YEAR(transactions[[#This Row],[TransactionDate]]),2)&amp;"-Q"&amp;ROUNDUP(MONTH(transactions[[#This Row],[TransactionDate]])/3, 0)</f>
        <v>CY26-Q1</v>
      </c>
      <c r="F17" s="52">
        <f>transactions[[#This Row],[UnWeighted]]*_xlfn.XLOOKUP(transactions[[#This Row],[OpportunityID]],Opportunities[ID],Opportunities[WinProbabilityValue])</f>
        <v>801568.8</v>
      </c>
      <c r="G17" s="52">
        <f>_xlfn.XLOOKUP(transactions[[#This Row],[OpportunityID]],Opportunities[ID],Opportunities[Amount])/IF(_xlfn.XLOOKUP(transactions[[#This Row],[OpportunityID]],Opportunities[ID],Opportunities[Recurrences])=0,1,_xlfn.XLOOKUP(transactions[[#This Row],[OpportunityID]],Opportunities[ID],Opportunities[Recurrences]))</f>
        <v>890632</v>
      </c>
      <c r="H17" s="51" t="str">
        <f>_xlfn.XLOOKUP(transactions[[#This Row],[OpportunityID]],Opportunities[ID],Opportunities[Status])</f>
        <v>Active</v>
      </c>
      <c r="I17" s="51" t="str">
        <f>_xlfn.XLOOKUP(transactions[[#This Row],[OpportunityID]],Opportunities[ID],Opportunities[Stage])</f>
        <v>Negotiation</v>
      </c>
      <c r="J17" s="51" t="str">
        <f>_xlfn.XLOOKUP(transactions[[#This Row],[OpportunityID]],Opportunities[ID],Opportunities[OpportunityName])</f>
        <v>HR Management System</v>
      </c>
      <c r="K17" s="51" t="str">
        <f>_xlfn.XLOOKUP(transactions[[#This Row],[CustomerId]],Customers[Id],Customers[Customer Name])</f>
        <v>Sports &amp; Recreation</v>
      </c>
      <c r="L17" s="51" t="str">
        <f>_xlfn.XLOOKUP(transactions[[#This Row],[OpportunityID]],Opportunities[ID],Opportunities[OpportunityOwner])</f>
        <v>Maria Coordinator</v>
      </c>
      <c r="M17" s="51" t="str">
        <f ca="1">IF((transactions[[#This Row],[TransactionDate]]-TODAY())&lt;=366,transactions[[#This Row],[FQ]],"Out-year")</f>
        <v>FY26-Q4</v>
      </c>
      <c r="N17" s="55">
        <f>transactions[[#This Row],[UnWeighted]]/1000</f>
        <v>890.63199999999995</v>
      </c>
      <c r="O17" s="55">
        <f>transactions[[#This Row],[Weighted]]/1000</f>
        <v>801.56880000000001</v>
      </c>
      <c r="P17" s="55">
        <f>transactions[[#This Row],[$K Unweighted]]/1000</f>
        <v>0.89063199999999998</v>
      </c>
      <c r="Q17" s="55" t="b">
        <f ca="1">transactions[[#This Row],[TransactionDate]]&gt;TODAY()</f>
        <v>1</v>
      </c>
    </row>
    <row r="18" spans="1:17" x14ac:dyDescent="0.25">
      <c r="A18">
        <v>17</v>
      </c>
      <c r="B18">
        <v>19</v>
      </c>
      <c r="C18" s="31">
        <v>46031</v>
      </c>
      <c r="D1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8" s="51" t="str">
        <f>"CY"&amp;RIGHT(YEAR(transactions[[#This Row],[TransactionDate]]),2)&amp;"-Q"&amp;ROUNDUP(MONTH(transactions[[#This Row],[TransactionDate]])/3, 0)</f>
        <v>CY26-Q1</v>
      </c>
      <c r="F18" s="52">
        <f>transactions[[#This Row],[UnWeighted]]*_xlfn.XLOOKUP(transactions[[#This Row],[OpportunityID]],Opportunities[ID],Opportunities[WinProbabilityValue])</f>
        <v>9267.2333333333336</v>
      </c>
      <c r="G18"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8" s="51" t="str">
        <f>_xlfn.XLOOKUP(transactions[[#This Row],[OpportunityID]],Opportunities[ID],Opportunities[Status])</f>
        <v>Active</v>
      </c>
      <c r="I18" s="51" t="str">
        <f>_xlfn.XLOOKUP(transactions[[#This Row],[OpportunityID]],Opportunities[ID],Opportunities[Stage])</f>
        <v>Negotiation</v>
      </c>
      <c r="J18" s="51" t="str">
        <f>_xlfn.XLOOKUP(transactions[[#This Row],[OpportunityID]],Opportunities[ID],Opportunities[OpportunityName])</f>
        <v>Supply Chain Optimization</v>
      </c>
      <c r="K18" s="51" t="str">
        <f>_xlfn.XLOOKUP(transactions[[#This Row],[CustomerId]],Customers[Id],Customers[Customer Name])</f>
        <v>Hotel Management Group</v>
      </c>
      <c r="L18" s="51" t="str">
        <f>_xlfn.XLOOKUP(transactions[[#This Row],[OpportunityID]],Opportunities[ID],Opportunities[OpportunityOwner])</f>
        <v>Jennifer PM</v>
      </c>
      <c r="M18" s="51" t="str">
        <f ca="1">IF((transactions[[#This Row],[TransactionDate]]-TODAY())&lt;=366,transactions[[#This Row],[FQ]],"Out-year")</f>
        <v>FY26-Q4</v>
      </c>
      <c r="N18" s="55">
        <f>transactions[[#This Row],[UnWeighted]]/1000</f>
        <v>46.336166666666664</v>
      </c>
      <c r="O18" s="55">
        <f>transactions[[#This Row],[Weighted]]/1000</f>
        <v>9.2672333333333334</v>
      </c>
      <c r="P18" s="55">
        <f>transactions[[#This Row],[$K Unweighted]]/1000</f>
        <v>4.6336166666666664E-2</v>
      </c>
      <c r="Q18" s="55" t="b">
        <f ca="1">transactions[[#This Row],[TransactionDate]]&gt;TODAY()</f>
        <v>1</v>
      </c>
    </row>
    <row r="19" spans="1:17" x14ac:dyDescent="0.25">
      <c r="A19">
        <v>2</v>
      </c>
      <c r="B19">
        <v>10</v>
      </c>
      <c r="C19" s="31">
        <v>46039</v>
      </c>
      <c r="D1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9" s="51" t="str">
        <f>"CY"&amp;RIGHT(YEAR(transactions[[#This Row],[TransactionDate]]),2)&amp;"-Q"&amp;ROUNDUP(MONTH(transactions[[#This Row],[TransactionDate]])/3, 0)</f>
        <v>CY26-Q1</v>
      </c>
      <c r="F19" s="52">
        <f>transactions[[#This Row],[UnWeighted]]*_xlfn.XLOOKUP(transactions[[#This Row],[OpportunityID]],Opportunities[ID],Opportunities[WinProbabilityValue])</f>
        <v>20720.20930232558</v>
      </c>
      <c r="G19"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9" s="51" t="str">
        <f>_xlfn.XLOOKUP(transactions[[#This Row],[OpportunityID]],Opportunities[ID],Opportunities[Status])</f>
        <v>Active</v>
      </c>
      <c r="I19" s="51" t="str">
        <f>_xlfn.XLOOKUP(transactions[[#This Row],[OpportunityID]],Opportunities[ID],Opportunities[Stage])</f>
        <v>Proposal</v>
      </c>
      <c r="J19" s="51" t="str">
        <f>_xlfn.XLOOKUP(transactions[[#This Row],[OpportunityID]],Opportunities[ID],Opportunities[OpportunityName])</f>
        <v>Cloud Migration Initiative</v>
      </c>
      <c r="K19" s="51" t="str">
        <f>_xlfn.XLOOKUP(transactions[[#This Row],[CustomerId]],Customers[Id],Customers[Customer Name])</f>
        <v>Education First</v>
      </c>
      <c r="L19" s="51" t="str">
        <f>_xlfn.XLOOKUP(transactions[[#This Row],[OpportunityID]],Opportunities[ID],Opportunities[OpportunityOwner])</f>
        <v>Robert Analyst</v>
      </c>
      <c r="M19" s="51" t="str">
        <f ca="1">IF((transactions[[#This Row],[TransactionDate]]-TODAY())&lt;=366,transactions[[#This Row],[FQ]],"Out-year")</f>
        <v>FY26-Q4</v>
      </c>
      <c r="N19" s="55">
        <f>transactions[[#This Row],[UnWeighted]]/1000</f>
        <v>41.440418604651157</v>
      </c>
      <c r="O19" s="55">
        <f>transactions[[#This Row],[Weighted]]/1000</f>
        <v>20.720209302325578</v>
      </c>
      <c r="P19" s="55">
        <f>transactions[[#This Row],[$K Unweighted]]/1000</f>
        <v>4.1440418604651155E-2</v>
      </c>
      <c r="Q19" s="55" t="b">
        <f ca="1">transactions[[#This Row],[TransactionDate]]&gt;TODAY()</f>
        <v>1</v>
      </c>
    </row>
    <row r="20" spans="1:17" x14ac:dyDescent="0.25">
      <c r="A20">
        <v>17</v>
      </c>
      <c r="B20">
        <v>19</v>
      </c>
      <c r="C20" s="31">
        <v>46062</v>
      </c>
      <c r="D2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0" s="51" t="str">
        <f>"CY"&amp;RIGHT(YEAR(transactions[[#This Row],[TransactionDate]]),2)&amp;"-Q"&amp;ROUNDUP(MONTH(transactions[[#This Row],[TransactionDate]])/3, 0)</f>
        <v>CY26-Q1</v>
      </c>
      <c r="F20" s="52">
        <f>transactions[[#This Row],[UnWeighted]]*_xlfn.XLOOKUP(transactions[[#This Row],[OpportunityID]],Opportunities[ID],Opportunities[WinProbabilityValue])</f>
        <v>9267.2333333333336</v>
      </c>
      <c r="G20"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0" s="51" t="str">
        <f>_xlfn.XLOOKUP(transactions[[#This Row],[OpportunityID]],Opportunities[ID],Opportunities[Status])</f>
        <v>Active</v>
      </c>
      <c r="I20" s="51" t="str">
        <f>_xlfn.XLOOKUP(transactions[[#This Row],[OpportunityID]],Opportunities[ID],Opportunities[Stage])</f>
        <v>Negotiation</v>
      </c>
      <c r="J20" s="51" t="str">
        <f>_xlfn.XLOOKUP(transactions[[#This Row],[OpportunityID]],Opportunities[ID],Opportunities[OpportunityName])</f>
        <v>Supply Chain Optimization</v>
      </c>
      <c r="K20" s="51" t="str">
        <f>_xlfn.XLOOKUP(transactions[[#This Row],[CustomerId]],Customers[Id],Customers[Customer Name])</f>
        <v>Hotel Management Group</v>
      </c>
      <c r="L20" s="51" t="str">
        <f>_xlfn.XLOOKUP(transactions[[#This Row],[OpportunityID]],Opportunities[ID],Opportunities[OpportunityOwner])</f>
        <v>Jennifer PM</v>
      </c>
      <c r="M20" s="51" t="str">
        <f ca="1">IF((transactions[[#This Row],[TransactionDate]]-TODAY())&lt;=366,transactions[[#This Row],[FQ]],"Out-year")</f>
        <v>FY27-Q1</v>
      </c>
      <c r="N20" s="55">
        <f>transactions[[#This Row],[UnWeighted]]/1000</f>
        <v>46.336166666666664</v>
      </c>
      <c r="O20" s="55">
        <f>transactions[[#This Row],[Weighted]]/1000</f>
        <v>9.2672333333333334</v>
      </c>
      <c r="P20" s="55">
        <f>transactions[[#This Row],[$K Unweighted]]/1000</f>
        <v>4.6336166666666664E-2</v>
      </c>
      <c r="Q20" s="55" t="b">
        <f ca="1">transactions[[#This Row],[TransactionDate]]&gt;TODAY()</f>
        <v>1</v>
      </c>
    </row>
    <row r="21" spans="1:17" x14ac:dyDescent="0.25">
      <c r="A21">
        <v>2</v>
      </c>
      <c r="B21">
        <v>10</v>
      </c>
      <c r="C21" s="31">
        <v>46070</v>
      </c>
      <c r="D2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1" s="51" t="str">
        <f>"CY"&amp;RIGHT(YEAR(transactions[[#This Row],[TransactionDate]]),2)&amp;"-Q"&amp;ROUNDUP(MONTH(transactions[[#This Row],[TransactionDate]])/3, 0)</f>
        <v>CY26-Q1</v>
      </c>
      <c r="F21" s="52">
        <f>transactions[[#This Row],[UnWeighted]]*_xlfn.XLOOKUP(transactions[[#This Row],[OpportunityID]],Opportunities[ID],Opportunities[WinProbabilityValue])</f>
        <v>20720.20930232558</v>
      </c>
      <c r="G21"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1" s="51" t="str">
        <f>_xlfn.XLOOKUP(transactions[[#This Row],[OpportunityID]],Opportunities[ID],Opportunities[Status])</f>
        <v>Active</v>
      </c>
      <c r="I21" s="51" t="str">
        <f>_xlfn.XLOOKUP(transactions[[#This Row],[OpportunityID]],Opportunities[ID],Opportunities[Stage])</f>
        <v>Proposal</v>
      </c>
      <c r="J21" s="51" t="str">
        <f>_xlfn.XLOOKUP(transactions[[#This Row],[OpportunityID]],Opportunities[ID],Opportunities[OpportunityName])</f>
        <v>Cloud Migration Initiative</v>
      </c>
      <c r="K21" s="51" t="str">
        <f>_xlfn.XLOOKUP(transactions[[#This Row],[CustomerId]],Customers[Id],Customers[Customer Name])</f>
        <v>Education First</v>
      </c>
      <c r="L21" s="51" t="str">
        <f>_xlfn.XLOOKUP(transactions[[#This Row],[OpportunityID]],Opportunities[ID],Opportunities[OpportunityOwner])</f>
        <v>Robert Analyst</v>
      </c>
      <c r="M21" s="51" t="str">
        <f ca="1">IF((transactions[[#This Row],[TransactionDate]]-TODAY())&lt;=366,transactions[[#This Row],[FQ]],"Out-year")</f>
        <v>FY27-Q1</v>
      </c>
      <c r="N21" s="55">
        <f>transactions[[#This Row],[UnWeighted]]/1000</f>
        <v>41.440418604651157</v>
      </c>
      <c r="O21" s="55">
        <f>transactions[[#This Row],[Weighted]]/1000</f>
        <v>20.720209302325578</v>
      </c>
      <c r="P21" s="55">
        <f>transactions[[#This Row],[$K Unweighted]]/1000</f>
        <v>4.1440418604651155E-2</v>
      </c>
      <c r="Q21" s="55" t="b">
        <f ca="1">transactions[[#This Row],[TransactionDate]]&gt;TODAY()</f>
        <v>1</v>
      </c>
    </row>
    <row r="22" spans="1:17" x14ac:dyDescent="0.25">
      <c r="A22">
        <v>24</v>
      </c>
      <c r="B22">
        <v>27</v>
      </c>
      <c r="C22" s="31">
        <v>46087</v>
      </c>
      <c r="D2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2" s="51" t="str">
        <f>"CY"&amp;RIGHT(YEAR(transactions[[#This Row],[TransactionDate]]),2)&amp;"-Q"&amp;ROUNDUP(MONTH(transactions[[#This Row],[TransactionDate]])/3, 0)</f>
        <v>CY26-Q1</v>
      </c>
      <c r="F22" s="52">
        <f>transactions[[#This Row],[UnWeighted]]*_xlfn.XLOOKUP(transactions[[#This Row],[OpportunityID]],Opportunities[ID],Opportunities[WinProbabilityValue])</f>
        <v>33162.73333333333</v>
      </c>
      <c r="G22" s="52">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22" s="51" t="str">
        <f>_xlfn.XLOOKUP(transactions[[#This Row],[OpportunityID]],Opportunities[ID],Opportunities[Status])</f>
        <v>Active</v>
      </c>
      <c r="I22" s="51" t="str">
        <f>_xlfn.XLOOKUP(transactions[[#This Row],[OpportunityID]],Opportunities[ID],Opportunities[Stage])</f>
        <v>Nurturing</v>
      </c>
      <c r="J22" s="51" t="str">
        <f>_xlfn.XLOOKUP(transactions[[#This Row],[OpportunityID]],Opportunities[ID],Opportunities[OpportunityName])</f>
        <v>Compliance Management Tool</v>
      </c>
      <c r="K22" s="51" t="str">
        <f>_xlfn.XLOOKUP(transactions[[#This Row],[CustomerId]],Customers[Id],Customers[Customer Name])</f>
        <v>Mining Operations</v>
      </c>
      <c r="L22" s="51" t="str">
        <f>_xlfn.XLOOKUP(transactions[[#This Row],[OpportunityID]],Opportunities[ID],Opportunities[OpportunityOwner])</f>
        <v>Dr. Tech Advisor</v>
      </c>
      <c r="M22" s="51" t="str">
        <f ca="1">IF((transactions[[#This Row],[TransactionDate]]-TODAY())&lt;=366,transactions[[#This Row],[FQ]],"Out-year")</f>
        <v>FY27-Q1</v>
      </c>
      <c r="N22" s="55">
        <f>transactions[[#This Row],[UnWeighted]]/1000</f>
        <v>165.81366666666665</v>
      </c>
      <c r="O22" s="55">
        <f>transactions[[#This Row],[Weighted]]/1000</f>
        <v>33.162733333333328</v>
      </c>
      <c r="P22" s="55">
        <f>transactions[[#This Row],[$K Unweighted]]/1000</f>
        <v>0.16581366666666664</v>
      </c>
      <c r="Q22" s="55" t="b">
        <f ca="1">transactions[[#This Row],[TransactionDate]]&gt;TODAY()</f>
        <v>1</v>
      </c>
    </row>
    <row r="23" spans="1:17" x14ac:dyDescent="0.25">
      <c r="A23">
        <v>17</v>
      </c>
      <c r="B23">
        <v>19</v>
      </c>
      <c r="C23" s="31">
        <v>46090</v>
      </c>
      <c r="D2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3" s="51" t="str">
        <f>"CY"&amp;RIGHT(YEAR(transactions[[#This Row],[TransactionDate]]),2)&amp;"-Q"&amp;ROUNDUP(MONTH(transactions[[#This Row],[TransactionDate]])/3, 0)</f>
        <v>CY26-Q1</v>
      </c>
      <c r="F23" s="52">
        <f>transactions[[#This Row],[UnWeighted]]*_xlfn.XLOOKUP(transactions[[#This Row],[OpportunityID]],Opportunities[ID],Opportunities[WinProbabilityValue])</f>
        <v>9267.2333333333336</v>
      </c>
      <c r="G23"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3" s="51" t="str">
        <f>_xlfn.XLOOKUP(transactions[[#This Row],[OpportunityID]],Opportunities[ID],Opportunities[Status])</f>
        <v>Active</v>
      </c>
      <c r="I23" s="51" t="str">
        <f>_xlfn.XLOOKUP(transactions[[#This Row],[OpportunityID]],Opportunities[ID],Opportunities[Stage])</f>
        <v>Negotiation</v>
      </c>
      <c r="J23" s="51" t="str">
        <f>_xlfn.XLOOKUP(transactions[[#This Row],[OpportunityID]],Opportunities[ID],Opportunities[OpportunityName])</f>
        <v>Supply Chain Optimization</v>
      </c>
      <c r="K23" s="51" t="str">
        <f>_xlfn.XLOOKUP(transactions[[#This Row],[CustomerId]],Customers[Id],Customers[Customer Name])</f>
        <v>Hotel Management Group</v>
      </c>
      <c r="L23" s="51" t="str">
        <f>_xlfn.XLOOKUP(transactions[[#This Row],[OpportunityID]],Opportunities[ID],Opportunities[OpportunityOwner])</f>
        <v>Jennifer PM</v>
      </c>
      <c r="M23" s="51" t="str">
        <f ca="1">IF((transactions[[#This Row],[TransactionDate]]-TODAY())&lt;=366,transactions[[#This Row],[FQ]],"Out-year")</f>
        <v>FY27-Q1</v>
      </c>
      <c r="N23" s="55">
        <f>transactions[[#This Row],[UnWeighted]]/1000</f>
        <v>46.336166666666664</v>
      </c>
      <c r="O23" s="55">
        <f>transactions[[#This Row],[Weighted]]/1000</f>
        <v>9.2672333333333334</v>
      </c>
      <c r="P23" s="55">
        <f>transactions[[#This Row],[$K Unweighted]]/1000</f>
        <v>4.6336166666666664E-2</v>
      </c>
      <c r="Q23" s="55" t="b">
        <f ca="1">transactions[[#This Row],[TransactionDate]]&gt;TODAY()</f>
        <v>1</v>
      </c>
    </row>
    <row r="24" spans="1:17" x14ac:dyDescent="0.25">
      <c r="A24">
        <v>2</v>
      </c>
      <c r="B24">
        <v>10</v>
      </c>
      <c r="C24" s="31">
        <v>46098</v>
      </c>
      <c r="D2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4" s="51" t="str">
        <f>"CY"&amp;RIGHT(YEAR(transactions[[#This Row],[TransactionDate]]),2)&amp;"-Q"&amp;ROUNDUP(MONTH(transactions[[#This Row],[TransactionDate]])/3, 0)</f>
        <v>CY26-Q1</v>
      </c>
      <c r="F24" s="52">
        <f>transactions[[#This Row],[UnWeighted]]*_xlfn.XLOOKUP(transactions[[#This Row],[OpportunityID]],Opportunities[ID],Opportunities[WinProbabilityValue])</f>
        <v>20720.20930232558</v>
      </c>
      <c r="G24"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4" s="51" t="str">
        <f>_xlfn.XLOOKUP(transactions[[#This Row],[OpportunityID]],Opportunities[ID],Opportunities[Status])</f>
        <v>Active</v>
      </c>
      <c r="I24" s="51" t="str">
        <f>_xlfn.XLOOKUP(transactions[[#This Row],[OpportunityID]],Opportunities[ID],Opportunities[Stage])</f>
        <v>Proposal</v>
      </c>
      <c r="J24" s="51" t="str">
        <f>_xlfn.XLOOKUP(transactions[[#This Row],[OpportunityID]],Opportunities[ID],Opportunities[OpportunityName])</f>
        <v>Cloud Migration Initiative</v>
      </c>
      <c r="K24" s="51" t="str">
        <f>_xlfn.XLOOKUP(transactions[[#This Row],[CustomerId]],Customers[Id],Customers[Customer Name])</f>
        <v>Education First</v>
      </c>
      <c r="L24" s="51" t="str">
        <f>_xlfn.XLOOKUP(transactions[[#This Row],[OpportunityID]],Opportunities[ID],Opportunities[OpportunityOwner])</f>
        <v>Robert Analyst</v>
      </c>
      <c r="M24" s="51" t="str">
        <f ca="1">IF((transactions[[#This Row],[TransactionDate]]-TODAY())&lt;=366,transactions[[#This Row],[FQ]],"Out-year")</f>
        <v>FY27-Q1</v>
      </c>
      <c r="N24" s="55">
        <f>transactions[[#This Row],[UnWeighted]]/1000</f>
        <v>41.440418604651157</v>
      </c>
      <c r="O24" s="55">
        <f>transactions[[#This Row],[Weighted]]/1000</f>
        <v>20.720209302325578</v>
      </c>
      <c r="P24" s="55">
        <f>transactions[[#This Row],[$K Unweighted]]/1000</f>
        <v>4.1440418604651155E-2</v>
      </c>
      <c r="Q24" s="55" t="b">
        <f ca="1">transactions[[#This Row],[TransactionDate]]&gt;TODAY()</f>
        <v>1</v>
      </c>
    </row>
    <row r="25" spans="1:17" x14ac:dyDescent="0.25">
      <c r="A25">
        <v>20</v>
      </c>
      <c r="B25">
        <v>28</v>
      </c>
      <c r="C25" s="31">
        <v>46106</v>
      </c>
      <c r="D2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5" s="51" t="str">
        <f>"CY"&amp;RIGHT(YEAR(transactions[[#This Row],[TransactionDate]]),2)&amp;"-Q"&amp;ROUNDUP(MONTH(transactions[[#This Row],[TransactionDate]])/3, 0)</f>
        <v>CY26-Q1</v>
      </c>
      <c r="F25" s="52">
        <f>transactions[[#This Row],[UnWeighted]]*_xlfn.XLOOKUP(transactions[[#This Row],[OpportunityID]],Opportunities[ID],Opportunities[WinProbabilityValue])</f>
        <v>46457.040000000008</v>
      </c>
      <c r="G25" s="52">
        <f>_xlfn.XLOOKUP(transactions[[#This Row],[OpportunityID]],Opportunities[ID],Opportunities[Amount])/IF(_xlfn.XLOOKUP(transactions[[#This Row],[OpportunityID]],Opportunities[ID],Opportunities[Recurrences])=0,1,_xlfn.XLOOKUP(transactions[[#This Row],[OpportunityID]],Opportunities[ID],Opportunities[Recurrences]))</f>
        <v>232285.2</v>
      </c>
      <c r="H25" s="51" t="str">
        <f>_xlfn.XLOOKUP(transactions[[#This Row],[OpportunityID]],Opportunities[ID],Opportunities[Status])</f>
        <v>Critical</v>
      </c>
      <c r="I25" s="51" t="str">
        <f>_xlfn.XLOOKUP(transactions[[#This Row],[OpportunityID]],Opportunities[ID],Opportunities[Stage])</f>
        <v>Proposal</v>
      </c>
      <c r="J25" s="51" t="str">
        <f>_xlfn.XLOOKUP(transactions[[#This Row],[OpportunityID]],Opportunities[ID],Opportunities[OpportunityName])</f>
        <v>Marketing Automation Platform</v>
      </c>
      <c r="K25" s="51" t="str">
        <f>_xlfn.XLOOKUP(transactions[[#This Row],[CustomerId]],Customers[Id],Customers[Customer Name])</f>
        <v>Telecommunications Inc</v>
      </c>
      <c r="L25" s="51" t="str">
        <f>_xlfn.XLOOKUP(transactions[[#This Row],[OpportunityID]],Opportunities[ID],Opportunities[OpportunityOwner])</f>
        <v>Amanda Sales</v>
      </c>
      <c r="M25" s="51" t="str">
        <f ca="1">IF((transactions[[#This Row],[TransactionDate]]-TODAY())&lt;=366,transactions[[#This Row],[FQ]],"Out-year")</f>
        <v>FY27-Q1</v>
      </c>
      <c r="N25" s="55">
        <f>transactions[[#This Row],[UnWeighted]]/1000</f>
        <v>232.2852</v>
      </c>
      <c r="O25" s="55">
        <f>transactions[[#This Row],[Weighted]]/1000</f>
        <v>46.457040000000006</v>
      </c>
      <c r="P25" s="55">
        <f>transactions[[#This Row],[$K Unweighted]]/1000</f>
        <v>0.2322852</v>
      </c>
      <c r="Q25" s="55" t="b">
        <f ca="1">transactions[[#This Row],[TransactionDate]]&gt;TODAY()</f>
        <v>1</v>
      </c>
    </row>
    <row r="26" spans="1:17" x14ac:dyDescent="0.25">
      <c r="A26">
        <v>10</v>
      </c>
      <c r="B26">
        <v>30</v>
      </c>
      <c r="C26" s="31">
        <v>46118</v>
      </c>
      <c r="D2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6" s="51" t="str">
        <f>"CY"&amp;RIGHT(YEAR(transactions[[#This Row],[TransactionDate]]),2)&amp;"-Q"&amp;ROUNDUP(MONTH(transactions[[#This Row],[TransactionDate]])/3, 0)</f>
        <v>CY26-Q2</v>
      </c>
      <c r="F26" s="52">
        <f>transactions[[#This Row],[UnWeighted]]*_xlfn.XLOOKUP(transactions[[#This Row],[OpportunityID]],Opportunities[ID],Opportunities[WinProbabilityValue])</f>
        <v>542588</v>
      </c>
      <c r="G26" s="52">
        <f>_xlfn.XLOOKUP(transactions[[#This Row],[OpportunityID]],Opportunities[ID],Opportunities[Amount])/IF(_xlfn.XLOOKUP(transactions[[#This Row],[OpportunityID]],Opportunities[ID],Opportunities[Recurrences])=0,1,_xlfn.XLOOKUP(transactions[[#This Row],[OpportunityID]],Opportunities[ID],Opportunities[Recurrences]))</f>
        <v>1085176</v>
      </c>
      <c r="H26" s="51" t="str">
        <f>_xlfn.XLOOKUP(transactions[[#This Row],[OpportunityID]],Opportunities[ID],Opportunities[Status])</f>
        <v>Active</v>
      </c>
      <c r="I26" s="51" t="str">
        <f>_xlfn.XLOOKUP(transactions[[#This Row],[OpportunityID]],Opportunities[ID],Opportunities[Stage])</f>
        <v>Nurturing</v>
      </c>
      <c r="J26" s="51" t="str">
        <f>_xlfn.XLOOKUP(transactions[[#This Row],[OpportunityID]],Opportunities[ID],Opportunities[OpportunityName])</f>
        <v>Mobile Application Development</v>
      </c>
      <c r="K26" s="51" t="str">
        <f>_xlfn.XLOOKUP(transactions[[#This Row],[CustomerId]],Customers[Id],Customers[Customer Name])</f>
        <v>Consulting Experts</v>
      </c>
      <c r="L26" s="51" t="str">
        <f>_xlfn.XLOOKUP(transactions[[#This Row],[OpportunityID]],Opportunities[ID],Opportunities[OpportunityOwner])</f>
        <v>Amanda Sales</v>
      </c>
      <c r="M26" s="51" t="str">
        <f ca="1">IF((transactions[[#This Row],[TransactionDate]]-TODAY())&lt;=366,transactions[[#This Row],[FQ]],"Out-year")</f>
        <v>FY27-Q1</v>
      </c>
      <c r="N26" s="55">
        <f>transactions[[#This Row],[UnWeighted]]/1000</f>
        <v>1085.1759999999999</v>
      </c>
      <c r="O26" s="55">
        <f>transactions[[#This Row],[Weighted]]/1000</f>
        <v>542.58799999999997</v>
      </c>
      <c r="P26" s="55">
        <f>transactions[[#This Row],[$K Unweighted]]/1000</f>
        <v>1.0851759999999999</v>
      </c>
      <c r="Q26" s="55" t="b">
        <f ca="1">transactions[[#This Row],[TransactionDate]]&gt;TODAY()</f>
        <v>1</v>
      </c>
    </row>
    <row r="27" spans="1:17" x14ac:dyDescent="0.25">
      <c r="A27">
        <v>17</v>
      </c>
      <c r="B27">
        <v>19</v>
      </c>
      <c r="C27" s="31">
        <v>46121</v>
      </c>
      <c r="D2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7" s="51" t="str">
        <f>"CY"&amp;RIGHT(YEAR(transactions[[#This Row],[TransactionDate]]),2)&amp;"-Q"&amp;ROUNDUP(MONTH(transactions[[#This Row],[TransactionDate]])/3, 0)</f>
        <v>CY26-Q2</v>
      </c>
      <c r="F27" s="52">
        <f>transactions[[#This Row],[UnWeighted]]*_xlfn.XLOOKUP(transactions[[#This Row],[OpportunityID]],Opportunities[ID],Opportunities[WinProbabilityValue])</f>
        <v>9267.2333333333336</v>
      </c>
      <c r="G27"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7" s="51" t="str">
        <f>_xlfn.XLOOKUP(transactions[[#This Row],[OpportunityID]],Opportunities[ID],Opportunities[Status])</f>
        <v>Active</v>
      </c>
      <c r="I27" s="51" t="str">
        <f>_xlfn.XLOOKUP(transactions[[#This Row],[OpportunityID]],Opportunities[ID],Opportunities[Stage])</f>
        <v>Negotiation</v>
      </c>
      <c r="J27" s="51" t="str">
        <f>_xlfn.XLOOKUP(transactions[[#This Row],[OpportunityID]],Opportunities[ID],Opportunities[OpportunityName])</f>
        <v>Supply Chain Optimization</v>
      </c>
      <c r="K27" s="51" t="str">
        <f>_xlfn.XLOOKUP(transactions[[#This Row],[CustomerId]],Customers[Id],Customers[Customer Name])</f>
        <v>Hotel Management Group</v>
      </c>
      <c r="L27" s="51" t="str">
        <f>_xlfn.XLOOKUP(transactions[[#This Row],[OpportunityID]],Opportunities[ID],Opportunities[OpportunityOwner])</f>
        <v>Jennifer PM</v>
      </c>
      <c r="M27" s="51" t="str">
        <f ca="1">IF((transactions[[#This Row],[TransactionDate]]-TODAY())&lt;=366,transactions[[#This Row],[FQ]],"Out-year")</f>
        <v>FY27-Q1</v>
      </c>
      <c r="N27" s="55">
        <f>transactions[[#This Row],[UnWeighted]]/1000</f>
        <v>46.336166666666664</v>
      </c>
      <c r="O27" s="55">
        <f>transactions[[#This Row],[Weighted]]/1000</f>
        <v>9.2672333333333334</v>
      </c>
      <c r="P27" s="55">
        <f>transactions[[#This Row],[$K Unweighted]]/1000</f>
        <v>4.6336166666666664E-2</v>
      </c>
      <c r="Q27" s="55" t="b">
        <f ca="1">transactions[[#This Row],[TransactionDate]]&gt;TODAY()</f>
        <v>1</v>
      </c>
    </row>
    <row r="28" spans="1:17" x14ac:dyDescent="0.25">
      <c r="A28">
        <v>16</v>
      </c>
      <c r="B28">
        <v>22</v>
      </c>
      <c r="C28" s="31">
        <v>46123</v>
      </c>
      <c r="D2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8" s="51" t="str">
        <f>"CY"&amp;RIGHT(YEAR(transactions[[#This Row],[TransactionDate]]),2)&amp;"-Q"&amp;ROUNDUP(MONTH(transactions[[#This Row],[TransactionDate]])/3, 0)</f>
        <v>CY26-Q2</v>
      </c>
      <c r="F28" s="52">
        <f>transactions[[#This Row],[UnWeighted]]*_xlfn.XLOOKUP(transactions[[#This Row],[OpportunityID]],Opportunities[ID],Opportunities[WinProbabilityValue])</f>
        <v>59080.25</v>
      </c>
      <c r="G28" s="52">
        <f>_xlfn.XLOOKUP(transactions[[#This Row],[OpportunityID]],Opportunities[ID],Opportunities[Amount])/IF(_xlfn.XLOOKUP(transactions[[#This Row],[OpportunityID]],Opportunities[ID],Opportunities[Recurrences])=0,1,_xlfn.XLOOKUP(transactions[[#This Row],[OpportunityID]],Opportunities[ID],Opportunities[Recurrences]))</f>
        <v>118160.5</v>
      </c>
      <c r="H28" s="51" t="str">
        <f>_xlfn.XLOOKUP(transactions[[#This Row],[OpportunityID]],Opportunities[ID],Opportunities[Status])</f>
        <v>At Risk</v>
      </c>
      <c r="I28" s="51" t="str">
        <f>_xlfn.XLOOKUP(transactions[[#This Row],[OpportunityID]],Opportunities[ID],Opportunities[Stage])</f>
        <v>Proposal</v>
      </c>
      <c r="J28" s="51" t="str">
        <f>_xlfn.XLOOKUP(transactions[[#This Row],[OpportunityID]],Opportunities[ID],Opportunities[OpportunityName])</f>
        <v>Quality Management System</v>
      </c>
      <c r="K28" s="51" t="str">
        <f>_xlfn.XLOOKUP(transactions[[#This Row],[CustomerId]],Customers[Id],Customers[Customer Name])</f>
        <v>Environmental Services</v>
      </c>
      <c r="L28" s="51" t="str">
        <f>_xlfn.XLOOKUP(transactions[[#This Row],[OpportunityID]],Opportunities[ID],Opportunities[OpportunityOwner])</f>
        <v>John Manager</v>
      </c>
      <c r="M28" s="51" t="str">
        <f ca="1">IF((transactions[[#This Row],[TransactionDate]]-TODAY())&lt;=366,transactions[[#This Row],[FQ]],"Out-year")</f>
        <v>FY27-Q1</v>
      </c>
      <c r="N28" s="55">
        <f>transactions[[#This Row],[UnWeighted]]/1000</f>
        <v>118.1605</v>
      </c>
      <c r="O28" s="55">
        <f>transactions[[#This Row],[Weighted]]/1000</f>
        <v>59.080249999999999</v>
      </c>
      <c r="P28" s="55">
        <f>transactions[[#This Row],[$K Unweighted]]/1000</f>
        <v>0.1181605</v>
      </c>
      <c r="Q28" s="55" t="b">
        <f ca="1">transactions[[#This Row],[TransactionDate]]&gt;TODAY()</f>
        <v>1</v>
      </c>
    </row>
    <row r="29" spans="1:17" x14ac:dyDescent="0.25">
      <c r="A29">
        <v>2</v>
      </c>
      <c r="B29">
        <v>10</v>
      </c>
      <c r="C29" s="31">
        <v>46129</v>
      </c>
      <c r="D2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9" s="51" t="str">
        <f>"CY"&amp;RIGHT(YEAR(transactions[[#This Row],[TransactionDate]]),2)&amp;"-Q"&amp;ROUNDUP(MONTH(transactions[[#This Row],[TransactionDate]])/3, 0)</f>
        <v>CY26-Q2</v>
      </c>
      <c r="F29" s="52">
        <f>transactions[[#This Row],[UnWeighted]]*_xlfn.XLOOKUP(transactions[[#This Row],[OpportunityID]],Opportunities[ID],Opportunities[WinProbabilityValue])</f>
        <v>20720.20930232558</v>
      </c>
      <c r="G29"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9" s="51" t="str">
        <f>_xlfn.XLOOKUP(transactions[[#This Row],[OpportunityID]],Opportunities[ID],Opportunities[Status])</f>
        <v>Active</v>
      </c>
      <c r="I29" s="51" t="str">
        <f>_xlfn.XLOOKUP(transactions[[#This Row],[OpportunityID]],Opportunities[ID],Opportunities[Stage])</f>
        <v>Proposal</v>
      </c>
      <c r="J29" s="51" t="str">
        <f>_xlfn.XLOOKUP(transactions[[#This Row],[OpportunityID]],Opportunities[ID],Opportunities[OpportunityName])</f>
        <v>Cloud Migration Initiative</v>
      </c>
      <c r="K29" s="51" t="str">
        <f>_xlfn.XLOOKUP(transactions[[#This Row],[CustomerId]],Customers[Id],Customers[Customer Name])</f>
        <v>Education First</v>
      </c>
      <c r="L29" s="51" t="str">
        <f>_xlfn.XLOOKUP(transactions[[#This Row],[OpportunityID]],Opportunities[ID],Opportunities[OpportunityOwner])</f>
        <v>Robert Analyst</v>
      </c>
      <c r="M29" s="51" t="str">
        <f ca="1">IF((transactions[[#This Row],[TransactionDate]]-TODAY())&lt;=366,transactions[[#This Row],[FQ]],"Out-year")</f>
        <v>FY27-Q1</v>
      </c>
      <c r="N29" s="55">
        <f>transactions[[#This Row],[UnWeighted]]/1000</f>
        <v>41.440418604651157</v>
      </c>
      <c r="O29" s="55">
        <f>transactions[[#This Row],[Weighted]]/1000</f>
        <v>20.720209302325578</v>
      </c>
      <c r="P29" s="55">
        <f>transactions[[#This Row],[$K Unweighted]]/1000</f>
        <v>4.1440418604651155E-2</v>
      </c>
      <c r="Q29" s="55" t="b">
        <f ca="1">transactions[[#This Row],[TransactionDate]]&gt;TODAY()</f>
        <v>1</v>
      </c>
    </row>
    <row r="30" spans="1:17" x14ac:dyDescent="0.25">
      <c r="A30">
        <v>29</v>
      </c>
      <c r="B30">
        <v>10</v>
      </c>
      <c r="C30" s="31">
        <v>46150</v>
      </c>
      <c r="D3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0" s="51" t="str">
        <f>"CY"&amp;RIGHT(YEAR(transactions[[#This Row],[TransactionDate]]),2)&amp;"-Q"&amp;ROUNDUP(MONTH(transactions[[#This Row],[TransactionDate]])/3, 0)</f>
        <v>CY26-Q2</v>
      </c>
      <c r="F30" s="52">
        <f>transactions[[#This Row],[UnWeighted]]*_xlfn.XLOOKUP(transactions[[#This Row],[OpportunityID]],Opportunities[ID],Opportunities[WinProbabilityValue])</f>
        <v>150480.08333333334</v>
      </c>
      <c r="G30" s="52">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30" s="51" t="str">
        <f>_xlfn.XLOOKUP(transactions[[#This Row],[OpportunityID]],Opportunities[ID],Opportunities[Status])</f>
        <v>Active</v>
      </c>
      <c r="I30" s="51" t="str">
        <f>_xlfn.XLOOKUP(transactions[[#This Row],[OpportunityID]],Opportunities[ID],Opportunities[Stage])</f>
        <v>Project Execution</v>
      </c>
      <c r="J30" s="51" t="str">
        <f>_xlfn.XLOOKUP(transactions[[#This Row],[OpportunityID]],Opportunities[ID],Opportunities[OpportunityName])</f>
        <v>Social Media Management Tool</v>
      </c>
      <c r="K30" s="51" t="str">
        <f>_xlfn.XLOOKUP(transactions[[#This Row],[CustomerId]],Customers[Id],Customers[Customer Name])</f>
        <v>Education First</v>
      </c>
      <c r="L30" s="51" t="str">
        <f>_xlfn.XLOOKUP(transactions[[#This Row],[OpportunityID]],Opportunities[ID],Opportunities[OpportunityOwner])</f>
        <v>Maria Coordinator</v>
      </c>
      <c r="M30" s="51" t="str">
        <f ca="1">IF((transactions[[#This Row],[TransactionDate]]-TODAY())&lt;=366,transactions[[#This Row],[FQ]],"Out-year")</f>
        <v>FY27-Q2</v>
      </c>
      <c r="N30" s="55">
        <f>transactions[[#This Row],[UnWeighted]]/1000</f>
        <v>300.96016666666668</v>
      </c>
      <c r="O30" s="55">
        <f>transactions[[#This Row],[Weighted]]/1000</f>
        <v>150.48008333333334</v>
      </c>
      <c r="P30" s="55">
        <f>transactions[[#This Row],[$K Unweighted]]/1000</f>
        <v>0.3009601666666667</v>
      </c>
      <c r="Q30" s="55" t="b">
        <f ca="1">transactions[[#This Row],[TransactionDate]]&gt;TODAY()</f>
        <v>1</v>
      </c>
    </row>
    <row r="31" spans="1:17" x14ac:dyDescent="0.25">
      <c r="A31">
        <v>17</v>
      </c>
      <c r="B31">
        <v>19</v>
      </c>
      <c r="C31" s="31">
        <v>46151</v>
      </c>
      <c r="D3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1" s="51" t="str">
        <f>"CY"&amp;RIGHT(YEAR(transactions[[#This Row],[TransactionDate]]),2)&amp;"-Q"&amp;ROUNDUP(MONTH(transactions[[#This Row],[TransactionDate]])/3, 0)</f>
        <v>CY26-Q2</v>
      </c>
      <c r="F31" s="52">
        <f>transactions[[#This Row],[UnWeighted]]*_xlfn.XLOOKUP(transactions[[#This Row],[OpportunityID]],Opportunities[ID],Opportunities[WinProbabilityValue])</f>
        <v>9267.2333333333336</v>
      </c>
      <c r="G31"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1" s="51" t="str">
        <f>_xlfn.XLOOKUP(transactions[[#This Row],[OpportunityID]],Opportunities[ID],Opportunities[Status])</f>
        <v>Active</v>
      </c>
      <c r="I31" s="51" t="str">
        <f>_xlfn.XLOOKUP(transactions[[#This Row],[OpportunityID]],Opportunities[ID],Opportunities[Stage])</f>
        <v>Negotiation</v>
      </c>
      <c r="J31" s="51" t="str">
        <f>_xlfn.XLOOKUP(transactions[[#This Row],[OpportunityID]],Opportunities[ID],Opportunities[OpportunityName])</f>
        <v>Supply Chain Optimization</v>
      </c>
      <c r="K31" s="51" t="str">
        <f>_xlfn.XLOOKUP(transactions[[#This Row],[CustomerId]],Customers[Id],Customers[Customer Name])</f>
        <v>Hotel Management Group</v>
      </c>
      <c r="L31" s="51" t="str">
        <f>_xlfn.XLOOKUP(transactions[[#This Row],[OpportunityID]],Opportunities[ID],Opportunities[OpportunityOwner])</f>
        <v>Jennifer PM</v>
      </c>
      <c r="M31" s="51" t="str">
        <f ca="1">IF((transactions[[#This Row],[TransactionDate]]-TODAY())&lt;=366,transactions[[#This Row],[FQ]],"Out-year")</f>
        <v>FY27-Q2</v>
      </c>
      <c r="N31" s="55">
        <f>transactions[[#This Row],[UnWeighted]]/1000</f>
        <v>46.336166666666664</v>
      </c>
      <c r="O31" s="55">
        <f>transactions[[#This Row],[Weighted]]/1000</f>
        <v>9.2672333333333334</v>
      </c>
      <c r="P31" s="55">
        <f>transactions[[#This Row],[$K Unweighted]]/1000</f>
        <v>4.6336166666666664E-2</v>
      </c>
      <c r="Q31" s="55" t="b">
        <f ca="1">transactions[[#This Row],[TransactionDate]]&gt;TODAY()</f>
        <v>1</v>
      </c>
    </row>
    <row r="32" spans="1:17" x14ac:dyDescent="0.25">
      <c r="A32">
        <v>2</v>
      </c>
      <c r="B32">
        <v>10</v>
      </c>
      <c r="C32" s="31">
        <v>46159</v>
      </c>
      <c r="D3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2" s="51" t="str">
        <f>"CY"&amp;RIGHT(YEAR(transactions[[#This Row],[TransactionDate]]),2)&amp;"-Q"&amp;ROUNDUP(MONTH(transactions[[#This Row],[TransactionDate]])/3, 0)</f>
        <v>CY26-Q2</v>
      </c>
      <c r="F32" s="52">
        <f>transactions[[#This Row],[UnWeighted]]*_xlfn.XLOOKUP(transactions[[#This Row],[OpportunityID]],Opportunities[ID],Opportunities[WinProbabilityValue])</f>
        <v>20720.20930232558</v>
      </c>
      <c r="G32"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2" s="51" t="str">
        <f>_xlfn.XLOOKUP(transactions[[#This Row],[OpportunityID]],Opportunities[ID],Opportunities[Status])</f>
        <v>Active</v>
      </c>
      <c r="I32" s="51" t="str">
        <f>_xlfn.XLOOKUP(transactions[[#This Row],[OpportunityID]],Opportunities[ID],Opportunities[Stage])</f>
        <v>Proposal</v>
      </c>
      <c r="J32" s="51" t="str">
        <f>_xlfn.XLOOKUP(transactions[[#This Row],[OpportunityID]],Opportunities[ID],Opportunities[OpportunityName])</f>
        <v>Cloud Migration Initiative</v>
      </c>
      <c r="K32" s="51" t="str">
        <f>_xlfn.XLOOKUP(transactions[[#This Row],[CustomerId]],Customers[Id],Customers[Customer Name])</f>
        <v>Education First</v>
      </c>
      <c r="L32" s="51" t="str">
        <f>_xlfn.XLOOKUP(transactions[[#This Row],[OpportunityID]],Opportunities[ID],Opportunities[OpportunityOwner])</f>
        <v>Robert Analyst</v>
      </c>
      <c r="M32" s="51" t="str">
        <f ca="1">IF((transactions[[#This Row],[TransactionDate]]-TODAY())&lt;=366,transactions[[#This Row],[FQ]],"Out-year")</f>
        <v>FY27-Q2</v>
      </c>
      <c r="N32" s="55">
        <f>transactions[[#This Row],[UnWeighted]]/1000</f>
        <v>41.440418604651157</v>
      </c>
      <c r="O32" s="55">
        <f>transactions[[#This Row],[Weighted]]/1000</f>
        <v>20.720209302325578</v>
      </c>
      <c r="P32" s="55">
        <f>transactions[[#This Row],[$K Unweighted]]/1000</f>
        <v>4.1440418604651155E-2</v>
      </c>
      <c r="Q32" s="55" t="b">
        <f ca="1">transactions[[#This Row],[TransactionDate]]&gt;TODAY()</f>
        <v>1</v>
      </c>
    </row>
    <row r="33" spans="1:17" x14ac:dyDescent="0.25">
      <c r="A33">
        <v>37</v>
      </c>
      <c r="B33">
        <v>20</v>
      </c>
      <c r="C33" s="31">
        <v>46160</v>
      </c>
      <c r="D3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3" s="51" t="str">
        <f>"CY"&amp;RIGHT(YEAR(transactions[[#This Row],[TransactionDate]]),2)&amp;"-Q"&amp;ROUNDUP(MONTH(transactions[[#This Row],[TransactionDate]])/3, 0)</f>
        <v>CY26-Q2</v>
      </c>
      <c r="F33" s="52">
        <f>transactions[[#This Row],[UnWeighted]]*_xlfn.XLOOKUP(transactions[[#This Row],[OpportunityID]],Opportunities[ID],Opportunities[WinProbabilityValue])</f>
        <v>103010.25</v>
      </c>
      <c r="G33" s="52">
        <f>_xlfn.XLOOKUP(transactions[[#This Row],[OpportunityID]],Opportunities[ID],Opportunities[Amount])/IF(_xlfn.XLOOKUP(transactions[[#This Row],[OpportunityID]],Opportunities[ID],Opportunities[Recurrences])=0,1,_xlfn.XLOOKUP(transactions[[#This Row],[OpportunityID]],Opportunities[ID],Opportunities[Recurrences]))</f>
        <v>206020.5</v>
      </c>
      <c r="H33" s="51" t="str">
        <f>_xlfn.XLOOKUP(transactions[[#This Row],[OpportunityID]],Opportunities[ID],Opportunities[Status])</f>
        <v>Active</v>
      </c>
      <c r="I33" s="51" t="str">
        <f>_xlfn.XLOOKUP(transactions[[#This Row],[OpportunityID]],Opportunities[ID],Opportunities[Stage])</f>
        <v>Nurturing</v>
      </c>
      <c r="J33" s="51" t="str">
        <f>_xlfn.XLOOKUP(transactions[[#This Row],[OpportunityID]],Opportunities[ID],Opportunities[OpportunityName])</f>
        <v>Database Migration Project</v>
      </c>
      <c r="K33" s="51" t="str">
        <f>_xlfn.XLOOKUP(transactions[[#This Row],[CustomerId]],Customers[Id],Customers[Customer Name])</f>
        <v>Automotive Parts Plus</v>
      </c>
      <c r="L33" s="51" t="str">
        <f>_xlfn.XLOOKUP(transactions[[#This Row],[OpportunityID]],Opportunities[ID],Opportunities[OpportunityOwner])</f>
        <v>Lisa Engineer</v>
      </c>
      <c r="M33" s="51" t="str">
        <f ca="1">IF((transactions[[#This Row],[TransactionDate]]-TODAY())&lt;=366,transactions[[#This Row],[FQ]],"Out-year")</f>
        <v>FY27-Q2</v>
      </c>
      <c r="N33" s="55">
        <f>transactions[[#This Row],[UnWeighted]]/1000</f>
        <v>206.0205</v>
      </c>
      <c r="O33" s="55">
        <f>transactions[[#This Row],[Weighted]]/1000</f>
        <v>103.01025</v>
      </c>
      <c r="P33" s="55">
        <f>transactions[[#This Row],[$K Unweighted]]/1000</f>
        <v>0.2060205</v>
      </c>
      <c r="Q33" s="55" t="b">
        <f ca="1">transactions[[#This Row],[TransactionDate]]&gt;TODAY()</f>
        <v>1</v>
      </c>
    </row>
    <row r="34" spans="1:17" x14ac:dyDescent="0.25">
      <c r="A34">
        <v>23</v>
      </c>
      <c r="B34">
        <v>11</v>
      </c>
      <c r="C34" s="31">
        <v>46162</v>
      </c>
      <c r="D3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4" s="51" t="str">
        <f>"CY"&amp;RIGHT(YEAR(transactions[[#This Row],[TransactionDate]]),2)&amp;"-Q"&amp;ROUNDUP(MONTH(transactions[[#This Row],[TransactionDate]])/3, 0)</f>
        <v>CY26-Q2</v>
      </c>
      <c r="F34" s="52">
        <f>transactions[[#This Row],[UnWeighted]]*_xlfn.XLOOKUP(transactions[[#This Row],[OpportunityID]],Opportunities[ID],Opportunities[WinProbabilityValue])</f>
        <v>25249.37777777778</v>
      </c>
      <c r="G34" s="52">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34" s="51" t="str">
        <f>_xlfn.XLOOKUP(transactions[[#This Row],[OpportunityID]],Opportunities[ID],Opportunities[Status])</f>
        <v>Critical</v>
      </c>
      <c r="I34" s="51" t="str">
        <f>_xlfn.XLOOKUP(transactions[[#This Row],[OpportunityID]],Opportunities[ID],Opportunities[Stage])</f>
        <v>Negotiation</v>
      </c>
      <c r="J34" s="51" t="str">
        <f>_xlfn.XLOOKUP(transactions[[#This Row],[OpportunityID]],Opportunities[ID],Opportunities[OpportunityName])</f>
        <v>Point of Sale System</v>
      </c>
      <c r="K34" s="51" t="str">
        <f>_xlfn.XLOOKUP(transactions[[#This Row],[CustomerId]],Customers[Id],Customers[Customer Name])</f>
        <v>Transport Logistics</v>
      </c>
      <c r="L34" s="51" t="str">
        <f>_xlfn.XLOOKUP(transactions[[#This Row],[OpportunityID]],Opportunities[ID],Opportunities[OpportunityOwner])</f>
        <v>David Specialist</v>
      </c>
      <c r="M34" s="51" t="str">
        <f ca="1">IF((transactions[[#This Row],[TransactionDate]]-TODAY())&lt;=366,transactions[[#This Row],[FQ]],"Out-year")</f>
        <v>FY27-Q2</v>
      </c>
      <c r="N34" s="55">
        <f>transactions[[#This Row],[UnWeighted]]/1000</f>
        <v>126.24688888888889</v>
      </c>
      <c r="O34" s="55">
        <f>transactions[[#This Row],[Weighted]]/1000</f>
        <v>25.249377777777781</v>
      </c>
      <c r="P34" s="55">
        <f>transactions[[#This Row],[$K Unweighted]]/1000</f>
        <v>0.12624688888888888</v>
      </c>
      <c r="Q34" s="55" t="b">
        <f ca="1">transactions[[#This Row],[TransactionDate]]&gt;TODAY()</f>
        <v>1</v>
      </c>
    </row>
    <row r="35" spans="1:17" x14ac:dyDescent="0.25">
      <c r="A35">
        <v>31</v>
      </c>
      <c r="B35">
        <v>15</v>
      </c>
      <c r="C35" s="31">
        <v>46164</v>
      </c>
      <c r="D3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5" s="51" t="str">
        <f>"CY"&amp;RIGHT(YEAR(transactions[[#This Row],[TransactionDate]]),2)&amp;"-Q"&amp;ROUNDUP(MONTH(transactions[[#This Row],[TransactionDate]])/3, 0)</f>
        <v>CY26-Q2</v>
      </c>
      <c r="F35" s="52">
        <f>transactions[[#This Row],[UnWeighted]]*_xlfn.XLOOKUP(transactions[[#This Row],[OpportunityID]],Opportunities[ID],Opportunities[WinProbabilityValue])</f>
        <v>19221.625</v>
      </c>
      <c r="G35" s="52">
        <f>_xlfn.XLOOKUP(transactions[[#This Row],[OpportunityID]],Opportunities[ID],Opportunities[Amount])/IF(_xlfn.XLOOKUP(transactions[[#This Row],[OpportunityID]],Opportunities[ID],Opportunities[Recurrences])=0,1,_xlfn.XLOOKUP(transactions[[#This Row],[OpportunityID]],Opportunities[ID],Opportunities[Recurrences]))</f>
        <v>96108.125</v>
      </c>
      <c r="H35" s="51" t="str">
        <f>_xlfn.XLOOKUP(transactions[[#This Row],[OpportunityID]],Opportunities[ID],Opportunities[Status])</f>
        <v>At Risk</v>
      </c>
      <c r="I35" s="51" t="str">
        <f>_xlfn.XLOOKUP(transactions[[#This Row],[OpportunityID]],Opportunities[ID],Opportunities[Stage])</f>
        <v>Negotiation</v>
      </c>
      <c r="J35" s="51" t="str">
        <f>_xlfn.XLOOKUP(transactions[[#This Row],[OpportunityID]],Opportunities[ID],Opportunities[OpportunityName])</f>
        <v>Fleet Management System</v>
      </c>
      <c r="K35" s="51" t="str">
        <f>_xlfn.XLOOKUP(transactions[[#This Row],[CustomerId]],Customers[Id],Customers[Customer Name])</f>
        <v>Pharmaceutical Research</v>
      </c>
      <c r="L35" s="51" t="str">
        <f>_xlfn.XLOOKUP(transactions[[#This Row],[OpportunityID]],Opportunities[ID],Opportunities[OpportunityOwner])</f>
        <v>Amanda Sales</v>
      </c>
      <c r="M35" s="51" t="str">
        <f ca="1">IF((transactions[[#This Row],[TransactionDate]]-TODAY())&lt;=366,transactions[[#This Row],[FQ]],"Out-year")</f>
        <v>FY27-Q2</v>
      </c>
      <c r="N35" s="55">
        <f>transactions[[#This Row],[UnWeighted]]/1000</f>
        <v>96.108125000000001</v>
      </c>
      <c r="O35" s="55">
        <f>transactions[[#This Row],[Weighted]]/1000</f>
        <v>19.221625</v>
      </c>
      <c r="P35" s="55">
        <f>transactions[[#This Row],[$K Unweighted]]/1000</f>
        <v>9.6108125000000003E-2</v>
      </c>
      <c r="Q35" s="55" t="b">
        <f ca="1">transactions[[#This Row],[TransactionDate]]&gt;TODAY()</f>
        <v>1</v>
      </c>
    </row>
    <row r="36" spans="1:17" x14ac:dyDescent="0.25">
      <c r="A36">
        <v>21</v>
      </c>
      <c r="B36">
        <v>1</v>
      </c>
      <c r="C36" s="31">
        <v>46174</v>
      </c>
      <c r="D3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6" s="51" t="str">
        <f>"CY"&amp;RIGHT(YEAR(transactions[[#This Row],[TransactionDate]]),2)&amp;"-Q"&amp;ROUNDUP(MONTH(transactions[[#This Row],[TransactionDate]])/3, 0)</f>
        <v>CY26-Q2</v>
      </c>
      <c r="F36" s="52">
        <f>transactions[[#This Row],[UnWeighted]]*_xlfn.XLOOKUP(transactions[[#This Row],[OpportunityID]],Opportunities[ID],Opportunities[WinProbabilityValue])</f>
        <v>128865.60000000001</v>
      </c>
      <c r="G36" s="52">
        <f>_xlfn.XLOOKUP(transactions[[#This Row],[OpportunityID]],Opportunities[ID],Opportunities[Amount])/IF(_xlfn.XLOOKUP(transactions[[#This Row],[OpportunityID]],Opportunities[ID],Opportunities[Recurrences])=0,1,_xlfn.XLOOKUP(transactions[[#This Row],[OpportunityID]],Opportunities[ID],Opportunities[Recurrences]))</f>
        <v>143184</v>
      </c>
      <c r="H36" s="51" t="str">
        <f>_xlfn.XLOOKUP(transactions[[#This Row],[OpportunityID]],Opportunities[ID],Opportunities[Status])</f>
        <v>Active</v>
      </c>
      <c r="I36" s="51" t="str">
        <f>_xlfn.XLOOKUP(transactions[[#This Row],[OpportunityID]],Opportunities[ID],Opportunities[Stage])</f>
        <v>Closeout</v>
      </c>
      <c r="J36" s="51" t="str">
        <f>_xlfn.XLOOKUP(transactions[[#This Row],[OpportunityID]],Opportunities[ID],Opportunities[OpportunityName])</f>
        <v>CRM System Upgrade</v>
      </c>
      <c r="K36" s="51" t="str">
        <f>_xlfn.XLOOKUP(transactions[[#This Row],[CustomerId]],Customers[Id],Customers[Customer Name])</f>
        <v>ACME Corporation</v>
      </c>
      <c r="L36" s="51" t="str">
        <f>_xlfn.XLOOKUP(transactions[[#This Row],[OpportunityID]],Opportunities[ID],Opportunities[OpportunityOwner])</f>
        <v>Jennifer PM</v>
      </c>
      <c r="M36" s="51" t="str">
        <f ca="1">IF((transactions[[#This Row],[TransactionDate]]-TODAY())&lt;=366,transactions[[#This Row],[FQ]],"Out-year")</f>
        <v>FY27-Q2</v>
      </c>
      <c r="N36" s="55">
        <f>transactions[[#This Row],[UnWeighted]]/1000</f>
        <v>143.184</v>
      </c>
      <c r="O36" s="55">
        <f>transactions[[#This Row],[Weighted]]/1000</f>
        <v>128.8656</v>
      </c>
      <c r="P36" s="55">
        <f>transactions[[#This Row],[$K Unweighted]]/1000</f>
        <v>0.14318400000000001</v>
      </c>
      <c r="Q36" s="55" t="b">
        <f ca="1">transactions[[#This Row],[TransactionDate]]&gt;TODAY()</f>
        <v>1</v>
      </c>
    </row>
    <row r="37" spans="1:17" x14ac:dyDescent="0.25">
      <c r="A37">
        <v>8</v>
      </c>
      <c r="B37">
        <v>13</v>
      </c>
      <c r="C37" s="31">
        <v>46175</v>
      </c>
      <c r="D3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7" s="51" t="str">
        <f>"CY"&amp;RIGHT(YEAR(transactions[[#This Row],[TransactionDate]]),2)&amp;"-Q"&amp;ROUNDUP(MONTH(transactions[[#This Row],[TransactionDate]])/3, 0)</f>
        <v>CY26-Q2</v>
      </c>
      <c r="F37" s="52">
        <f>transactions[[#This Row],[UnWeighted]]*_xlfn.XLOOKUP(transactions[[#This Row],[OpportunityID]],Opportunities[ID],Opportunities[WinProbabilityValue])</f>
        <v>62725.125</v>
      </c>
      <c r="G37" s="52">
        <f>_xlfn.XLOOKUP(transactions[[#This Row],[OpportunityID]],Opportunities[ID],Opportunities[Amount])/IF(_xlfn.XLOOKUP(transactions[[#This Row],[OpportunityID]],Opportunities[ID],Opportunities[Recurrences])=0,1,_xlfn.XLOOKUP(transactions[[#This Row],[OpportunityID]],Opportunities[ID],Opportunities[Recurrences]))</f>
        <v>125450.25</v>
      </c>
      <c r="H37" s="51" t="str">
        <f>_xlfn.XLOOKUP(transactions[[#This Row],[OpportunityID]],Opportunities[ID],Opportunities[Status])</f>
        <v>Active</v>
      </c>
      <c r="I37" s="51" t="str">
        <f>_xlfn.XLOOKUP(transactions[[#This Row],[OpportunityID]],Opportunities[ID],Opportunities[Stage])</f>
        <v>Closeout</v>
      </c>
      <c r="J37" s="51" t="str">
        <f>_xlfn.XLOOKUP(transactions[[#This Row],[OpportunityID]],Opportunities[ID],Opportunities[OpportunityName])</f>
        <v>Business Intelligence Solution</v>
      </c>
      <c r="K37" s="51" t="str">
        <f>_xlfn.XLOOKUP(transactions[[#This Row],[CustomerId]],Customers[Id],Customers[Customer Name])</f>
        <v>Professional Services Group</v>
      </c>
      <c r="L37" s="51" t="str">
        <f>_xlfn.XLOOKUP(transactions[[#This Row],[OpportunityID]],Opportunities[ID],Opportunities[OpportunityOwner])</f>
        <v>Sarah Director</v>
      </c>
      <c r="M37" s="51" t="str">
        <f ca="1">IF((transactions[[#This Row],[TransactionDate]]-TODAY())&lt;=366,transactions[[#This Row],[FQ]],"Out-year")</f>
        <v>FY27-Q2</v>
      </c>
      <c r="N37" s="55">
        <f>transactions[[#This Row],[UnWeighted]]/1000</f>
        <v>125.45025</v>
      </c>
      <c r="O37" s="55">
        <f>transactions[[#This Row],[Weighted]]/1000</f>
        <v>62.725124999999998</v>
      </c>
      <c r="P37" s="55">
        <f>transactions[[#This Row],[$K Unweighted]]/1000</f>
        <v>0.12545024999999999</v>
      </c>
      <c r="Q37" s="55" t="b">
        <f ca="1">transactions[[#This Row],[TransactionDate]]&gt;TODAY()</f>
        <v>1</v>
      </c>
    </row>
    <row r="38" spans="1:17" x14ac:dyDescent="0.25">
      <c r="A38">
        <v>17</v>
      </c>
      <c r="B38">
        <v>19</v>
      </c>
      <c r="C38" s="31">
        <v>46182</v>
      </c>
      <c r="D3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8" s="51" t="str">
        <f>"CY"&amp;RIGHT(YEAR(transactions[[#This Row],[TransactionDate]]),2)&amp;"-Q"&amp;ROUNDUP(MONTH(transactions[[#This Row],[TransactionDate]])/3, 0)</f>
        <v>CY26-Q2</v>
      </c>
      <c r="F38" s="52">
        <f>transactions[[#This Row],[UnWeighted]]*_xlfn.XLOOKUP(transactions[[#This Row],[OpportunityID]],Opportunities[ID],Opportunities[WinProbabilityValue])</f>
        <v>9267.2333333333336</v>
      </c>
      <c r="G38"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8" s="51" t="str">
        <f>_xlfn.XLOOKUP(transactions[[#This Row],[OpportunityID]],Opportunities[ID],Opportunities[Status])</f>
        <v>Active</v>
      </c>
      <c r="I38" s="51" t="str">
        <f>_xlfn.XLOOKUP(transactions[[#This Row],[OpportunityID]],Opportunities[ID],Opportunities[Stage])</f>
        <v>Negotiation</v>
      </c>
      <c r="J38" s="51" t="str">
        <f>_xlfn.XLOOKUP(transactions[[#This Row],[OpportunityID]],Opportunities[ID],Opportunities[OpportunityName])</f>
        <v>Supply Chain Optimization</v>
      </c>
      <c r="K38" s="51" t="str">
        <f>_xlfn.XLOOKUP(transactions[[#This Row],[CustomerId]],Customers[Id],Customers[Customer Name])</f>
        <v>Hotel Management Group</v>
      </c>
      <c r="L38" s="51" t="str">
        <f>_xlfn.XLOOKUP(transactions[[#This Row],[OpportunityID]],Opportunities[ID],Opportunities[OpportunityOwner])</f>
        <v>Jennifer PM</v>
      </c>
      <c r="M38" s="51" t="str">
        <f ca="1">IF((transactions[[#This Row],[TransactionDate]]-TODAY())&lt;=366,transactions[[#This Row],[FQ]],"Out-year")</f>
        <v>FY27-Q2</v>
      </c>
      <c r="N38" s="55">
        <f>transactions[[#This Row],[UnWeighted]]/1000</f>
        <v>46.336166666666664</v>
      </c>
      <c r="O38" s="55">
        <f>transactions[[#This Row],[Weighted]]/1000</f>
        <v>9.2672333333333334</v>
      </c>
      <c r="P38" s="55">
        <f>transactions[[#This Row],[$K Unweighted]]/1000</f>
        <v>4.6336166666666664E-2</v>
      </c>
      <c r="Q38" s="55" t="b">
        <f ca="1">transactions[[#This Row],[TransactionDate]]&gt;TODAY()</f>
        <v>1</v>
      </c>
    </row>
    <row r="39" spans="1:17" x14ac:dyDescent="0.25">
      <c r="A39">
        <v>1</v>
      </c>
      <c r="B39">
        <v>18</v>
      </c>
      <c r="C39" s="31">
        <v>46190</v>
      </c>
      <c r="D3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9" s="51" t="str">
        <f>"CY"&amp;RIGHT(YEAR(transactions[[#This Row],[TransactionDate]]),2)&amp;"-Q"&amp;ROUNDUP(MONTH(transactions[[#This Row],[TransactionDate]])/3, 0)</f>
        <v>CY26-Q2</v>
      </c>
      <c r="F39" s="52">
        <f>transactions[[#This Row],[UnWeighted]]*_xlfn.XLOOKUP(transactions[[#This Row],[OpportunityID]],Opportunities[ID],Opportunities[WinProbabilityValue])</f>
        <v>49601.433333333334</v>
      </c>
      <c r="G39" s="52">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39" s="51" t="str">
        <f>_xlfn.XLOOKUP(transactions[[#This Row],[OpportunityID]],Opportunities[ID],Opportunities[Status])</f>
        <v>Active</v>
      </c>
      <c r="I39" s="51" t="str">
        <f>_xlfn.XLOOKUP(transactions[[#This Row],[OpportunityID]],Opportunities[ID],Opportunities[Stage])</f>
        <v>Lead Qualification</v>
      </c>
      <c r="J39" s="51" t="str">
        <f>_xlfn.XLOOKUP(transactions[[#This Row],[OpportunityID]],Opportunities[ID],Opportunities[OpportunityName])</f>
        <v>ERP Implementation Project</v>
      </c>
      <c r="K39" s="51" t="str">
        <f>_xlfn.XLOOKUP(transactions[[#This Row],[CustomerId]],Customers[Id],Customers[Customer Name])</f>
        <v>Agricultural Systems</v>
      </c>
      <c r="L39" s="51" t="str">
        <f>_xlfn.XLOOKUP(transactions[[#This Row],[OpportunityID]],Opportunities[ID],Opportunities[OpportunityOwner])</f>
        <v>Amanda Sales</v>
      </c>
      <c r="M39" s="51" t="str">
        <f ca="1">IF((transactions[[#This Row],[TransactionDate]]-TODAY())&lt;=366,transactions[[#This Row],[FQ]],"Out-year")</f>
        <v>FY27-Q2</v>
      </c>
      <c r="N39" s="55">
        <f>transactions[[#This Row],[UnWeighted]]/1000</f>
        <v>248.00716666666665</v>
      </c>
      <c r="O39" s="55">
        <f>transactions[[#This Row],[Weighted]]/1000</f>
        <v>49.601433333333333</v>
      </c>
      <c r="P39" s="55">
        <f>transactions[[#This Row],[$K Unweighted]]/1000</f>
        <v>0.24800716666666664</v>
      </c>
      <c r="Q39" s="55" t="b">
        <f ca="1">transactions[[#This Row],[TransactionDate]]&gt;TODAY()</f>
        <v>1</v>
      </c>
    </row>
    <row r="40" spans="1:17" x14ac:dyDescent="0.25">
      <c r="A40">
        <v>2</v>
      </c>
      <c r="B40">
        <v>10</v>
      </c>
      <c r="C40" s="31">
        <v>46190</v>
      </c>
      <c r="D4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0" s="51" t="str">
        <f>"CY"&amp;RIGHT(YEAR(transactions[[#This Row],[TransactionDate]]),2)&amp;"-Q"&amp;ROUNDUP(MONTH(transactions[[#This Row],[TransactionDate]])/3, 0)</f>
        <v>CY26-Q2</v>
      </c>
      <c r="F40" s="52">
        <f>transactions[[#This Row],[UnWeighted]]*_xlfn.XLOOKUP(transactions[[#This Row],[OpportunityID]],Opportunities[ID],Opportunities[WinProbabilityValue])</f>
        <v>20720.20930232558</v>
      </c>
      <c r="G40"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0" s="51" t="str">
        <f>_xlfn.XLOOKUP(transactions[[#This Row],[OpportunityID]],Opportunities[ID],Opportunities[Status])</f>
        <v>Active</v>
      </c>
      <c r="I40" s="51" t="str">
        <f>_xlfn.XLOOKUP(transactions[[#This Row],[OpportunityID]],Opportunities[ID],Opportunities[Stage])</f>
        <v>Proposal</v>
      </c>
      <c r="J40" s="51" t="str">
        <f>_xlfn.XLOOKUP(transactions[[#This Row],[OpportunityID]],Opportunities[ID],Opportunities[OpportunityName])</f>
        <v>Cloud Migration Initiative</v>
      </c>
      <c r="K40" s="51" t="str">
        <f>_xlfn.XLOOKUP(transactions[[#This Row],[CustomerId]],Customers[Id],Customers[Customer Name])</f>
        <v>Education First</v>
      </c>
      <c r="L40" s="51" t="str">
        <f>_xlfn.XLOOKUP(transactions[[#This Row],[OpportunityID]],Opportunities[ID],Opportunities[OpportunityOwner])</f>
        <v>Robert Analyst</v>
      </c>
      <c r="M40" s="51" t="str">
        <f ca="1">IF((transactions[[#This Row],[TransactionDate]]-TODAY())&lt;=366,transactions[[#This Row],[FQ]],"Out-year")</f>
        <v>FY27-Q2</v>
      </c>
      <c r="N40" s="55">
        <f>transactions[[#This Row],[UnWeighted]]/1000</f>
        <v>41.440418604651157</v>
      </c>
      <c r="O40" s="55">
        <f>transactions[[#This Row],[Weighted]]/1000</f>
        <v>20.720209302325578</v>
      </c>
      <c r="P40" s="55">
        <f>transactions[[#This Row],[$K Unweighted]]/1000</f>
        <v>4.1440418604651155E-2</v>
      </c>
      <c r="Q40" s="55" t="b">
        <f ca="1">transactions[[#This Row],[TransactionDate]]&gt;TODAY()</f>
        <v>1</v>
      </c>
    </row>
    <row r="41" spans="1:17" x14ac:dyDescent="0.25">
      <c r="A41">
        <v>6</v>
      </c>
      <c r="B41">
        <v>13</v>
      </c>
      <c r="C41" s="31">
        <v>46199</v>
      </c>
      <c r="D4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1" s="51" t="str">
        <f>"CY"&amp;RIGHT(YEAR(transactions[[#This Row],[TransactionDate]]),2)&amp;"-Q"&amp;ROUNDUP(MONTH(transactions[[#This Row],[TransactionDate]])/3, 0)</f>
        <v>CY26-Q2</v>
      </c>
      <c r="F41" s="52">
        <f>transactions[[#This Row],[UnWeighted]]*_xlfn.XLOOKUP(transactions[[#This Row],[OpportunityID]],Opportunities[ID],Opportunities[WinProbabilityValue])</f>
        <v>37550.227272727272</v>
      </c>
      <c r="G41" s="52">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41" s="51" t="str">
        <f>_xlfn.XLOOKUP(transactions[[#This Row],[OpportunityID]],Opportunities[ID],Opportunities[Status])</f>
        <v>Active</v>
      </c>
      <c r="I41" s="51" t="str">
        <f>_xlfn.XLOOKUP(transactions[[#This Row],[OpportunityID]],Opportunities[ID],Opportunities[Stage])</f>
        <v>Project Execution</v>
      </c>
      <c r="J41" s="51" t="str">
        <f>_xlfn.XLOOKUP(transactions[[#This Row],[OpportunityID]],Opportunities[ID],Opportunities[OpportunityName])</f>
        <v>Digital Transformation Project</v>
      </c>
      <c r="K41" s="51" t="str">
        <f>_xlfn.XLOOKUP(transactions[[#This Row],[CustomerId]],Customers[Id],Customers[Customer Name])</f>
        <v>Professional Services Group</v>
      </c>
      <c r="L41" s="51" t="str">
        <f>_xlfn.XLOOKUP(transactions[[#This Row],[OpportunityID]],Opportunities[ID],Opportunities[OpportunityOwner])</f>
        <v>Robert Analyst</v>
      </c>
      <c r="M41" s="51" t="str">
        <f ca="1">IF((transactions[[#This Row],[TransactionDate]]-TODAY())&lt;=366,transactions[[#This Row],[FQ]],"Out-year")</f>
        <v>FY27-Q2</v>
      </c>
      <c r="N41" s="55">
        <f>transactions[[#This Row],[UnWeighted]]/1000</f>
        <v>75.100454545454539</v>
      </c>
      <c r="O41" s="55">
        <f>transactions[[#This Row],[Weighted]]/1000</f>
        <v>37.55022727272727</v>
      </c>
      <c r="P41" s="55">
        <f>transactions[[#This Row],[$K Unweighted]]/1000</f>
        <v>7.510045454545454E-2</v>
      </c>
      <c r="Q41" s="55" t="b">
        <f ca="1">transactions[[#This Row],[TransactionDate]]&gt;TODAY()</f>
        <v>1</v>
      </c>
    </row>
    <row r="42" spans="1:17" x14ac:dyDescent="0.25">
      <c r="A42">
        <v>17</v>
      </c>
      <c r="B42">
        <v>19</v>
      </c>
      <c r="C42" s="31">
        <v>46212</v>
      </c>
      <c r="D4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2" s="51" t="str">
        <f>"CY"&amp;RIGHT(YEAR(transactions[[#This Row],[TransactionDate]]),2)&amp;"-Q"&amp;ROUNDUP(MONTH(transactions[[#This Row],[TransactionDate]])/3, 0)</f>
        <v>CY26-Q3</v>
      </c>
      <c r="F42" s="52">
        <f>transactions[[#This Row],[UnWeighted]]*_xlfn.XLOOKUP(transactions[[#This Row],[OpportunityID]],Opportunities[ID],Opportunities[WinProbabilityValue])</f>
        <v>9267.2333333333336</v>
      </c>
      <c r="G42"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42" s="51" t="str">
        <f>_xlfn.XLOOKUP(transactions[[#This Row],[OpportunityID]],Opportunities[ID],Opportunities[Status])</f>
        <v>Active</v>
      </c>
      <c r="I42" s="51" t="str">
        <f>_xlfn.XLOOKUP(transactions[[#This Row],[OpportunityID]],Opportunities[ID],Opportunities[Stage])</f>
        <v>Negotiation</v>
      </c>
      <c r="J42" s="51" t="str">
        <f>_xlfn.XLOOKUP(transactions[[#This Row],[OpportunityID]],Opportunities[ID],Opportunities[OpportunityName])</f>
        <v>Supply Chain Optimization</v>
      </c>
      <c r="K42" s="51" t="str">
        <f>_xlfn.XLOOKUP(transactions[[#This Row],[CustomerId]],Customers[Id],Customers[Customer Name])</f>
        <v>Hotel Management Group</v>
      </c>
      <c r="L42" s="51" t="str">
        <f>_xlfn.XLOOKUP(transactions[[#This Row],[OpportunityID]],Opportunities[ID],Opportunities[OpportunityOwner])</f>
        <v>Jennifer PM</v>
      </c>
      <c r="M42" s="51" t="str">
        <f ca="1">IF((transactions[[#This Row],[TransactionDate]]-TODAY())&lt;=366,transactions[[#This Row],[FQ]],"Out-year")</f>
        <v>FY27-Q2</v>
      </c>
      <c r="N42" s="55">
        <f>transactions[[#This Row],[UnWeighted]]/1000</f>
        <v>46.336166666666664</v>
      </c>
      <c r="O42" s="55">
        <f>transactions[[#This Row],[Weighted]]/1000</f>
        <v>9.2672333333333334</v>
      </c>
      <c r="P42" s="55">
        <f>transactions[[#This Row],[$K Unweighted]]/1000</f>
        <v>4.6336166666666664E-2</v>
      </c>
      <c r="Q42" s="55" t="b">
        <f ca="1">transactions[[#This Row],[TransactionDate]]&gt;TODAY()</f>
        <v>1</v>
      </c>
    </row>
    <row r="43" spans="1:17" x14ac:dyDescent="0.25">
      <c r="A43">
        <v>16</v>
      </c>
      <c r="B43">
        <v>22</v>
      </c>
      <c r="C43" s="31">
        <v>46214</v>
      </c>
      <c r="D4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3" s="51" t="str">
        <f>"CY"&amp;RIGHT(YEAR(transactions[[#This Row],[TransactionDate]]),2)&amp;"-Q"&amp;ROUNDUP(MONTH(transactions[[#This Row],[TransactionDate]])/3, 0)</f>
        <v>CY26-Q3</v>
      </c>
      <c r="F43" s="52">
        <f>transactions[[#This Row],[UnWeighted]]*_xlfn.XLOOKUP(transactions[[#This Row],[OpportunityID]],Opportunities[ID],Opportunities[WinProbabilityValue])</f>
        <v>59080.25</v>
      </c>
      <c r="G43" s="52">
        <f>_xlfn.XLOOKUP(transactions[[#This Row],[OpportunityID]],Opportunities[ID],Opportunities[Amount])/IF(_xlfn.XLOOKUP(transactions[[#This Row],[OpportunityID]],Opportunities[ID],Opportunities[Recurrences])=0,1,_xlfn.XLOOKUP(transactions[[#This Row],[OpportunityID]],Opportunities[ID],Opportunities[Recurrences]))</f>
        <v>118160.5</v>
      </c>
      <c r="H43" s="51" t="str">
        <f>_xlfn.XLOOKUP(transactions[[#This Row],[OpportunityID]],Opportunities[ID],Opportunities[Status])</f>
        <v>At Risk</v>
      </c>
      <c r="I43" s="51" t="str">
        <f>_xlfn.XLOOKUP(transactions[[#This Row],[OpportunityID]],Opportunities[ID],Opportunities[Stage])</f>
        <v>Proposal</v>
      </c>
      <c r="J43" s="51" t="str">
        <f>_xlfn.XLOOKUP(transactions[[#This Row],[OpportunityID]],Opportunities[ID],Opportunities[OpportunityName])</f>
        <v>Quality Management System</v>
      </c>
      <c r="K43" s="51" t="str">
        <f>_xlfn.XLOOKUP(transactions[[#This Row],[CustomerId]],Customers[Id],Customers[Customer Name])</f>
        <v>Environmental Services</v>
      </c>
      <c r="L43" s="51" t="str">
        <f>_xlfn.XLOOKUP(transactions[[#This Row],[OpportunityID]],Opportunities[ID],Opportunities[OpportunityOwner])</f>
        <v>John Manager</v>
      </c>
      <c r="M43" s="51" t="str">
        <f ca="1">IF((transactions[[#This Row],[TransactionDate]]-TODAY())&lt;=366,transactions[[#This Row],[FQ]],"Out-year")</f>
        <v>FY27-Q2</v>
      </c>
      <c r="N43" s="55">
        <f>transactions[[#This Row],[UnWeighted]]/1000</f>
        <v>118.1605</v>
      </c>
      <c r="O43" s="55">
        <f>transactions[[#This Row],[Weighted]]/1000</f>
        <v>59.080249999999999</v>
      </c>
      <c r="P43" s="55">
        <f>transactions[[#This Row],[$K Unweighted]]/1000</f>
        <v>0.1181605</v>
      </c>
      <c r="Q43" s="55" t="b">
        <f ca="1">transactions[[#This Row],[TransactionDate]]&gt;TODAY()</f>
        <v>1</v>
      </c>
    </row>
    <row r="44" spans="1:17" x14ac:dyDescent="0.25">
      <c r="A44">
        <v>2</v>
      </c>
      <c r="B44">
        <v>10</v>
      </c>
      <c r="C44" s="31">
        <v>46220</v>
      </c>
      <c r="D4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4" s="51" t="str">
        <f>"CY"&amp;RIGHT(YEAR(transactions[[#This Row],[TransactionDate]]),2)&amp;"-Q"&amp;ROUNDUP(MONTH(transactions[[#This Row],[TransactionDate]])/3, 0)</f>
        <v>CY26-Q3</v>
      </c>
      <c r="F44" s="52">
        <f>transactions[[#This Row],[UnWeighted]]*_xlfn.XLOOKUP(transactions[[#This Row],[OpportunityID]],Opportunities[ID],Opportunities[WinProbabilityValue])</f>
        <v>20720.20930232558</v>
      </c>
      <c r="G44"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4" s="51" t="str">
        <f>_xlfn.XLOOKUP(transactions[[#This Row],[OpportunityID]],Opportunities[ID],Opportunities[Status])</f>
        <v>Active</v>
      </c>
      <c r="I44" s="51" t="str">
        <f>_xlfn.XLOOKUP(transactions[[#This Row],[OpportunityID]],Opportunities[ID],Opportunities[Stage])</f>
        <v>Proposal</v>
      </c>
      <c r="J44" s="51" t="str">
        <f>_xlfn.XLOOKUP(transactions[[#This Row],[OpportunityID]],Opportunities[ID],Opportunities[OpportunityName])</f>
        <v>Cloud Migration Initiative</v>
      </c>
      <c r="K44" s="51" t="str">
        <f>_xlfn.XLOOKUP(transactions[[#This Row],[CustomerId]],Customers[Id],Customers[Customer Name])</f>
        <v>Education First</v>
      </c>
      <c r="L44" s="51" t="str">
        <f>_xlfn.XLOOKUP(transactions[[#This Row],[OpportunityID]],Opportunities[ID],Opportunities[OpportunityOwner])</f>
        <v>Robert Analyst</v>
      </c>
      <c r="M44" s="51" t="str">
        <f ca="1">IF((transactions[[#This Row],[TransactionDate]]-TODAY())&lt;=366,transactions[[#This Row],[FQ]],"Out-year")</f>
        <v>FY27-Q2</v>
      </c>
      <c r="N44" s="55">
        <f>transactions[[#This Row],[UnWeighted]]/1000</f>
        <v>41.440418604651157</v>
      </c>
      <c r="O44" s="55">
        <f>transactions[[#This Row],[Weighted]]/1000</f>
        <v>20.720209302325578</v>
      </c>
      <c r="P44" s="55">
        <f>transactions[[#This Row],[$K Unweighted]]/1000</f>
        <v>4.1440418604651155E-2</v>
      </c>
      <c r="Q44" s="55" t="b">
        <f ca="1">transactions[[#This Row],[TransactionDate]]&gt;TODAY()</f>
        <v>1</v>
      </c>
    </row>
    <row r="45" spans="1:17" x14ac:dyDescent="0.25">
      <c r="A45">
        <v>9</v>
      </c>
      <c r="B45">
        <v>26</v>
      </c>
      <c r="C45" s="31">
        <v>46222</v>
      </c>
      <c r="D4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5" s="51" t="str">
        <f>"CY"&amp;RIGHT(YEAR(transactions[[#This Row],[TransactionDate]]),2)&amp;"-Q"&amp;ROUNDUP(MONTH(transactions[[#This Row],[TransactionDate]])/3, 0)</f>
        <v>CY26-Q3</v>
      </c>
      <c r="F45" s="52">
        <f>transactions[[#This Row],[UnWeighted]]*_xlfn.XLOOKUP(transactions[[#This Row],[OpportunityID]],Opportunities[ID],Opportunities[WinProbabilityValue])</f>
        <v>37447.800000000003</v>
      </c>
      <c r="G45" s="52">
        <f>_xlfn.XLOOKUP(transactions[[#This Row],[OpportunityID]],Opportunities[ID],Opportunities[Amount])/IF(_xlfn.XLOOKUP(transactions[[#This Row],[OpportunityID]],Opportunities[ID],Opportunities[Recurrences])=0,1,_xlfn.XLOOKUP(transactions[[#This Row],[OpportunityID]],Opportunities[ID],Opportunities[Recurrences]))</f>
        <v>187239</v>
      </c>
      <c r="H45" s="51" t="str">
        <f>_xlfn.XLOOKUP(transactions[[#This Row],[OpportunityID]],Opportunities[ID],Opportunities[Status])</f>
        <v>At Risk</v>
      </c>
      <c r="I45" s="51" t="str">
        <f>_xlfn.XLOOKUP(transactions[[#This Row],[OpportunityID]],Opportunities[ID],Opportunities[Stage])</f>
        <v>Lead Qualification</v>
      </c>
      <c r="J45" s="51" t="str">
        <f>_xlfn.XLOOKUP(transactions[[#This Row],[OpportunityID]],Opportunities[ID],Opportunities[OpportunityName])</f>
        <v>Customer Portal Development</v>
      </c>
      <c r="K45" s="51" t="str">
        <f>_xlfn.XLOOKUP(transactions[[#This Row],[CustomerId]],Customers[Id],Customers[Customer Name])</f>
        <v>Publishing House</v>
      </c>
      <c r="L45" s="51" t="str">
        <f>_xlfn.XLOOKUP(transactions[[#This Row],[OpportunityID]],Opportunities[ID],Opportunities[OpportunityOwner])</f>
        <v>Lisa Engineer</v>
      </c>
      <c r="M45" s="51" t="str">
        <f ca="1">IF((transactions[[#This Row],[TransactionDate]]-TODAY())&lt;=366,transactions[[#This Row],[FQ]],"Out-year")</f>
        <v>FY27-Q2</v>
      </c>
      <c r="N45" s="55">
        <f>transactions[[#This Row],[UnWeighted]]/1000</f>
        <v>187.239</v>
      </c>
      <c r="O45" s="55">
        <f>transactions[[#This Row],[Weighted]]/1000</f>
        <v>37.447800000000001</v>
      </c>
      <c r="P45" s="55">
        <f>transactions[[#This Row],[$K Unweighted]]/1000</f>
        <v>0.18723900000000002</v>
      </c>
      <c r="Q45" s="55" t="b">
        <f ca="1">transactions[[#This Row],[TransactionDate]]&gt;TODAY()</f>
        <v>1</v>
      </c>
    </row>
    <row r="46" spans="1:17" x14ac:dyDescent="0.25">
      <c r="A46">
        <v>18</v>
      </c>
      <c r="B46">
        <v>9</v>
      </c>
      <c r="C46" s="31">
        <v>46231</v>
      </c>
      <c r="D4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6" s="51" t="str">
        <f>"CY"&amp;RIGHT(YEAR(transactions[[#This Row],[TransactionDate]]),2)&amp;"-Q"&amp;ROUNDUP(MONTH(transactions[[#This Row],[TransactionDate]])/3, 0)</f>
        <v>CY26-Q3</v>
      </c>
      <c r="F46" s="52">
        <f>transactions[[#This Row],[UnWeighted]]*_xlfn.XLOOKUP(transactions[[#This Row],[OpportunityID]],Opportunities[ID],Opportunities[WinProbabilityValue])</f>
        <v>110906.4</v>
      </c>
      <c r="G46" s="52">
        <f>_xlfn.XLOOKUP(transactions[[#This Row],[OpportunityID]],Opportunities[ID],Opportunities[Amount])/IF(_xlfn.XLOOKUP(transactions[[#This Row],[OpportunityID]],Opportunities[ID],Opportunities[Recurrences])=0,1,_xlfn.XLOOKUP(transactions[[#This Row],[OpportunityID]],Opportunities[ID],Opportunities[Recurrences]))</f>
        <v>221812.8</v>
      </c>
      <c r="H46" s="51" t="str">
        <f>_xlfn.XLOOKUP(transactions[[#This Row],[OpportunityID]],Opportunities[ID],Opportunities[Status])</f>
        <v>Active</v>
      </c>
      <c r="I46" s="51" t="str">
        <f>_xlfn.XLOOKUP(transactions[[#This Row],[OpportunityID]],Opportunities[ID],Opportunities[Stage])</f>
        <v>Lead Qualification</v>
      </c>
      <c r="J46" s="51" t="str">
        <f>_xlfn.XLOOKUP(transactions[[#This Row],[OpportunityID]],Opportunities[ID],Opportunities[OpportunityName])</f>
        <v>Financial Planning Software</v>
      </c>
      <c r="K46" s="51" t="str">
        <f>_xlfn.XLOOKUP(transactions[[#This Row],[CustomerId]],Customers[Id],Customers[Customer Name])</f>
        <v>Construction Dynamics</v>
      </c>
      <c r="L46" s="51" t="str">
        <f>_xlfn.XLOOKUP(transactions[[#This Row],[OpportunityID]],Opportunities[ID],Opportunities[OpportunityOwner])</f>
        <v>Dr. Tech Advisor</v>
      </c>
      <c r="M46" s="51" t="str">
        <f ca="1">IF((transactions[[#This Row],[TransactionDate]]-TODAY())&lt;=366,transactions[[#This Row],[FQ]],"Out-year")</f>
        <v>FY27-Q2</v>
      </c>
      <c r="N46" s="55">
        <f>transactions[[#This Row],[UnWeighted]]/1000</f>
        <v>221.81279999999998</v>
      </c>
      <c r="O46" s="55">
        <f>transactions[[#This Row],[Weighted]]/1000</f>
        <v>110.90639999999999</v>
      </c>
      <c r="P46" s="55">
        <f>transactions[[#This Row],[$K Unweighted]]/1000</f>
        <v>0.22181279999999998</v>
      </c>
      <c r="Q46" s="55" t="b">
        <f ca="1">transactions[[#This Row],[TransactionDate]]&gt;TODAY()</f>
        <v>1</v>
      </c>
    </row>
    <row r="47" spans="1:17" x14ac:dyDescent="0.25">
      <c r="A47">
        <v>14</v>
      </c>
      <c r="B47">
        <v>2</v>
      </c>
      <c r="C47" s="31">
        <v>46235</v>
      </c>
      <c r="D4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47" s="51" t="str">
        <f>"CY"&amp;RIGHT(YEAR(transactions[[#This Row],[TransactionDate]]),2)&amp;"-Q"&amp;ROUNDUP(MONTH(transactions[[#This Row],[TransactionDate]])/3, 0)</f>
        <v>CY26-Q3</v>
      </c>
      <c r="F47" s="52">
        <f>transactions[[#This Row],[UnWeighted]]*_xlfn.XLOOKUP(transactions[[#This Row],[OpportunityID]],Opportunities[ID],Opportunities[WinProbabilityValue])</f>
        <v>176887.5</v>
      </c>
      <c r="G47" s="52">
        <f>_xlfn.XLOOKUP(transactions[[#This Row],[OpportunityID]],Opportunities[ID],Opportunities[Amount])/IF(_xlfn.XLOOKUP(transactions[[#This Row],[OpportunityID]],Opportunities[ID],Opportunities[Recurrences])=0,1,_xlfn.XLOOKUP(transactions[[#This Row],[OpportunityID]],Opportunities[ID],Opportunities[Recurrences]))</f>
        <v>353775</v>
      </c>
      <c r="H47" s="51" t="str">
        <f>_xlfn.XLOOKUP(transactions[[#This Row],[OpportunityID]],Opportunities[ID],Opportunities[Status])</f>
        <v>Active</v>
      </c>
      <c r="I47" s="51" t="str">
        <f>_xlfn.XLOOKUP(transactions[[#This Row],[OpportunityID]],Opportunities[ID],Opportunities[Stage])</f>
        <v>Lead Qualification</v>
      </c>
      <c r="J47" s="51" t="str">
        <f>_xlfn.XLOOKUP(transactions[[#This Row],[OpportunityID]],Opportunities[ID],Opportunities[OpportunityName])</f>
        <v>Document Management System</v>
      </c>
      <c r="K47" s="51" t="str">
        <f>_xlfn.XLOOKUP(transactions[[#This Row],[CustomerId]],Customers[Id],Customers[Customer Name])</f>
        <v>Global Industries</v>
      </c>
      <c r="L47" s="51" t="str">
        <f>_xlfn.XLOOKUP(transactions[[#This Row],[OpportunityID]],Opportunities[ID],Opportunities[OpportunityOwner])</f>
        <v>John Manager</v>
      </c>
      <c r="M47" s="51" t="str">
        <f ca="1">IF((transactions[[#This Row],[TransactionDate]]-TODAY())&lt;=366,transactions[[#This Row],[FQ]],"Out-year")</f>
        <v>FY27-Q3</v>
      </c>
      <c r="N47" s="55">
        <f>transactions[[#This Row],[UnWeighted]]/1000</f>
        <v>353.77499999999998</v>
      </c>
      <c r="O47" s="55">
        <f>transactions[[#This Row],[Weighted]]/1000</f>
        <v>176.88749999999999</v>
      </c>
      <c r="P47" s="55">
        <f>transactions[[#This Row],[$K Unweighted]]/1000</f>
        <v>0.35377499999999995</v>
      </c>
      <c r="Q47" s="55" t="b">
        <f ca="1">transactions[[#This Row],[TransactionDate]]&gt;TODAY()</f>
        <v>1</v>
      </c>
    </row>
    <row r="48" spans="1:17" x14ac:dyDescent="0.25">
      <c r="A48">
        <v>17</v>
      </c>
      <c r="B48">
        <v>19</v>
      </c>
      <c r="C48" s="31">
        <v>46243</v>
      </c>
      <c r="D4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48" s="51" t="str">
        <f>"CY"&amp;RIGHT(YEAR(transactions[[#This Row],[TransactionDate]]),2)&amp;"-Q"&amp;ROUNDUP(MONTH(transactions[[#This Row],[TransactionDate]])/3, 0)</f>
        <v>CY26-Q3</v>
      </c>
      <c r="F48" s="52">
        <f>transactions[[#This Row],[UnWeighted]]*_xlfn.XLOOKUP(transactions[[#This Row],[OpportunityID]],Opportunities[ID],Opportunities[WinProbabilityValue])</f>
        <v>9267.2333333333336</v>
      </c>
      <c r="G48"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48" s="51" t="str">
        <f>_xlfn.XLOOKUP(transactions[[#This Row],[OpportunityID]],Opportunities[ID],Opportunities[Status])</f>
        <v>Active</v>
      </c>
      <c r="I48" s="51" t="str">
        <f>_xlfn.XLOOKUP(transactions[[#This Row],[OpportunityID]],Opportunities[ID],Opportunities[Stage])</f>
        <v>Negotiation</v>
      </c>
      <c r="J48" s="51" t="str">
        <f>_xlfn.XLOOKUP(transactions[[#This Row],[OpportunityID]],Opportunities[ID],Opportunities[OpportunityName])</f>
        <v>Supply Chain Optimization</v>
      </c>
      <c r="K48" s="51" t="str">
        <f>_xlfn.XLOOKUP(transactions[[#This Row],[CustomerId]],Customers[Id],Customers[Customer Name])</f>
        <v>Hotel Management Group</v>
      </c>
      <c r="L48" s="51" t="str">
        <f>_xlfn.XLOOKUP(transactions[[#This Row],[OpportunityID]],Opportunities[ID],Opportunities[OpportunityOwner])</f>
        <v>Jennifer PM</v>
      </c>
      <c r="M48" s="51" t="str">
        <f ca="1">IF((transactions[[#This Row],[TransactionDate]]-TODAY())&lt;=366,transactions[[#This Row],[FQ]],"Out-year")</f>
        <v>FY27-Q3</v>
      </c>
      <c r="N48" s="55">
        <f>transactions[[#This Row],[UnWeighted]]/1000</f>
        <v>46.336166666666664</v>
      </c>
      <c r="O48" s="55">
        <f>transactions[[#This Row],[Weighted]]/1000</f>
        <v>9.2672333333333334</v>
      </c>
      <c r="P48" s="55">
        <f>transactions[[#This Row],[$K Unweighted]]/1000</f>
        <v>4.6336166666666664E-2</v>
      </c>
      <c r="Q48" s="55" t="b">
        <f ca="1">transactions[[#This Row],[TransactionDate]]&gt;TODAY()</f>
        <v>1</v>
      </c>
    </row>
    <row r="49" spans="1:17" x14ac:dyDescent="0.25">
      <c r="A49">
        <v>22</v>
      </c>
      <c r="B49">
        <v>11</v>
      </c>
      <c r="C49" s="31">
        <v>46245</v>
      </c>
      <c r="D4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49" s="51" t="str">
        <f>"CY"&amp;RIGHT(YEAR(transactions[[#This Row],[TransactionDate]]),2)&amp;"-Q"&amp;ROUNDUP(MONTH(transactions[[#This Row],[TransactionDate]])/3, 0)</f>
        <v>CY26-Q3</v>
      </c>
      <c r="F49" s="52">
        <f>transactions[[#This Row],[UnWeighted]]*_xlfn.XLOOKUP(transactions[[#This Row],[OpportunityID]],Opportunities[ID],Opportunities[WinProbabilityValue])</f>
        <v>26390.544230769232</v>
      </c>
      <c r="G49"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9" s="51" t="str">
        <f>_xlfn.XLOOKUP(transactions[[#This Row],[OpportunityID]],Opportunities[ID],Opportunities[Status])</f>
        <v>Active</v>
      </c>
      <c r="I49" s="51" t="str">
        <f>_xlfn.XLOOKUP(transactions[[#This Row],[OpportunityID]],Opportunities[ID],Opportunities[Stage])</f>
        <v>Nurturing</v>
      </c>
      <c r="J49" s="51" t="str">
        <f>_xlfn.XLOOKUP(transactions[[#This Row],[OpportunityID]],Opportunities[ID],Opportunities[OpportunityName])</f>
        <v>Inventory Management Solution</v>
      </c>
      <c r="K49" s="51" t="str">
        <f>_xlfn.XLOOKUP(transactions[[#This Row],[CustomerId]],Customers[Id],Customers[Customer Name])</f>
        <v>Transport Logistics</v>
      </c>
      <c r="L49" s="51" t="str">
        <f>_xlfn.XLOOKUP(transactions[[#This Row],[OpportunityID]],Opportunities[ID],Opportunities[OpportunityOwner])</f>
        <v>Sarah Director</v>
      </c>
      <c r="M49" s="51" t="str">
        <f ca="1">IF((transactions[[#This Row],[TransactionDate]]-TODAY())&lt;=366,transactions[[#This Row],[FQ]],"Out-year")</f>
        <v>FY27-Q3</v>
      </c>
      <c r="N49" s="55">
        <f>transactions[[#This Row],[UnWeighted]]/1000</f>
        <v>29.322826923076921</v>
      </c>
      <c r="O49" s="55">
        <f>transactions[[#This Row],[Weighted]]/1000</f>
        <v>26.390544230769233</v>
      </c>
      <c r="P49" s="55">
        <f>transactions[[#This Row],[$K Unweighted]]/1000</f>
        <v>2.932282692307692E-2</v>
      </c>
      <c r="Q49" s="55" t="b">
        <f ca="1">transactions[[#This Row],[TransactionDate]]&gt;TODAY()</f>
        <v>1</v>
      </c>
    </row>
    <row r="50" spans="1:17" x14ac:dyDescent="0.25">
      <c r="A50">
        <v>2</v>
      </c>
      <c r="B50">
        <v>10</v>
      </c>
      <c r="C50" s="31">
        <v>46251</v>
      </c>
      <c r="D5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0" s="51" t="str">
        <f>"CY"&amp;RIGHT(YEAR(transactions[[#This Row],[TransactionDate]]),2)&amp;"-Q"&amp;ROUNDUP(MONTH(transactions[[#This Row],[TransactionDate]])/3, 0)</f>
        <v>CY26-Q3</v>
      </c>
      <c r="F50" s="52">
        <f>transactions[[#This Row],[UnWeighted]]*_xlfn.XLOOKUP(transactions[[#This Row],[OpportunityID]],Opportunities[ID],Opportunities[WinProbabilityValue])</f>
        <v>20720.20930232558</v>
      </c>
      <c r="G50"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50" s="51" t="str">
        <f>_xlfn.XLOOKUP(transactions[[#This Row],[OpportunityID]],Opportunities[ID],Opportunities[Status])</f>
        <v>Active</v>
      </c>
      <c r="I50" s="51" t="str">
        <f>_xlfn.XLOOKUP(transactions[[#This Row],[OpportunityID]],Opportunities[ID],Opportunities[Stage])</f>
        <v>Proposal</v>
      </c>
      <c r="J50" s="51" t="str">
        <f>_xlfn.XLOOKUP(transactions[[#This Row],[OpportunityID]],Opportunities[ID],Opportunities[OpportunityName])</f>
        <v>Cloud Migration Initiative</v>
      </c>
      <c r="K50" s="51" t="str">
        <f>_xlfn.XLOOKUP(transactions[[#This Row],[CustomerId]],Customers[Id],Customers[Customer Name])</f>
        <v>Education First</v>
      </c>
      <c r="L50" s="51" t="str">
        <f>_xlfn.XLOOKUP(transactions[[#This Row],[OpportunityID]],Opportunities[ID],Opportunities[OpportunityOwner])</f>
        <v>Robert Analyst</v>
      </c>
      <c r="M50" s="51" t="str">
        <f ca="1">IF((transactions[[#This Row],[TransactionDate]]-TODAY())&lt;=366,transactions[[#This Row],[FQ]],"Out-year")</f>
        <v>Out-year</v>
      </c>
      <c r="N50" s="55">
        <f>transactions[[#This Row],[UnWeighted]]/1000</f>
        <v>41.440418604651157</v>
      </c>
      <c r="O50" s="55">
        <f>transactions[[#This Row],[Weighted]]/1000</f>
        <v>20.720209302325578</v>
      </c>
      <c r="P50" s="55">
        <f>transactions[[#This Row],[$K Unweighted]]/1000</f>
        <v>4.1440418604651155E-2</v>
      </c>
      <c r="Q50" s="55" t="b">
        <f ca="1">transactions[[#This Row],[TransactionDate]]&gt;TODAY()</f>
        <v>1</v>
      </c>
    </row>
    <row r="51" spans="1:17" x14ac:dyDescent="0.25">
      <c r="A51">
        <v>27</v>
      </c>
      <c r="B51">
        <v>2</v>
      </c>
      <c r="C51" s="31">
        <v>46251</v>
      </c>
      <c r="D5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1" s="51" t="str">
        <f>"CY"&amp;RIGHT(YEAR(transactions[[#This Row],[TransactionDate]]),2)&amp;"-Q"&amp;ROUNDUP(MONTH(transactions[[#This Row],[TransactionDate]])/3, 0)</f>
        <v>CY26-Q3</v>
      </c>
      <c r="F51" s="52">
        <f>transactions[[#This Row],[UnWeighted]]*_xlfn.XLOOKUP(transactions[[#This Row],[OpportunityID]],Opportunities[ID],Opportunities[WinProbabilityValue])</f>
        <v>46287.333333333336</v>
      </c>
      <c r="G51"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51" s="51" t="str">
        <f>_xlfn.XLOOKUP(transactions[[#This Row],[OpportunityID]],Opportunities[ID],Opportunities[Status])</f>
        <v>Active</v>
      </c>
      <c r="I51" s="51" t="str">
        <f>_xlfn.XLOOKUP(transactions[[#This Row],[OpportunityID]],Opportunities[ID],Opportunities[Stage])</f>
        <v>Lead Qualification</v>
      </c>
      <c r="J51" s="51" t="str">
        <f>_xlfn.XLOOKUP(transactions[[#This Row],[OpportunityID]],Opportunities[ID],Opportunities[OpportunityName])</f>
        <v>Backup &amp; Recovery System</v>
      </c>
      <c r="K51" s="51" t="str">
        <f>_xlfn.XLOOKUP(transactions[[#This Row],[CustomerId]],Customers[Id],Customers[Customer Name])</f>
        <v>Global Industries</v>
      </c>
      <c r="L51" s="51" t="str">
        <f>_xlfn.XLOOKUP(transactions[[#This Row],[OpportunityID]],Opportunities[ID],Opportunities[OpportunityOwner])</f>
        <v>Amanda Sales</v>
      </c>
      <c r="M51" s="51" t="str">
        <f ca="1">IF((transactions[[#This Row],[TransactionDate]]-TODAY())&lt;=366,transactions[[#This Row],[FQ]],"Out-year")</f>
        <v>Out-year</v>
      </c>
      <c r="N51" s="55">
        <f>transactions[[#This Row],[UnWeighted]]/1000</f>
        <v>92.574666666666673</v>
      </c>
      <c r="O51" s="55">
        <f>transactions[[#This Row],[Weighted]]/1000</f>
        <v>46.287333333333336</v>
      </c>
      <c r="P51" s="55">
        <f>transactions[[#This Row],[$K Unweighted]]/1000</f>
        <v>9.2574666666666666E-2</v>
      </c>
      <c r="Q51" s="55" t="b">
        <f ca="1">transactions[[#This Row],[TransactionDate]]&gt;TODAY()</f>
        <v>1</v>
      </c>
    </row>
    <row r="52" spans="1:17" x14ac:dyDescent="0.25">
      <c r="A52">
        <v>34</v>
      </c>
      <c r="B52">
        <v>25</v>
      </c>
      <c r="C52" s="31">
        <v>46266</v>
      </c>
      <c r="D5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2" s="51" t="str">
        <f>"CY"&amp;RIGHT(YEAR(transactions[[#This Row],[TransactionDate]]),2)&amp;"-Q"&amp;ROUNDUP(MONTH(transactions[[#This Row],[TransactionDate]])/3, 0)</f>
        <v>CY26-Q3</v>
      </c>
      <c r="F52" s="52">
        <f>transactions[[#This Row],[UnWeighted]]*_xlfn.XLOOKUP(transactions[[#This Row],[OpportunityID]],Opportunities[ID],Opportunities[WinProbabilityValue])</f>
        <v>720302.4</v>
      </c>
      <c r="G52" s="52">
        <f>_xlfn.XLOOKUP(transactions[[#This Row],[OpportunityID]],Opportunities[ID],Opportunities[Amount])/IF(_xlfn.XLOOKUP(transactions[[#This Row],[OpportunityID]],Opportunities[ID],Opportunities[Recurrences])=0,1,_xlfn.XLOOKUP(transactions[[#This Row],[OpportunityID]],Opportunities[ID],Opportunities[Recurrences]))</f>
        <v>800336</v>
      </c>
      <c r="H52" s="51" t="str">
        <f>_xlfn.XLOOKUP(transactions[[#This Row],[OpportunityID]],Opportunities[ID],Opportunities[Status])</f>
        <v>Active</v>
      </c>
      <c r="I52" s="51" t="str">
        <f>_xlfn.XLOOKUP(transactions[[#This Row],[OpportunityID]],Opportunities[ID],Opportunities[Stage])</f>
        <v>Nurturing</v>
      </c>
      <c r="J52" s="51" t="str">
        <f>_xlfn.XLOOKUP(transactions[[#This Row],[OpportunityID]],Opportunities[ID],Opportunities[OpportunityName])</f>
        <v>Performance Analytics Dashboard</v>
      </c>
      <c r="K52" s="51" t="str">
        <f>_xlfn.XLOOKUP(transactions[[#This Row],[CustomerId]],Customers[Id],Customers[Customer Name])</f>
        <v>Chemical Processing</v>
      </c>
      <c r="L52" s="51" t="str">
        <f>_xlfn.XLOOKUP(transactions[[#This Row],[OpportunityID]],Opportunities[ID],Opportunities[OpportunityOwner])</f>
        <v>Maria Coordinator</v>
      </c>
      <c r="M52" s="51" t="str">
        <f ca="1">IF((transactions[[#This Row],[TransactionDate]]-TODAY())&lt;=366,transactions[[#This Row],[FQ]],"Out-year")</f>
        <v>Out-year</v>
      </c>
      <c r="N52" s="55">
        <f>transactions[[#This Row],[UnWeighted]]/1000</f>
        <v>800.33600000000001</v>
      </c>
      <c r="O52" s="55">
        <f>transactions[[#This Row],[Weighted]]/1000</f>
        <v>720.30240000000003</v>
      </c>
      <c r="P52" s="55">
        <f>transactions[[#This Row],[$K Unweighted]]/1000</f>
        <v>0.80033600000000005</v>
      </c>
      <c r="Q52" s="55" t="b">
        <f ca="1">transactions[[#This Row],[TransactionDate]]&gt;TODAY()</f>
        <v>1</v>
      </c>
    </row>
    <row r="53" spans="1:17" x14ac:dyDescent="0.25">
      <c r="A53">
        <v>39</v>
      </c>
      <c r="B53">
        <v>3</v>
      </c>
      <c r="C53" s="31">
        <v>46268</v>
      </c>
      <c r="D5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3" s="51" t="str">
        <f>"CY"&amp;RIGHT(YEAR(transactions[[#This Row],[TransactionDate]]),2)&amp;"-Q"&amp;ROUNDUP(MONTH(transactions[[#This Row],[TransactionDate]])/3, 0)</f>
        <v>CY26-Q3</v>
      </c>
      <c r="F53" s="52">
        <f>transactions[[#This Row],[UnWeighted]]*_xlfn.XLOOKUP(transactions[[#This Row],[OpportunityID]],Opportunities[ID],Opportunities[WinProbabilityValue])</f>
        <v>20929.153846153848</v>
      </c>
      <c r="G53"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3" s="51" t="str">
        <f>_xlfn.XLOOKUP(transactions[[#This Row],[OpportunityID]],Opportunities[ID],Opportunities[Status])</f>
        <v>Active</v>
      </c>
      <c r="I53" s="51" t="str">
        <f>_xlfn.XLOOKUP(transactions[[#This Row],[OpportunityID]],Opportunities[ID],Opportunities[Stage])</f>
        <v>Project Execution</v>
      </c>
      <c r="J53" s="51" t="str">
        <f>_xlfn.XLOOKUP(transactions[[#This Row],[OpportunityID]],Opportunities[ID],Opportunities[OpportunityName])</f>
        <v>API Development Project</v>
      </c>
      <c r="K53" s="51" t="str">
        <f>_xlfn.XLOOKUP(transactions[[#This Row],[CustomerId]],Customers[Id],Customers[Customer Name])</f>
        <v>Tech Solutions Inc</v>
      </c>
      <c r="L53" s="51" t="str">
        <f>_xlfn.XLOOKUP(transactions[[#This Row],[OpportunityID]],Opportunities[ID],Opportunities[OpportunityOwner])</f>
        <v>Jennifer PM</v>
      </c>
      <c r="M53" s="51" t="str">
        <f ca="1">IF((transactions[[#This Row],[TransactionDate]]-TODAY())&lt;=366,transactions[[#This Row],[FQ]],"Out-year")</f>
        <v>Out-year</v>
      </c>
      <c r="N53" s="55">
        <f>transactions[[#This Row],[UnWeighted]]/1000</f>
        <v>41.858307692307697</v>
      </c>
      <c r="O53" s="55">
        <f>transactions[[#This Row],[Weighted]]/1000</f>
        <v>20.929153846153849</v>
      </c>
      <c r="P53" s="55">
        <f>transactions[[#This Row],[$K Unweighted]]/1000</f>
        <v>4.1858307692307695E-2</v>
      </c>
      <c r="Q53" s="55" t="b">
        <f ca="1">transactions[[#This Row],[TransactionDate]]&gt;TODAY()</f>
        <v>1</v>
      </c>
    </row>
    <row r="54" spans="1:17" x14ac:dyDescent="0.25">
      <c r="A54">
        <v>17</v>
      </c>
      <c r="B54">
        <v>19</v>
      </c>
      <c r="C54" s="31">
        <v>46274</v>
      </c>
      <c r="D5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4" s="51" t="str">
        <f>"CY"&amp;RIGHT(YEAR(transactions[[#This Row],[TransactionDate]]),2)&amp;"-Q"&amp;ROUNDUP(MONTH(transactions[[#This Row],[TransactionDate]])/3, 0)</f>
        <v>CY26-Q3</v>
      </c>
      <c r="F54" s="52">
        <f>transactions[[#This Row],[UnWeighted]]*_xlfn.XLOOKUP(transactions[[#This Row],[OpportunityID]],Opportunities[ID],Opportunities[WinProbabilityValue])</f>
        <v>9267.2333333333336</v>
      </c>
      <c r="G54"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54" s="51" t="str">
        <f>_xlfn.XLOOKUP(transactions[[#This Row],[OpportunityID]],Opportunities[ID],Opportunities[Status])</f>
        <v>Active</v>
      </c>
      <c r="I54" s="51" t="str">
        <f>_xlfn.XLOOKUP(transactions[[#This Row],[OpportunityID]],Opportunities[ID],Opportunities[Stage])</f>
        <v>Negotiation</v>
      </c>
      <c r="J54" s="51" t="str">
        <f>_xlfn.XLOOKUP(transactions[[#This Row],[OpportunityID]],Opportunities[ID],Opportunities[OpportunityName])</f>
        <v>Supply Chain Optimization</v>
      </c>
      <c r="K54" s="51" t="str">
        <f>_xlfn.XLOOKUP(transactions[[#This Row],[CustomerId]],Customers[Id],Customers[Customer Name])</f>
        <v>Hotel Management Group</v>
      </c>
      <c r="L54" s="51" t="str">
        <f>_xlfn.XLOOKUP(transactions[[#This Row],[OpportunityID]],Opportunities[ID],Opportunities[OpportunityOwner])</f>
        <v>Jennifer PM</v>
      </c>
      <c r="M54" s="51" t="str">
        <f ca="1">IF((transactions[[#This Row],[TransactionDate]]-TODAY())&lt;=366,transactions[[#This Row],[FQ]],"Out-year")</f>
        <v>Out-year</v>
      </c>
      <c r="N54" s="55">
        <f>transactions[[#This Row],[UnWeighted]]/1000</f>
        <v>46.336166666666664</v>
      </c>
      <c r="O54" s="55">
        <f>transactions[[#This Row],[Weighted]]/1000</f>
        <v>9.2672333333333334</v>
      </c>
      <c r="P54" s="55">
        <f>transactions[[#This Row],[$K Unweighted]]/1000</f>
        <v>4.6336166666666664E-2</v>
      </c>
      <c r="Q54" s="55" t="b">
        <f ca="1">transactions[[#This Row],[TransactionDate]]&gt;TODAY()</f>
        <v>1</v>
      </c>
    </row>
    <row r="55" spans="1:17" x14ac:dyDescent="0.25">
      <c r="A55">
        <v>22</v>
      </c>
      <c r="B55">
        <v>11</v>
      </c>
      <c r="C55" s="31">
        <v>46276</v>
      </c>
      <c r="D5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5" s="51" t="str">
        <f>"CY"&amp;RIGHT(YEAR(transactions[[#This Row],[TransactionDate]]),2)&amp;"-Q"&amp;ROUNDUP(MONTH(transactions[[#This Row],[TransactionDate]])/3, 0)</f>
        <v>CY26-Q3</v>
      </c>
      <c r="F55" s="52">
        <f>transactions[[#This Row],[UnWeighted]]*_xlfn.XLOOKUP(transactions[[#This Row],[OpportunityID]],Opportunities[ID],Opportunities[WinProbabilityValue])</f>
        <v>26390.544230769232</v>
      </c>
      <c r="G55"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5" s="51" t="str">
        <f>_xlfn.XLOOKUP(transactions[[#This Row],[OpportunityID]],Opportunities[ID],Opportunities[Status])</f>
        <v>Active</v>
      </c>
      <c r="I55" s="51" t="str">
        <f>_xlfn.XLOOKUP(transactions[[#This Row],[OpportunityID]],Opportunities[ID],Opportunities[Stage])</f>
        <v>Nurturing</v>
      </c>
      <c r="J55" s="51" t="str">
        <f>_xlfn.XLOOKUP(transactions[[#This Row],[OpportunityID]],Opportunities[ID],Opportunities[OpportunityName])</f>
        <v>Inventory Management Solution</v>
      </c>
      <c r="K55" s="51" t="str">
        <f>_xlfn.XLOOKUP(transactions[[#This Row],[CustomerId]],Customers[Id],Customers[Customer Name])</f>
        <v>Transport Logistics</v>
      </c>
      <c r="L55" s="51" t="str">
        <f>_xlfn.XLOOKUP(transactions[[#This Row],[OpportunityID]],Opportunities[ID],Opportunities[OpportunityOwner])</f>
        <v>Sarah Director</v>
      </c>
      <c r="M55" s="51" t="str">
        <f ca="1">IF((transactions[[#This Row],[TransactionDate]]-TODAY())&lt;=366,transactions[[#This Row],[FQ]],"Out-year")</f>
        <v>Out-year</v>
      </c>
      <c r="N55" s="55">
        <f>transactions[[#This Row],[UnWeighted]]/1000</f>
        <v>29.322826923076921</v>
      </c>
      <c r="O55" s="55">
        <f>transactions[[#This Row],[Weighted]]/1000</f>
        <v>26.390544230769233</v>
      </c>
      <c r="P55" s="55">
        <f>transactions[[#This Row],[$K Unweighted]]/1000</f>
        <v>2.932282692307692E-2</v>
      </c>
      <c r="Q55" s="55" t="b">
        <f ca="1">transactions[[#This Row],[TransactionDate]]&gt;TODAY()</f>
        <v>1</v>
      </c>
    </row>
    <row r="56" spans="1:17" x14ac:dyDescent="0.25">
      <c r="A56">
        <v>2</v>
      </c>
      <c r="B56">
        <v>10</v>
      </c>
      <c r="C56" s="31">
        <v>46282</v>
      </c>
      <c r="D5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6" s="51" t="str">
        <f>"CY"&amp;RIGHT(YEAR(transactions[[#This Row],[TransactionDate]]),2)&amp;"-Q"&amp;ROUNDUP(MONTH(transactions[[#This Row],[TransactionDate]])/3, 0)</f>
        <v>CY26-Q3</v>
      </c>
      <c r="F56" s="52">
        <f>transactions[[#This Row],[UnWeighted]]*_xlfn.XLOOKUP(transactions[[#This Row],[OpportunityID]],Opportunities[ID],Opportunities[WinProbabilityValue])</f>
        <v>20720.20930232558</v>
      </c>
      <c r="G56"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56" s="51" t="str">
        <f>_xlfn.XLOOKUP(transactions[[#This Row],[OpportunityID]],Opportunities[ID],Opportunities[Status])</f>
        <v>Active</v>
      </c>
      <c r="I56" s="51" t="str">
        <f>_xlfn.XLOOKUP(transactions[[#This Row],[OpportunityID]],Opportunities[ID],Opportunities[Stage])</f>
        <v>Proposal</v>
      </c>
      <c r="J56" s="51" t="str">
        <f>_xlfn.XLOOKUP(transactions[[#This Row],[OpportunityID]],Opportunities[ID],Opportunities[OpportunityName])</f>
        <v>Cloud Migration Initiative</v>
      </c>
      <c r="K56" s="51" t="str">
        <f>_xlfn.XLOOKUP(transactions[[#This Row],[CustomerId]],Customers[Id],Customers[Customer Name])</f>
        <v>Education First</v>
      </c>
      <c r="L56" s="51" t="str">
        <f>_xlfn.XLOOKUP(transactions[[#This Row],[OpportunityID]],Opportunities[ID],Opportunities[OpportunityOwner])</f>
        <v>Robert Analyst</v>
      </c>
      <c r="M56" s="51" t="str">
        <f ca="1">IF((transactions[[#This Row],[TransactionDate]]-TODAY())&lt;=366,transactions[[#This Row],[FQ]],"Out-year")</f>
        <v>Out-year</v>
      </c>
      <c r="N56" s="55">
        <f>transactions[[#This Row],[UnWeighted]]/1000</f>
        <v>41.440418604651157</v>
      </c>
      <c r="O56" s="55">
        <f>transactions[[#This Row],[Weighted]]/1000</f>
        <v>20.720209302325578</v>
      </c>
      <c r="P56" s="55">
        <f>transactions[[#This Row],[$K Unweighted]]/1000</f>
        <v>4.1440418604651155E-2</v>
      </c>
      <c r="Q56" s="55" t="b">
        <f ca="1">transactions[[#This Row],[TransactionDate]]&gt;TODAY()</f>
        <v>1</v>
      </c>
    </row>
    <row r="57" spans="1:17" x14ac:dyDescent="0.25">
      <c r="A57">
        <v>4</v>
      </c>
      <c r="B57">
        <v>12</v>
      </c>
      <c r="C57" s="31">
        <v>46293</v>
      </c>
      <c r="D5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7" s="51" t="str">
        <f>"CY"&amp;RIGHT(YEAR(transactions[[#This Row],[TransactionDate]]),2)&amp;"-Q"&amp;ROUNDUP(MONTH(transactions[[#This Row],[TransactionDate]])/3, 0)</f>
        <v>CY26-Q3</v>
      </c>
      <c r="F57" s="52">
        <f>transactions[[#This Row],[UnWeighted]]*_xlfn.XLOOKUP(transactions[[#This Row],[OpportunityID]],Opportunities[ID],Opportunities[WinProbabilityValue])</f>
        <v>62066.583333333336</v>
      </c>
      <c r="G57" s="52">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57" s="51" t="str">
        <f>_xlfn.XLOOKUP(transactions[[#This Row],[OpportunityID]],Opportunities[ID],Opportunities[Status])</f>
        <v>Active</v>
      </c>
      <c r="I57" s="51" t="str">
        <f>_xlfn.XLOOKUP(transactions[[#This Row],[OpportunityID]],Opportunities[ID],Opportunities[Stage])</f>
        <v>Lead Qualification</v>
      </c>
      <c r="J57" s="51" t="str">
        <f>_xlfn.XLOOKUP(transactions[[#This Row],[OpportunityID]],Opportunities[ID],Opportunities[OpportunityName])</f>
        <v>Manufacturing Automation System</v>
      </c>
      <c r="K57" s="51" t="str">
        <f>_xlfn.XLOOKUP(transactions[[#This Row],[CustomerId]],Customers[Id],Customers[Customer Name])</f>
        <v>Food Service Partners</v>
      </c>
      <c r="L57" s="51" t="str">
        <f>_xlfn.XLOOKUP(transactions[[#This Row],[OpportunityID]],Opportunities[ID],Opportunities[OpportunityOwner])</f>
        <v>Robert Analyst</v>
      </c>
      <c r="M57" s="51" t="str">
        <f ca="1">IF((transactions[[#This Row],[TransactionDate]]-TODAY())&lt;=366,transactions[[#This Row],[FQ]],"Out-year")</f>
        <v>Out-year</v>
      </c>
      <c r="N57" s="55">
        <f>transactions[[#This Row],[UnWeighted]]/1000</f>
        <v>124.13316666666667</v>
      </c>
      <c r="O57" s="55">
        <f>transactions[[#This Row],[Weighted]]/1000</f>
        <v>62.066583333333334</v>
      </c>
      <c r="P57" s="55">
        <f>transactions[[#This Row],[$K Unweighted]]/1000</f>
        <v>0.12413316666666667</v>
      </c>
      <c r="Q57" s="55" t="b">
        <f ca="1">transactions[[#This Row],[TransactionDate]]&gt;TODAY()</f>
        <v>1</v>
      </c>
    </row>
    <row r="58" spans="1:17" x14ac:dyDescent="0.25">
      <c r="A58">
        <v>26</v>
      </c>
      <c r="B58">
        <v>1</v>
      </c>
      <c r="C58" s="31">
        <v>46296</v>
      </c>
      <c r="D5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8" s="51" t="str">
        <f>"CY"&amp;RIGHT(YEAR(transactions[[#This Row],[TransactionDate]]),2)&amp;"-Q"&amp;ROUNDUP(MONTH(transactions[[#This Row],[TransactionDate]])/3, 0)</f>
        <v>CY26-Q4</v>
      </c>
      <c r="F58" s="52">
        <f>transactions[[#This Row],[UnWeighted]]*_xlfn.XLOOKUP(transactions[[#This Row],[OpportunityID]],Opportunities[ID],Opportunities[WinProbabilityValue])</f>
        <v>11339.638888888889</v>
      </c>
      <c r="G58"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58" s="51" t="str">
        <f>_xlfn.XLOOKUP(transactions[[#This Row],[OpportunityID]],Opportunities[ID],Opportunities[Status])</f>
        <v>Active</v>
      </c>
      <c r="I58" s="51" t="str">
        <f>_xlfn.XLOOKUP(transactions[[#This Row],[OpportunityID]],Opportunities[ID],Opportunities[Stage])</f>
        <v>Negotiation</v>
      </c>
      <c r="J58" s="51" t="str">
        <f>_xlfn.XLOOKUP(transactions[[#This Row],[OpportunityID]],Opportunities[ID],Opportunities[OpportunityName])</f>
        <v>Video Conferencing Solution</v>
      </c>
      <c r="K58" s="51" t="str">
        <f>_xlfn.XLOOKUP(transactions[[#This Row],[CustomerId]],Customers[Id],Customers[Customer Name])</f>
        <v>ACME Corporation</v>
      </c>
      <c r="L58" s="51" t="str">
        <f>_xlfn.XLOOKUP(transactions[[#This Row],[OpportunityID]],Opportunities[ID],Opportunities[OpportunityOwner])</f>
        <v>Mike Consultant</v>
      </c>
      <c r="M58" s="51" t="str">
        <f ca="1">IF((transactions[[#This Row],[TransactionDate]]-TODAY())&lt;=366,transactions[[#This Row],[FQ]],"Out-year")</f>
        <v>Out-year</v>
      </c>
      <c r="N58" s="55">
        <f>transactions[[#This Row],[UnWeighted]]/1000</f>
        <v>22.679277777777777</v>
      </c>
      <c r="O58" s="55">
        <f>transactions[[#This Row],[Weighted]]/1000</f>
        <v>11.339638888888889</v>
      </c>
      <c r="P58" s="55">
        <f>transactions[[#This Row],[$K Unweighted]]/1000</f>
        <v>2.2679277777777777E-2</v>
      </c>
      <c r="Q58" s="55" t="b">
        <f ca="1">transactions[[#This Row],[TransactionDate]]&gt;TODAY()</f>
        <v>1</v>
      </c>
    </row>
    <row r="59" spans="1:17" x14ac:dyDescent="0.25">
      <c r="A59">
        <v>39</v>
      </c>
      <c r="B59">
        <v>3</v>
      </c>
      <c r="C59" s="31">
        <v>46298</v>
      </c>
      <c r="D5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9" s="51" t="str">
        <f>"CY"&amp;RIGHT(YEAR(transactions[[#This Row],[TransactionDate]]),2)&amp;"-Q"&amp;ROUNDUP(MONTH(transactions[[#This Row],[TransactionDate]])/3, 0)</f>
        <v>CY26-Q4</v>
      </c>
      <c r="F59" s="52">
        <f>transactions[[#This Row],[UnWeighted]]*_xlfn.XLOOKUP(transactions[[#This Row],[OpportunityID]],Opportunities[ID],Opportunities[WinProbabilityValue])</f>
        <v>20929.153846153848</v>
      </c>
      <c r="G59"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9" s="51" t="str">
        <f>_xlfn.XLOOKUP(transactions[[#This Row],[OpportunityID]],Opportunities[ID],Opportunities[Status])</f>
        <v>Active</v>
      </c>
      <c r="I59" s="51" t="str">
        <f>_xlfn.XLOOKUP(transactions[[#This Row],[OpportunityID]],Opportunities[ID],Opportunities[Stage])</f>
        <v>Project Execution</v>
      </c>
      <c r="J59" s="51" t="str">
        <f>_xlfn.XLOOKUP(transactions[[#This Row],[OpportunityID]],Opportunities[ID],Opportunities[OpportunityName])</f>
        <v>API Development Project</v>
      </c>
      <c r="K59" s="51" t="str">
        <f>_xlfn.XLOOKUP(transactions[[#This Row],[CustomerId]],Customers[Id],Customers[Customer Name])</f>
        <v>Tech Solutions Inc</v>
      </c>
      <c r="L59" s="51" t="str">
        <f>_xlfn.XLOOKUP(transactions[[#This Row],[OpportunityID]],Opportunities[ID],Opportunities[OpportunityOwner])</f>
        <v>Jennifer PM</v>
      </c>
      <c r="M59" s="51" t="str">
        <f ca="1">IF((transactions[[#This Row],[TransactionDate]]-TODAY())&lt;=366,transactions[[#This Row],[FQ]],"Out-year")</f>
        <v>Out-year</v>
      </c>
      <c r="N59" s="55">
        <f>transactions[[#This Row],[UnWeighted]]/1000</f>
        <v>41.858307692307697</v>
      </c>
      <c r="O59" s="55">
        <f>transactions[[#This Row],[Weighted]]/1000</f>
        <v>20.929153846153849</v>
      </c>
      <c r="P59" s="55">
        <f>transactions[[#This Row],[$K Unweighted]]/1000</f>
        <v>4.1858307692307695E-2</v>
      </c>
      <c r="Q59" s="55" t="b">
        <f ca="1">transactions[[#This Row],[TransactionDate]]&gt;TODAY()</f>
        <v>1</v>
      </c>
    </row>
    <row r="60" spans="1:17" x14ac:dyDescent="0.25">
      <c r="A60">
        <v>17</v>
      </c>
      <c r="B60">
        <v>19</v>
      </c>
      <c r="C60" s="31">
        <v>46304</v>
      </c>
      <c r="D6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0" s="51" t="str">
        <f>"CY"&amp;RIGHT(YEAR(transactions[[#This Row],[TransactionDate]]),2)&amp;"-Q"&amp;ROUNDUP(MONTH(transactions[[#This Row],[TransactionDate]])/3, 0)</f>
        <v>CY26-Q4</v>
      </c>
      <c r="F60" s="52">
        <f>transactions[[#This Row],[UnWeighted]]*_xlfn.XLOOKUP(transactions[[#This Row],[OpportunityID]],Opportunities[ID],Opportunities[WinProbabilityValue])</f>
        <v>9267.2333333333336</v>
      </c>
      <c r="G60"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60" s="51" t="str">
        <f>_xlfn.XLOOKUP(transactions[[#This Row],[OpportunityID]],Opportunities[ID],Opportunities[Status])</f>
        <v>Active</v>
      </c>
      <c r="I60" s="51" t="str">
        <f>_xlfn.XLOOKUP(transactions[[#This Row],[OpportunityID]],Opportunities[ID],Opportunities[Stage])</f>
        <v>Negotiation</v>
      </c>
      <c r="J60" s="51" t="str">
        <f>_xlfn.XLOOKUP(transactions[[#This Row],[OpportunityID]],Opportunities[ID],Opportunities[OpportunityName])</f>
        <v>Supply Chain Optimization</v>
      </c>
      <c r="K60" s="51" t="str">
        <f>_xlfn.XLOOKUP(transactions[[#This Row],[CustomerId]],Customers[Id],Customers[Customer Name])</f>
        <v>Hotel Management Group</v>
      </c>
      <c r="L60" s="51" t="str">
        <f>_xlfn.XLOOKUP(transactions[[#This Row],[OpportunityID]],Opportunities[ID],Opportunities[OpportunityOwner])</f>
        <v>Jennifer PM</v>
      </c>
      <c r="M60" s="51" t="str">
        <f ca="1">IF((transactions[[#This Row],[TransactionDate]]-TODAY())&lt;=366,transactions[[#This Row],[FQ]],"Out-year")</f>
        <v>Out-year</v>
      </c>
      <c r="N60" s="55">
        <f>transactions[[#This Row],[UnWeighted]]/1000</f>
        <v>46.336166666666664</v>
      </c>
      <c r="O60" s="55">
        <f>transactions[[#This Row],[Weighted]]/1000</f>
        <v>9.2672333333333334</v>
      </c>
      <c r="P60" s="55">
        <f>transactions[[#This Row],[$K Unweighted]]/1000</f>
        <v>4.6336166666666664E-2</v>
      </c>
      <c r="Q60" s="55" t="b">
        <f ca="1">transactions[[#This Row],[TransactionDate]]&gt;TODAY()</f>
        <v>1</v>
      </c>
    </row>
    <row r="61" spans="1:17" x14ac:dyDescent="0.25">
      <c r="A61">
        <v>16</v>
      </c>
      <c r="B61">
        <v>22</v>
      </c>
      <c r="C61" s="31">
        <v>46306</v>
      </c>
      <c r="D6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1" s="51" t="str">
        <f>"CY"&amp;RIGHT(YEAR(transactions[[#This Row],[TransactionDate]]),2)&amp;"-Q"&amp;ROUNDUP(MONTH(transactions[[#This Row],[TransactionDate]])/3, 0)</f>
        <v>CY26-Q4</v>
      </c>
      <c r="F61" s="52">
        <f>transactions[[#This Row],[UnWeighted]]*_xlfn.XLOOKUP(transactions[[#This Row],[OpportunityID]],Opportunities[ID],Opportunities[WinProbabilityValue])</f>
        <v>59080.25</v>
      </c>
      <c r="G61" s="52">
        <f>_xlfn.XLOOKUP(transactions[[#This Row],[OpportunityID]],Opportunities[ID],Opportunities[Amount])/IF(_xlfn.XLOOKUP(transactions[[#This Row],[OpportunityID]],Opportunities[ID],Opportunities[Recurrences])=0,1,_xlfn.XLOOKUP(transactions[[#This Row],[OpportunityID]],Opportunities[ID],Opportunities[Recurrences]))</f>
        <v>118160.5</v>
      </c>
      <c r="H61" s="51" t="str">
        <f>_xlfn.XLOOKUP(transactions[[#This Row],[OpportunityID]],Opportunities[ID],Opportunities[Status])</f>
        <v>At Risk</v>
      </c>
      <c r="I61" s="51" t="str">
        <f>_xlfn.XLOOKUP(transactions[[#This Row],[OpportunityID]],Opportunities[ID],Opportunities[Stage])</f>
        <v>Proposal</v>
      </c>
      <c r="J61" s="51" t="str">
        <f>_xlfn.XLOOKUP(transactions[[#This Row],[OpportunityID]],Opportunities[ID],Opportunities[OpportunityName])</f>
        <v>Quality Management System</v>
      </c>
      <c r="K61" s="51" t="str">
        <f>_xlfn.XLOOKUP(transactions[[#This Row],[CustomerId]],Customers[Id],Customers[Customer Name])</f>
        <v>Environmental Services</v>
      </c>
      <c r="L61" s="51" t="str">
        <f>_xlfn.XLOOKUP(transactions[[#This Row],[OpportunityID]],Opportunities[ID],Opportunities[OpportunityOwner])</f>
        <v>John Manager</v>
      </c>
      <c r="M61" s="51" t="str">
        <f ca="1">IF((transactions[[#This Row],[TransactionDate]]-TODAY())&lt;=366,transactions[[#This Row],[FQ]],"Out-year")</f>
        <v>Out-year</v>
      </c>
      <c r="N61" s="55">
        <f>transactions[[#This Row],[UnWeighted]]/1000</f>
        <v>118.1605</v>
      </c>
      <c r="O61" s="55">
        <f>transactions[[#This Row],[Weighted]]/1000</f>
        <v>59.080249999999999</v>
      </c>
      <c r="P61" s="55">
        <f>transactions[[#This Row],[$K Unweighted]]/1000</f>
        <v>0.1181605</v>
      </c>
      <c r="Q61" s="55" t="b">
        <f ca="1">transactions[[#This Row],[TransactionDate]]&gt;TODAY()</f>
        <v>1</v>
      </c>
    </row>
    <row r="62" spans="1:17" x14ac:dyDescent="0.25">
      <c r="A62">
        <v>22</v>
      </c>
      <c r="B62">
        <v>11</v>
      </c>
      <c r="C62" s="31">
        <v>46306</v>
      </c>
      <c r="D6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2" s="51" t="str">
        <f>"CY"&amp;RIGHT(YEAR(transactions[[#This Row],[TransactionDate]]),2)&amp;"-Q"&amp;ROUNDUP(MONTH(transactions[[#This Row],[TransactionDate]])/3, 0)</f>
        <v>CY26-Q4</v>
      </c>
      <c r="F62" s="52">
        <f>transactions[[#This Row],[UnWeighted]]*_xlfn.XLOOKUP(transactions[[#This Row],[OpportunityID]],Opportunities[ID],Opportunities[WinProbabilityValue])</f>
        <v>26390.544230769232</v>
      </c>
      <c r="G62"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62" s="51" t="str">
        <f>_xlfn.XLOOKUP(transactions[[#This Row],[OpportunityID]],Opportunities[ID],Opportunities[Status])</f>
        <v>Active</v>
      </c>
      <c r="I62" s="51" t="str">
        <f>_xlfn.XLOOKUP(transactions[[#This Row],[OpportunityID]],Opportunities[ID],Opportunities[Stage])</f>
        <v>Nurturing</v>
      </c>
      <c r="J62" s="51" t="str">
        <f>_xlfn.XLOOKUP(transactions[[#This Row],[OpportunityID]],Opportunities[ID],Opportunities[OpportunityName])</f>
        <v>Inventory Management Solution</v>
      </c>
      <c r="K62" s="51" t="str">
        <f>_xlfn.XLOOKUP(transactions[[#This Row],[CustomerId]],Customers[Id],Customers[Customer Name])</f>
        <v>Transport Logistics</v>
      </c>
      <c r="L62" s="51" t="str">
        <f>_xlfn.XLOOKUP(transactions[[#This Row],[OpportunityID]],Opportunities[ID],Opportunities[OpportunityOwner])</f>
        <v>Sarah Director</v>
      </c>
      <c r="M62" s="51" t="str">
        <f ca="1">IF((transactions[[#This Row],[TransactionDate]]-TODAY())&lt;=366,transactions[[#This Row],[FQ]],"Out-year")</f>
        <v>Out-year</v>
      </c>
      <c r="N62" s="55">
        <f>transactions[[#This Row],[UnWeighted]]/1000</f>
        <v>29.322826923076921</v>
      </c>
      <c r="O62" s="55">
        <f>transactions[[#This Row],[Weighted]]/1000</f>
        <v>26.390544230769233</v>
      </c>
      <c r="P62" s="55">
        <f>transactions[[#This Row],[$K Unweighted]]/1000</f>
        <v>2.932282692307692E-2</v>
      </c>
      <c r="Q62" s="55" t="b">
        <f ca="1">transactions[[#This Row],[TransactionDate]]&gt;TODAY()</f>
        <v>1</v>
      </c>
    </row>
    <row r="63" spans="1:17" x14ac:dyDescent="0.25">
      <c r="A63">
        <v>2</v>
      </c>
      <c r="B63">
        <v>10</v>
      </c>
      <c r="C63" s="31">
        <v>46312</v>
      </c>
      <c r="D6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3" s="51" t="str">
        <f>"CY"&amp;RIGHT(YEAR(transactions[[#This Row],[TransactionDate]]),2)&amp;"-Q"&amp;ROUNDUP(MONTH(transactions[[#This Row],[TransactionDate]])/3, 0)</f>
        <v>CY26-Q4</v>
      </c>
      <c r="F63" s="52">
        <f>transactions[[#This Row],[UnWeighted]]*_xlfn.XLOOKUP(transactions[[#This Row],[OpportunityID]],Opportunities[ID],Opportunities[WinProbabilityValue])</f>
        <v>20720.20930232558</v>
      </c>
      <c r="G63"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63" s="51" t="str">
        <f>_xlfn.XLOOKUP(transactions[[#This Row],[OpportunityID]],Opportunities[ID],Opportunities[Status])</f>
        <v>Active</v>
      </c>
      <c r="I63" s="51" t="str">
        <f>_xlfn.XLOOKUP(transactions[[#This Row],[OpportunityID]],Opportunities[ID],Opportunities[Stage])</f>
        <v>Proposal</v>
      </c>
      <c r="J63" s="51" t="str">
        <f>_xlfn.XLOOKUP(transactions[[#This Row],[OpportunityID]],Opportunities[ID],Opportunities[OpportunityName])</f>
        <v>Cloud Migration Initiative</v>
      </c>
      <c r="K63" s="51" t="str">
        <f>_xlfn.XLOOKUP(transactions[[#This Row],[CustomerId]],Customers[Id],Customers[Customer Name])</f>
        <v>Education First</v>
      </c>
      <c r="L63" s="51" t="str">
        <f>_xlfn.XLOOKUP(transactions[[#This Row],[OpportunityID]],Opportunities[ID],Opportunities[OpportunityOwner])</f>
        <v>Robert Analyst</v>
      </c>
      <c r="M63" s="51" t="str">
        <f ca="1">IF((transactions[[#This Row],[TransactionDate]]-TODAY())&lt;=366,transactions[[#This Row],[FQ]],"Out-year")</f>
        <v>Out-year</v>
      </c>
      <c r="N63" s="55">
        <f>transactions[[#This Row],[UnWeighted]]/1000</f>
        <v>41.440418604651157</v>
      </c>
      <c r="O63" s="55">
        <f>transactions[[#This Row],[Weighted]]/1000</f>
        <v>20.720209302325578</v>
      </c>
      <c r="P63" s="55">
        <f>transactions[[#This Row],[$K Unweighted]]/1000</f>
        <v>4.1440418604651155E-2</v>
      </c>
      <c r="Q63" s="55" t="b">
        <f ca="1">transactions[[#This Row],[TransactionDate]]&gt;TODAY()</f>
        <v>1</v>
      </c>
    </row>
    <row r="64" spans="1:17" x14ac:dyDescent="0.25">
      <c r="A64">
        <v>12</v>
      </c>
      <c r="B64">
        <v>17</v>
      </c>
      <c r="C64" s="31">
        <v>46313</v>
      </c>
      <c r="D6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4" s="51" t="str">
        <f>"CY"&amp;RIGHT(YEAR(transactions[[#This Row],[TransactionDate]]),2)&amp;"-Q"&amp;ROUNDUP(MONTH(transactions[[#This Row],[TransactionDate]])/3, 0)</f>
        <v>CY26-Q4</v>
      </c>
      <c r="F64" s="52">
        <f>transactions[[#This Row],[UnWeighted]]*_xlfn.XLOOKUP(transactions[[#This Row],[OpportunityID]],Opportunities[ID],Opportunities[WinProbabilityValue])</f>
        <v>67945.3125</v>
      </c>
      <c r="G64" s="52">
        <f>_xlfn.XLOOKUP(transactions[[#This Row],[OpportunityID]],Opportunities[ID],Opportunities[Amount])/IF(_xlfn.XLOOKUP(transactions[[#This Row],[OpportunityID]],Opportunities[ID],Opportunities[Recurrences])=0,1,_xlfn.XLOOKUP(transactions[[#This Row],[OpportunityID]],Opportunities[ID],Opportunities[Recurrences]))</f>
        <v>135890.625</v>
      </c>
      <c r="H64" s="51" t="str">
        <f>_xlfn.XLOOKUP(transactions[[#This Row],[OpportunityID]],Opportunities[ID],Opportunities[Status])</f>
        <v>Active</v>
      </c>
      <c r="I64" s="51" t="str">
        <f>_xlfn.XLOOKUP(transactions[[#This Row],[OpportunityID]],Opportunities[ID],Opportunities[Stage])</f>
        <v>Project Execution</v>
      </c>
      <c r="J64" s="51" t="str">
        <f>_xlfn.XLOOKUP(transactions[[#This Row],[OpportunityID]],Opportunities[ID],Opportunities[OpportunityName])</f>
        <v>Cybersecurity Enhancement</v>
      </c>
      <c r="K64" s="51" t="str">
        <f>_xlfn.XLOOKUP(transactions[[#This Row],[CustomerId]],Customers[Id],Customers[Customer Name])</f>
        <v>Insurance Specialists</v>
      </c>
      <c r="L64" s="51" t="str">
        <f>_xlfn.XLOOKUP(transactions[[#This Row],[OpportunityID]],Opportunities[ID],Opportunities[OpportunityOwner])</f>
        <v>Dr. Tech Advisor</v>
      </c>
      <c r="M64" s="51" t="str">
        <f ca="1">IF((transactions[[#This Row],[TransactionDate]]-TODAY())&lt;=366,transactions[[#This Row],[FQ]],"Out-year")</f>
        <v>Out-year</v>
      </c>
      <c r="N64" s="55">
        <f>transactions[[#This Row],[UnWeighted]]/1000</f>
        <v>135.890625</v>
      </c>
      <c r="O64" s="55">
        <f>transactions[[#This Row],[Weighted]]/1000</f>
        <v>67.9453125</v>
      </c>
      <c r="P64" s="55">
        <f>transactions[[#This Row],[$K Unweighted]]/1000</f>
        <v>0.13589062499999999</v>
      </c>
      <c r="Q64" s="55" t="b">
        <f ca="1">transactions[[#This Row],[TransactionDate]]&gt;TODAY()</f>
        <v>1</v>
      </c>
    </row>
    <row r="65" spans="1:17" x14ac:dyDescent="0.25">
      <c r="A65">
        <v>30</v>
      </c>
      <c r="B65">
        <v>1</v>
      </c>
      <c r="C65" s="31">
        <v>46316</v>
      </c>
      <c r="D6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5" s="51" t="str">
        <f>"CY"&amp;RIGHT(YEAR(transactions[[#This Row],[TransactionDate]]),2)&amp;"-Q"&amp;ROUNDUP(MONTH(transactions[[#This Row],[TransactionDate]])/3, 0)</f>
        <v>CY26-Q4</v>
      </c>
      <c r="F65" s="52">
        <f>transactions[[#This Row],[UnWeighted]]*_xlfn.XLOOKUP(transactions[[#This Row],[OpportunityID]],Opportunities[ID],Opportunities[WinProbabilityValue])</f>
        <v>73260.25</v>
      </c>
      <c r="G65" s="52">
        <f>_xlfn.XLOOKUP(transactions[[#This Row],[OpportunityID]],Opportunities[ID],Opportunities[Amount])/IF(_xlfn.XLOOKUP(transactions[[#This Row],[OpportunityID]],Opportunities[ID],Opportunities[Recurrences])=0,1,_xlfn.XLOOKUP(transactions[[#This Row],[OpportunityID]],Opportunities[ID],Opportunities[Recurrences]))</f>
        <v>146520.5</v>
      </c>
      <c r="H65" s="51" t="str">
        <f>_xlfn.XLOOKUP(transactions[[#This Row],[OpportunityID]],Opportunities[ID],Opportunities[Status])</f>
        <v>Active</v>
      </c>
      <c r="I65" s="51" t="str">
        <f>_xlfn.XLOOKUP(transactions[[#This Row],[OpportunityID]],Opportunities[ID],Opportunities[Stage])</f>
        <v>Nurturing</v>
      </c>
      <c r="J65" s="51" t="str">
        <f>_xlfn.XLOOKUP(transactions[[#This Row],[OpportunityID]],Opportunities[ID],Opportunities[OpportunityName])</f>
        <v>Customer Service Platform</v>
      </c>
      <c r="K65" s="51" t="str">
        <f>_xlfn.XLOOKUP(transactions[[#This Row],[CustomerId]],Customers[Id],Customers[Customer Name])</f>
        <v>ACME Corporation</v>
      </c>
      <c r="L65" s="51" t="str">
        <f>_xlfn.XLOOKUP(transactions[[#This Row],[OpportunityID]],Opportunities[ID],Opportunities[OpportunityOwner])</f>
        <v>Maria Coordinator</v>
      </c>
      <c r="M65" s="51" t="str">
        <f ca="1">IF((transactions[[#This Row],[TransactionDate]]-TODAY())&lt;=366,transactions[[#This Row],[FQ]],"Out-year")</f>
        <v>Out-year</v>
      </c>
      <c r="N65" s="55">
        <f>transactions[[#This Row],[UnWeighted]]/1000</f>
        <v>146.5205</v>
      </c>
      <c r="O65" s="55">
        <f>transactions[[#This Row],[Weighted]]/1000</f>
        <v>73.260249999999999</v>
      </c>
      <c r="P65" s="55">
        <f>transactions[[#This Row],[$K Unweighted]]/1000</f>
        <v>0.1465205</v>
      </c>
      <c r="Q65" s="55" t="b">
        <f ca="1">transactions[[#This Row],[TransactionDate]]&gt;TODAY()</f>
        <v>1</v>
      </c>
    </row>
    <row r="66" spans="1:17" x14ac:dyDescent="0.25">
      <c r="A66">
        <v>13</v>
      </c>
      <c r="B66">
        <v>2</v>
      </c>
      <c r="C66" s="31">
        <v>46317</v>
      </c>
      <c r="D6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6" s="51" t="str">
        <f>"CY"&amp;RIGHT(YEAR(transactions[[#This Row],[TransactionDate]]),2)&amp;"-Q"&amp;ROUNDUP(MONTH(transactions[[#This Row],[TransactionDate]])/3, 0)</f>
        <v>CY26-Q4</v>
      </c>
      <c r="F66" s="52">
        <f>transactions[[#This Row],[UnWeighted]]*_xlfn.XLOOKUP(transactions[[#This Row],[OpportunityID]],Opportunities[ID],Opportunities[WinProbabilityValue])</f>
        <v>12618.744897959185</v>
      </c>
      <c r="G66"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66" s="51" t="str">
        <f>_xlfn.XLOOKUP(transactions[[#This Row],[OpportunityID]],Opportunities[ID],Opportunities[Status])</f>
        <v>Active</v>
      </c>
      <c r="I66" s="51" t="str">
        <f>_xlfn.XLOOKUP(transactions[[#This Row],[OpportunityID]],Opportunities[ID],Opportunities[Stage])</f>
        <v>Negotiation</v>
      </c>
      <c r="J66" s="51" t="str">
        <f>_xlfn.XLOOKUP(transactions[[#This Row],[OpportunityID]],Opportunities[ID],Opportunities[OpportunityName])</f>
        <v>E-commerce Platform</v>
      </c>
      <c r="K66" s="51" t="str">
        <f>_xlfn.XLOOKUP(transactions[[#This Row],[CustomerId]],Customers[Id],Customers[Customer Name])</f>
        <v>Global Industries</v>
      </c>
      <c r="L66" s="51" t="str">
        <f>_xlfn.XLOOKUP(transactions[[#This Row],[OpportunityID]],Opportunities[ID],Opportunities[OpportunityOwner])</f>
        <v>Lisa Engineer</v>
      </c>
      <c r="M66" s="51" t="str">
        <f ca="1">IF((transactions[[#This Row],[TransactionDate]]-TODAY())&lt;=366,transactions[[#This Row],[FQ]],"Out-year")</f>
        <v>Out-year</v>
      </c>
      <c r="N66" s="55">
        <f>transactions[[#This Row],[UnWeighted]]/1000</f>
        <v>25.237489795918368</v>
      </c>
      <c r="O66" s="55">
        <f>transactions[[#This Row],[Weighted]]/1000</f>
        <v>12.618744897959184</v>
      </c>
      <c r="P66" s="55">
        <f>transactions[[#This Row],[$K Unweighted]]/1000</f>
        <v>2.5237489795918368E-2</v>
      </c>
      <c r="Q66" s="55" t="b">
        <f ca="1">transactions[[#This Row],[TransactionDate]]&gt;TODAY()</f>
        <v>1</v>
      </c>
    </row>
    <row r="67" spans="1:17" x14ac:dyDescent="0.25">
      <c r="A67">
        <v>32</v>
      </c>
      <c r="B67">
        <v>29</v>
      </c>
      <c r="C67" s="31">
        <v>46318</v>
      </c>
      <c r="D6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7" s="51" t="str">
        <f>"CY"&amp;RIGHT(YEAR(transactions[[#This Row],[TransactionDate]]),2)&amp;"-Q"&amp;ROUNDUP(MONTH(transactions[[#This Row],[TransactionDate]])/3, 0)</f>
        <v>CY26-Q4</v>
      </c>
      <c r="F67" s="52">
        <f>transactions[[#This Row],[UnWeighted]]*_xlfn.XLOOKUP(transactions[[#This Row],[OpportunityID]],Opportunities[ID],Opportunities[WinProbabilityValue])</f>
        <v>19870.314285714288</v>
      </c>
      <c r="G67" s="52">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67" s="51" t="str">
        <f>_xlfn.XLOOKUP(transactions[[#This Row],[OpportunityID]],Opportunities[ID],Opportunities[Status])</f>
        <v>Active</v>
      </c>
      <c r="I67" s="51" t="str">
        <f>_xlfn.XLOOKUP(transactions[[#This Row],[OpportunityID]],Opportunities[ID],Opportunities[Stage])</f>
        <v>Proposal</v>
      </c>
      <c r="J67" s="51" t="str">
        <f>_xlfn.XLOOKUP(transactions[[#This Row],[OpportunityID]],Opportunities[ID],Opportunities[OpportunityName])</f>
        <v>Environmental Monitoring Solution</v>
      </c>
      <c r="K67" s="51" t="str">
        <f>_xlfn.XLOOKUP(transactions[[#This Row],[CustomerId]],Customers[Id],Customers[Customer Name])</f>
        <v>Waste Management Co</v>
      </c>
      <c r="L67" s="51" t="str">
        <f>_xlfn.XLOOKUP(transactions[[#This Row],[OpportunityID]],Opportunities[ID],Opportunities[OpportunityOwner])</f>
        <v>Jennifer PM</v>
      </c>
      <c r="M67" s="51" t="str">
        <f ca="1">IF((transactions[[#This Row],[TransactionDate]]-TODAY())&lt;=366,transactions[[#This Row],[FQ]],"Out-year")</f>
        <v>Out-year</v>
      </c>
      <c r="N67" s="55">
        <f>transactions[[#This Row],[UnWeighted]]/1000</f>
        <v>99.351571428571432</v>
      </c>
      <c r="O67" s="55">
        <f>transactions[[#This Row],[Weighted]]/1000</f>
        <v>19.87031428571429</v>
      </c>
      <c r="P67" s="55">
        <f>transactions[[#This Row],[$K Unweighted]]/1000</f>
        <v>9.9351571428571428E-2</v>
      </c>
      <c r="Q67" s="55" t="b">
        <f ca="1">transactions[[#This Row],[TransactionDate]]&gt;TODAY()</f>
        <v>1</v>
      </c>
    </row>
    <row r="68" spans="1:17" x14ac:dyDescent="0.25">
      <c r="A68">
        <v>26</v>
      </c>
      <c r="B68">
        <v>1</v>
      </c>
      <c r="C68" s="31">
        <v>46327</v>
      </c>
      <c r="D6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68" s="51" t="str">
        <f>"CY"&amp;RIGHT(YEAR(transactions[[#This Row],[TransactionDate]]),2)&amp;"-Q"&amp;ROUNDUP(MONTH(transactions[[#This Row],[TransactionDate]])/3, 0)</f>
        <v>CY26-Q4</v>
      </c>
      <c r="F68" s="52">
        <f>transactions[[#This Row],[UnWeighted]]*_xlfn.XLOOKUP(transactions[[#This Row],[OpportunityID]],Opportunities[ID],Opportunities[WinProbabilityValue])</f>
        <v>11339.638888888889</v>
      </c>
      <c r="G68"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68" s="51" t="str">
        <f>_xlfn.XLOOKUP(transactions[[#This Row],[OpportunityID]],Opportunities[ID],Opportunities[Status])</f>
        <v>Active</v>
      </c>
      <c r="I68" s="51" t="str">
        <f>_xlfn.XLOOKUP(transactions[[#This Row],[OpportunityID]],Opportunities[ID],Opportunities[Stage])</f>
        <v>Negotiation</v>
      </c>
      <c r="J68" s="51" t="str">
        <f>_xlfn.XLOOKUP(transactions[[#This Row],[OpportunityID]],Opportunities[ID],Opportunities[OpportunityName])</f>
        <v>Video Conferencing Solution</v>
      </c>
      <c r="K68" s="51" t="str">
        <f>_xlfn.XLOOKUP(transactions[[#This Row],[CustomerId]],Customers[Id],Customers[Customer Name])</f>
        <v>ACME Corporation</v>
      </c>
      <c r="L68" s="51" t="str">
        <f>_xlfn.XLOOKUP(transactions[[#This Row],[OpportunityID]],Opportunities[ID],Opportunities[OpportunityOwner])</f>
        <v>Mike Consultant</v>
      </c>
      <c r="M68" s="51" t="str">
        <f ca="1">IF((transactions[[#This Row],[TransactionDate]]-TODAY())&lt;=366,transactions[[#This Row],[FQ]],"Out-year")</f>
        <v>Out-year</v>
      </c>
      <c r="N68" s="55">
        <f>transactions[[#This Row],[UnWeighted]]/1000</f>
        <v>22.679277777777777</v>
      </c>
      <c r="O68" s="55">
        <f>transactions[[#This Row],[Weighted]]/1000</f>
        <v>11.339638888888889</v>
      </c>
      <c r="P68" s="55">
        <f>transactions[[#This Row],[$K Unweighted]]/1000</f>
        <v>2.2679277777777777E-2</v>
      </c>
      <c r="Q68" s="55" t="b">
        <f ca="1">transactions[[#This Row],[TransactionDate]]&gt;TODAY()</f>
        <v>1</v>
      </c>
    </row>
    <row r="69" spans="1:17" x14ac:dyDescent="0.25">
      <c r="A69">
        <v>39</v>
      </c>
      <c r="B69">
        <v>3</v>
      </c>
      <c r="C69" s="31">
        <v>46329</v>
      </c>
      <c r="D6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69" s="51" t="str">
        <f>"CY"&amp;RIGHT(YEAR(transactions[[#This Row],[TransactionDate]]),2)&amp;"-Q"&amp;ROUNDUP(MONTH(transactions[[#This Row],[TransactionDate]])/3, 0)</f>
        <v>CY26-Q4</v>
      </c>
      <c r="F69" s="52">
        <f>transactions[[#This Row],[UnWeighted]]*_xlfn.XLOOKUP(transactions[[#This Row],[OpportunityID]],Opportunities[ID],Opportunities[WinProbabilityValue])</f>
        <v>20929.153846153848</v>
      </c>
      <c r="G69"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69" s="51" t="str">
        <f>_xlfn.XLOOKUP(transactions[[#This Row],[OpportunityID]],Opportunities[ID],Opportunities[Status])</f>
        <v>Active</v>
      </c>
      <c r="I69" s="51" t="str">
        <f>_xlfn.XLOOKUP(transactions[[#This Row],[OpportunityID]],Opportunities[ID],Opportunities[Stage])</f>
        <v>Project Execution</v>
      </c>
      <c r="J69" s="51" t="str">
        <f>_xlfn.XLOOKUP(transactions[[#This Row],[OpportunityID]],Opportunities[ID],Opportunities[OpportunityName])</f>
        <v>API Development Project</v>
      </c>
      <c r="K69" s="51" t="str">
        <f>_xlfn.XLOOKUP(transactions[[#This Row],[CustomerId]],Customers[Id],Customers[Customer Name])</f>
        <v>Tech Solutions Inc</v>
      </c>
      <c r="L69" s="51" t="str">
        <f>_xlfn.XLOOKUP(transactions[[#This Row],[OpportunityID]],Opportunities[ID],Opportunities[OpportunityOwner])</f>
        <v>Jennifer PM</v>
      </c>
      <c r="M69" s="51" t="str">
        <f ca="1">IF((transactions[[#This Row],[TransactionDate]]-TODAY())&lt;=366,transactions[[#This Row],[FQ]],"Out-year")</f>
        <v>Out-year</v>
      </c>
      <c r="N69" s="55">
        <f>transactions[[#This Row],[UnWeighted]]/1000</f>
        <v>41.858307692307697</v>
      </c>
      <c r="O69" s="55">
        <f>transactions[[#This Row],[Weighted]]/1000</f>
        <v>20.929153846153849</v>
      </c>
      <c r="P69" s="55">
        <f>transactions[[#This Row],[$K Unweighted]]/1000</f>
        <v>4.1858307692307695E-2</v>
      </c>
      <c r="Q69" s="55" t="b">
        <f ca="1">transactions[[#This Row],[TransactionDate]]&gt;TODAY()</f>
        <v>1</v>
      </c>
    </row>
    <row r="70" spans="1:17" x14ac:dyDescent="0.25">
      <c r="A70">
        <v>17</v>
      </c>
      <c r="B70">
        <v>19</v>
      </c>
      <c r="C70" s="31">
        <v>46335</v>
      </c>
      <c r="D7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0" s="51" t="str">
        <f>"CY"&amp;RIGHT(YEAR(transactions[[#This Row],[TransactionDate]]),2)&amp;"-Q"&amp;ROUNDUP(MONTH(transactions[[#This Row],[TransactionDate]])/3, 0)</f>
        <v>CY26-Q4</v>
      </c>
      <c r="F70" s="52">
        <f>transactions[[#This Row],[UnWeighted]]*_xlfn.XLOOKUP(transactions[[#This Row],[OpportunityID]],Opportunities[ID],Opportunities[WinProbabilityValue])</f>
        <v>9267.2333333333336</v>
      </c>
      <c r="G70"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70" s="51" t="str">
        <f>_xlfn.XLOOKUP(transactions[[#This Row],[OpportunityID]],Opportunities[ID],Opportunities[Status])</f>
        <v>Active</v>
      </c>
      <c r="I70" s="51" t="str">
        <f>_xlfn.XLOOKUP(transactions[[#This Row],[OpportunityID]],Opportunities[ID],Opportunities[Stage])</f>
        <v>Negotiation</v>
      </c>
      <c r="J70" s="51" t="str">
        <f>_xlfn.XLOOKUP(transactions[[#This Row],[OpportunityID]],Opportunities[ID],Opportunities[OpportunityName])</f>
        <v>Supply Chain Optimization</v>
      </c>
      <c r="K70" s="51" t="str">
        <f>_xlfn.XLOOKUP(transactions[[#This Row],[CustomerId]],Customers[Id],Customers[Customer Name])</f>
        <v>Hotel Management Group</v>
      </c>
      <c r="L70" s="51" t="str">
        <f>_xlfn.XLOOKUP(transactions[[#This Row],[OpportunityID]],Opportunities[ID],Opportunities[OpportunityOwner])</f>
        <v>Jennifer PM</v>
      </c>
      <c r="M70" s="51" t="str">
        <f ca="1">IF((transactions[[#This Row],[TransactionDate]]-TODAY())&lt;=366,transactions[[#This Row],[FQ]],"Out-year")</f>
        <v>Out-year</v>
      </c>
      <c r="N70" s="55">
        <f>transactions[[#This Row],[UnWeighted]]/1000</f>
        <v>46.336166666666664</v>
      </c>
      <c r="O70" s="55">
        <f>transactions[[#This Row],[Weighted]]/1000</f>
        <v>9.2672333333333334</v>
      </c>
      <c r="P70" s="55">
        <f>transactions[[#This Row],[$K Unweighted]]/1000</f>
        <v>4.6336166666666664E-2</v>
      </c>
      <c r="Q70" s="55" t="b">
        <f ca="1">transactions[[#This Row],[TransactionDate]]&gt;TODAY()</f>
        <v>1</v>
      </c>
    </row>
    <row r="71" spans="1:17" x14ac:dyDescent="0.25">
      <c r="A71">
        <v>22</v>
      </c>
      <c r="B71">
        <v>11</v>
      </c>
      <c r="C71" s="31">
        <v>46337</v>
      </c>
      <c r="D7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1" s="51" t="str">
        <f>"CY"&amp;RIGHT(YEAR(transactions[[#This Row],[TransactionDate]]),2)&amp;"-Q"&amp;ROUNDUP(MONTH(transactions[[#This Row],[TransactionDate]])/3, 0)</f>
        <v>CY26-Q4</v>
      </c>
      <c r="F71" s="52">
        <f>transactions[[#This Row],[UnWeighted]]*_xlfn.XLOOKUP(transactions[[#This Row],[OpportunityID]],Opportunities[ID],Opportunities[WinProbabilityValue])</f>
        <v>26390.544230769232</v>
      </c>
      <c r="G71"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71" s="51" t="str">
        <f>_xlfn.XLOOKUP(transactions[[#This Row],[OpportunityID]],Opportunities[ID],Opportunities[Status])</f>
        <v>Active</v>
      </c>
      <c r="I71" s="51" t="str">
        <f>_xlfn.XLOOKUP(transactions[[#This Row],[OpportunityID]],Opportunities[ID],Opportunities[Stage])</f>
        <v>Nurturing</v>
      </c>
      <c r="J71" s="51" t="str">
        <f>_xlfn.XLOOKUP(transactions[[#This Row],[OpportunityID]],Opportunities[ID],Opportunities[OpportunityName])</f>
        <v>Inventory Management Solution</v>
      </c>
      <c r="K71" s="51" t="str">
        <f>_xlfn.XLOOKUP(transactions[[#This Row],[CustomerId]],Customers[Id],Customers[Customer Name])</f>
        <v>Transport Logistics</v>
      </c>
      <c r="L71" s="51" t="str">
        <f>_xlfn.XLOOKUP(transactions[[#This Row],[OpportunityID]],Opportunities[ID],Opportunities[OpportunityOwner])</f>
        <v>Sarah Director</v>
      </c>
      <c r="M71" s="51" t="str">
        <f ca="1">IF((transactions[[#This Row],[TransactionDate]]-TODAY())&lt;=366,transactions[[#This Row],[FQ]],"Out-year")</f>
        <v>Out-year</v>
      </c>
      <c r="N71" s="55">
        <f>transactions[[#This Row],[UnWeighted]]/1000</f>
        <v>29.322826923076921</v>
      </c>
      <c r="O71" s="55">
        <f>transactions[[#This Row],[Weighted]]/1000</f>
        <v>26.390544230769233</v>
      </c>
      <c r="P71" s="55">
        <f>transactions[[#This Row],[$K Unweighted]]/1000</f>
        <v>2.932282692307692E-2</v>
      </c>
      <c r="Q71" s="55" t="b">
        <f ca="1">transactions[[#This Row],[TransactionDate]]&gt;TODAY()</f>
        <v>1</v>
      </c>
    </row>
    <row r="72" spans="1:17" x14ac:dyDescent="0.25">
      <c r="A72">
        <v>28</v>
      </c>
      <c r="B72">
        <v>1</v>
      </c>
      <c r="C72" s="31">
        <v>46342</v>
      </c>
      <c r="D7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2" s="51" t="str">
        <f>"CY"&amp;RIGHT(YEAR(transactions[[#This Row],[TransactionDate]]),2)&amp;"-Q"&amp;ROUNDUP(MONTH(transactions[[#This Row],[TransactionDate]])/3, 0)</f>
        <v>CY26-Q4</v>
      </c>
      <c r="F72" s="52">
        <f>transactions[[#This Row],[UnWeighted]]*_xlfn.XLOOKUP(transactions[[#This Row],[OpportunityID]],Opportunities[ID],Opportunities[WinProbabilityValue])</f>
        <v>40447.666666666664</v>
      </c>
      <c r="G72" s="52">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72" s="51" t="str">
        <f>_xlfn.XLOOKUP(transactions[[#This Row],[OpportunityID]],Opportunities[ID],Opportunities[Status])</f>
        <v>Active</v>
      </c>
      <c r="I72" s="51" t="str">
        <f>_xlfn.XLOOKUP(transactions[[#This Row],[OpportunityID]],Opportunities[ID],Opportunities[Stage])</f>
        <v>Lead Qualification</v>
      </c>
      <c r="J72" s="51" t="str">
        <f>_xlfn.XLOOKUP(transactions[[#This Row],[OpportunityID]],Opportunities[ID],Opportunities[OpportunityName])</f>
        <v>Website Redesign Project</v>
      </c>
      <c r="K72" s="51" t="str">
        <f>_xlfn.XLOOKUP(transactions[[#This Row],[CustomerId]],Customers[Id],Customers[Customer Name])</f>
        <v>ACME Corporation</v>
      </c>
      <c r="L72" s="51" t="str">
        <f>_xlfn.XLOOKUP(transactions[[#This Row],[OpportunityID]],Opportunities[ID],Opportunities[OpportunityOwner])</f>
        <v>Lisa Engineer</v>
      </c>
      <c r="M72" s="51" t="str">
        <f ca="1">IF((transactions[[#This Row],[TransactionDate]]-TODAY())&lt;=366,transactions[[#This Row],[FQ]],"Out-year")</f>
        <v>Out-year</v>
      </c>
      <c r="N72" s="55">
        <f>transactions[[#This Row],[UnWeighted]]/1000</f>
        <v>80.895333333333326</v>
      </c>
      <c r="O72" s="55">
        <f>transactions[[#This Row],[Weighted]]/1000</f>
        <v>40.447666666666663</v>
      </c>
      <c r="P72" s="55">
        <f>transactions[[#This Row],[$K Unweighted]]/1000</f>
        <v>8.0895333333333333E-2</v>
      </c>
      <c r="Q72" s="55" t="b">
        <f ca="1">transactions[[#This Row],[TransactionDate]]&gt;TODAY()</f>
        <v>1</v>
      </c>
    </row>
    <row r="73" spans="1:17" x14ac:dyDescent="0.25">
      <c r="A73">
        <v>2</v>
      </c>
      <c r="B73">
        <v>10</v>
      </c>
      <c r="C73" s="31">
        <v>46343</v>
      </c>
      <c r="D7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3" s="51" t="str">
        <f>"CY"&amp;RIGHT(YEAR(transactions[[#This Row],[TransactionDate]]),2)&amp;"-Q"&amp;ROUNDUP(MONTH(transactions[[#This Row],[TransactionDate]])/3, 0)</f>
        <v>CY26-Q4</v>
      </c>
      <c r="F73" s="52">
        <f>transactions[[#This Row],[UnWeighted]]*_xlfn.XLOOKUP(transactions[[#This Row],[OpportunityID]],Opportunities[ID],Opportunities[WinProbabilityValue])</f>
        <v>20720.20930232558</v>
      </c>
      <c r="G73"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73" s="51" t="str">
        <f>_xlfn.XLOOKUP(transactions[[#This Row],[OpportunityID]],Opportunities[ID],Opportunities[Status])</f>
        <v>Active</v>
      </c>
      <c r="I73" s="51" t="str">
        <f>_xlfn.XLOOKUP(transactions[[#This Row],[OpportunityID]],Opportunities[ID],Opportunities[Stage])</f>
        <v>Proposal</v>
      </c>
      <c r="J73" s="51" t="str">
        <f>_xlfn.XLOOKUP(transactions[[#This Row],[OpportunityID]],Opportunities[ID],Opportunities[OpportunityName])</f>
        <v>Cloud Migration Initiative</v>
      </c>
      <c r="K73" s="51" t="str">
        <f>_xlfn.XLOOKUP(transactions[[#This Row],[CustomerId]],Customers[Id],Customers[Customer Name])</f>
        <v>Education First</v>
      </c>
      <c r="L73" s="51" t="str">
        <f>_xlfn.XLOOKUP(transactions[[#This Row],[OpportunityID]],Opportunities[ID],Opportunities[OpportunityOwner])</f>
        <v>Robert Analyst</v>
      </c>
      <c r="M73" s="51" t="str">
        <f ca="1">IF((transactions[[#This Row],[TransactionDate]]-TODAY())&lt;=366,transactions[[#This Row],[FQ]],"Out-year")</f>
        <v>Out-year</v>
      </c>
      <c r="N73" s="55">
        <f>transactions[[#This Row],[UnWeighted]]/1000</f>
        <v>41.440418604651157</v>
      </c>
      <c r="O73" s="55">
        <f>transactions[[#This Row],[Weighted]]/1000</f>
        <v>20.720209302325578</v>
      </c>
      <c r="P73" s="55">
        <f>transactions[[#This Row],[$K Unweighted]]/1000</f>
        <v>4.1440418604651155E-2</v>
      </c>
      <c r="Q73" s="55" t="b">
        <f ca="1">transactions[[#This Row],[TransactionDate]]&gt;TODAY()</f>
        <v>1</v>
      </c>
    </row>
    <row r="74" spans="1:17" x14ac:dyDescent="0.25">
      <c r="A74">
        <v>27</v>
      </c>
      <c r="B74">
        <v>2</v>
      </c>
      <c r="C74" s="31">
        <v>46343</v>
      </c>
      <c r="D7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4" s="51" t="str">
        <f>"CY"&amp;RIGHT(YEAR(transactions[[#This Row],[TransactionDate]]),2)&amp;"-Q"&amp;ROUNDUP(MONTH(transactions[[#This Row],[TransactionDate]])/3, 0)</f>
        <v>CY26-Q4</v>
      </c>
      <c r="F74" s="52">
        <f>transactions[[#This Row],[UnWeighted]]*_xlfn.XLOOKUP(transactions[[#This Row],[OpportunityID]],Opportunities[ID],Opportunities[WinProbabilityValue])</f>
        <v>46287.333333333336</v>
      </c>
      <c r="G74"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74" s="51" t="str">
        <f>_xlfn.XLOOKUP(transactions[[#This Row],[OpportunityID]],Opportunities[ID],Opportunities[Status])</f>
        <v>Active</v>
      </c>
      <c r="I74" s="51" t="str">
        <f>_xlfn.XLOOKUP(transactions[[#This Row],[OpportunityID]],Opportunities[ID],Opportunities[Stage])</f>
        <v>Lead Qualification</v>
      </c>
      <c r="J74" s="51" t="str">
        <f>_xlfn.XLOOKUP(transactions[[#This Row],[OpportunityID]],Opportunities[ID],Opportunities[OpportunityName])</f>
        <v>Backup &amp; Recovery System</v>
      </c>
      <c r="K74" s="51" t="str">
        <f>_xlfn.XLOOKUP(transactions[[#This Row],[CustomerId]],Customers[Id],Customers[Customer Name])</f>
        <v>Global Industries</v>
      </c>
      <c r="L74" s="51" t="str">
        <f>_xlfn.XLOOKUP(transactions[[#This Row],[OpportunityID]],Opportunities[ID],Opportunities[OpportunityOwner])</f>
        <v>Amanda Sales</v>
      </c>
      <c r="M74" s="51" t="str">
        <f ca="1">IF((transactions[[#This Row],[TransactionDate]]-TODAY())&lt;=366,transactions[[#This Row],[FQ]],"Out-year")</f>
        <v>Out-year</v>
      </c>
      <c r="N74" s="55">
        <f>transactions[[#This Row],[UnWeighted]]/1000</f>
        <v>92.574666666666673</v>
      </c>
      <c r="O74" s="55">
        <f>transactions[[#This Row],[Weighted]]/1000</f>
        <v>46.287333333333336</v>
      </c>
      <c r="P74" s="55">
        <f>transactions[[#This Row],[$K Unweighted]]/1000</f>
        <v>9.2574666666666666E-2</v>
      </c>
      <c r="Q74" s="55" t="b">
        <f ca="1">transactions[[#This Row],[TransactionDate]]&gt;TODAY()</f>
        <v>1</v>
      </c>
    </row>
    <row r="75" spans="1:17" x14ac:dyDescent="0.25">
      <c r="A75">
        <v>37</v>
      </c>
      <c r="B75">
        <v>20</v>
      </c>
      <c r="C75" s="31">
        <v>46344</v>
      </c>
      <c r="D7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5" s="51" t="str">
        <f>"CY"&amp;RIGHT(YEAR(transactions[[#This Row],[TransactionDate]]),2)&amp;"-Q"&amp;ROUNDUP(MONTH(transactions[[#This Row],[TransactionDate]])/3, 0)</f>
        <v>CY26-Q4</v>
      </c>
      <c r="F75" s="52">
        <f>transactions[[#This Row],[UnWeighted]]*_xlfn.XLOOKUP(transactions[[#This Row],[OpportunityID]],Opportunities[ID],Opportunities[WinProbabilityValue])</f>
        <v>103010.25</v>
      </c>
      <c r="G75" s="52">
        <f>_xlfn.XLOOKUP(transactions[[#This Row],[OpportunityID]],Opportunities[ID],Opportunities[Amount])/IF(_xlfn.XLOOKUP(transactions[[#This Row],[OpportunityID]],Opportunities[ID],Opportunities[Recurrences])=0,1,_xlfn.XLOOKUP(transactions[[#This Row],[OpportunityID]],Opportunities[ID],Opportunities[Recurrences]))</f>
        <v>206020.5</v>
      </c>
      <c r="H75" s="51" t="str">
        <f>_xlfn.XLOOKUP(transactions[[#This Row],[OpportunityID]],Opportunities[ID],Opportunities[Status])</f>
        <v>Active</v>
      </c>
      <c r="I75" s="51" t="str">
        <f>_xlfn.XLOOKUP(transactions[[#This Row],[OpportunityID]],Opportunities[ID],Opportunities[Stage])</f>
        <v>Nurturing</v>
      </c>
      <c r="J75" s="51" t="str">
        <f>_xlfn.XLOOKUP(transactions[[#This Row],[OpportunityID]],Opportunities[ID],Opportunities[OpportunityName])</f>
        <v>Database Migration Project</v>
      </c>
      <c r="K75" s="51" t="str">
        <f>_xlfn.XLOOKUP(transactions[[#This Row],[CustomerId]],Customers[Id],Customers[Customer Name])</f>
        <v>Automotive Parts Plus</v>
      </c>
      <c r="L75" s="51" t="str">
        <f>_xlfn.XLOOKUP(transactions[[#This Row],[OpportunityID]],Opportunities[ID],Opportunities[OpportunityOwner])</f>
        <v>Lisa Engineer</v>
      </c>
      <c r="M75" s="51" t="str">
        <f ca="1">IF((transactions[[#This Row],[TransactionDate]]-TODAY())&lt;=366,transactions[[#This Row],[FQ]],"Out-year")</f>
        <v>Out-year</v>
      </c>
      <c r="N75" s="55">
        <f>transactions[[#This Row],[UnWeighted]]/1000</f>
        <v>206.0205</v>
      </c>
      <c r="O75" s="55">
        <f>transactions[[#This Row],[Weighted]]/1000</f>
        <v>103.01025</v>
      </c>
      <c r="P75" s="55">
        <f>transactions[[#This Row],[$K Unweighted]]/1000</f>
        <v>0.2060205</v>
      </c>
      <c r="Q75" s="55" t="b">
        <f ca="1">transactions[[#This Row],[TransactionDate]]&gt;TODAY()</f>
        <v>1</v>
      </c>
    </row>
    <row r="76" spans="1:17" x14ac:dyDescent="0.25">
      <c r="A76">
        <v>23</v>
      </c>
      <c r="B76">
        <v>11</v>
      </c>
      <c r="C76" s="31">
        <v>46346</v>
      </c>
      <c r="D7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6" s="51" t="str">
        <f>"CY"&amp;RIGHT(YEAR(transactions[[#This Row],[TransactionDate]]),2)&amp;"-Q"&amp;ROUNDUP(MONTH(transactions[[#This Row],[TransactionDate]])/3, 0)</f>
        <v>CY26-Q4</v>
      </c>
      <c r="F76" s="52">
        <f>transactions[[#This Row],[UnWeighted]]*_xlfn.XLOOKUP(transactions[[#This Row],[OpportunityID]],Opportunities[ID],Opportunities[WinProbabilityValue])</f>
        <v>25249.37777777778</v>
      </c>
      <c r="G76" s="52">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76" s="51" t="str">
        <f>_xlfn.XLOOKUP(transactions[[#This Row],[OpportunityID]],Opportunities[ID],Opportunities[Status])</f>
        <v>Critical</v>
      </c>
      <c r="I76" s="51" t="str">
        <f>_xlfn.XLOOKUP(transactions[[#This Row],[OpportunityID]],Opportunities[ID],Opportunities[Stage])</f>
        <v>Negotiation</v>
      </c>
      <c r="J76" s="51" t="str">
        <f>_xlfn.XLOOKUP(transactions[[#This Row],[OpportunityID]],Opportunities[ID],Opportunities[OpportunityName])</f>
        <v>Point of Sale System</v>
      </c>
      <c r="K76" s="51" t="str">
        <f>_xlfn.XLOOKUP(transactions[[#This Row],[CustomerId]],Customers[Id],Customers[Customer Name])</f>
        <v>Transport Logistics</v>
      </c>
      <c r="L76" s="51" t="str">
        <f>_xlfn.XLOOKUP(transactions[[#This Row],[OpportunityID]],Opportunities[ID],Opportunities[OpportunityOwner])</f>
        <v>David Specialist</v>
      </c>
      <c r="M76" s="51" t="str">
        <f ca="1">IF((transactions[[#This Row],[TransactionDate]]-TODAY())&lt;=366,transactions[[#This Row],[FQ]],"Out-year")</f>
        <v>Out-year</v>
      </c>
      <c r="N76" s="55">
        <f>transactions[[#This Row],[UnWeighted]]/1000</f>
        <v>126.24688888888889</v>
      </c>
      <c r="O76" s="55">
        <f>transactions[[#This Row],[Weighted]]/1000</f>
        <v>25.249377777777781</v>
      </c>
      <c r="P76" s="55">
        <f>transactions[[#This Row],[$K Unweighted]]/1000</f>
        <v>0.12624688888888888</v>
      </c>
      <c r="Q76" s="55" t="b">
        <f ca="1">transactions[[#This Row],[TransactionDate]]&gt;TODAY()</f>
        <v>1</v>
      </c>
    </row>
    <row r="77" spans="1:17" x14ac:dyDescent="0.25">
      <c r="A77">
        <v>31</v>
      </c>
      <c r="B77">
        <v>15</v>
      </c>
      <c r="C77" s="31">
        <v>46348</v>
      </c>
      <c r="D7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7" s="51" t="str">
        <f>"CY"&amp;RIGHT(YEAR(transactions[[#This Row],[TransactionDate]]),2)&amp;"-Q"&amp;ROUNDUP(MONTH(transactions[[#This Row],[TransactionDate]])/3, 0)</f>
        <v>CY26-Q4</v>
      </c>
      <c r="F77" s="52">
        <f>transactions[[#This Row],[UnWeighted]]*_xlfn.XLOOKUP(transactions[[#This Row],[OpportunityID]],Opportunities[ID],Opportunities[WinProbabilityValue])</f>
        <v>19221.625</v>
      </c>
      <c r="G77" s="52">
        <f>_xlfn.XLOOKUP(transactions[[#This Row],[OpportunityID]],Opportunities[ID],Opportunities[Amount])/IF(_xlfn.XLOOKUP(transactions[[#This Row],[OpportunityID]],Opportunities[ID],Opportunities[Recurrences])=0,1,_xlfn.XLOOKUP(transactions[[#This Row],[OpportunityID]],Opportunities[ID],Opportunities[Recurrences]))</f>
        <v>96108.125</v>
      </c>
      <c r="H77" s="51" t="str">
        <f>_xlfn.XLOOKUP(transactions[[#This Row],[OpportunityID]],Opportunities[ID],Opportunities[Status])</f>
        <v>At Risk</v>
      </c>
      <c r="I77" s="51" t="str">
        <f>_xlfn.XLOOKUP(transactions[[#This Row],[OpportunityID]],Opportunities[ID],Opportunities[Stage])</f>
        <v>Negotiation</v>
      </c>
      <c r="J77" s="51" t="str">
        <f>_xlfn.XLOOKUP(transactions[[#This Row],[OpportunityID]],Opportunities[ID],Opportunities[OpportunityName])</f>
        <v>Fleet Management System</v>
      </c>
      <c r="K77" s="51" t="str">
        <f>_xlfn.XLOOKUP(transactions[[#This Row],[CustomerId]],Customers[Id],Customers[Customer Name])</f>
        <v>Pharmaceutical Research</v>
      </c>
      <c r="L77" s="51" t="str">
        <f>_xlfn.XLOOKUP(transactions[[#This Row],[OpportunityID]],Opportunities[ID],Opportunities[OpportunityOwner])</f>
        <v>Amanda Sales</v>
      </c>
      <c r="M77" s="51" t="str">
        <f ca="1">IF((transactions[[#This Row],[TransactionDate]]-TODAY())&lt;=366,transactions[[#This Row],[FQ]],"Out-year")</f>
        <v>Out-year</v>
      </c>
      <c r="N77" s="55">
        <f>transactions[[#This Row],[UnWeighted]]/1000</f>
        <v>96.108125000000001</v>
      </c>
      <c r="O77" s="55">
        <f>transactions[[#This Row],[Weighted]]/1000</f>
        <v>19.221625</v>
      </c>
      <c r="P77" s="55">
        <f>transactions[[#This Row],[$K Unweighted]]/1000</f>
        <v>9.6108125000000003E-2</v>
      </c>
      <c r="Q77" s="55" t="b">
        <f ca="1">transactions[[#This Row],[TransactionDate]]&gt;TODAY()</f>
        <v>1</v>
      </c>
    </row>
    <row r="78" spans="1:17" x14ac:dyDescent="0.25">
      <c r="A78">
        <v>13</v>
      </c>
      <c r="B78">
        <v>2</v>
      </c>
      <c r="C78" s="31">
        <v>46348</v>
      </c>
      <c r="D7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8" s="51" t="str">
        <f>"CY"&amp;RIGHT(YEAR(transactions[[#This Row],[TransactionDate]]),2)&amp;"-Q"&amp;ROUNDUP(MONTH(transactions[[#This Row],[TransactionDate]])/3, 0)</f>
        <v>CY26-Q4</v>
      </c>
      <c r="F78" s="52">
        <f>transactions[[#This Row],[UnWeighted]]*_xlfn.XLOOKUP(transactions[[#This Row],[OpportunityID]],Opportunities[ID],Opportunities[WinProbabilityValue])</f>
        <v>12618.744897959185</v>
      </c>
      <c r="G78"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78" s="51" t="str">
        <f>_xlfn.XLOOKUP(transactions[[#This Row],[OpportunityID]],Opportunities[ID],Opportunities[Status])</f>
        <v>Active</v>
      </c>
      <c r="I78" s="51" t="str">
        <f>_xlfn.XLOOKUP(transactions[[#This Row],[OpportunityID]],Opportunities[ID],Opportunities[Stage])</f>
        <v>Negotiation</v>
      </c>
      <c r="J78" s="51" t="str">
        <f>_xlfn.XLOOKUP(transactions[[#This Row],[OpportunityID]],Opportunities[ID],Opportunities[OpportunityName])</f>
        <v>E-commerce Platform</v>
      </c>
      <c r="K78" s="51" t="str">
        <f>_xlfn.XLOOKUP(transactions[[#This Row],[CustomerId]],Customers[Id],Customers[Customer Name])</f>
        <v>Global Industries</v>
      </c>
      <c r="L78" s="51" t="str">
        <f>_xlfn.XLOOKUP(transactions[[#This Row],[OpportunityID]],Opportunities[ID],Opportunities[OpportunityOwner])</f>
        <v>Lisa Engineer</v>
      </c>
      <c r="M78" s="51" t="str">
        <f ca="1">IF((transactions[[#This Row],[TransactionDate]]-TODAY())&lt;=366,transactions[[#This Row],[FQ]],"Out-year")</f>
        <v>Out-year</v>
      </c>
      <c r="N78" s="55">
        <f>transactions[[#This Row],[UnWeighted]]/1000</f>
        <v>25.237489795918368</v>
      </c>
      <c r="O78" s="55">
        <f>transactions[[#This Row],[Weighted]]/1000</f>
        <v>12.618744897959184</v>
      </c>
      <c r="P78" s="55">
        <f>transactions[[#This Row],[$K Unweighted]]/1000</f>
        <v>2.5237489795918368E-2</v>
      </c>
      <c r="Q78" s="55" t="b">
        <f ca="1">transactions[[#This Row],[TransactionDate]]&gt;TODAY()</f>
        <v>1</v>
      </c>
    </row>
    <row r="79" spans="1:17" x14ac:dyDescent="0.25">
      <c r="A79">
        <v>26</v>
      </c>
      <c r="B79">
        <v>1</v>
      </c>
      <c r="C79" s="31">
        <v>46357</v>
      </c>
      <c r="D7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9" s="51" t="str">
        <f>"CY"&amp;RIGHT(YEAR(transactions[[#This Row],[TransactionDate]]),2)&amp;"-Q"&amp;ROUNDUP(MONTH(transactions[[#This Row],[TransactionDate]])/3, 0)</f>
        <v>CY26-Q4</v>
      </c>
      <c r="F79" s="52">
        <f>transactions[[#This Row],[UnWeighted]]*_xlfn.XLOOKUP(transactions[[#This Row],[OpportunityID]],Opportunities[ID],Opportunities[WinProbabilityValue])</f>
        <v>11339.638888888889</v>
      </c>
      <c r="G79"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79" s="51" t="str">
        <f>_xlfn.XLOOKUP(transactions[[#This Row],[OpportunityID]],Opportunities[ID],Opportunities[Status])</f>
        <v>Active</v>
      </c>
      <c r="I79" s="51" t="str">
        <f>_xlfn.XLOOKUP(transactions[[#This Row],[OpportunityID]],Opportunities[ID],Opportunities[Stage])</f>
        <v>Negotiation</v>
      </c>
      <c r="J79" s="51" t="str">
        <f>_xlfn.XLOOKUP(transactions[[#This Row],[OpportunityID]],Opportunities[ID],Opportunities[OpportunityName])</f>
        <v>Video Conferencing Solution</v>
      </c>
      <c r="K79" s="51" t="str">
        <f>_xlfn.XLOOKUP(transactions[[#This Row],[CustomerId]],Customers[Id],Customers[Customer Name])</f>
        <v>ACME Corporation</v>
      </c>
      <c r="L79" s="51" t="str">
        <f>_xlfn.XLOOKUP(transactions[[#This Row],[OpportunityID]],Opportunities[ID],Opportunities[OpportunityOwner])</f>
        <v>Mike Consultant</v>
      </c>
      <c r="M79" s="51" t="str">
        <f ca="1">IF((transactions[[#This Row],[TransactionDate]]-TODAY())&lt;=366,transactions[[#This Row],[FQ]],"Out-year")</f>
        <v>Out-year</v>
      </c>
      <c r="N79" s="55">
        <f>transactions[[#This Row],[UnWeighted]]/1000</f>
        <v>22.679277777777777</v>
      </c>
      <c r="O79" s="55">
        <f>transactions[[#This Row],[Weighted]]/1000</f>
        <v>11.339638888888889</v>
      </c>
      <c r="P79" s="55">
        <f>transactions[[#This Row],[$K Unweighted]]/1000</f>
        <v>2.2679277777777777E-2</v>
      </c>
      <c r="Q79" s="55" t="b">
        <f ca="1">transactions[[#This Row],[TransactionDate]]&gt;TODAY()</f>
        <v>1</v>
      </c>
    </row>
    <row r="80" spans="1:17" x14ac:dyDescent="0.25">
      <c r="A80">
        <v>8</v>
      </c>
      <c r="B80">
        <v>13</v>
      </c>
      <c r="C80" s="31">
        <v>46358</v>
      </c>
      <c r="D8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0" s="51" t="str">
        <f>"CY"&amp;RIGHT(YEAR(transactions[[#This Row],[TransactionDate]]),2)&amp;"-Q"&amp;ROUNDUP(MONTH(transactions[[#This Row],[TransactionDate]])/3, 0)</f>
        <v>CY26-Q4</v>
      </c>
      <c r="F80" s="52">
        <f>transactions[[#This Row],[UnWeighted]]*_xlfn.XLOOKUP(transactions[[#This Row],[OpportunityID]],Opportunities[ID],Opportunities[WinProbabilityValue])</f>
        <v>62725.125</v>
      </c>
      <c r="G80" s="52">
        <f>_xlfn.XLOOKUP(transactions[[#This Row],[OpportunityID]],Opportunities[ID],Opportunities[Amount])/IF(_xlfn.XLOOKUP(transactions[[#This Row],[OpportunityID]],Opportunities[ID],Opportunities[Recurrences])=0,1,_xlfn.XLOOKUP(transactions[[#This Row],[OpportunityID]],Opportunities[ID],Opportunities[Recurrences]))</f>
        <v>125450.25</v>
      </c>
      <c r="H80" s="51" t="str">
        <f>_xlfn.XLOOKUP(transactions[[#This Row],[OpportunityID]],Opportunities[ID],Opportunities[Status])</f>
        <v>Active</v>
      </c>
      <c r="I80" s="51" t="str">
        <f>_xlfn.XLOOKUP(transactions[[#This Row],[OpportunityID]],Opportunities[ID],Opportunities[Stage])</f>
        <v>Closeout</v>
      </c>
      <c r="J80" s="51" t="str">
        <f>_xlfn.XLOOKUP(transactions[[#This Row],[OpportunityID]],Opportunities[ID],Opportunities[OpportunityName])</f>
        <v>Business Intelligence Solution</v>
      </c>
      <c r="K80" s="51" t="str">
        <f>_xlfn.XLOOKUP(transactions[[#This Row],[CustomerId]],Customers[Id],Customers[Customer Name])</f>
        <v>Professional Services Group</v>
      </c>
      <c r="L80" s="51" t="str">
        <f>_xlfn.XLOOKUP(transactions[[#This Row],[OpportunityID]],Opportunities[ID],Opportunities[OpportunityOwner])</f>
        <v>Sarah Director</v>
      </c>
      <c r="M80" s="51" t="str">
        <f ca="1">IF((transactions[[#This Row],[TransactionDate]]-TODAY())&lt;=366,transactions[[#This Row],[FQ]],"Out-year")</f>
        <v>Out-year</v>
      </c>
      <c r="N80" s="55">
        <f>transactions[[#This Row],[UnWeighted]]/1000</f>
        <v>125.45025</v>
      </c>
      <c r="O80" s="55">
        <f>transactions[[#This Row],[Weighted]]/1000</f>
        <v>62.725124999999998</v>
      </c>
      <c r="P80" s="55">
        <f>transactions[[#This Row],[$K Unweighted]]/1000</f>
        <v>0.12545024999999999</v>
      </c>
      <c r="Q80" s="55" t="b">
        <f ca="1">transactions[[#This Row],[TransactionDate]]&gt;TODAY()</f>
        <v>1</v>
      </c>
    </row>
    <row r="81" spans="1:17" x14ac:dyDescent="0.25">
      <c r="A81">
        <v>39</v>
      </c>
      <c r="B81">
        <v>3</v>
      </c>
      <c r="C81" s="31">
        <v>46359</v>
      </c>
      <c r="D8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1" s="51" t="str">
        <f>"CY"&amp;RIGHT(YEAR(transactions[[#This Row],[TransactionDate]]),2)&amp;"-Q"&amp;ROUNDUP(MONTH(transactions[[#This Row],[TransactionDate]])/3, 0)</f>
        <v>CY26-Q4</v>
      </c>
      <c r="F81" s="52">
        <f>transactions[[#This Row],[UnWeighted]]*_xlfn.XLOOKUP(transactions[[#This Row],[OpportunityID]],Opportunities[ID],Opportunities[WinProbabilityValue])</f>
        <v>20929.153846153848</v>
      </c>
      <c r="G81"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81" s="51" t="str">
        <f>_xlfn.XLOOKUP(transactions[[#This Row],[OpportunityID]],Opportunities[ID],Opportunities[Status])</f>
        <v>Active</v>
      </c>
      <c r="I81" s="51" t="str">
        <f>_xlfn.XLOOKUP(transactions[[#This Row],[OpportunityID]],Opportunities[ID],Opportunities[Stage])</f>
        <v>Project Execution</v>
      </c>
      <c r="J81" s="51" t="str">
        <f>_xlfn.XLOOKUP(transactions[[#This Row],[OpportunityID]],Opportunities[ID],Opportunities[OpportunityName])</f>
        <v>API Development Project</v>
      </c>
      <c r="K81" s="51" t="str">
        <f>_xlfn.XLOOKUP(transactions[[#This Row],[CustomerId]],Customers[Id],Customers[Customer Name])</f>
        <v>Tech Solutions Inc</v>
      </c>
      <c r="L81" s="51" t="str">
        <f>_xlfn.XLOOKUP(transactions[[#This Row],[OpportunityID]],Opportunities[ID],Opportunities[OpportunityOwner])</f>
        <v>Jennifer PM</v>
      </c>
      <c r="M81" s="51" t="str">
        <f ca="1">IF((transactions[[#This Row],[TransactionDate]]-TODAY())&lt;=366,transactions[[#This Row],[FQ]],"Out-year")</f>
        <v>Out-year</v>
      </c>
      <c r="N81" s="55">
        <f>transactions[[#This Row],[UnWeighted]]/1000</f>
        <v>41.858307692307697</v>
      </c>
      <c r="O81" s="55">
        <f>transactions[[#This Row],[Weighted]]/1000</f>
        <v>20.929153846153849</v>
      </c>
      <c r="P81" s="55">
        <f>transactions[[#This Row],[$K Unweighted]]/1000</f>
        <v>4.1858307692307695E-2</v>
      </c>
      <c r="Q81" s="55" t="b">
        <f ca="1">transactions[[#This Row],[TransactionDate]]&gt;TODAY()</f>
        <v>1</v>
      </c>
    </row>
    <row r="82" spans="1:17" x14ac:dyDescent="0.25">
      <c r="A82">
        <v>3</v>
      </c>
      <c r="B82">
        <v>16</v>
      </c>
      <c r="C82" s="31">
        <v>46364</v>
      </c>
      <c r="D8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2" s="51" t="str">
        <f>"CY"&amp;RIGHT(YEAR(transactions[[#This Row],[TransactionDate]]),2)&amp;"-Q"&amp;ROUNDUP(MONTH(transactions[[#This Row],[TransactionDate]])/3, 0)</f>
        <v>CY26-Q4</v>
      </c>
      <c r="F82" s="52">
        <f>transactions[[#This Row],[UnWeighted]]*_xlfn.XLOOKUP(transactions[[#This Row],[OpportunityID]],Opportunities[ID],Opportunities[WinProbabilityValue])</f>
        <v>576862.5</v>
      </c>
      <c r="G82" s="52">
        <f>_xlfn.XLOOKUP(transactions[[#This Row],[OpportunityID]],Opportunities[ID],Opportunities[Amount])/IF(_xlfn.XLOOKUP(transactions[[#This Row],[OpportunityID]],Opportunities[ID],Opportunities[Recurrences])=0,1,_xlfn.XLOOKUP(transactions[[#This Row],[OpportunityID]],Opportunities[ID],Opportunities[Recurrences]))</f>
        <v>1153725</v>
      </c>
      <c r="H82" s="51" t="str">
        <f>_xlfn.XLOOKUP(transactions[[#This Row],[OpportunityID]],Opportunities[ID],Opportunities[Status])</f>
        <v>Active</v>
      </c>
      <c r="I82" s="51" t="str">
        <f>_xlfn.XLOOKUP(transactions[[#This Row],[OpportunityID]],Opportunities[ID],Opportunities[Stage])</f>
        <v>Nurturing</v>
      </c>
      <c r="J82" s="51" t="str">
        <f>_xlfn.XLOOKUP(transactions[[#This Row],[OpportunityID]],Opportunities[ID],Opportunities[OpportunityName])</f>
        <v>Security Assessment &amp; Audit</v>
      </c>
      <c r="K82" s="51" t="str">
        <f>_xlfn.XLOOKUP(transactions[[#This Row],[CustomerId]],Customers[Id],Customers[Customer Name])</f>
        <v>Real Estate Ventures</v>
      </c>
      <c r="L82" s="51" t="str">
        <f>_xlfn.XLOOKUP(transactions[[#This Row],[OpportunityID]],Opportunities[ID],Opportunities[OpportunityOwner])</f>
        <v>David Specialist</v>
      </c>
      <c r="M82" s="51" t="str">
        <f ca="1">IF((transactions[[#This Row],[TransactionDate]]-TODAY())&lt;=366,transactions[[#This Row],[FQ]],"Out-year")</f>
        <v>Out-year</v>
      </c>
      <c r="N82" s="55">
        <f>transactions[[#This Row],[UnWeighted]]/1000</f>
        <v>1153.7249999999999</v>
      </c>
      <c r="O82" s="55">
        <f>transactions[[#This Row],[Weighted]]/1000</f>
        <v>576.86249999999995</v>
      </c>
      <c r="P82" s="55">
        <f>transactions[[#This Row],[$K Unweighted]]/1000</f>
        <v>1.1537249999999999</v>
      </c>
      <c r="Q82" s="55" t="b">
        <f ca="1">transactions[[#This Row],[TransactionDate]]&gt;TODAY()</f>
        <v>1</v>
      </c>
    </row>
    <row r="83" spans="1:17" x14ac:dyDescent="0.25">
      <c r="A83">
        <v>17</v>
      </c>
      <c r="B83">
        <v>19</v>
      </c>
      <c r="C83" s="31">
        <v>46365</v>
      </c>
      <c r="D8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3" s="51" t="str">
        <f>"CY"&amp;RIGHT(YEAR(transactions[[#This Row],[TransactionDate]]),2)&amp;"-Q"&amp;ROUNDUP(MONTH(transactions[[#This Row],[TransactionDate]])/3, 0)</f>
        <v>CY26-Q4</v>
      </c>
      <c r="F83" s="52">
        <f>transactions[[#This Row],[UnWeighted]]*_xlfn.XLOOKUP(transactions[[#This Row],[OpportunityID]],Opportunities[ID],Opportunities[WinProbabilityValue])</f>
        <v>9267.2333333333336</v>
      </c>
      <c r="G83"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83" s="51" t="str">
        <f>_xlfn.XLOOKUP(transactions[[#This Row],[OpportunityID]],Opportunities[ID],Opportunities[Status])</f>
        <v>Active</v>
      </c>
      <c r="I83" s="51" t="str">
        <f>_xlfn.XLOOKUP(transactions[[#This Row],[OpportunityID]],Opportunities[ID],Opportunities[Stage])</f>
        <v>Negotiation</v>
      </c>
      <c r="J83" s="51" t="str">
        <f>_xlfn.XLOOKUP(transactions[[#This Row],[OpportunityID]],Opportunities[ID],Opportunities[OpportunityName])</f>
        <v>Supply Chain Optimization</v>
      </c>
      <c r="K83" s="51" t="str">
        <f>_xlfn.XLOOKUP(transactions[[#This Row],[CustomerId]],Customers[Id],Customers[Customer Name])</f>
        <v>Hotel Management Group</v>
      </c>
      <c r="L83" s="51" t="str">
        <f>_xlfn.XLOOKUP(transactions[[#This Row],[OpportunityID]],Opportunities[ID],Opportunities[OpportunityOwner])</f>
        <v>Jennifer PM</v>
      </c>
      <c r="M83" s="51" t="str">
        <f ca="1">IF((transactions[[#This Row],[TransactionDate]]-TODAY())&lt;=366,transactions[[#This Row],[FQ]],"Out-year")</f>
        <v>Out-year</v>
      </c>
      <c r="N83" s="55">
        <f>transactions[[#This Row],[UnWeighted]]/1000</f>
        <v>46.336166666666664</v>
      </c>
      <c r="O83" s="55">
        <f>transactions[[#This Row],[Weighted]]/1000</f>
        <v>9.2672333333333334</v>
      </c>
      <c r="P83" s="55">
        <f>transactions[[#This Row],[$K Unweighted]]/1000</f>
        <v>4.6336166666666664E-2</v>
      </c>
      <c r="Q83" s="55" t="b">
        <f ca="1">transactions[[#This Row],[TransactionDate]]&gt;TODAY()</f>
        <v>1</v>
      </c>
    </row>
    <row r="84" spans="1:17" x14ac:dyDescent="0.25">
      <c r="A84">
        <v>22</v>
      </c>
      <c r="B84">
        <v>11</v>
      </c>
      <c r="C84" s="31">
        <v>46367</v>
      </c>
      <c r="D8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4" s="51" t="str">
        <f>"CY"&amp;RIGHT(YEAR(transactions[[#This Row],[TransactionDate]]),2)&amp;"-Q"&amp;ROUNDUP(MONTH(transactions[[#This Row],[TransactionDate]])/3, 0)</f>
        <v>CY26-Q4</v>
      </c>
      <c r="F84" s="52">
        <f>transactions[[#This Row],[UnWeighted]]*_xlfn.XLOOKUP(transactions[[#This Row],[OpportunityID]],Opportunities[ID],Opportunities[WinProbabilityValue])</f>
        <v>26390.544230769232</v>
      </c>
      <c r="G84"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84" s="51" t="str">
        <f>_xlfn.XLOOKUP(transactions[[#This Row],[OpportunityID]],Opportunities[ID],Opportunities[Status])</f>
        <v>Active</v>
      </c>
      <c r="I84" s="51" t="str">
        <f>_xlfn.XLOOKUP(transactions[[#This Row],[OpportunityID]],Opportunities[ID],Opportunities[Stage])</f>
        <v>Nurturing</v>
      </c>
      <c r="J84" s="51" t="str">
        <f>_xlfn.XLOOKUP(transactions[[#This Row],[OpportunityID]],Opportunities[ID],Opportunities[OpportunityName])</f>
        <v>Inventory Management Solution</v>
      </c>
      <c r="K84" s="51" t="str">
        <f>_xlfn.XLOOKUP(transactions[[#This Row],[CustomerId]],Customers[Id],Customers[Customer Name])</f>
        <v>Transport Logistics</v>
      </c>
      <c r="L84" s="51" t="str">
        <f>_xlfn.XLOOKUP(transactions[[#This Row],[OpportunityID]],Opportunities[ID],Opportunities[OpportunityOwner])</f>
        <v>Sarah Director</v>
      </c>
      <c r="M84" s="51" t="str">
        <f ca="1">IF((transactions[[#This Row],[TransactionDate]]-TODAY())&lt;=366,transactions[[#This Row],[FQ]],"Out-year")</f>
        <v>Out-year</v>
      </c>
      <c r="N84" s="55">
        <f>transactions[[#This Row],[UnWeighted]]/1000</f>
        <v>29.322826923076921</v>
      </c>
      <c r="O84" s="55">
        <f>transactions[[#This Row],[Weighted]]/1000</f>
        <v>26.390544230769233</v>
      </c>
      <c r="P84" s="55">
        <f>transactions[[#This Row],[$K Unweighted]]/1000</f>
        <v>2.932282692307692E-2</v>
      </c>
      <c r="Q84" s="55" t="b">
        <f ca="1">transactions[[#This Row],[TransactionDate]]&gt;TODAY()</f>
        <v>1</v>
      </c>
    </row>
    <row r="85" spans="1:17" x14ac:dyDescent="0.25">
      <c r="A85">
        <v>2</v>
      </c>
      <c r="B85">
        <v>10</v>
      </c>
      <c r="C85" s="31">
        <v>46373</v>
      </c>
      <c r="D8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5" s="51" t="str">
        <f>"CY"&amp;RIGHT(YEAR(transactions[[#This Row],[TransactionDate]]),2)&amp;"-Q"&amp;ROUNDUP(MONTH(transactions[[#This Row],[TransactionDate]])/3, 0)</f>
        <v>CY26-Q4</v>
      </c>
      <c r="F85" s="52">
        <f>transactions[[#This Row],[UnWeighted]]*_xlfn.XLOOKUP(transactions[[#This Row],[OpportunityID]],Opportunities[ID],Opportunities[WinProbabilityValue])</f>
        <v>20720.20930232558</v>
      </c>
      <c r="G85"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85" s="51" t="str">
        <f>_xlfn.XLOOKUP(transactions[[#This Row],[OpportunityID]],Opportunities[ID],Opportunities[Status])</f>
        <v>Active</v>
      </c>
      <c r="I85" s="51" t="str">
        <f>_xlfn.XLOOKUP(transactions[[#This Row],[OpportunityID]],Opportunities[ID],Opportunities[Stage])</f>
        <v>Proposal</v>
      </c>
      <c r="J85" s="51" t="str">
        <f>_xlfn.XLOOKUP(transactions[[#This Row],[OpportunityID]],Opportunities[ID],Opportunities[OpportunityName])</f>
        <v>Cloud Migration Initiative</v>
      </c>
      <c r="K85" s="51" t="str">
        <f>_xlfn.XLOOKUP(transactions[[#This Row],[CustomerId]],Customers[Id],Customers[Customer Name])</f>
        <v>Education First</v>
      </c>
      <c r="L85" s="51" t="str">
        <f>_xlfn.XLOOKUP(transactions[[#This Row],[OpportunityID]],Opportunities[ID],Opportunities[OpportunityOwner])</f>
        <v>Robert Analyst</v>
      </c>
      <c r="M85" s="51" t="str">
        <f ca="1">IF((transactions[[#This Row],[TransactionDate]]-TODAY())&lt;=366,transactions[[#This Row],[FQ]],"Out-year")</f>
        <v>Out-year</v>
      </c>
      <c r="N85" s="55">
        <f>transactions[[#This Row],[UnWeighted]]/1000</f>
        <v>41.440418604651157</v>
      </c>
      <c r="O85" s="55">
        <f>transactions[[#This Row],[Weighted]]/1000</f>
        <v>20.720209302325578</v>
      </c>
      <c r="P85" s="55">
        <f>transactions[[#This Row],[$K Unweighted]]/1000</f>
        <v>4.1440418604651155E-2</v>
      </c>
      <c r="Q85" s="55" t="b">
        <f ca="1">transactions[[#This Row],[TransactionDate]]&gt;TODAY()</f>
        <v>1</v>
      </c>
    </row>
    <row r="86" spans="1:17" x14ac:dyDescent="0.25">
      <c r="A86">
        <v>13</v>
      </c>
      <c r="B86">
        <v>2</v>
      </c>
      <c r="C86" s="31">
        <v>46378</v>
      </c>
      <c r="D8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6" s="51" t="str">
        <f>"CY"&amp;RIGHT(YEAR(transactions[[#This Row],[TransactionDate]]),2)&amp;"-Q"&amp;ROUNDUP(MONTH(transactions[[#This Row],[TransactionDate]])/3, 0)</f>
        <v>CY26-Q4</v>
      </c>
      <c r="F86" s="52">
        <f>transactions[[#This Row],[UnWeighted]]*_xlfn.XLOOKUP(transactions[[#This Row],[OpportunityID]],Opportunities[ID],Opportunities[WinProbabilityValue])</f>
        <v>12618.744897959185</v>
      </c>
      <c r="G86"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86" s="51" t="str">
        <f>_xlfn.XLOOKUP(transactions[[#This Row],[OpportunityID]],Opportunities[ID],Opportunities[Status])</f>
        <v>Active</v>
      </c>
      <c r="I86" s="51" t="str">
        <f>_xlfn.XLOOKUP(transactions[[#This Row],[OpportunityID]],Opportunities[ID],Opportunities[Stage])</f>
        <v>Negotiation</v>
      </c>
      <c r="J86" s="51" t="str">
        <f>_xlfn.XLOOKUP(transactions[[#This Row],[OpportunityID]],Opportunities[ID],Opportunities[OpportunityName])</f>
        <v>E-commerce Platform</v>
      </c>
      <c r="K86" s="51" t="str">
        <f>_xlfn.XLOOKUP(transactions[[#This Row],[CustomerId]],Customers[Id],Customers[Customer Name])</f>
        <v>Global Industries</v>
      </c>
      <c r="L86" s="51" t="str">
        <f>_xlfn.XLOOKUP(transactions[[#This Row],[OpportunityID]],Opportunities[ID],Opportunities[OpportunityOwner])</f>
        <v>Lisa Engineer</v>
      </c>
      <c r="M86" s="51" t="str">
        <f ca="1">IF((transactions[[#This Row],[TransactionDate]]-TODAY())&lt;=366,transactions[[#This Row],[FQ]],"Out-year")</f>
        <v>Out-year</v>
      </c>
      <c r="N86" s="55">
        <f>transactions[[#This Row],[UnWeighted]]/1000</f>
        <v>25.237489795918368</v>
      </c>
      <c r="O86" s="55">
        <f>transactions[[#This Row],[Weighted]]/1000</f>
        <v>12.618744897959184</v>
      </c>
      <c r="P86" s="55">
        <f>transactions[[#This Row],[$K Unweighted]]/1000</f>
        <v>2.5237489795918368E-2</v>
      </c>
      <c r="Q86" s="55" t="b">
        <f ca="1">transactions[[#This Row],[TransactionDate]]&gt;TODAY()</f>
        <v>1</v>
      </c>
    </row>
    <row r="87" spans="1:17" x14ac:dyDescent="0.25">
      <c r="A87">
        <v>33</v>
      </c>
      <c r="B87">
        <v>3</v>
      </c>
      <c r="C87" s="31">
        <v>46378</v>
      </c>
      <c r="D8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7" s="51" t="str">
        <f>"CY"&amp;RIGHT(YEAR(transactions[[#This Row],[TransactionDate]]),2)&amp;"-Q"&amp;ROUNDUP(MONTH(transactions[[#This Row],[TransactionDate]])/3, 0)</f>
        <v>CY26-Q4</v>
      </c>
      <c r="F87" s="52">
        <f>transactions[[#This Row],[UnWeighted]]*_xlfn.XLOOKUP(transactions[[#This Row],[OpportunityID]],Opportunities[ID],Opportunities[WinProbabilityValue])</f>
        <v>326376.83333333331</v>
      </c>
      <c r="G87" s="52">
        <f>_xlfn.XLOOKUP(transactions[[#This Row],[OpportunityID]],Opportunities[ID],Opportunities[Amount])/IF(_xlfn.XLOOKUP(transactions[[#This Row],[OpportunityID]],Opportunities[ID],Opportunities[Recurrences])=0,1,_xlfn.XLOOKUP(transactions[[#This Row],[OpportunityID]],Opportunities[ID],Opportunities[Recurrences]))</f>
        <v>652753.66666666663</v>
      </c>
      <c r="H87" s="51" t="str">
        <f>_xlfn.XLOOKUP(transactions[[#This Row],[OpportunityID]],Opportunities[ID],Opportunities[Status])</f>
        <v>Active</v>
      </c>
      <c r="I87" s="51" t="str">
        <f>_xlfn.XLOOKUP(transactions[[#This Row],[OpportunityID]],Opportunities[ID],Opportunities[Stage])</f>
        <v>Proposal</v>
      </c>
      <c r="J87" s="51" t="str">
        <f>_xlfn.XLOOKUP(transactions[[#This Row],[OpportunityID]],Opportunities[ID],Opportunities[OpportunityName])</f>
        <v>Safety Management System</v>
      </c>
      <c r="K87" s="51" t="str">
        <f>_xlfn.XLOOKUP(transactions[[#This Row],[CustomerId]],Customers[Id],Customers[Customer Name])</f>
        <v>Tech Solutions Inc</v>
      </c>
      <c r="L87" s="51" t="str">
        <f>_xlfn.XLOOKUP(transactions[[#This Row],[OpportunityID]],Opportunities[ID],Opportunities[OpportunityOwner])</f>
        <v>Dr. Tech Advisor</v>
      </c>
      <c r="M87" s="51" t="str">
        <f ca="1">IF((transactions[[#This Row],[TransactionDate]]-TODAY())&lt;=366,transactions[[#This Row],[FQ]],"Out-year")</f>
        <v>Out-year</v>
      </c>
      <c r="N87" s="55">
        <f>transactions[[#This Row],[UnWeighted]]/1000</f>
        <v>652.75366666666662</v>
      </c>
      <c r="O87" s="55">
        <f>transactions[[#This Row],[Weighted]]/1000</f>
        <v>326.37683333333331</v>
      </c>
      <c r="P87" s="55">
        <f>transactions[[#This Row],[$K Unweighted]]/1000</f>
        <v>0.65275366666666657</v>
      </c>
      <c r="Q87" s="55" t="b">
        <f ca="1">transactions[[#This Row],[TransactionDate]]&gt;TODAY()</f>
        <v>1</v>
      </c>
    </row>
    <row r="88" spans="1:17" x14ac:dyDescent="0.25">
      <c r="A88">
        <v>6</v>
      </c>
      <c r="B88">
        <v>13</v>
      </c>
      <c r="C88" s="31">
        <v>46382</v>
      </c>
      <c r="D8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8" s="51" t="str">
        <f>"CY"&amp;RIGHT(YEAR(transactions[[#This Row],[TransactionDate]]),2)&amp;"-Q"&amp;ROUNDUP(MONTH(transactions[[#This Row],[TransactionDate]])/3, 0)</f>
        <v>CY26-Q4</v>
      </c>
      <c r="F88" s="52">
        <f>transactions[[#This Row],[UnWeighted]]*_xlfn.XLOOKUP(transactions[[#This Row],[OpportunityID]],Opportunities[ID],Opportunities[WinProbabilityValue])</f>
        <v>37550.227272727272</v>
      </c>
      <c r="G88" s="52">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88" s="51" t="str">
        <f>_xlfn.XLOOKUP(transactions[[#This Row],[OpportunityID]],Opportunities[ID],Opportunities[Status])</f>
        <v>Active</v>
      </c>
      <c r="I88" s="51" t="str">
        <f>_xlfn.XLOOKUP(transactions[[#This Row],[OpportunityID]],Opportunities[ID],Opportunities[Stage])</f>
        <v>Project Execution</v>
      </c>
      <c r="J88" s="51" t="str">
        <f>_xlfn.XLOOKUP(transactions[[#This Row],[OpportunityID]],Opportunities[ID],Opportunities[OpportunityName])</f>
        <v>Digital Transformation Project</v>
      </c>
      <c r="K88" s="51" t="str">
        <f>_xlfn.XLOOKUP(transactions[[#This Row],[CustomerId]],Customers[Id],Customers[Customer Name])</f>
        <v>Professional Services Group</v>
      </c>
      <c r="L88" s="51" t="str">
        <f>_xlfn.XLOOKUP(transactions[[#This Row],[OpportunityID]],Opportunities[ID],Opportunities[OpportunityOwner])</f>
        <v>Robert Analyst</v>
      </c>
      <c r="M88" s="51" t="str">
        <f ca="1">IF((transactions[[#This Row],[TransactionDate]]-TODAY())&lt;=366,transactions[[#This Row],[FQ]],"Out-year")</f>
        <v>Out-year</v>
      </c>
      <c r="N88" s="55">
        <f>transactions[[#This Row],[UnWeighted]]/1000</f>
        <v>75.100454545454539</v>
      </c>
      <c r="O88" s="55">
        <f>transactions[[#This Row],[Weighted]]/1000</f>
        <v>37.55022727272727</v>
      </c>
      <c r="P88" s="55">
        <f>transactions[[#This Row],[$K Unweighted]]/1000</f>
        <v>7.510045454545454E-2</v>
      </c>
      <c r="Q88" s="55" t="b">
        <f ca="1">transactions[[#This Row],[TransactionDate]]&gt;TODAY()</f>
        <v>1</v>
      </c>
    </row>
    <row r="89" spans="1:17" x14ac:dyDescent="0.25">
      <c r="A89">
        <v>38</v>
      </c>
      <c r="B89">
        <v>21</v>
      </c>
      <c r="C89" s="31">
        <v>46386</v>
      </c>
      <c r="D8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9" s="51" t="str">
        <f>"CY"&amp;RIGHT(YEAR(transactions[[#This Row],[TransactionDate]]),2)&amp;"-Q"&amp;ROUNDUP(MONTH(transactions[[#This Row],[TransactionDate]])/3, 0)</f>
        <v>CY26-Q4</v>
      </c>
      <c r="F89" s="52">
        <f>transactions[[#This Row],[UnWeighted]]*_xlfn.XLOOKUP(transactions[[#This Row],[OpportunityID]],Opportunities[ID],Opportunities[WinProbabilityValue])</f>
        <v>50822.5</v>
      </c>
      <c r="G89" s="52">
        <f>_xlfn.XLOOKUP(transactions[[#This Row],[OpportunityID]],Opportunities[ID],Opportunities[Amount])/IF(_xlfn.XLOOKUP(transactions[[#This Row],[OpportunityID]],Opportunities[ID],Opportunities[Recurrences])=0,1,_xlfn.XLOOKUP(transactions[[#This Row],[OpportunityID]],Opportunities[ID],Opportunities[Recurrences]))</f>
        <v>101645</v>
      </c>
      <c r="H89" s="51" t="str">
        <f>_xlfn.XLOOKUP(transactions[[#This Row],[OpportunityID]],Opportunities[ID],Opportunities[Status])</f>
        <v>Active</v>
      </c>
      <c r="I89" s="51" t="str">
        <f>_xlfn.XLOOKUP(transactions[[#This Row],[OpportunityID]],Opportunities[ID],Opportunities[Stage])</f>
        <v>Proposal</v>
      </c>
      <c r="J89" s="51" t="str">
        <f>_xlfn.XLOOKUP(transactions[[#This Row],[OpportunityID]],Opportunities[ID],Opportunities[OpportunityName])</f>
        <v>Legacy System Modernization</v>
      </c>
      <c r="K89" s="51" t="str">
        <f>_xlfn.XLOOKUP(transactions[[#This Row],[CustomerId]],Customers[Id],Customers[Customer Name])</f>
        <v>Textile Manufacturing</v>
      </c>
      <c r="L89" s="51" t="str">
        <f>_xlfn.XLOOKUP(transactions[[#This Row],[OpportunityID]],Opportunities[ID],Opportunities[OpportunityOwner])</f>
        <v>Lisa Engineer</v>
      </c>
      <c r="M89" s="51" t="str">
        <f ca="1">IF((transactions[[#This Row],[TransactionDate]]-TODAY())&lt;=366,transactions[[#This Row],[FQ]],"Out-year")</f>
        <v>Out-year</v>
      </c>
      <c r="N89" s="55">
        <f>transactions[[#This Row],[UnWeighted]]/1000</f>
        <v>101.645</v>
      </c>
      <c r="O89" s="55">
        <f>transactions[[#This Row],[Weighted]]/1000</f>
        <v>50.822499999999998</v>
      </c>
      <c r="P89" s="55">
        <f>transactions[[#This Row],[$K Unweighted]]/1000</f>
        <v>0.101645</v>
      </c>
      <c r="Q89" s="55" t="b">
        <f ca="1">transactions[[#This Row],[TransactionDate]]&gt;TODAY()</f>
        <v>1</v>
      </c>
    </row>
    <row r="90" spans="1:17" x14ac:dyDescent="0.25">
      <c r="A90">
        <v>26</v>
      </c>
      <c r="B90">
        <v>1</v>
      </c>
      <c r="C90" s="31">
        <v>46388</v>
      </c>
      <c r="D9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0" s="51" t="str">
        <f>"CY"&amp;RIGHT(YEAR(transactions[[#This Row],[TransactionDate]]),2)&amp;"-Q"&amp;ROUNDUP(MONTH(transactions[[#This Row],[TransactionDate]])/3, 0)</f>
        <v>CY27-Q1</v>
      </c>
      <c r="F90" s="52">
        <f>transactions[[#This Row],[UnWeighted]]*_xlfn.XLOOKUP(transactions[[#This Row],[OpportunityID]],Opportunities[ID],Opportunities[WinProbabilityValue])</f>
        <v>11339.638888888889</v>
      </c>
      <c r="G90"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90" s="51" t="str">
        <f>_xlfn.XLOOKUP(transactions[[#This Row],[OpportunityID]],Opportunities[ID],Opportunities[Status])</f>
        <v>Active</v>
      </c>
      <c r="I90" s="51" t="str">
        <f>_xlfn.XLOOKUP(transactions[[#This Row],[OpportunityID]],Opportunities[ID],Opportunities[Stage])</f>
        <v>Negotiation</v>
      </c>
      <c r="J90" s="51" t="str">
        <f>_xlfn.XLOOKUP(transactions[[#This Row],[OpportunityID]],Opportunities[ID],Opportunities[OpportunityName])</f>
        <v>Video Conferencing Solution</v>
      </c>
      <c r="K90" s="51" t="str">
        <f>_xlfn.XLOOKUP(transactions[[#This Row],[CustomerId]],Customers[Id],Customers[Customer Name])</f>
        <v>ACME Corporation</v>
      </c>
      <c r="L90" s="51" t="str">
        <f>_xlfn.XLOOKUP(transactions[[#This Row],[OpportunityID]],Opportunities[ID],Opportunities[OpportunityOwner])</f>
        <v>Mike Consultant</v>
      </c>
      <c r="M90" s="51" t="str">
        <f ca="1">IF((transactions[[#This Row],[TransactionDate]]-TODAY())&lt;=366,transactions[[#This Row],[FQ]],"Out-year")</f>
        <v>Out-year</v>
      </c>
      <c r="N90" s="55">
        <f>transactions[[#This Row],[UnWeighted]]/1000</f>
        <v>22.679277777777777</v>
      </c>
      <c r="O90" s="55">
        <f>transactions[[#This Row],[Weighted]]/1000</f>
        <v>11.339638888888889</v>
      </c>
      <c r="P90" s="55">
        <f>transactions[[#This Row],[$K Unweighted]]/1000</f>
        <v>2.2679277777777777E-2</v>
      </c>
      <c r="Q90" s="55" t="b">
        <f ca="1">transactions[[#This Row],[TransactionDate]]&gt;TODAY()</f>
        <v>1</v>
      </c>
    </row>
    <row r="91" spans="1:17" x14ac:dyDescent="0.25">
      <c r="A91">
        <v>39</v>
      </c>
      <c r="B91">
        <v>3</v>
      </c>
      <c r="C91" s="31">
        <v>46390</v>
      </c>
      <c r="D9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1" s="51" t="str">
        <f>"CY"&amp;RIGHT(YEAR(transactions[[#This Row],[TransactionDate]]),2)&amp;"-Q"&amp;ROUNDUP(MONTH(transactions[[#This Row],[TransactionDate]])/3, 0)</f>
        <v>CY27-Q1</v>
      </c>
      <c r="F91" s="52">
        <f>transactions[[#This Row],[UnWeighted]]*_xlfn.XLOOKUP(transactions[[#This Row],[OpportunityID]],Opportunities[ID],Opportunities[WinProbabilityValue])</f>
        <v>20929.153846153848</v>
      </c>
      <c r="G91"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91" s="51" t="str">
        <f>_xlfn.XLOOKUP(transactions[[#This Row],[OpportunityID]],Opportunities[ID],Opportunities[Status])</f>
        <v>Active</v>
      </c>
      <c r="I91" s="51" t="str">
        <f>_xlfn.XLOOKUP(transactions[[#This Row],[OpportunityID]],Opportunities[ID],Opportunities[Stage])</f>
        <v>Project Execution</v>
      </c>
      <c r="J91" s="51" t="str">
        <f>_xlfn.XLOOKUP(transactions[[#This Row],[OpportunityID]],Opportunities[ID],Opportunities[OpportunityName])</f>
        <v>API Development Project</v>
      </c>
      <c r="K91" s="51" t="str">
        <f>_xlfn.XLOOKUP(transactions[[#This Row],[CustomerId]],Customers[Id],Customers[Customer Name])</f>
        <v>Tech Solutions Inc</v>
      </c>
      <c r="L91" s="51" t="str">
        <f>_xlfn.XLOOKUP(transactions[[#This Row],[OpportunityID]],Opportunities[ID],Opportunities[OpportunityOwner])</f>
        <v>Jennifer PM</v>
      </c>
      <c r="M91" s="51" t="str">
        <f ca="1">IF((transactions[[#This Row],[TransactionDate]]-TODAY())&lt;=366,transactions[[#This Row],[FQ]],"Out-year")</f>
        <v>Out-year</v>
      </c>
      <c r="N91" s="55">
        <f>transactions[[#This Row],[UnWeighted]]/1000</f>
        <v>41.858307692307697</v>
      </c>
      <c r="O91" s="55">
        <f>transactions[[#This Row],[Weighted]]/1000</f>
        <v>20.929153846153849</v>
      </c>
      <c r="P91" s="55">
        <f>transactions[[#This Row],[$K Unweighted]]/1000</f>
        <v>4.1858307692307695E-2</v>
      </c>
      <c r="Q91" s="55" t="b">
        <f ca="1">transactions[[#This Row],[TransactionDate]]&gt;TODAY()</f>
        <v>1</v>
      </c>
    </row>
    <row r="92" spans="1:17" x14ac:dyDescent="0.25">
      <c r="A92">
        <v>15</v>
      </c>
      <c r="B92">
        <v>24</v>
      </c>
      <c r="C92" s="31">
        <v>46394</v>
      </c>
      <c r="D9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2" s="51" t="str">
        <f>"CY"&amp;RIGHT(YEAR(transactions[[#This Row],[TransactionDate]]),2)&amp;"-Q"&amp;ROUNDUP(MONTH(transactions[[#This Row],[TransactionDate]])/3, 0)</f>
        <v>CY27-Q1</v>
      </c>
      <c r="F92" s="52">
        <f>transactions[[#This Row],[UnWeighted]]*_xlfn.XLOOKUP(transactions[[#This Row],[OpportunityID]],Opportunities[ID],Opportunities[WinProbabilityValue])</f>
        <v>29217.197872340425</v>
      </c>
      <c r="G92"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92" s="51" t="str">
        <f>_xlfn.XLOOKUP(transactions[[#This Row],[OpportunityID]],Opportunities[ID],Opportunities[Status])</f>
        <v>Active</v>
      </c>
      <c r="I92" s="51" t="str">
        <f>_xlfn.XLOOKUP(transactions[[#This Row],[OpportunityID]],Opportunities[ID],Opportunities[Stage])</f>
        <v>Project Execution</v>
      </c>
      <c r="J92" s="51" t="str">
        <f>_xlfn.XLOOKUP(transactions[[#This Row],[OpportunityID]],Opportunities[ID],Opportunities[OpportunityName])</f>
        <v>Training &amp; Development Program</v>
      </c>
      <c r="K92" s="51" t="str">
        <f>_xlfn.XLOOKUP(transactions[[#This Row],[CustomerId]],Customers[Id],Customers[Customer Name])</f>
        <v>Security Solutions</v>
      </c>
      <c r="L92" s="51" t="str">
        <f>_xlfn.XLOOKUP(transactions[[#This Row],[OpportunityID]],Opportunities[ID],Opportunities[OpportunityOwner])</f>
        <v>Sarah Director</v>
      </c>
      <c r="M92" s="51" t="str">
        <f ca="1">IF((transactions[[#This Row],[TransactionDate]]-TODAY())&lt;=366,transactions[[#This Row],[FQ]],"Out-year")</f>
        <v>Out-year</v>
      </c>
      <c r="N92" s="55">
        <f>transactions[[#This Row],[UnWeighted]]/1000</f>
        <v>32.46355319148936</v>
      </c>
      <c r="O92" s="55">
        <f>transactions[[#This Row],[Weighted]]/1000</f>
        <v>29.217197872340424</v>
      </c>
      <c r="P92" s="55">
        <f>transactions[[#This Row],[$K Unweighted]]/1000</f>
        <v>3.2463553191489358E-2</v>
      </c>
      <c r="Q92" s="55" t="b">
        <f ca="1">transactions[[#This Row],[TransactionDate]]&gt;TODAY()</f>
        <v>1</v>
      </c>
    </row>
    <row r="93" spans="1:17" x14ac:dyDescent="0.25">
      <c r="A93">
        <v>17</v>
      </c>
      <c r="B93">
        <v>19</v>
      </c>
      <c r="C93" s="31">
        <v>46396</v>
      </c>
      <c r="D9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3" s="51" t="str">
        <f>"CY"&amp;RIGHT(YEAR(transactions[[#This Row],[TransactionDate]]),2)&amp;"-Q"&amp;ROUNDUP(MONTH(transactions[[#This Row],[TransactionDate]])/3, 0)</f>
        <v>CY27-Q1</v>
      </c>
      <c r="F93" s="52">
        <f>transactions[[#This Row],[UnWeighted]]*_xlfn.XLOOKUP(transactions[[#This Row],[OpportunityID]],Opportunities[ID],Opportunities[WinProbabilityValue])</f>
        <v>9267.2333333333336</v>
      </c>
      <c r="G93"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93" s="51" t="str">
        <f>_xlfn.XLOOKUP(transactions[[#This Row],[OpportunityID]],Opportunities[ID],Opportunities[Status])</f>
        <v>Active</v>
      </c>
      <c r="I93" s="51" t="str">
        <f>_xlfn.XLOOKUP(transactions[[#This Row],[OpportunityID]],Opportunities[ID],Opportunities[Stage])</f>
        <v>Negotiation</v>
      </c>
      <c r="J93" s="51" t="str">
        <f>_xlfn.XLOOKUP(transactions[[#This Row],[OpportunityID]],Opportunities[ID],Opportunities[OpportunityName])</f>
        <v>Supply Chain Optimization</v>
      </c>
      <c r="K93" s="51" t="str">
        <f>_xlfn.XLOOKUP(transactions[[#This Row],[CustomerId]],Customers[Id],Customers[Customer Name])</f>
        <v>Hotel Management Group</v>
      </c>
      <c r="L93" s="51" t="str">
        <f>_xlfn.XLOOKUP(transactions[[#This Row],[OpportunityID]],Opportunities[ID],Opportunities[OpportunityOwner])</f>
        <v>Jennifer PM</v>
      </c>
      <c r="M93" s="51" t="str">
        <f ca="1">IF((transactions[[#This Row],[TransactionDate]]-TODAY())&lt;=366,transactions[[#This Row],[FQ]],"Out-year")</f>
        <v>Out-year</v>
      </c>
      <c r="N93" s="55">
        <f>transactions[[#This Row],[UnWeighted]]/1000</f>
        <v>46.336166666666664</v>
      </c>
      <c r="O93" s="55">
        <f>transactions[[#This Row],[Weighted]]/1000</f>
        <v>9.2672333333333334</v>
      </c>
      <c r="P93" s="55">
        <f>transactions[[#This Row],[$K Unweighted]]/1000</f>
        <v>4.6336166666666664E-2</v>
      </c>
      <c r="Q93" s="55" t="b">
        <f ca="1">transactions[[#This Row],[TransactionDate]]&gt;TODAY()</f>
        <v>1</v>
      </c>
    </row>
    <row r="94" spans="1:17" x14ac:dyDescent="0.25">
      <c r="A94">
        <v>16</v>
      </c>
      <c r="B94">
        <v>22</v>
      </c>
      <c r="C94" s="31">
        <v>46398</v>
      </c>
      <c r="D9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4" s="51" t="str">
        <f>"CY"&amp;RIGHT(YEAR(transactions[[#This Row],[TransactionDate]]),2)&amp;"-Q"&amp;ROUNDUP(MONTH(transactions[[#This Row],[TransactionDate]])/3, 0)</f>
        <v>CY27-Q1</v>
      </c>
      <c r="F94" s="52">
        <f>transactions[[#This Row],[UnWeighted]]*_xlfn.XLOOKUP(transactions[[#This Row],[OpportunityID]],Opportunities[ID],Opportunities[WinProbabilityValue])</f>
        <v>59080.25</v>
      </c>
      <c r="G94" s="52">
        <f>_xlfn.XLOOKUP(transactions[[#This Row],[OpportunityID]],Opportunities[ID],Opportunities[Amount])/IF(_xlfn.XLOOKUP(transactions[[#This Row],[OpportunityID]],Opportunities[ID],Opportunities[Recurrences])=0,1,_xlfn.XLOOKUP(transactions[[#This Row],[OpportunityID]],Opportunities[ID],Opportunities[Recurrences]))</f>
        <v>118160.5</v>
      </c>
      <c r="H94" s="51" t="str">
        <f>_xlfn.XLOOKUP(transactions[[#This Row],[OpportunityID]],Opportunities[ID],Opportunities[Status])</f>
        <v>At Risk</v>
      </c>
      <c r="I94" s="51" t="str">
        <f>_xlfn.XLOOKUP(transactions[[#This Row],[OpportunityID]],Opportunities[ID],Opportunities[Stage])</f>
        <v>Proposal</v>
      </c>
      <c r="J94" s="51" t="str">
        <f>_xlfn.XLOOKUP(transactions[[#This Row],[OpportunityID]],Opportunities[ID],Opportunities[OpportunityName])</f>
        <v>Quality Management System</v>
      </c>
      <c r="K94" s="51" t="str">
        <f>_xlfn.XLOOKUP(transactions[[#This Row],[CustomerId]],Customers[Id],Customers[Customer Name])</f>
        <v>Environmental Services</v>
      </c>
      <c r="L94" s="51" t="str">
        <f>_xlfn.XLOOKUP(transactions[[#This Row],[OpportunityID]],Opportunities[ID],Opportunities[OpportunityOwner])</f>
        <v>John Manager</v>
      </c>
      <c r="M94" s="51" t="str">
        <f ca="1">IF((transactions[[#This Row],[TransactionDate]]-TODAY())&lt;=366,transactions[[#This Row],[FQ]],"Out-year")</f>
        <v>Out-year</v>
      </c>
      <c r="N94" s="55">
        <f>transactions[[#This Row],[UnWeighted]]/1000</f>
        <v>118.1605</v>
      </c>
      <c r="O94" s="55">
        <f>transactions[[#This Row],[Weighted]]/1000</f>
        <v>59.080249999999999</v>
      </c>
      <c r="P94" s="55">
        <f>transactions[[#This Row],[$K Unweighted]]/1000</f>
        <v>0.1181605</v>
      </c>
      <c r="Q94" s="55" t="b">
        <f ca="1">transactions[[#This Row],[TransactionDate]]&gt;TODAY()</f>
        <v>1</v>
      </c>
    </row>
    <row r="95" spans="1:17" x14ac:dyDescent="0.25">
      <c r="A95">
        <v>22</v>
      </c>
      <c r="B95">
        <v>11</v>
      </c>
      <c r="C95" s="31">
        <v>46398</v>
      </c>
      <c r="D9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5" s="51" t="str">
        <f>"CY"&amp;RIGHT(YEAR(transactions[[#This Row],[TransactionDate]]),2)&amp;"-Q"&amp;ROUNDUP(MONTH(transactions[[#This Row],[TransactionDate]])/3, 0)</f>
        <v>CY27-Q1</v>
      </c>
      <c r="F95" s="52">
        <f>transactions[[#This Row],[UnWeighted]]*_xlfn.XLOOKUP(transactions[[#This Row],[OpportunityID]],Opportunities[ID],Opportunities[WinProbabilityValue])</f>
        <v>26390.544230769232</v>
      </c>
      <c r="G95"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95" s="51" t="str">
        <f>_xlfn.XLOOKUP(transactions[[#This Row],[OpportunityID]],Opportunities[ID],Opportunities[Status])</f>
        <v>Active</v>
      </c>
      <c r="I95" s="51" t="str">
        <f>_xlfn.XLOOKUP(transactions[[#This Row],[OpportunityID]],Opportunities[ID],Opportunities[Stage])</f>
        <v>Nurturing</v>
      </c>
      <c r="J95" s="51" t="str">
        <f>_xlfn.XLOOKUP(transactions[[#This Row],[OpportunityID]],Opportunities[ID],Opportunities[OpportunityName])</f>
        <v>Inventory Management Solution</v>
      </c>
      <c r="K95" s="51" t="str">
        <f>_xlfn.XLOOKUP(transactions[[#This Row],[CustomerId]],Customers[Id],Customers[Customer Name])</f>
        <v>Transport Logistics</v>
      </c>
      <c r="L95" s="51" t="str">
        <f>_xlfn.XLOOKUP(transactions[[#This Row],[OpportunityID]],Opportunities[ID],Opportunities[OpportunityOwner])</f>
        <v>Sarah Director</v>
      </c>
      <c r="M95" s="51" t="str">
        <f ca="1">IF((transactions[[#This Row],[TransactionDate]]-TODAY())&lt;=366,transactions[[#This Row],[FQ]],"Out-year")</f>
        <v>Out-year</v>
      </c>
      <c r="N95" s="55">
        <f>transactions[[#This Row],[UnWeighted]]/1000</f>
        <v>29.322826923076921</v>
      </c>
      <c r="O95" s="55">
        <f>transactions[[#This Row],[Weighted]]/1000</f>
        <v>26.390544230769233</v>
      </c>
      <c r="P95" s="55">
        <f>transactions[[#This Row],[$K Unweighted]]/1000</f>
        <v>2.932282692307692E-2</v>
      </c>
      <c r="Q95" s="55" t="b">
        <f ca="1">transactions[[#This Row],[TransactionDate]]&gt;TODAY()</f>
        <v>1</v>
      </c>
    </row>
    <row r="96" spans="1:17" x14ac:dyDescent="0.25">
      <c r="A96">
        <v>11</v>
      </c>
      <c r="B96">
        <v>3</v>
      </c>
      <c r="C96" s="31">
        <v>46400</v>
      </c>
      <c r="D9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6" s="51" t="str">
        <f>"CY"&amp;RIGHT(YEAR(transactions[[#This Row],[TransactionDate]]),2)&amp;"-Q"&amp;ROUNDUP(MONTH(transactions[[#This Row],[TransactionDate]])/3, 0)</f>
        <v>CY27-Q1</v>
      </c>
      <c r="F96" s="52">
        <f>transactions[[#This Row],[UnWeighted]]*_xlfn.XLOOKUP(transactions[[#This Row],[OpportunityID]],Opportunities[ID],Opportunities[WinProbabilityValue])</f>
        <v>113460.75</v>
      </c>
      <c r="G96" s="52">
        <f>_xlfn.XLOOKUP(transactions[[#This Row],[OpportunityID]],Opportunities[ID],Opportunities[Amount])/IF(_xlfn.XLOOKUP(transactions[[#This Row],[OpportunityID]],Opportunities[ID],Opportunities[Recurrences])=0,1,_xlfn.XLOOKUP(transactions[[#This Row],[OpportunityID]],Opportunities[ID],Opportunities[Recurrences]))</f>
        <v>126067.5</v>
      </c>
      <c r="H96" s="51" t="str">
        <f>_xlfn.XLOOKUP(transactions[[#This Row],[OpportunityID]],Opportunities[ID],Opportunities[Status])</f>
        <v>At Risk</v>
      </c>
      <c r="I96" s="51" t="str">
        <f>_xlfn.XLOOKUP(transactions[[#This Row],[OpportunityID]],Opportunities[ID],Opportunities[Stage])</f>
        <v>Negotiation</v>
      </c>
      <c r="J96" s="51" t="str">
        <f>_xlfn.XLOOKUP(transactions[[#This Row],[OpportunityID]],Opportunities[ID],Opportunities[OpportunityName])</f>
        <v>Data Center Consolidation</v>
      </c>
      <c r="K96" s="51" t="str">
        <f>_xlfn.XLOOKUP(transactions[[#This Row],[CustomerId]],Customers[Id],Customers[Customer Name])</f>
        <v>Tech Solutions Inc</v>
      </c>
      <c r="L96" s="51" t="str">
        <f>_xlfn.XLOOKUP(transactions[[#This Row],[OpportunityID]],Opportunities[ID],Opportunities[OpportunityOwner])</f>
        <v>David Specialist</v>
      </c>
      <c r="M96" s="51" t="str">
        <f ca="1">IF((transactions[[#This Row],[TransactionDate]]-TODAY())&lt;=366,transactions[[#This Row],[FQ]],"Out-year")</f>
        <v>Out-year</v>
      </c>
      <c r="N96" s="55">
        <f>transactions[[#This Row],[UnWeighted]]/1000</f>
        <v>126.0675</v>
      </c>
      <c r="O96" s="55">
        <f>transactions[[#This Row],[Weighted]]/1000</f>
        <v>113.46075</v>
      </c>
      <c r="P96" s="55">
        <f>transactions[[#This Row],[$K Unweighted]]/1000</f>
        <v>0.1260675</v>
      </c>
      <c r="Q96" s="55" t="b">
        <f ca="1">transactions[[#This Row],[TransactionDate]]&gt;TODAY()</f>
        <v>1</v>
      </c>
    </row>
    <row r="97" spans="1:17" x14ac:dyDescent="0.25">
      <c r="A97">
        <v>2</v>
      </c>
      <c r="B97">
        <v>10</v>
      </c>
      <c r="C97" s="31">
        <v>46404</v>
      </c>
      <c r="D9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7" s="51" t="str">
        <f>"CY"&amp;RIGHT(YEAR(transactions[[#This Row],[TransactionDate]]),2)&amp;"-Q"&amp;ROUNDUP(MONTH(transactions[[#This Row],[TransactionDate]])/3, 0)</f>
        <v>CY27-Q1</v>
      </c>
      <c r="F97" s="52">
        <f>transactions[[#This Row],[UnWeighted]]*_xlfn.XLOOKUP(transactions[[#This Row],[OpportunityID]],Opportunities[ID],Opportunities[WinProbabilityValue])</f>
        <v>20720.20930232558</v>
      </c>
      <c r="G97"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97" s="51" t="str">
        <f>_xlfn.XLOOKUP(transactions[[#This Row],[OpportunityID]],Opportunities[ID],Opportunities[Status])</f>
        <v>Active</v>
      </c>
      <c r="I97" s="51" t="str">
        <f>_xlfn.XLOOKUP(transactions[[#This Row],[OpportunityID]],Opportunities[ID],Opportunities[Stage])</f>
        <v>Proposal</v>
      </c>
      <c r="J97" s="51" t="str">
        <f>_xlfn.XLOOKUP(transactions[[#This Row],[OpportunityID]],Opportunities[ID],Opportunities[OpportunityName])</f>
        <v>Cloud Migration Initiative</v>
      </c>
      <c r="K97" s="51" t="str">
        <f>_xlfn.XLOOKUP(transactions[[#This Row],[CustomerId]],Customers[Id],Customers[Customer Name])</f>
        <v>Education First</v>
      </c>
      <c r="L97" s="51" t="str">
        <f>_xlfn.XLOOKUP(transactions[[#This Row],[OpportunityID]],Opportunities[ID],Opportunities[OpportunityOwner])</f>
        <v>Robert Analyst</v>
      </c>
      <c r="M97" s="51" t="str">
        <f ca="1">IF((transactions[[#This Row],[TransactionDate]]-TODAY())&lt;=366,transactions[[#This Row],[FQ]],"Out-year")</f>
        <v>Out-year</v>
      </c>
      <c r="N97" s="55">
        <f>transactions[[#This Row],[UnWeighted]]/1000</f>
        <v>41.440418604651157</v>
      </c>
      <c r="O97" s="55">
        <f>transactions[[#This Row],[Weighted]]/1000</f>
        <v>20.720209302325578</v>
      </c>
      <c r="P97" s="55">
        <f>transactions[[#This Row],[$K Unweighted]]/1000</f>
        <v>4.1440418604651155E-2</v>
      </c>
      <c r="Q97" s="55" t="b">
        <f ca="1">transactions[[#This Row],[TransactionDate]]&gt;TODAY()</f>
        <v>1</v>
      </c>
    </row>
    <row r="98" spans="1:17" x14ac:dyDescent="0.25">
      <c r="A98">
        <v>40</v>
      </c>
      <c r="B98">
        <v>15</v>
      </c>
      <c r="C98" s="31">
        <v>46406</v>
      </c>
      <c r="D9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8" s="51" t="str">
        <f>"CY"&amp;RIGHT(YEAR(transactions[[#This Row],[TransactionDate]]),2)&amp;"-Q"&amp;ROUNDUP(MONTH(transactions[[#This Row],[TransactionDate]])/3, 0)</f>
        <v>CY27-Q1</v>
      </c>
      <c r="F98" s="52">
        <f>transactions[[#This Row],[UnWeighted]]*_xlfn.XLOOKUP(transactions[[#This Row],[OpportunityID]],Opportunities[ID],Opportunities[WinProbabilityValue])</f>
        <v>36144.450000000004</v>
      </c>
      <c r="G98" s="52">
        <f>_xlfn.XLOOKUP(transactions[[#This Row],[OpportunityID]],Opportunities[ID],Opportunities[Amount])/IF(_xlfn.XLOOKUP(transactions[[#This Row],[OpportunityID]],Opportunities[ID],Opportunities[Recurrences])=0,1,_xlfn.XLOOKUP(transactions[[#This Row],[OpportunityID]],Opportunities[ID],Opportunities[Recurrences]))</f>
        <v>40160.5</v>
      </c>
      <c r="H98" s="51" t="str">
        <f>_xlfn.XLOOKUP(transactions[[#This Row],[OpportunityID]],Opportunities[ID],Opportunities[Status])</f>
        <v>Active</v>
      </c>
      <c r="I98" s="51" t="str">
        <f>_xlfn.XLOOKUP(transactions[[#This Row],[OpportunityID]],Opportunities[ID],Opportunities[Stage])</f>
        <v>Proposal</v>
      </c>
      <c r="J98" s="51" t="str">
        <f>_xlfn.XLOOKUP(transactions[[#This Row],[OpportunityID]],Opportunities[ID],Opportunities[OpportunityName])</f>
        <v>Machine Learning Implementation</v>
      </c>
      <c r="K98" s="51" t="str">
        <f>_xlfn.XLOOKUP(transactions[[#This Row],[CustomerId]],Customers[Id],Customers[Customer Name])</f>
        <v>Pharmaceutical Research</v>
      </c>
      <c r="L98" s="51" t="str">
        <f>_xlfn.XLOOKUP(transactions[[#This Row],[OpportunityID]],Opportunities[ID],Opportunities[OpportunityOwner])</f>
        <v>Mike Consultant</v>
      </c>
      <c r="M98" s="51" t="str">
        <f ca="1">IF((transactions[[#This Row],[TransactionDate]]-TODAY())&lt;=366,transactions[[#This Row],[FQ]],"Out-year")</f>
        <v>Out-year</v>
      </c>
      <c r="N98" s="55">
        <f>transactions[[#This Row],[UnWeighted]]/1000</f>
        <v>40.160499999999999</v>
      </c>
      <c r="O98" s="55">
        <f>transactions[[#This Row],[Weighted]]/1000</f>
        <v>36.144450000000006</v>
      </c>
      <c r="P98" s="55">
        <f>transactions[[#This Row],[$K Unweighted]]/1000</f>
        <v>4.0160500000000002E-2</v>
      </c>
      <c r="Q98" s="55" t="b">
        <f ca="1">transactions[[#This Row],[TransactionDate]]&gt;TODAY()</f>
        <v>1</v>
      </c>
    </row>
    <row r="99" spans="1:17" x14ac:dyDescent="0.25">
      <c r="A99">
        <v>13</v>
      </c>
      <c r="B99">
        <v>2</v>
      </c>
      <c r="C99" s="31">
        <v>46409</v>
      </c>
      <c r="D9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9" s="51" t="str">
        <f>"CY"&amp;RIGHT(YEAR(transactions[[#This Row],[TransactionDate]]),2)&amp;"-Q"&amp;ROUNDUP(MONTH(transactions[[#This Row],[TransactionDate]])/3, 0)</f>
        <v>CY27-Q1</v>
      </c>
      <c r="F99" s="52">
        <f>transactions[[#This Row],[UnWeighted]]*_xlfn.XLOOKUP(transactions[[#This Row],[OpportunityID]],Opportunities[ID],Opportunities[WinProbabilityValue])</f>
        <v>12618.744897959185</v>
      </c>
      <c r="G99"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99" s="51" t="str">
        <f>_xlfn.XLOOKUP(transactions[[#This Row],[OpportunityID]],Opportunities[ID],Opportunities[Status])</f>
        <v>Active</v>
      </c>
      <c r="I99" s="51" t="str">
        <f>_xlfn.XLOOKUP(transactions[[#This Row],[OpportunityID]],Opportunities[ID],Opportunities[Stage])</f>
        <v>Negotiation</v>
      </c>
      <c r="J99" s="51" t="str">
        <f>_xlfn.XLOOKUP(transactions[[#This Row],[OpportunityID]],Opportunities[ID],Opportunities[OpportunityName])</f>
        <v>E-commerce Platform</v>
      </c>
      <c r="K99" s="51" t="str">
        <f>_xlfn.XLOOKUP(transactions[[#This Row],[CustomerId]],Customers[Id],Customers[Customer Name])</f>
        <v>Global Industries</v>
      </c>
      <c r="L99" s="51" t="str">
        <f>_xlfn.XLOOKUP(transactions[[#This Row],[OpportunityID]],Opportunities[ID],Opportunities[OpportunityOwner])</f>
        <v>Lisa Engineer</v>
      </c>
      <c r="M99" s="51" t="str">
        <f ca="1">IF((transactions[[#This Row],[TransactionDate]]-TODAY())&lt;=366,transactions[[#This Row],[FQ]],"Out-year")</f>
        <v>Out-year</v>
      </c>
      <c r="N99" s="55">
        <f>transactions[[#This Row],[UnWeighted]]/1000</f>
        <v>25.237489795918368</v>
      </c>
      <c r="O99" s="55">
        <f>transactions[[#This Row],[Weighted]]/1000</f>
        <v>12.618744897959184</v>
      </c>
      <c r="P99" s="55">
        <f>transactions[[#This Row],[$K Unweighted]]/1000</f>
        <v>2.5237489795918368E-2</v>
      </c>
      <c r="Q99" s="55" t="b">
        <f ca="1">transactions[[#This Row],[TransactionDate]]&gt;TODAY()</f>
        <v>1</v>
      </c>
    </row>
    <row r="100" spans="1:17" x14ac:dyDescent="0.25">
      <c r="A100">
        <v>35</v>
      </c>
      <c r="B100">
        <v>9</v>
      </c>
      <c r="C100" s="31">
        <v>46412</v>
      </c>
      <c r="D10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100" s="51" t="str">
        <f>"CY"&amp;RIGHT(YEAR(transactions[[#This Row],[TransactionDate]]),2)&amp;"-Q"&amp;ROUNDUP(MONTH(transactions[[#This Row],[TransactionDate]])/3, 0)</f>
        <v>CY27-Q1</v>
      </c>
      <c r="F100" s="52">
        <f>transactions[[#This Row],[UnWeighted]]*_xlfn.XLOOKUP(transactions[[#This Row],[OpportunityID]],Opportunities[ID],Opportunities[WinProbabilityValue])</f>
        <v>366932.80000000005</v>
      </c>
      <c r="G100" s="52">
        <f>_xlfn.XLOOKUP(transactions[[#This Row],[OpportunityID]],Opportunities[ID],Opportunities[Amount])/IF(_xlfn.XLOOKUP(transactions[[#This Row],[OpportunityID]],Opportunities[ID],Opportunities[Recurrences])=0,1,_xlfn.XLOOKUP(transactions[[#This Row],[OpportunityID]],Opportunities[ID],Opportunities[Recurrences]))</f>
        <v>1834664</v>
      </c>
      <c r="H100" s="51" t="str">
        <f>_xlfn.XLOOKUP(transactions[[#This Row],[OpportunityID]],Opportunities[ID],Opportunities[Status])</f>
        <v>Active</v>
      </c>
      <c r="I100" s="51" t="str">
        <f>_xlfn.XLOOKUP(transactions[[#This Row],[OpportunityID]],Opportunities[ID],Opportunities[Stage])</f>
        <v>Nurturing</v>
      </c>
      <c r="J100" s="51" t="str">
        <f>_xlfn.XLOOKUP(transactions[[#This Row],[OpportunityID]],Opportunities[ID],Opportunities[OpportunityName])</f>
        <v>Workflow Automation Tool</v>
      </c>
      <c r="K100" s="51" t="str">
        <f>_xlfn.XLOOKUP(transactions[[#This Row],[CustomerId]],Customers[Id],Customers[Customer Name])</f>
        <v>Construction Dynamics</v>
      </c>
      <c r="L100" s="51" t="str">
        <f>_xlfn.XLOOKUP(transactions[[#This Row],[OpportunityID]],Opportunities[ID],Opportunities[OpportunityOwner])</f>
        <v>Amanda Sales</v>
      </c>
      <c r="M100" s="51" t="str">
        <f ca="1">IF((transactions[[#This Row],[TransactionDate]]-TODAY())&lt;=366,transactions[[#This Row],[FQ]],"Out-year")</f>
        <v>Out-year</v>
      </c>
      <c r="N100" s="55">
        <f>transactions[[#This Row],[UnWeighted]]/1000</f>
        <v>1834.664</v>
      </c>
      <c r="O100" s="55">
        <f>transactions[[#This Row],[Weighted]]/1000</f>
        <v>366.93280000000004</v>
      </c>
      <c r="P100" s="55">
        <f>transactions[[#This Row],[$K Unweighted]]/1000</f>
        <v>1.8346640000000001</v>
      </c>
      <c r="Q100" s="55" t="b">
        <f ca="1">transactions[[#This Row],[TransactionDate]]&gt;TODAY()</f>
        <v>1</v>
      </c>
    </row>
    <row r="101" spans="1:17" x14ac:dyDescent="0.25">
      <c r="A101">
        <v>7</v>
      </c>
      <c r="B101">
        <v>14</v>
      </c>
      <c r="C101" s="31">
        <v>46413</v>
      </c>
      <c r="D10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101" s="51" t="str">
        <f>"CY"&amp;RIGHT(YEAR(transactions[[#This Row],[TransactionDate]]),2)&amp;"-Q"&amp;ROUNDUP(MONTH(transactions[[#This Row],[TransactionDate]])/3, 0)</f>
        <v>CY27-Q1</v>
      </c>
      <c r="F101" s="52">
        <f>transactions[[#This Row],[UnWeighted]]*_xlfn.XLOOKUP(transactions[[#This Row],[OpportunityID]],Opportunities[ID],Opportunities[WinProbabilityValue])</f>
        <v>41771.416666666664</v>
      </c>
      <c r="G101" s="52">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101" s="51" t="str">
        <f>_xlfn.XLOOKUP(transactions[[#This Row],[OpportunityID]],Opportunities[ID],Opportunities[Status])</f>
        <v>Active</v>
      </c>
      <c r="I101" s="51" t="str">
        <f>_xlfn.XLOOKUP(transactions[[#This Row],[OpportunityID]],Opportunities[ID],Opportunities[Stage])</f>
        <v>Project Execution</v>
      </c>
      <c r="J101" s="51" t="str">
        <f>_xlfn.XLOOKUP(transactions[[#This Row],[OpportunityID]],Opportunities[ID],Opportunities[OpportunityName])</f>
        <v>Network Infrastructure Upgrade</v>
      </c>
      <c r="K101" s="51" t="str">
        <f>_xlfn.XLOOKUP(transactions[[#This Row],[CustomerId]],Customers[Id],Customers[Customer Name])</f>
        <v>Media Communications</v>
      </c>
      <c r="L101" s="51" t="str">
        <f>_xlfn.XLOOKUP(transactions[[#This Row],[OpportunityID]],Opportunities[ID],Opportunities[OpportunityOwner])</f>
        <v>Dr. Tech Advisor</v>
      </c>
      <c r="M101" s="51" t="str">
        <f ca="1">IF((transactions[[#This Row],[TransactionDate]]-TODAY())&lt;=366,transactions[[#This Row],[FQ]],"Out-year")</f>
        <v>Out-year</v>
      </c>
      <c r="N101" s="55">
        <f>transactions[[#This Row],[UnWeighted]]/1000</f>
        <v>83.542833333333334</v>
      </c>
      <c r="O101" s="55">
        <f>transactions[[#This Row],[Weighted]]/1000</f>
        <v>41.771416666666667</v>
      </c>
      <c r="P101" s="55">
        <f>transactions[[#This Row],[$K Unweighted]]/1000</f>
        <v>8.354283333333333E-2</v>
      </c>
      <c r="Q101" s="55" t="b">
        <f ca="1">transactions[[#This Row],[TransactionDate]]&gt;TODAY()</f>
        <v>1</v>
      </c>
    </row>
    <row r="102" spans="1:17" x14ac:dyDescent="0.25">
      <c r="A102">
        <v>18</v>
      </c>
      <c r="B102">
        <v>9</v>
      </c>
      <c r="C102" s="31">
        <v>46415</v>
      </c>
      <c r="D10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102" s="51" t="str">
        <f>"CY"&amp;RIGHT(YEAR(transactions[[#This Row],[TransactionDate]]),2)&amp;"-Q"&amp;ROUNDUP(MONTH(transactions[[#This Row],[TransactionDate]])/3, 0)</f>
        <v>CY27-Q1</v>
      </c>
      <c r="F102" s="52">
        <f>transactions[[#This Row],[UnWeighted]]*_xlfn.XLOOKUP(transactions[[#This Row],[OpportunityID]],Opportunities[ID],Opportunities[WinProbabilityValue])</f>
        <v>110906.4</v>
      </c>
      <c r="G102" s="52">
        <f>_xlfn.XLOOKUP(transactions[[#This Row],[OpportunityID]],Opportunities[ID],Opportunities[Amount])/IF(_xlfn.XLOOKUP(transactions[[#This Row],[OpportunityID]],Opportunities[ID],Opportunities[Recurrences])=0,1,_xlfn.XLOOKUP(transactions[[#This Row],[OpportunityID]],Opportunities[ID],Opportunities[Recurrences]))</f>
        <v>221812.8</v>
      </c>
      <c r="H102" s="51" t="str">
        <f>_xlfn.XLOOKUP(transactions[[#This Row],[OpportunityID]],Opportunities[ID],Opportunities[Status])</f>
        <v>Active</v>
      </c>
      <c r="I102" s="51" t="str">
        <f>_xlfn.XLOOKUP(transactions[[#This Row],[OpportunityID]],Opportunities[ID],Opportunities[Stage])</f>
        <v>Lead Qualification</v>
      </c>
      <c r="J102" s="51" t="str">
        <f>_xlfn.XLOOKUP(transactions[[#This Row],[OpportunityID]],Opportunities[ID],Opportunities[OpportunityName])</f>
        <v>Financial Planning Software</v>
      </c>
      <c r="K102" s="51" t="str">
        <f>_xlfn.XLOOKUP(transactions[[#This Row],[CustomerId]],Customers[Id],Customers[Customer Name])</f>
        <v>Construction Dynamics</v>
      </c>
      <c r="L102" s="51" t="str">
        <f>_xlfn.XLOOKUP(transactions[[#This Row],[OpportunityID]],Opportunities[ID],Opportunities[OpportunityOwner])</f>
        <v>Dr. Tech Advisor</v>
      </c>
      <c r="M102" s="51" t="str">
        <f ca="1">IF((transactions[[#This Row],[TransactionDate]]-TODAY())&lt;=366,transactions[[#This Row],[FQ]],"Out-year")</f>
        <v>Out-year</v>
      </c>
      <c r="N102" s="55">
        <f>transactions[[#This Row],[UnWeighted]]/1000</f>
        <v>221.81279999999998</v>
      </c>
      <c r="O102" s="55">
        <f>transactions[[#This Row],[Weighted]]/1000</f>
        <v>110.90639999999999</v>
      </c>
      <c r="P102" s="55">
        <f>transactions[[#This Row],[$K Unweighted]]/1000</f>
        <v>0.22181279999999998</v>
      </c>
      <c r="Q102" s="55" t="b">
        <f ca="1">transactions[[#This Row],[TransactionDate]]&gt;TODAY()</f>
        <v>1</v>
      </c>
    </row>
    <row r="103" spans="1:17" x14ac:dyDescent="0.25">
      <c r="A103">
        <v>26</v>
      </c>
      <c r="B103">
        <v>1</v>
      </c>
      <c r="C103" s="31">
        <v>46419</v>
      </c>
      <c r="D10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3" s="51" t="str">
        <f>"CY"&amp;RIGHT(YEAR(transactions[[#This Row],[TransactionDate]]),2)&amp;"-Q"&amp;ROUNDUP(MONTH(transactions[[#This Row],[TransactionDate]])/3, 0)</f>
        <v>CY27-Q1</v>
      </c>
      <c r="F103" s="52">
        <f>transactions[[#This Row],[UnWeighted]]*_xlfn.XLOOKUP(transactions[[#This Row],[OpportunityID]],Opportunities[ID],Opportunities[WinProbabilityValue])</f>
        <v>11339.638888888889</v>
      </c>
      <c r="G103"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03" s="51" t="str">
        <f>_xlfn.XLOOKUP(transactions[[#This Row],[OpportunityID]],Opportunities[ID],Opportunities[Status])</f>
        <v>Active</v>
      </c>
      <c r="I103" s="51" t="str">
        <f>_xlfn.XLOOKUP(transactions[[#This Row],[OpportunityID]],Opportunities[ID],Opportunities[Stage])</f>
        <v>Negotiation</v>
      </c>
      <c r="J103" s="51" t="str">
        <f>_xlfn.XLOOKUP(transactions[[#This Row],[OpportunityID]],Opportunities[ID],Opportunities[OpportunityName])</f>
        <v>Video Conferencing Solution</v>
      </c>
      <c r="K103" s="51" t="str">
        <f>_xlfn.XLOOKUP(transactions[[#This Row],[CustomerId]],Customers[Id],Customers[Customer Name])</f>
        <v>ACME Corporation</v>
      </c>
      <c r="L103" s="51" t="str">
        <f>_xlfn.XLOOKUP(transactions[[#This Row],[OpportunityID]],Opportunities[ID],Opportunities[OpportunityOwner])</f>
        <v>Mike Consultant</v>
      </c>
      <c r="M103" s="51" t="str">
        <f ca="1">IF((transactions[[#This Row],[TransactionDate]]-TODAY())&lt;=366,transactions[[#This Row],[FQ]],"Out-year")</f>
        <v>Out-year</v>
      </c>
      <c r="N103" s="55">
        <f>transactions[[#This Row],[UnWeighted]]/1000</f>
        <v>22.679277777777777</v>
      </c>
      <c r="O103" s="55">
        <f>transactions[[#This Row],[Weighted]]/1000</f>
        <v>11.339638888888889</v>
      </c>
      <c r="P103" s="55">
        <f>transactions[[#This Row],[$K Unweighted]]/1000</f>
        <v>2.2679277777777777E-2</v>
      </c>
      <c r="Q103" s="55" t="b">
        <f ca="1">transactions[[#This Row],[TransactionDate]]&gt;TODAY()</f>
        <v>1</v>
      </c>
    </row>
    <row r="104" spans="1:17" x14ac:dyDescent="0.25">
      <c r="A104">
        <v>39</v>
      </c>
      <c r="B104">
        <v>3</v>
      </c>
      <c r="C104" s="31">
        <v>46421</v>
      </c>
      <c r="D10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4" s="51" t="str">
        <f>"CY"&amp;RIGHT(YEAR(transactions[[#This Row],[TransactionDate]]),2)&amp;"-Q"&amp;ROUNDUP(MONTH(transactions[[#This Row],[TransactionDate]])/3, 0)</f>
        <v>CY27-Q1</v>
      </c>
      <c r="F104" s="52">
        <f>transactions[[#This Row],[UnWeighted]]*_xlfn.XLOOKUP(transactions[[#This Row],[OpportunityID]],Opportunities[ID],Opportunities[WinProbabilityValue])</f>
        <v>20929.153846153848</v>
      </c>
      <c r="G104"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04" s="51" t="str">
        <f>_xlfn.XLOOKUP(transactions[[#This Row],[OpportunityID]],Opportunities[ID],Opportunities[Status])</f>
        <v>Active</v>
      </c>
      <c r="I104" s="51" t="str">
        <f>_xlfn.XLOOKUP(transactions[[#This Row],[OpportunityID]],Opportunities[ID],Opportunities[Stage])</f>
        <v>Project Execution</v>
      </c>
      <c r="J104" s="51" t="str">
        <f>_xlfn.XLOOKUP(transactions[[#This Row],[OpportunityID]],Opportunities[ID],Opportunities[OpportunityName])</f>
        <v>API Development Project</v>
      </c>
      <c r="K104" s="51" t="str">
        <f>_xlfn.XLOOKUP(transactions[[#This Row],[CustomerId]],Customers[Id],Customers[Customer Name])</f>
        <v>Tech Solutions Inc</v>
      </c>
      <c r="L104" s="51" t="str">
        <f>_xlfn.XLOOKUP(transactions[[#This Row],[OpportunityID]],Opportunities[ID],Opportunities[OpportunityOwner])</f>
        <v>Jennifer PM</v>
      </c>
      <c r="M104" s="51" t="str">
        <f ca="1">IF((transactions[[#This Row],[TransactionDate]]-TODAY())&lt;=366,transactions[[#This Row],[FQ]],"Out-year")</f>
        <v>Out-year</v>
      </c>
      <c r="N104" s="55">
        <f>transactions[[#This Row],[UnWeighted]]/1000</f>
        <v>41.858307692307697</v>
      </c>
      <c r="O104" s="55">
        <f>transactions[[#This Row],[Weighted]]/1000</f>
        <v>20.929153846153849</v>
      </c>
      <c r="P104" s="55">
        <f>transactions[[#This Row],[$K Unweighted]]/1000</f>
        <v>4.1858307692307695E-2</v>
      </c>
      <c r="Q104" s="55" t="b">
        <f ca="1">transactions[[#This Row],[TransactionDate]]&gt;TODAY()</f>
        <v>1</v>
      </c>
    </row>
    <row r="105" spans="1:17" x14ac:dyDescent="0.25">
      <c r="A105">
        <v>15</v>
      </c>
      <c r="B105">
        <v>24</v>
      </c>
      <c r="C105" s="31">
        <v>46425</v>
      </c>
      <c r="D10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5" s="51" t="str">
        <f>"CY"&amp;RIGHT(YEAR(transactions[[#This Row],[TransactionDate]]),2)&amp;"-Q"&amp;ROUNDUP(MONTH(transactions[[#This Row],[TransactionDate]])/3, 0)</f>
        <v>CY27-Q1</v>
      </c>
      <c r="F105" s="52">
        <f>transactions[[#This Row],[UnWeighted]]*_xlfn.XLOOKUP(transactions[[#This Row],[OpportunityID]],Opportunities[ID],Opportunities[WinProbabilityValue])</f>
        <v>29217.197872340425</v>
      </c>
      <c r="G105"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05" s="51" t="str">
        <f>_xlfn.XLOOKUP(transactions[[#This Row],[OpportunityID]],Opportunities[ID],Opportunities[Status])</f>
        <v>Active</v>
      </c>
      <c r="I105" s="51" t="str">
        <f>_xlfn.XLOOKUP(transactions[[#This Row],[OpportunityID]],Opportunities[ID],Opportunities[Stage])</f>
        <v>Project Execution</v>
      </c>
      <c r="J105" s="51" t="str">
        <f>_xlfn.XLOOKUP(transactions[[#This Row],[OpportunityID]],Opportunities[ID],Opportunities[OpportunityName])</f>
        <v>Training &amp; Development Program</v>
      </c>
      <c r="K105" s="51" t="str">
        <f>_xlfn.XLOOKUP(transactions[[#This Row],[CustomerId]],Customers[Id],Customers[Customer Name])</f>
        <v>Security Solutions</v>
      </c>
      <c r="L105" s="51" t="str">
        <f>_xlfn.XLOOKUP(transactions[[#This Row],[OpportunityID]],Opportunities[ID],Opportunities[OpportunityOwner])</f>
        <v>Sarah Director</v>
      </c>
      <c r="M105" s="51" t="str">
        <f ca="1">IF((transactions[[#This Row],[TransactionDate]]-TODAY())&lt;=366,transactions[[#This Row],[FQ]],"Out-year")</f>
        <v>Out-year</v>
      </c>
      <c r="N105" s="55">
        <f>transactions[[#This Row],[UnWeighted]]/1000</f>
        <v>32.46355319148936</v>
      </c>
      <c r="O105" s="55">
        <f>transactions[[#This Row],[Weighted]]/1000</f>
        <v>29.217197872340424</v>
      </c>
      <c r="P105" s="55">
        <f>transactions[[#This Row],[$K Unweighted]]/1000</f>
        <v>3.2463553191489358E-2</v>
      </c>
      <c r="Q105" s="55" t="b">
        <f ca="1">transactions[[#This Row],[TransactionDate]]&gt;TODAY()</f>
        <v>1</v>
      </c>
    </row>
    <row r="106" spans="1:17" x14ac:dyDescent="0.25">
      <c r="A106">
        <v>17</v>
      </c>
      <c r="B106">
        <v>19</v>
      </c>
      <c r="C106" s="31">
        <v>46427</v>
      </c>
      <c r="D10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6" s="51" t="str">
        <f>"CY"&amp;RIGHT(YEAR(transactions[[#This Row],[TransactionDate]]),2)&amp;"-Q"&amp;ROUNDUP(MONTH(transactions[[#This Row],[TransactionDate]])/3, 0)</f>
        <v>CY27-Q1</v>
      </c>
      <c r="F106" s="52">
        <f>transactions[[#This Row],[UnWeighted]]*_xlfn.XLOOKUP(transactions[[#This Row],[OpportunityID]],Opportunities[ID],Opportunities[WinProbabilityValue])</f>
        <v>9267.2333333333336</v>
      </c>
      <c r="G106"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06" s="51" t="str">
        <f>_xlfn.XLOOKUP(transactions[[#This Row],[OpportunityID]],Opportunities[ID],Opportunities[Status])</f>
        <v>Active</v>
      </c>
      <c r="I106" s="51" t="str">
        <f>_xlfn.XLOOKUP(transactions[[#This Row],[OpportunityID]],Opportunities[ID],Opportunities[Stage])</f>
        <v>Negotiation</v>
      </c>
      <c r="J106" s="51" t="str">
        <f>_xlfn.XLOOKUP(transactions[[#This Row],[OpportunityID]],Opportunities[ID],Opportunities[OpportunityName])</f>
        <v>Supply Chain Optimization</v>
      </c>
      <c r="K106" s="51" t="str">
        <f>_xlfn.XLOOKUP(transactions[[#This Row],[CustomerId]],Customers[Id],Customers[Customer Name])</f>
        <v>Hotel Management Group</v>
      </c>
      <c r="L106" s="51" t="str">
        <f>_xlfn.XLOOKUP(transactions[[#This Row],[OpportunityID]],Opportunities[ID],Opportunities[OpportunityOwner])</f>
        <v>Jennifer PM</v>
      </c>
      <c r="M106" s="51" t="str">
        <f ca="1">IF((transactions[[#This Row],[TransactionDate]]-TODAY())&lt;=366,transactions[[#This Row],[FQ]],"Out-year")</f>
        <v>Out-year</v>
      </c>
      <c r="N106" s="55">
        <f>transactions[[#This Row],[UnWeighted]]/1000</f>
        <v>46.336166666666664</v>
      </c>
      <c r="O106" s="55">
        <f>transactions[[#This Row],[Weighted]]/1000</f>
        <v>9.2672333333333334</v>
      </c>
      <c r="P106" s="55">
        <f>transactions[[#This Row],[$K Unweighted]]/1000</f>
        <v>4.6336166666666664E-2</v>
      </c>
      <c r="Q106" s="55" t="b">
        <f ca="1">transactions[[#This Row],[TransactionDate]]&gt;TODAY()</f>
        <v>1</v>
      </c>
    </row>
    <row r="107" spans="1:17" x14ac:dyDescent="0.25">
      <c r="A107">
        <v>25</v>
      </c>
      <c r="B107">
        <v>14</v>
      </c>
      <c r="C107" s="31">
        <v>46427</v>
      </c>
      <c r="D10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7" s="51" t="str">
        <f>"CY"&amp;RIGHT(YEAR(transactions[[#This Row],[TransactionDate]]),2)&amp;"-Q"&amp;ROUNDUP(MONTH(transactions[[#This Row],[TransactionDate]])/3, 0)</f>
        <v>CY27-Q1</v>
      </c>
      <c r="F107" s="52">
        <f>transactions[[#This Row],[UnWeighted]]*_xlfn.XLOOKUP(transactions[[#This Row],[OpportunityID]],Opportunities[ID],Opportunities[WinProbabilityValue])</f>
        <v>35076.26666666667</v>
      </c>
      <c r="G107" s="52">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107" s="51" t="str">
        <f>_xlfn.XLOOKUP(transactions[[#This Row],[OpportunityID]],Opportunities[ID],Opportunities[Status])</f>
        <v>Active</v>
      </c>
      <c r="I107" s="51" t="str">
        <f>_xlfn.XLOOKUP(transactions[[#This Row],[OpportunityID]],Opportunities[ID],Opportunities[Stage])</f>
        <v>Lead Qualification</v>
      </c>
      <c r="J107" s="51" t="str">
        <f>_xlfn.XLOOKUP(transactions[[#This Row],[OpportunityID]],Opportunities[ID],Opportunities[OpportunityName])</f>
        <v>Project Management Software</v>
      </c>
      <c r="K107" s="51" t="str">
        <f>_xlfn.XLOOKUP(transactions[[#This Row],[CustomerId]],Customers[Id],Customers[Customer Name])</f>
        <v>Media Communications</v>
      </c>
      <c r="L107" s="51" t="str">
        <f>_xlfn.XLOOKUP(transactions[[#This Row],[OpportunityID]],Opportunities[ID],Opportunities[OpportunityOwner])</f>
        <v>Amanda Sales</v>
      </c>
      <c r="M107" s="51" t="str">
        <f ca="1">IF((transactions[[#This Row],[TransactionDate]]-TODAY())&lt;=366,transactions[[#This Row],[FQ]],"Out-year")</f>
        <v>Out-year</v>
      </c>
      <c r="N107" s="55">
        <f>transactions[[#This Row],[UnWeighted]]/1000</f>
        <v>70.152533333333338</v>
      </c>
      <c r="O107" s="55">
        <f>transactions[[#This Row],[Weighted]]/1000</f>
        <v>35.076266666666669</v>
      </c>
      <c r="P107" s="55">
        <f>transactions[[#This Row],[$K Unweighted]]/1000</f>
        <v>7.0152533333333336E-2</v>
      </c>
      <c r="Q107" s="55" t="b">
        <f ca="1">transactions[[#This Row],[TransactionDate]]&gt;TODAY()</f>
        <v>1</v>
      </c>
    </row>
    <row r="108" spans="1:17" x14ac:dyDescent="0.25">
      <c r="A108">
        <v>22</v>
      </c>
      <c r="B108">
        <v>11</v>
      </c>
      <c r="C108" s="31">
        <v>46429</v>
      </c>
      <c r="D10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8" s="51" t="str">
        <f>"CY"&amp;RIGHT(YEAR(transactions[[#This Row],[TransactionDate]]),2)&amp;"-Q"&amp;ROUNDUP(MONTH(transactions[[#This Row],[TransactionDate]])/3, 0)</f>
        <v>CY27-Q1</v>
      </c>
      <c r="F108" s="52">
        <f>transactions[[#This Row],[UnWeighted]]*_xlfn.XLOOKUP(transactions[[#This Row],[OpportunityID]],Opportunities[ID],Opportunities[WinProbabilityValue])</f>
        <v>26390.544230769232</v>
      </c>
      <c r="G108"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08" s="51" t="str">
        <f>_xlfn.XLOOKUP(transactions[[#This Row],[OpportunityID]],Opportunities[ID],Opportunities[Status])</f>
        <v>Active</v>
      </c>
      <c r="I108" s="51" t="str">
        <f>_xlfn.XLOOKUP(transactions[[#This Row],[OpportunityID]],Opportunities[ID],Opportunities[Stage])</f>
        <v>Nurturing</v>
      </c>
      <c r="J108" s="51" t="str">
        <f>_xlfn.XLOOKUP(transactions[[#This Row],[OpportunityID]],Opportunities[ID],Opportunities[OpportunityName])</f>
        <v>Inventory Management Solution</v>
      </c>
      <c r="K108" s="51" t="str">
        <f>_xlfn.XLOOKUP(transactions[[#This Row],[CustomerId]],Customers[Id],Customers[Customer Name])</f>
        <v>Transport Logistics</v>
      </c>
      <c r="L108" s="51" t="str">
        <f>_xlfn.XLOOKUP(transactions[[#This Row],[OpportunityID]],Opportunities[ID],Opportunities[OpportunityOwner])</f>
        <v>Sarah Director</v>
      </c>
      <c r="M108" s="51" t="str">
        <f ca="1">IF((transactions[[#This Row],[TransactionDate]]-TODAY())&lt;=366,transactions[[#This Row],[FQ]],"Out-year")</f>
        <v>Out-year</v>
      </c>
      <c r="N108" s="55">
        <f>transactions[[#This Row],[UnWeighted]]/1000</f>
        <v>29.322826923076921</v>
      </c>
      <c r="O108" s="55">
        <f>transactions[[#This Row],[Weighted]]/1000</f>
        <v>26.390544230769233</v>
      </c>
      <c r="P108" s="55">
        <f>transactions[[#This Row],[$K Unweighted]]/1000</f>
        <v>2.932282692307692E-2</v>
      </c>
      <c r="Q108" s="55" t="b">
        <f ca="1">transactions[[#This Row],[TransactionDate]]&gt;TODAY()</f>
        <v>1</v>
      </c>
    </row>
    <row r="109" spans="1:17" x14ac:dyDescent="0.25">
      <c r="A109">
        <v>28</v>
      </c>
      <c r="B109">
        <v>1</v>
      </c>
      <c r="C109" s="31">
        <v>46434</v>
      </c>
      <c r="D10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9" s="51" t="str">
        <f>"CY"&amp;RIGHT(YEAR(transactions[[#This Row],[TransactionDate]]),2)&amp;"-Q"&amp;ROUNDUP(MONTH(transactions[[#This Row],[TransactionDate]])/3, 0)</f>
        <v>CY27-Q1</v>
      </c>
      <c r="F109" s="52">
        <f>transactions[[#This Row],[UnWeighted]]*_xlfn.XLOOKUP(transactions[[#This Row],[OpportunityID]],Opportunities[ID],Opportunities[WinProbabilityValue])</f>
        <v>40447.666666666664</v>
      </c>
      <c r="G109" s="52">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109" s="51" t="str">
        <f>_xlfn.XLOOKUP(transactions[[#This Row],[OpportunityID]],Opportunities[ID],Opportunities[Status])</f>
        <v>Active</v>
      </c>
      <c r="I109" s="51" t="str">
        <f>_xlfn.XLOOKUP(transactions[[#This Row],[OpportunityID]],Opportunities[ID],Opportunities[Stage])</f>
        <v>Lead Qualification</v>
      </c>
      <c r="J109" s="51" t="str">
        <f>_xlfn.XLOOKUP(transactions[[#This Row],[OpportunityID]],Opportunities[ID],Opportunities[OpportunityName])</f>
        <v>Website Redesign Project</v>
      </c>
      <c r="K109" s="51" t="str">
        <f>_xlfn.XLOOKUP(transactions[[#This Row],[CustomerId]],Customers[Id],Customers[Customer Name])</f>
        <v>ACME Corporation</v>
      </c>
      <c r="L109" s="51" t="str">
        <f>_xlfn.XLOOKUP(transactions[[#This Row],[OpportunityID]],Opportunities[ID],Opportunities[OpportunityOwner])</f>
        <v>Lisa Engineer</v>
      </c>
      <c r="M109" s="51" t="str">
        <f ca="1">IF((transactions[[#This Row],[TransactionDate]]-TODAY())&lt;=366,transactions[[#This Row],[FQ]],"Out-year")</f>
        <v>Out-year</v>
      </c>
      <c r="N109" s="55">
        <f>transactions[[#This Row],[UnWeighted]]/1000</f>
        <v>80.895333333333326</v>
      </c>
      <c r="O109" s="55">
        <f>transactions[[#This Row],[Weighted]]/1000</f>
        <v>40.447666666666663</v>
      </c>
      <c r="P109" s="55">
        <f>transactions[[#This Row],[$K Unweighted]]/1000</f>
        <v>8.0895333333333333E-2</v>
      </c>
      <c r="Q109" s="55" t="b">
        <f ca="1">transactions[[#This Row],[TransactionDate]]&gt;TODAY()</f>
        <v>1</v>
      </c>
    </row>
    <row r="110" spans="1:17" x14ac:dyDescent="0.25">
      <c r="A110">
        <v>2</v>
      </c>
      <c r="B110">
        <v>10</v>
      </c>
      <c r="C110" s="31">
        <v>46435</v>
      </c>
      <c r="D11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0" s="51" t="str">
        <f>"CY"&amp;RIGHT(YEAR(transactions[[#This Row],[TransactionDate]]),2)&amp;"-Q"&amp;ROUNDUP(MONTH(transactions[[#This Row],[TransactionDate]])/3, 0)</f>
        <v>CY27-Q1</v>
      </c>
      <c r="F110" s="52">
        <f>transactions[[#This Row],[UnWeighted]]*_xlfn.XLOOKUP(transactions[[#This Row],[OpportunityID]],Opportunities[ID],Opportunities[WinProbabilityValue])</f>
        <v>20720.20930232558</v>
      </c>
      <c r="G110"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10" s="51" t="str">
        <f>_xlfn.XLOOKUP(transactions[[#This Row],[OpportunityID]],Opportunities[ID],Opportunities[Status])</f>
        <v>Active</v>
      </c>
      <c r="I110" s="51" t="str">
        <f>_xlfn.XLOOKUP(transactions[[#This Row],[OpportunityID]],Opportunities[ID],Opportunities[Stage])</f>
        <v>Proposal</v>
      </c>
      <c r="J110" s="51" t="str">
        <f>_xlfn.XLOOKUP(transactions[[#This Row],[OpportunityID]],Opportunities[ID],Opportunities[OpportunityName])</f>
        <v>Cloud Migration Initiative</v>
      </c>
      <c r="K110" s="51" t="str">
        <f>_xlfn.XLOOKUP(transactions[[#This Row],[CustomerId]],Customers[Id],Customers[Customer Name])</f>
        <v>Education First</v>
      </c>
      <c r="L110" s="51" t="str">
        <f>_xlfn.XLOOKUP(transactions[[#This Row],[OpportunityID]],Opportunities[ID],Opportunities[OpportunityOwner])</f>
        <v>Robert Analyst</v>
      </c>
      <c r="M110" s="51" t="str">
        <f ca="1">IF((transactions[[#This Row],[TransactionDate]]-TODAY())&lt;=366,transactions[[#This Row],[FQ]],"Out-year")</f>
        <v>Out-year</v>
      </c>
      <c r="N110" s="55">
        <f>transactions[[#This Row],[UnWeighted]]/1000</f>
        <v>41.440418604651157</v>
      </c>
      <c r="O110" s="55">
        <f>transactions[[#This Row],[Weighted]]/1000</f>
        <v>20.720209302325578</v>
      </c>
      <c r="P110" s="55">
        <f>transactions[[#This Row],[$K Unweighted]]/1000</f>
        <v>4.1440418604651155E-2</v>
      </c>
      <c r="Q110" s="55" t="b">
        <f ca="1">transactions[[#This Row],[TransactionDate]]&gt;TODAY()</f>
        <v>1</v>
      </c>
    </row>
    <row r="111" spans="1:17" x14ac:dyDescent="0.25">
      <c r="A111">
        <v>27</v>
      </c>
      <c r="B111">
        <v>2</v>
      </c>
      <c r="C111" s="31">
        <v>46435</v>
      </c>
      <c r="D11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1" s="51" t="str">
        <f>"CY"&amp;RIGHT(YEAR(transactions[[#This Row],[TransactionDate]]),2)&amp;"-Q"&amp;ROUNDUP(MONTH(transactions[[#This Row],[TransactionDate]])/3, 0)</f>
        <v>CY27-Q1</v>
      </c>
      <c r="F111" s="52">
        <f>transactions[[#This Row],[UnWeighted]]*_xlfn.XLOOKUP(transactions[[#This Row],[OpportunityID]],Opportunities[ID],Opportunities[WinProbabilityValue])</f>
        <v>46287.333333333336</v>
      </c>
      <c r="G111"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111" s="51" t="str">
        <f>_xlfn.XLOOKUP(transactions[[#This Row],[OpportunityID]],Opportunities[ID],Opportunities[Status])</f>
        <v>Active</v>
      </c>
      <c r="I111" s="51" t="str">
        <f>_xlfn.XLOOKUP(transactions[[#This Row],[OpportunityID]],Opportunities[ID],Opportunities[Stage])</f>
        <v>Lead Qualification</v>
      </c>
      <c r="J111" s="51" t="str">
        <f>_xlfn.XLOOKUP(transactions[[#This Row],[OpportunityID]],Opportunities[ID],Opportunities[OpportunityName])</f>
        <v>Backup &amp; Recovery System</v>
      </c>
      <c r="K111" s="51" t="str">
        <f>_xlfn.XLOOKUP(transactions[[#This Row],[CustomerId]],Customers[Id],Customers[Customer Name])</f>
        <v>Global Industries</v>
      </c>
      <c r="L111" s="51" t="str">
        <f>_xlfn.XLOOKUP(transactions[[#This Row],[OpportunityID]],Opportunities[ID],Opportunities[OpportunityOwner])</f>
        <v>Amanda Sales</v>
      </c>
      <c r="M111" s="51" t="str">
        <f ca="1">IF((transactions[[#This Row],[TransactionDate]]-TODAY())&lt;=366,transactions[[#This Row],[FQ]],"Out-year")</f>
        <v>Out-year</v>
      </c>
      <c r="N111" s="55">
        <f>transactions[[#This Row],[UnWeighted]]/1000</f>
        <v>92.574666666666673</v>
      </c>
      <c r="O111" s="55">
        <f>transactions[[#This Row],[Weighted]]/1000</f>
        <v>46.287333333333336</v>
      </c>
      <c r="P111" s="55">
        <f>transactions[[#This Row],[$K Unweighted]]/1000</f>
        <v>9.2574666666666666E-2</v>
      </c>
      <c r="Q111" s="55" t="b">
        <f ca="1">transactions[[#This Row],[TransactionDate]]&gt;TODAY()</f>
        <v>1</v>
      </c>
    </row>
    <row r="112" spans="1:17" x14ac:dyDescent="0.25">
      <c r="A112">
        <v>13</v>
      </c>
      <c r="B112">
        <v>2</v>
      </c>
      <c r="C112" s="31">
        <v>46440</v>
      </c>
      <c r="D11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2" s="51" t="str">
        <f>"CY"&amp;RIGHT(YEAR(transactions[[#This Row],[TransactionDate]]),2)&amp;"-Q"&amp;ROUNDUP(MONTH(transactions[[#This Row],[TransactionDate]])/3, 0)</f>
        <v>CY27-Q1</v>
      </c>
      <c r="F112" s="52">
        <f>transactions[[#This Row],[UnWeighted]]*_xlfn.XLOOKUP(transactions[[#This Row],[OpportunityID]],Opportunities[ID],Opportunities[WinProbabilityValue])</f>
        <v>12618.744897959185</v>
      </c>
      <c r="G112"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12" s="51" t="str">
        <f>_xlfn.XLOOKUP(transactions[[#This Row],[OpportunityID]],Opportunities[ID],Opportunities[Status])</f>
        <v>Active</v>
      </c>
      <c r="I112" s="51" t="str">
        <f>_xlfn.XLOOKUP(transactions[[#This Row],[OpportunityID]],Opportunities[ID],Opportunities[Stage])</f>
        <v>Negotiation</v>
      </c>
      <c r="J112" s="51" t="str">
        <f>_xlfn.XLOOKUP(transactions[[#This Row],[OpportunityID]],Opportunities[ID],Opportunities[OpportunityName])</f>
        <v>E-commerce Platform</v>
      </c>
      <c r="K112" s="51" t="str">
        <f>_xlfn.XLOOKUP(transactions[[#This Row],[CustomerId]],Customers[Id],Customers[Customer Name])</f>
        <v>Global Industries</v>
      </c>
      <c r="L112" s="51" t="str">
        <f>_xlfn.XLOOKUP(transactions[[#This Row],[OpportunityID]],Opportunities[ID],Opportunities[OpportunityOwner])</f>
        <v>Lisa Engineer</v>
      </c>
      <c r="M112" s="51" t="str">
        <f ca="1">IF((transactions[[#This Row],[TransactionDate]]-TODAY())&lt;=366,transactions[[#This Row],[FQ]],"Out-year")</f>
        <v>Out-year</v>
      </c>
      <c r="N112" s="55">
        <f>transactions[[#This Row],[UnWeighted]]/1000</f>
        <v>25.237489795918368</v>
      </c>
      <c r="O112" s="55">
        <f>transactions[[#This Row],[Weighted]]/1000</f>
        <v>12.618744897959184</v>
      </c>
      <c r="P112" s="55">
        <f>transactions[[#This Row],[$K Unweighted]]/1000</f>
        <v>2.5237489795918368E-2</v>
      </c>
      <c r="Q112" s="55" t="b">
        <f ca="1">transactions[[#This Row],[TransactionDate]]&gt;TODAY()</f>
        <v>1</v>
      </c>
    </row>
    <row r="113" spans="1:17" x14ac:dyDescent="0.25">
      <c r="A113">
        <v>5</v>
      </c>
      <c r="B113">
        <v>12</v>
      </c>
      <c r="C113" s="31">
        <v>46441</v>
      </c>
      <c r="D11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3" s="51" t="str">
        <f>"CY"&amp;RIGHT(YEAR(transactions[[#This Row],[TransactionDate]]),2)&amp;"-Q"&amp;ROUNDUP(MONTH(transactions[[#This Row],[TransactionDate]])/3, 0)</f>
        <v>CY27-Q1</v>
      </c>
      <c r="F113" s="52">
        <f>transactions[[#This Row],[UnWeighted]]*_xlfn.XLOOKUP(transactions[[#This Row],[OpportunityID]],Opportunities[ID],Opportunities[WinProbabilityValue])</f>
        <v>104043.5</v>
      </c>
      <c r="G113" s="52">
        <f>_xlfn.XLOOKUP(transactions[[#This Row],[OpportunityID]],Opportunities[ID],Opportunities[Amount])/IF(_xlfn.XLOOKUP(transactions[[#This Row],[OpportunityID]],Opportunities[ID],Opportunities[Recurrences])=0,1,_xlfn.XLOOKUP(transactions[[#This Row],[OpportunityID]],Opportunities[ID],Opportunities[Recurrences]))</f>
        <v>208087</v>
      </c>
      <c r="H113" s="51" t="str">
        <f>_xlfn.XLOOKUP(transactions[[#This Row],[OpportunityID]],Opportunities[ID],Opportunities[Status])</f>
        <v>Active</v>
      </c>
      <c r="I113" s="51" t="str">
        <f>_xlfn.XLOOKUP(transactions[[#This Row],[OpportunityID]],Opportunities[ID],Opportunities[Stage])</f>
        <v>Proposal</v>
      </c>
      <c r="J113" s="51" t="str">
        <f>_xlfn.XLOOKUP(transactions[[#This Row],[OpportunityID]],Opportunities[ID],Opportunities[OpportunityName])</f>
        <v>Healthcare Data Analytics Platform</v>
      </c>
      <c r="K113" s="51" t="str">
        <f>_xlfn.XLOOKUP(transactions[[#This Row],[CustomerId]],Customers[Id],Customers[Customer Name])</f>
        <v>Food Service Partners</v>
      </c>
      <c r="L113" s="51" t="str">
        <f>_xlfn.XLOOKUP(transactions[[#This Row],[OpportunityID]],Opportunities[ID],Opportunities[OpportunityOwner])</f>
        <v>Amanda Sales</v>
      </c>
      <c r="M113" s="51" t="str">
        <f ca="1">IF((transactions[[#This Row],[TransactionDate]]-TODAY())&lt;=366,transactions[[#This Row],[FQ]],"Out-year")</f>
        <v>Out-year</v>
      </c>
      <c r="N113" s="55">
        <f>transactions[[#This Row],[UnWeighted]]/1000</f>
        <v>208.08699999999999</v>
      </c>
      <c r="O113" s="55">
        <f>transactions[[#This Row],[Weighted]]/1000</f>
        <v>104.04349999999999</v>
      </c>
      <c r="P113" s="55">
        <f>transactions[[#This Row],[$K Unweighted]]/1000</f>
        <v>0.20808699999999999</v>
      </c>
      <c r="Q113" s="55" t="b">
        <f ca="1">transactions[[#This Row],[TransactionDate]]&gt;TODAY()</f>
        <v>1</v>
      </c>
    </row>
    <row r="114" spans="1:17" x14ac:dyDescent="0.25">
      <c r="A114">
        <v>26</v>
      </c>
      <c r="B114">
        <v>1</v>
      </c>
      <c r="C114" s="31">
        <v>46447</v>
      </c>
      <c r="D11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4" s="51" t="str">
        <f>"CY"&amp;RIGHT(YEAR(transactions[[#This Row],[TransactionDate]]),2)&amp;"-Q"&amp;ROUNDUP(MONTH(transactions[[#This Row],[TransactionDate]])/3, 0)</f>
        <v>CY27-Q1</v>
      </c>
      <c r="F114" s="52">
        <f>transactions[[#This Row],[UnWeighted]]*_xlfn.XLOOKUP(transactions[[#This Row],[OpportunityID]],Opportunities[ID],Opportunities[WinProbabilityValue])</f>
        <v>11339.638888888889</v>
      </c>
      <c r="G114"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14" s="51" t="str">
        <f>_xlfn.XLOOKUP(transactions[[#This Row],[OpportunityID]],Opportunities[ID],Opportunities[Status])</f>
        <v>Active</v>
      </c>
      <c r="I114" s="51" t="str">
        <f>_xlfn.XLOOKUP(transactions[[#This Row],[OpportunityID]],Opportunities[ID],Opportunities[Stage])</f>
        <v>Negotiation</v>
      </c>
      <c r="J114" s="51" t="str">
        <f>_xlfn.XLOOKUP(transactions[[#This Row],[OpportunityID]],Opportunities[ID],Opportunities[OpportunityName])</f>
        <v>Video Conferencing Solution</v>
      </c>
      <c r="K114" s="51" t="str">
        <f>_xlfn.XLOOKUP(transactions[[#This Row],[CustomerId]],Customers[Id],Customers[Customer Name])</f>
        <v>ACME Corporation</v>
      </c>
      <c r="L114" s="51" t="str">
        <f>_xlfn.XLOOKUP(transactions[[#This Row],[OpportunityID]],Opportunities[ID],Opportunities[OpportunityOwner])</f>
        <v>Mike Consultant</v>
      </c>
      <c r="M114" s="51" t="str">
        <f ca="1">IF((transactions[[#This Row],[TransactionDate]]-TODAY())&lt;=366,transactions[[#This Row],[FQ]],"Out-year")</f>
        <v>Out-year</v>
      </c>
      <c r="N114" s="55">
        <f>transactions[[#This Row],[UnWeighted]]/1000</f>
        <v>22.679277777777777</v>
      </c>
      <c r="O114" s="55">
        <f>transactions[[#This Row],[Weighted]]/1000</f>
        <v>11.339638888888889</v>
      </c>
      <c r="P114" s="55">
        <f>transactions[[#This Row],[$K Unweighted]]/1000</f>
        <v>2.2679277777777777E-2</v>
      </c>
      <c r="Q114" s="55" t="b">
        <f ca="1">transactions[[#This Row],[TransactionDate]]&gt;TODAY()</f>
        <v>1</v>
      </c>
    </row>
    <row r="115" spans="1:17" x14ac:dyDescent="0.25">
      <c r="A115">
        <v>39</v>
      </c>
      <c r="B115">
        <v>3</v>
      </c>
      <c r="C115" s="31">
        <v>46449</v>
      </c>
      <c r="D11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5" s="51" t="str">
        <f>"CY"&amp;RIGHT(YEAR(transactions[[#This Row],[TransactionDate]]),2)&amp;"-Q"&amp;ROUNDUP(MONTH(transactions[[#This Row],[TransactionDate]])/3, 0)</f>
        <v>CY27-Q1</v>
      </c>
      <c r="F115" s="52">
        <f>transactions[[#This Row],[UnWeighted]]*_xlfn.XLOOKUP(transactions[[#This Row],[OpportunityID]],Opportunities[ID],Opportunities[WinProbabilityValue])</f>
        <v>20929.153846153848</v>
      </c>
      <c r="G115"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15" s="51" t="str">
        <f>_xlfn.XLOOKUP(transactions[[#This Row],[OpportunityID]],Opportunities[ID],Opportunities[Status])</f>
        <v>Active</v>
      </c>
      <c r="I115" s="51" t="str">
        <f>_xlfn.XLOOKUP(transactions[[#This Row],[OpportunityID]],Opportunities[ID],Opportunities[Stage])</f>
        <v>Project Execution</v>
      </c>
      <c r="J115" s="51" t="str">
        <f>_xlfn.XLOOKUP(transactions[[#This Row],[OpportunityID]],Opportunities[ID],Opportunities[OpportunityName])</f>
        <v>API Development Project</v>
      </c>
      <c r="K115" s="51" t="str">
        <f>_xlfn.XLOOKUP(transactions[[#This Row],[CustomerId]],Customers[Id],Customers[Customer Name])</f>
        <v>Tech Solutions Inc</v>
      </c>
      <c r="L115" s="51" t="str">
        <f>_xlfn.XLOOKUP(transactions[[#This Row],[OpportunityID]],Opportunities[ID],Opportunities[OpportunityOwner])</f>
        <v>Jennifer PM</v>
      </c>
      <c r="M115" s="51" t="str">
        <f ca="1">IF((transactions[[#This Row],[TransactionDate]]-TODAY())&lt;=366,transactions[[#This Row],[FQ]],"Out-year")</f>
        <v>Out-year</v>
      </c>
      <c r="N115" s="55">
        <f>transactions[[#This Row],[UnWeighted]]/1000</f>
        <v>41.858307692307697</v>
      </c>
      <c r="O115" s="55">
        <f>transactions[[#This Row],[Weighted]]/1000</f>
        <v>20.929153846153849</v>
      </c>
      <c r="P115" s="55">
        <f>transactions[[#This Row],[$K Unweighted]]/1000</f>
        <v>4.1858307692307695E-2</v>
      </c>
      <c r="Q115" s="55" t="b">
        <f ca="1">transactions[[#This Row],[TransactionDate]]&gt;TODAY()</f>
        <v>1</v>
      </c>
    </row>
    <row r="116" spans="1:17" x14ac:dyDescent="0.25">
      <c r="A116">
        <v>36</v>
      </c>
      <c r="B116">
        <v>1</v>
      </c>
      <c r="C116" s="31">
        <v>46452</v>
      </c>
      <c r="D11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6" s="51" t="str">
        <f>"CY"&amp;RIGHT(YEAR(transactions[[#This Row],[TransactionDate]]),2)&amp;"-Q"&amp;ROUNDUP(MONTH(transactions[[#This Row],[TransactionDate]])/3, 0)</f>
        <v>CY27-Q1</v>
      </c>
      <c r="F116" s="52">
        <f>transactions[[#This Row],[UnWeighted]]*_xlfn.XLOOKUP(transactions[[#This Row],[OpportunityID]],Opportunities[ID],Opportunities[WinProbabilityValue])</f>
        <v>24983.895833333332</v>
      </c>
      <c r="G116"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16" s="51" t="str">
        <f>_xlfn.XLOOKUP(transactions[[#This Row],[OpportunityID]],Opportunities[ID],Opportunities[Status])</f>
        <v>Active</v>
      </c>
      <c r="I116" s="51" t="str">
        <f>_xlfn.XLOOKUP(transactions[[#This Row],[OpportunityID]],Opportunities[ID],Opportunities[Stage])</f>
        <v>Lead Qualification</v>
      </c>
      <c r="J116" s="51" t="str">
        <f>_xlfn.XLOOKUP(transactions[[#This Row],[OpportunityID]],Opportunities[ID],Opportunities[OpportunityName])</f>
        <v>Integration Services Project</v>
      </c>
      <c r="K116" s="51" t="str">
        <f>_xlfn.XLOOKUP(transactions[[#This Row],[CustomerId]],Customers[Id],Customers[Customer Name])</f>
        <v>ACME Corporation</v>
      </c>
      <c r="L116" s="51" t="str">
        <f>_xlfn.XLOOKUP(transactions[[#This Row],[OpportunityID]],Opportunities[ID],Opportunities[OpportunityOwner])</f>
        <v>Amanda Sales</v>
      </c>
      <c r="M116" s="51" t="str">
        <f ca="1">IF((transactions[[#This Row],[TransactionDate]]-TODAY())&lt;=366,transactions[[#This Row],[FQ]],"Out-year")</f>
        <v>Out-year</v>
      </c>
      <c r="N116" s="55">
        <f>transactions[[#This Row],[UnWeighted]]/1000</f>
        <v>49.967791666666663</v>
      </c>
      <c r="O116" s="55">
        <f>transactions[[#This Row],[Weighted]]/1000</f>
        <v>24.983895833333332</v>
      </c>
      <c r="P116" s="55">
        <f>transactions[[#This Row],[$K Unweighted]]/1000</f>
        <v>4.9967791666666664E-2</v>
      </c>
      <c r="Q116" s="55" t="b">
        <f ca="1">transactions[[#This Row],[TransactionDate]]&gt;TODAY()</f>
        <v>1</v>
      </c>
    </row>
    <row r="117" spans="1:17" x14ac:dyDescent="0.25">
      <c r="A117">
        <v>24</v>
      </c>
      <c r="B117">
        <v>27</v>
      </c>
      <c r="C117" s="31">
        <v>46452</v>
      </c>
      <c r="D11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7" s="51" t="str">
        <f>"CY"&amp;RIGHT(YEAR(transactions[[#This Row],[TransactionDate]]),2)&amp;"-Q"&amp;ROUNDUP(MONTH(transactions[[#This Row],[TransactionDate]])/3, 0)</f>
        <v>CY27-Q1</v>
      </c>
      <c r="F117" s="52">
        <f>transactions[[#This Row],[UnWeighted]]*_xlfn.XLOOKUP(transactions[[#This Row],[OpportunityID]],Opportunities[ID],Opportunities[WinProbabilityValue])</f>
        <v>33162.73333333333</v>
      </c>
      <c r="G117" s="52">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117" s="51" t="str">
        <f>_xlfn.XLOOKUP(transactions[[#This Row],[OpportunityID]],Opportunities[ID],Opportunities[Status])</f>
        <v>Active</v>
      </c>
      <c r="I117" s="51" t="str">
        <f>_xlfn.XLOOKUP(transactions[[#This Row],[OpportunityID]],Opportunities[ID],Opportunities[Stage])</f>
        <v>Nurturing</v>
      </c>
      <c r="J117" s="51" t="str">
        <f>_xlfn.XLOOKUP(transactions[[#This Row],[OpportunityID]],Opportunities[ID],Opportunities[OpportunityName])</f>
        <v>Compliance Management Tool</v>
      </c>
      <c r="K117" s="51" t="str">
        <f>_xlfn.XLOOKUP(transactions[[#This Row],[CustomerId]],Customers[Id],Customers[Customer Name])</f>
        <v>Mining Operations</v>
      </c>
      <c r="L117" s="51" t="str">
        <f>_xlfn.XLOOKUP(transactions[[#This Row],[OpportunityID]],Opportunities[ID],Opportunities[OpportunityOwner])</f>
        <v>Dr. Tech Advisor</v>
      </c>
      <c r="M117" s="51" t="str">
        <f ca="1">IF((transactions[[#This Row],[TransactionDate]]-TODAY())&lt;=366,transactions[[#This Row],[FQ]],"Out-year")</f>
        <v>Out-year</v>
      </c>
      <c r="N117" s="55">
        <f>transactions[[#This Row],[UnWeighted]]/1000</f>
        <v>165.81366666666665</v>
      </c>
      <c r="O117" s="55">
        <f>transactions[[#This Row],[Weighted]]/1000</f>
        <v>33.162733333333328</v>
      </c>
      <c r="P117" s="55">
        <f>transactions[[#This Row],[$K Unweighted]]/1000</f>
        <v>0.16581366666666664</v>
      </c>
      <c r="Q117" s="55" t="b">
        <f ca="1">transactions[[#This Row],[TransactionDate]]&gt;TODAY()</f>
        <v>1</v>
      </c>
    </row>
    <row r="118" spans="1:17" x14ac:dyDescent="0.25">
      <c r="A118">
        <v>15</v>
      </c>
      <c r="B118">
        <v>24</v>
      </c>
      <c r="C118" s="31">
        <v>46453</v>
      </c>
      <c r="D11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8" s="51" t="str">
        <f>"CY"&amp;RIGHT(YEAR(transactions[[#This Row],[TransactionDate]]),2)&amp;"-Q"&amp;ROUNDUP(MONTH(transactions[[#This Row],[TransactionDate]])/3, 0)</f>
        <v>CY27-Q1</v>
      </c>
      <c r="F118" s="52">
        <f>transactions[[#This Row],[UnWeighted]]*_xlfn.XLOOKUP(transactions[[#This Row],[OpportunityID]],Opportunities[ID],Opportunities[WinProbabilityValue])</f>
        <v>29217.197872340425</v>
      </c>
      <c r="G118"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18" s="51" t="str">
        <f>_xlfn.XLOOKUP(transactions[[#This Row],[OpportunityID]],Opportunities[ID],Opportunities[Status])</f>
        <v>Active</v>
      </c>
      <c r="I118" s="51" t="str">
        <f>_xlfn.XLOOKUP(transactions[[#This Row],[OpportunityID]],Opportunities[ID],Opportunities[Stage])</f>
        <v>Project Execution</v>
      </c>
      <c r="J118" s="51" t="str">
        <f>_xlfn.XLOOKUP(transactions[[#This Row],[OpportunityID]],Opportunities[ID],Opportunities[OpportunityName])</f>
        <v>Training &amp; Development Program</v>
      </c>
      <c r="K118" s="51" t="str">
        <f>_xlfn.XLOOKUP(transactions[[#This Row],[CustomerId]],Customers[Id],Customers[Customer Name])</f>
        <v>Security Solutions</v>
      </c>
      <c r="L118" s="51" t="str">
        <f>_xlfn.XLOOKUP(transactions[[#This Row],[OpportunityID]],Opportunities[ID],Opportunities[OpportunityOwner])</f>
        <v>Sarah Director</v>
      </c>
      <c r="M118" s="51" t="str">
        <f ca="1">IF((transactions[[#This Row],[TransactionDate]]-TODAY())&lt;=366,transactions[[#This Row],[FQ]],"Out-year")</f>
        <v>Out-year</v>
      </c>
      <c r="N118" s="55">
        <f>transactions[[#This Row],[UnWeighted]]/1000</f>
        <v>32.46355319148936</v>
      </c>
      <c r="O118" s="55">
        <f>transactions[[#This Row],[Weighted]]/1000</f>
        <v>29.217197872340424</v>
      </c>
      <c r="P118" s="55">
        <f>transactions[[#This Row],[$K Unweighted]]/1000</f>
        <v>3.2463553191489358E-2</v>
      </c>
      <c r="Q118" s="55" t="b">
        <f ca="1">transactions[[#This Row],[TransactionDate]]&gt;TODAY()</f>
        <v>1</v>
      </c>
    </row>
    <row r="119" spans="1:17" x14ac:dyDescent="0.25">
      <c r="A119">
        <v>17</v>
      </c>
      <c r="B119">
        <v>19</v>
      </c>
      <c r="C119" s="31">
        <v>46455</v>
      </c>
      <c r="D11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9" s="51" t="str">
        <f>"CY"&amp;RIGHT(YEAR(transactions[[#This Row],[TransactionDate]]),2)&amp;"-Q"&amp;ROUNDUP(MONTH(transactions[[#This Row],[TransactionDate]])/3, 0)</f>
        <v>CY27-Q1</v>
      </c>
      <c r="F119" s="52">
        <f>transactions[[#This Row],[UnWeighted]]*_xlfn.XLOOKUP(transactions[[#This Row],[OpportunityID]],Opportunities[ID],Opportunities[WinProbabilityValue])</f>
        <v>9267.2333333333336</v>
      </c>
      <c r="G119"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19" s="51" t="str">
        <f>_xlfn.XLOOKUP(transactions[[#This Row],[OpportunityID]],Opportunities[ID],Opportunities[Status])</f>
        <v>Active</v>
      </c>
      <c r="I119" s="51" t="str">
        <f>_xlfn.XLOOKUP(transactions[[#This Row],[OpportunityID]],Opportunities[ID],Opportunities[Stage])</f>
        <v>Negotiation</v>
      </c>
      <c r="J119" s="51" t="str">
        <f>_xlfn.XLOOKUP(transactions[[#This Row],[OpportunityID]],Opportunities[ID],Opportunities[OpportunityName])</f>
        <v>Supply Chain Optimization</v>
      </c>
      <c r="K119" s="51" t="str">
        <f>_xlfn.XLOOKUP(transactions[[#This Row],[CustomerId]],Customers[Id],Customers[Customer Name])</f>
        <v>Hotel Management Group</v>
      </c>
      <c r="L119" s="51" t="str">
        <f>_xlfn.XLOOKUP(transactions[[#This Row],[OpportunityID]],Opportunities[ID],Opportunities[OpportunityOwner])</f>
        <v>Jennifer PM</v>
      </c>
      <c r="M119" s="51" t="str">
        <f ca="1">IF((transactions[[#This Row],[TransactionDate]]-TODAY())&lt;=366,transactions[[#This Row],[FQ]],"Out-year")</f>
        <v>Out-year</v>
      </c>
      <c r="N119" s="55">
        <f>transactions[[#This Row],[UnWeighted]]/1000</f>
        <v>46.336166666666664</v>
      </c>
      <c r="O119" s="55">
        <f>transactions[[#This Row],[Weighted]]/1000</f>
        <v>9.2672333333333334</v>
      </c>
      <c r="P119" s="55">
        <f>transactions[[#This Row],[$K Unweighted]]/1000</f>
        <v>4.6336166666666664E-2</v>
      </c>
      <c r="Q119" s="55" t="b">
        <f ca="1">transactions[[#This Row],[TransactionDate]]&gt;TODAY()</f>
        <v>1</v>
      </c>
    </row>
    <row r="120" spans="1:17" x14ac:dyDescent="0.25">
      <c r="A120">
        <v>22</v>
      </c>
      <c r="B120">
        <v>11</v>
      </c>
      <c r="C120" s="31">
        <v>46457</v>
      </c>
      <c r="D12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0" s="51" t="str">
        <f>"CY"&amp;RIGHT(YEAR(transactions[[#This Row],[TransactionDate]]),2)&amp;"-Q"&amp;ROUNDUP(MONTH(transactions[[#This Row],[TransactionDate]])/3, 0)</f>
        <v>CY27-Q1</v>
      </c>
      <c r="F120" s="52">
        <f>transactions[[#This Row],[UnWeighted]]*_xlfn.XLOOKUP(transactions[[#This Row],[OpportunityID]],Opportunities[ID],Opportunities[WinProbabilityValue])</f>
        <v>26390.544230769232</v>
      </c>
      <c r="G120"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20" s="51" t="str">
        <f>_xlfn.XLOOKUP(transactions[[#This Row],[OpportunityID]],Opportunities[ID],Opportunities[Status])</f>
        <v>Active</v>
      </c>
      <c r="I120" s="51" t="str">
        <f>_xlfn.XLOOKUP(transactions[[#This Row],[OpportunityID]],Opportunities[ID],Opportunities[Stage])</f>
        <v>Nurturing</v>
      </c>
      <c r="J120" s="51" t="str">
        <f>_xlfn.XLOOKUP(transactions[[#This Row],[OpportunityID]],Opportunities[ID],Opportunities[OpportunityName])</f>
        <v>Inventory Management Solution</v>
      </c>
      <c r="K120" s="51" t="str">
        <f>_xlfn.XLOOKUP(transactions[[#This Row],[CustomerId]],Customers[Id],Customers[Customer Name])</f>
        <v>Transport Logistics</v>
      </c>
      <c r="L120" s="51" t="str">
        <f>_xlfn.XLOOKUP(transactions[[#This Row],[OpportunityID]],Opportunities[ID],Opportunities[OpportunityOwner])</f>
        <v>Sarah Director</v>
      </c>
      <c r="M120" s="51" t="str">
        <f ca="1">IF((transactions[[#This Row],[TransactionDate]]-TODAY())&lt;=366,transactions[[#This Row],[FQ]],"Out-year")</f>
        <v>Out-year</v>
      </c>
      <c r="N120" s="55">
        <f>transactions[[#This Row],[UnWeighted]]/1000</f>
        <v>29.322826923076921</v>
      </c>
      <c r="O120" s="55">
        <f>transactions[[#This Row],[Weighted]]/1000</f>
        <v>26.390544230769233</v>
      </c>
      <c r="P120" s="55">
        <f>transactions[[#This Row],[$K Unweighted]]/1000</f>
        <v>2.932282692307692E-2</v>
      </c>
      <c r="Q120" s="55" t="b">
        <f ca="1">transactions[[#This Row],[TransactionDate]]&gt;TODAY()</f>
        <v>1</v>
      </c>
    </row>
    <row r="121" spans="1:17" x14ac:dyDescent="0.25">
      <c r="A121">
        <v>2</v>
      </c>
      <c r="B121">
        <v>10</v>
      </c>
      <c r="C121" s="31">
        <v>46463</v>
      </c>
      <c r="D12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1" s="51" t="str">
        <f>"CY"&amp;RIGHT(YEAR(transactions[[#This Row],[TransactionDate]]),2)&amp;"-Q"&amp;ROUNDUP(MONTH(transactions[[#This Row],[TransactionDate]])/3, 0)</f>
        <v>CY27-Q1</v>
      </c>
      <c r="F121" s="52">
        <f>transactions[[#This Row],[UnWeighted]]*_xlfn.XLOOKUP(transactions[[#This Row],[OpportunityID]],Opportunities[ID],Opportunities[WinProbabilityValue])</f>
        <v>20720.20930232558</v>
      </c>
      <c r="G121"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21" s="51" t="str">
        <f>_xlfn.XLOOKUP(transactions[[#This Row],[OpportunityID]],Opportunities[ID],Opportunities[Status])</f>
        <v>Active</v>
      </c>
      <c r="I121" s="51" t="str">
        <f>_xlfn.XLOOKUP(transactions[[#This Row],[OpportunityID]],Opportunities[ID],Opportunities[Stage])</f>
        <v>Proposal</v>
      </c>
      <c r="J121" s="51" t="str">
        <f>_xlfn.XLOOKUP(transactions[[#This Row],[OpportunityID]],Opportunities[ID],Opportunities[OpportunityName])</f>
        <v>Cloud Migration Initiative</v>
      </c>
      <c r="K121" s="51" t="str">
        <f>_xlfn.XLOOKUP(transactions[[#This Row],[CustomerId]],Customers[Id],Customers[Customer Name])</f>
        <v>Education First</v>
      </c>
      <c r="L121" s="51" t="str">
        <f>_xlfn.XLOOKUP(transactions[[#This Row],[OpportunityID]],Opportunities[ID],Opportunities[OpportunityOwner])</f>
        <v>Robert Analyst</v>
      </c>
      <c r="M121" s="51" t="str">
        <f ca="1">IF((transactions[[#This Row],[TransactionDate]]-TODAY())&lt;=366,transactions[[#This Row],[FQ]],"Out-year")</f>
        <v>Out-year</v>
      </c>
      <c r="N121" s="55">
        <f>transactions[[#This Row],[UnWeighted]]/1000</f>
        <v>41.440418604651157</v>
      </c>
      <c r="O121" s="55">
        <f>transactions[[#This Row],[Weighted]]/1000</f>
        <v>20.720209302325578</v>
      </c>
      <c r="P121" s="55">
        <f>transactions[[#This Row],[$K Unweighted]]/1000</f>
        <v>4.1440418604651155E-2</v>
      </c>
      <c r="Q121" s="55" t="b">
        <f ca="1">transactions[[#This Row],[TransactionDate]]&gt;TODAY()</f>
        <v>1</v>
      </c>
    </row>
    <row r="122" spans="1:17" x14ac:dyDescent="0.25">
      <c r="A122">
        <v>13</v>
      </c>
      <c r="B122">
        <v>2</v>
      </c>
      <c r="C122" s="31">
        <v>46468</v>
      </c>
      <c r="D12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2" s="51" t="str">
        <f>"CY"&amp;RIGHT(YEAR(transactions[[#This Row],[TransactionDate]]),2)&amp;"-Q"&amp;ROUNDUP(MONTH(transactions[[#This Row],[TransactionDate]])/3, 0)</f>
        <v>CY27-Q1</v>
      </c>
      <c r="F122" s="52">
        <f>transactions[[#This Row],[UnWeighted]]*_xlfn.XLOOKUP(transactions[[#This Row],[OpportunityID]],Opportunities[ID],Opportunities[WinProbabilityValue])</f>
        <v>12618.744897959185</v>
      </c>
      <c r="G122"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22" s="51" t="str">
        <f>_xlfn.XLOOKUP(transactions[[#This Row],[OpportunityID]],Opportunities[ID],Opportunities[Status])</f>
        <v>Active</v>
      </c>
      <c r="I122" s="51" t="str">
        <f>_xlfn.XLOOKUP(transactions[[#This Row],[OpportunityID]],Opportunities[ID],Opportunities[Stage])</f>
        <v>Negotiation</v>
      </c>
      <c r="J122" s="51" t="str">
        <f>_xlfn.XLOOKUP(transactions[[#This Row],[OpportunityID]],Opportunities[ID],Opportunities[OpportunityName])</f>
        <v>E-commerce Platform</v>
      </c>
      <c r="K122" s="51" t="str">
        <f>_xlfn.XLOOKUP(transactions[[#This Row],[CustomerId]],Customers[Id],Customers[Customer Name])</f>
        <v>Global Industries</v>
      </c>
      <c r="L122" s="51" t="str">
        <f>_xlfn.XLOOKUP(transactions[[#This Row],[OpportunityID]],Opportunities[ID],Opportunities[OpportunityOwner])</f>
        <v>Lisa Engineer</v>
      </c>
      <c r="M122" s="51" t="str">
        <f ca="1">IF((transactions[[#This Row],[TransactionDate]]-TODAY())&lt;=366,transactions[[#This Row],[FQ]],"Out-year")</f>
        <v>Out-year</v>
      </c>
      <c r="N122" s="55">
        <f>transactions[[#This Row],[UnWeighted]]/1000</f>
        <v>25.237489795918368</v>
      </c>
      <c r="O122" s="55">
        <f>transactions[[#This Row],[Weighted]]/1000</f>
        <v>12.618744897959184</v>
      </c>
      <c r="P122" s="55">
        <f>transactions[[#This Row],[$K Unweighted]]/1000</f>
        <v>2.5237489795918368E-2</v>
      </c>
      <c r="Q122" s="55" t="b">
        <f ca="1">transactions[[#This Row],[TransactionDate]]&gt;TODAY()</f>
        <v>1</v>
      </c>
    </row>
    <row r="123" spans="1:17" x14ac:dyDescent="0.25">
      <c r="A123">
        <v>20</v>
      </c>
      <c r="B123">
        <v>28</v>
      </c>
      <c r="C123" s="31">
        <v>46471</v>
      </c>
      <c r="D12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3" s="51" t="str">
        <f>"CY"&amp;RIGHT(YEAR(transactions[[#This Row],[TransactionDate]]),2)&amp;"-Q"&amp;ROUNDUP(MONTH(transactions[[#This Row],[TransactionDate]])/3, 0)</f>
        <v>CY27-Q1</v>
      </c>
      <c r="F123" s="52">
        <f>transactions[[#This Row],[UnWeighted]]*_xlfn.XLOOKUP(transactions[[#This Row],[OpportunityID]],Opportunities[ID],Opportunities[WinProbabilityValue])</f>
        <v>46457.040000000008</v>
      </c>
      <c r="G123" s="52">
        <f>_xlfn.XLOOKUP(transactions[[#This Row],[OpportunityID]],Opportunities[ID],Opportunities[Amount])/IF(_xlfn.XLOOKUP(transactions[[#This Row],[OpportunityID]],Opportunities[ID],Opportunities[Recurrences])=0,1,_xlfn.XLOOKUP(transactions[[#This Row],[OpportunityID]],Opportunities[ID],Opportunities[Recurrences]))</f>
        <v>232285.2</v>
      </c>
      <c r="H123" s="51" t="str">
        <f>_xlfn.XLOOKUP(transactions[[#This Row],[OpportunityID]],Opportunities[ID],Opportunities[Status])</f>
        <v>Critical</v>
      </c>
      <c r="I123" s="51" t="str">
        <f>_xlfn.XLOOKUP(transactions[[#This Row],[OpportunityID]],Opportunities[ID],Opportunities[Stage])</f>
        <v>Proposal</v>
      </c>
      <c r="J123" s="51" t="str">
        <f>_xlfn.XLOOKUP(transactions[[#This Row],[OpportunityID]],Opportunities[ID],Opportunities[OpportunityName])</f>
        <v>Marketing Automation Platform</v>
      </c>
      <c r="K123" s="51" t="str">
        <f>_xlfn.XLOOKUP(transactions[[#This Row],[CustomerId]],Customers[Id],Customers[Customer Name])</f>
        <v>Telecommunications Inc</v>
      </c>
      <c r="L123" s="51" t="str">
        <f>_xlfn.XLOOKUP(transactions[[#This Row],[OpportunityID]],Opportunities[ID],Opportunities[OpportunityOwner])</f>
        <v>Amanda Sales</v>
      </c>
      <c r="M123" s="51" t="str">
        <f ca="1">IF((transactions[[#This Row],[TransactionDate]]-TODAY())&lt;=366,transactions[[#This Row],[FQ]],"Out-year")</f>
        <v>Out-year</v>
      </c>
      <c r="N123" s="55">
        <f>transactions[[#This Row],[UnWeighted]]/1000</f>
        <v>232.2852</v>
      </c>
      <c r="O123" s="55">
        <f>transactions[[#This Row],[Weighted]]/1000</f>
        <v>46.457040000000006</v>
      </c>
      <c r="P123" s="55">
        <f>transactions[[#This Row],[$K Unweighted]]/1000</f>
        <v>0.2322852</v>
      </c>
      <c r="Q123" s="55" t="b">
        <f ca="1">transactions[[#This Row],[TransactionDate]]&gt;TODAY()</f>
        <v>1</v>
      </c>
    </row>
    <row r="124" spans="1:17" x14ac:dyDescent="0.25">
      <c r="A124">
        <v>26</v>
      </c>
      <c r="B124">
        <v>1</v>
      </c>
      <c r="C124" s="31">
        <v>46478</v>
      </c>
      <c r="D12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4" s="51" t="str">
        <f>"CY"&amp;RIGHT(YEAR(transactions[[#This Row],[TransactionDate]]),2)&amp;"-Q"&amp;ROUNDUP(MONTH(transactions[[#This Row],[TransactionDate]])/3, 0)</f>
        <v>CY27-Q2</v>
      </c>
      <c r="F124" s="52">
        <f>transactions[[#This Row],[UnWeighted]]*_xlfn.XLOOKUP(transactions[[#This Row],[OpportunityID]],Opportunities[ID],Opportunities[WinProbabilityValue])</f>
        <v>11339.638888888889</v>
      </c>
      <c r="G124"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24" s="51" t="str">
        <f>_xlfn.XLOOKUP(transactions[[#This Row],[OpportunityID]],Opportunities[ID],Opportunities[Status])</f>
        <v>Active</v>
      </c>
      <c r="I124" s="51" t="str">
        <f>_xlfn.XLOOKUP(transactions[[#This Row],[OpportunityID]],Opportunities[ID],Opportunities[Stage])</f>
        <v>Negotiation</v>
      </c>
      <c r="J124" s="51" t="str">
        <f>_xlfn.XLOOKUP(transactions[[#This Row],[OpportunityID]],Opportunities[ID],Opportunities[OpportunityName])</f>
        <v>Video Conferencing Solution</v>
      </c>
      <c r="K124" s="51" t="str">
        <f>_xlfn.XLOOKUP(transactions[[#This Row],[CustomerId]],Customers[Id],Customers[Customer Name])</f>
        <v>ACME Corporation</v>
      </c>
      <c r="L124" s="51" t="str">
        <f>_xlfn.XLOOKUP(transactions[[#This Row],[OpportunityID]],Opportunities[ID],Opportunities[OpportunityOwner])</f>
        <v>Mike Consultant</v>
      </c>
      <c r="M124" s="51" t="str">
        <f ca="1">IF((transactions[[#This Row],[TransactionDate]]-TODAY())&lt;=366,transactions[[#This Row],[FQ]],"Out-year")</f>
        <v>Out-year</v>
      </c>
      <c r="N124" s="55">
        <f>transactions[[#This Row],[UnWeighted]]/1000</f>
        <v>22.679277777777777</v>
      </c>
      <c r="O124" s="55">
        <f>transactions[[#This Row],[Weighted]]/1000</f>
        <v>11.339638888888889</v>
      </c>
      <c r="P124" s="55">
        <f>transactions[[#This Row],[$K Unweighted]]/1000</f>
        <v>2.2679277777777777E-2</v>
      </c>
      <c r="Q124" s="55" t="b">
        <f ca="1">transactions[[#This Row],[TransactionDate]]&gt;TODAY()</f>
        <v>1</v>
      </c>
    </row>
    <row r="125" spans="1:17" x14ac:dyDescent="0.25">
      <c r="A125">
        <v>39</v>
      </c>
      <c r="B125">
        <v>3</v>
      </c>
      <c r="C125" s="31">
        <v>46480</v>
      </c>
      <c r="D12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5" s="51" t="str">
        <f>"CY"&amp;RIGHT(YEAR(transactions[[#This Row],[TransactionDate]]),2)&amp;"-Q"&amp;ROUNDUP(MONTH(transactions[[#This Row],[TransactionDate]])/3, 0)</f>
        <v>CY27-Q2</v>
      </c>
      <c r="F125" s="52">
        <f>transactions[[#This Row],[UnWeighted]]*_xlfn.XLOOKUP(transactions[[#This Row],[OpportunityID]],Opportunities[ID],Opportunities[WinProbabilityValue])</f>
        <v>20929.153846153848</v>
      </c>
      <c r="G125"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25" s="51" t="str">
        <f>_xlfn.XLOOKUP(transactions[[#This Row],[OpportunityID]],Opportunities[ID],Opportunities[Status])</f>
        <v>Active</v>
      </c>
      <c r="I125" s="51" t="str">
        <f>_xlfn.XLOOKUP(transactions[[#This Row],[OpportunityID]],Opportunities[ID],Opportunities[Stage])</f>
        <v>Project Execution</v>
      </c>
      <c r="J125" s="51" t="str">
        <f>_xlfn.XLOOKUP(transactions[[#This Row],[OpportunityID]],Opportunities[ID],Opportunities[OpportunityName])</f>
        <v>API Development Project</v>
      </c>
      <c r="K125" s="51" t="str">
        <f>_xlfn.XLOOKUP(transactions[[#This Row],[CustomerId]],Customers[Id],Customers[Customer Name])</f>
        <v>Tech Solutions Inc</v>
      </c>
      <c r="L125" s="51" t="str">
        <f>_xlfn.XLOOKUP(transactions[[#This Row],[OpportunityID]],Opportunities[ID],Opportunities[OpportunityOwner])</f>
        <v>Jennifer PM</v>
      </c>
      <c r="M125" s="51" t="str">
        <f ca="1">IF((transactions[[#This Row],[TransactionDate]]-TODAY())&lt;=366,transactions[[#This Row],[FQ]],"Out-year")</f>
        <v>Out-year</v>
      </c>
      <c r="N125" s="55">
        <f>transactions[[#This Row],[UnWeighted]]/1000</f>
        <v>41.858307692307697</v>
      </c>
      <c r="O125" s="55">
        <f>transactions[[#This Row],[Weighted]]/1000</f>
        <v>20.929153846153849</v>
      </c>
      <c r="P125" s="55">
        <f>transactions[[#This Row],[$K Unweighted]]/1000</f>
        <v>4.1858307692307695E-2</v>
      </c>
      <c r="Q125" s="55" t="b">
        <f ca="1">transactions[[#This Row],[TransactionDate]]&gt;TODAY()</f>
        <v>1</v>
      </c>
    </row>
    <row r="126" spans="1:17" x14ac:dyDescent="0.25">
      <c r="A126">
        <v>36</v>
      </c>
      <c r="B126">
        <v>1</v>
      </c>
      <c r="C126" s="31">
        <v>46483</v>
      </c>
      <c r="D12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6" s="51" t="str">
        <f>"CY"&amp;RIGHT(YEAR(transactions[[#This Row],[TransactionDate]]),2)&amp;"-Q"&amp;ROUNDUP(MONTH(transactions[[#This Row],[TransactionDate]])/3, 0)</f>
        <v>CY27-Q2</v>
      </c>
      <c r="F126" s="52">
        <f>transactions[[#This Row],[UnWeighted]]*_xlfn.XLOOKUP(transactions[[#This Row],[OpportunityID]],Opportunities[ID],Opportunities[WinProbabilityValue])</f>
        <v>24983.895833333332</v>
      </c>
      <c r="G126"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26" s="51" t="str">
        <f>_xlfn.XLOOKUP(transactions[[#This Row],[OpportunityID]],Opportunities[ID],Opportunities[Status])</f>
        <v>Active</v>
      </c>
      <c r="I126" s="51" t="str">
        <f>_xlfn.XLOOKUP(transactions[[#This Row],[OpportunityID]],Opportunities[ID],Opportunities[Stage])</f>
        <v>Lead Qualification</v>
      </c>
      <c r="J126" s="51" t="str">
        <f>_xlfn.XLOOKUP(transactions[[#This Row],[OpportunityID]],Opportunities[ID],Opportunities[OpportunityName])</f>
        <v>Integration Services Project</v>
      </c>
      <c r="K126" s="51" t="str">
        <f>_xlfn.XLOOKUP(transactions[[#This Row],[CustomerId]],Customers[Id],Customers[Customer Name])</f>
        <v>ACME Corporation</v>
      </c>
      <c r="L126" s="51" t="str">
        <f>_xlfn.XLOOKUP(transactions[[#This Row],[OpportunityID]],Opportunities[ID],Opportunities[OpportunityOwner])</f>
        <v>Amanda Sales</v>
      </c>
      <c r="M126" s="51" t="str">
        <f ca="1">IF((transactions[[#This Row],[TransactionDate]]-TODAY())&lt;=366,transactions[[#This Row],[FQ]],"Out-year")</f>
        <v>Out-year</v>
      </c>
      <c r="N126" s="55">
        <f>transactions[[#This Row],[UnWeighted]]/1000</f>
        <v>49.967791666666663</v>
      </c>
      <c r="O126" s="55">
        <f>transactions[[#This Row],[Weighted]]/1000</f>
        <v>24.983895833333332</v>
      </c>
      <c r="P126" s="55">
        <f>transactions[[#This Row],[$K Unweighted]]/1000</f>
        <v>4.9967791666666664E-2</v>
      </c>
      <c r="Q126" s="55" t="b">
        <f ca="1">transactions[[#This Row],[TransactionDate]]&gt;TODAY()</f>
        <v>1</v>
      </c>
    </row>
    <row r="127" spans="1:17" x14ac:dyDescent="0.25">
      <c r="A127">
        <v>15</v>
      </c>
      <c r="B127">
        <v>24</v>
      </c>
      <c r="C127" s="31">
        <v>46484</v>
      </c>
      <c r="D12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7" s="51" t="str">
        <f>"CY"&amp;RIGHT(YEAR(transactions[[#This Row],[TransactionDate]]),2)&amp;"-Q"&amp;ROUNDUP(MONTH(transactions[[#This Row],[TransactionDate]])/3, 0)</f>
        <v>CY27-Q2</v>
      </c>
      <c r="F127" s="52">
        <f>transactions[[#This Row],[UnWeighted]]*_xlfn.XLOOKUP(transactions[[#This Row],[OpportunityID]],Opportunities[ID],Opportunities[WinProbabilityValue])</f>
        <v>29217.197872340425</v>
      </c>
      <c r="G127"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27" s="51" t="str">
        <f>_xlfn.XLOOKUP(transactions[[#This Row],[OpportunityID]],Opportunities[ID],Opportunities[Status])</f>
        <v>Active</v>
      </c>
      <c r="I127" s="51" t="str">
        <f>_xlfn.XLOOKUP(transactions[[#This Row],[OpportunityID]],Opportunities[ID],Opportunities[Stage])</f>
        <v>Project Execution</v>
      </c>
      <c r="J127" s="51" t="str">
        <f>_xlfn.XLOOKUP(transactions[[#This Row],[OpportunityID]],Opportunities[ID],Opportunities[OpportunityName])</f>
        <v>Training &amp; Development Program</v>
      </c>
      <c r="K127" s="51" t="str">
        <f>_xlfn.XLOOKUP(transactions[[#This Row],[CustomerId]],Customers[Id],Customers[Customer Name])</f>
        <v>Security Solutions</v>
      </c>
      <c r="L127" s="51" t="str">
        <f>_xlfn.XLOOKUP(transactions[[#This Row],[OpportunityID]],Opportunities[ID],Opportunities[OpportunityOwner])</f>
        <v>Sarah Director</v>
      </c>
      <c r="M127" s="51" t="str">
        <f ca="1">IF((transactions[[#This Row],[TransactionDate]]-TODAY())&lt;=366,transactions[[#This Row],[FQ]],"Out-year")</f>
        <v>Out-year</v>
      </c>
      <c r="N127" s="55">
        <f>transactions[[#This Row],[UnWeighted]]/1000</f>
        <v>32.46355319148936</v>
      </c>
      <c r="O127" s="55">
        <f>transactions[[#This Row],[Weighted]]/1000</f>
        <v>29.217197872340424</v>
      </c>
      <c r="P127" s="55">
        <f>transactions[[#This Row],[$K Unweighted]]/1000</f>
        <v>3.2463553191489358E-2</v>
      </c>
      <c r="Q127" s="55" t="b">
        <f ca="1">transactions[[#This Row],[TransactionDate]]&gt;TODAY()</f>
        <v>1</v>
      </c>
    </row>
    <row r="128" spans="1:17" x14ac:dyDescent="0.25">
      <c r="A128">
        <v>17</v>
      </c>
      <c r="B128">
        <v>19</v>
      </c>
      <c r="C128" s="31">
        <v>46486</v>
      </c>
      <c r="D12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8" s="51" t="str">
        <f>"CY"&amp;RIGHT(YEAR(transactions[[#This Row],[TransactionDate]]),2)&amp;"-Q"&amp;ROUNDUP(MONTH(transactions[[#This Row],[TransactionDate]])/3, 0)</f>
        <v>CY27-Q2</v>
      </c>
      <c r="F128" s="52">
        <f>transactions[[#This Row],[UnWeighted]]*_xlfn.XLOOKUP(transactions[[#This Row],[OpportunityID]],Opportunities[ID],Opportunities[WinProbabilityValue])</f>
        <v>9267.2333333333336</v>
      </c>
      <c r="G128"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28" s="51" t="str">
        <f>_xlfn.XLOOKUP(transactions[[#This Row],[OpportunityID]],Opportunities[ID],Opportunities[Status])</f>
        <v>Active</v>
      </c>
      <c r="I128" s="51" t="str">
        <f>_xlfn.XLOOKUP(transactions[[#This Row],[OpportunityID]],Opportunities[ID],Opportunities[Stage])</f>
        <v>Negotiation</v>
      </c>
      <c r="J128" s="51" t="str">
        <f>_xlfn.XLOOKUP(transactions[[#This Row],[OpportunityID]],Opportunities[ID],Opportunities[OpportunityName])</f>
        <v>Supply Chain Optimization</v>
      </c>
      <c r="K128" s="51" t="str">
        <f>_xlfn.XLOOKUP(transactions[[#This Row],[CustomerId]],Customers[Id],Customers[Customer Name])</f>
        <v>Hotel Management Group</v>
      </c>
      <c r="L128" s="51" t="str">
        <f>_xlfn.XLOOKUP(transactions[[#This Row],[OpportunityID]],Opportunities[ID],Opportunities[OpportunityOwner])</f>
        <v>Jennifer PM</v>
      </c>
      <c r="M128" s="51" t="str">
        <f ca="1">IF((transactions[[#This Row],[TransactionDate]]-TODAY())&lt;=366,transactions[[#This Row],[FQ]],"Out-year")</f>
        <v>Out-year</v>
      </c>
      <c r="N128" s="55">
        <f>transactions[[#This Row],[UnWeighted]]/1000</f>
        <v>46.336166666666664</v>
      </c>
      <c r="O128" s="55">
        <f>transactions[[#This Row],[Weighted]]/1000</f>
        <v>9.2672333333333334</v>
      </c>
      <c r="P128" s="55">
        <f>transactions[[#This Row],[$K Unweighted]]/1000</f>
        <v>4.6336166666666664E-2</v>
      </c>
      <c r="Q128" s="55" t="b">
        <f ca="1">transactions[[#This Row],[TransactionDate]]&gt;TODAY()</f>
        <v>1</v>
      </c>
    </row>
    <row r="129" spans="1:17" x14ac:dyDescent="0.25">
      <c r="A129">
        <v>22</v>
      </c>
      <c r="B129">
        <v>11</v>
      </c>
      <c r="C129" s="31">
        <v>46488</v>
      </c>
      <c r="D12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9" s="51" t="str">
        <f>"CY"&amp;RIGHT(YEAR(transactions[[#This Row],[TransactionDate]]),2)&amp;"-Q"&amp;ROUNDUP(MONTH(transactions[[#This Row],[TransactionDate]])/3, 0)</f>
        <v>CY27-Q2</v>
      </c>
      <c r="F129" s="52">
        <f>transactions[[#This Row],[UnWeighted]]*_xlfn.XLOOKUP(transactions[[#This Row],[OpportunityID]],Opportunities[ID],Opportunities[WinProbabilityValue])</f>
        <v>26390.544230769232</v>
      </c>
      <c r="G129"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29" s="51" t="str">
        <f>_xlfn.XLOOKUP(transactions[[#This Row],[OpportunityID]],Opportunities[ID],Opportunities[Status])</f>
        <v>Active</v>
      </c>
      <c r="I129" s="51" t="str">
        <f>_xlfn.XLOOKUP(transactions[[#This Row],[OpportunityID]],Opportunities[ID],Opportunities[Stage])</f>
        <v>Nurturing</v>
      </c>
      <c r="J129" s="51" t="str">
        <f>_xlfn.XLOOKUP(transactions[[#This Row],[OpportunityID]],Opportunities[ID],Opportunities[OpportunityName])</f>
        <v>Inventory Management Solution</v>
      </c>
      <c r="K129" s="51" t="str">
        <f>_xlfn.XLOOKUP(transactions[[#This Row],[CustomerId]],Customers[Id],Customers[Customer Name])</f>
        <v>Transport Logistics</v>
      </c>
      <c r="L129" s="51" t="str">
        <f>_xlfn.XLOOKUP(transactions[[#This Row],[OpportunityID]],Opportunities[ID],Opportunities[OpportunityOwner])</f>
        <v>Sarah Director</v>
      </c>
      <c r="M129" s="51" t="str">
        <f ca="1">IF((transactions[[#This Row],[TransactionDate]]-TODAY())&lt;=366,transactions[[#This Row],[FQ]],"Out-year")</f>
        <v>Out-year</v>
      </c>
      <c r="N129" s="55">
        <f>transactions[[#This Row],[UnWeighted]]/1000</f>
        <v>29.322826923076921</v>
      </c>
      <c r="O129" s="55">
        <f>transactions[[#This Row],[Weighted]]/1000</f>
        <v>26.390544230769233</v>
      </c>
      <c r="P129" s="55">
        <f>transactions[[#This Row],[$K Unweighted]]/1000</f>
        <v>2.932282692307692E-2</v>
      </c>
      <c r="Q129" s="55" t="b">
        <f ca="1">transactions[[#This Row],[TransactionDate]]&gt;TODAY()</f>
        <v>1</v>
      </c>
    </row>
    <row r="130" spans="1:17" x14ac:dyDescent="0.25">
      <c r="A130">
        <v>16</v>
      </c>
      <c r="B130">
        <v>22</v>
      </c>
      <c r="C130" s="31">
        <v>46488</v>
      </c>
      <c r="D13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30" s="51" t="str">
        <f>"CY"&amp;RIGHT(YEAR(transactions[[#This Row],[TransactionDate]]),2)&amp;"-Q"&amp;ROUNDUP(MONTH(transactions[[#This Row],[TransactionDate]])/3, 0)</f>
        <v>CY27-Q2</v>
      </c>
      <c r="F130" s="52">
        <f>transactions[[#This Row],[UnWeighted]]*_xlfn.XLOOKUP(transactions[[#This Row],[OpportunityID]],Opportunities[ID],Opportunities[WinProbabilityValue])</f>
        <v>59080.25</v>
      </c>
      <c r="G130" s="52">
        <f>_xlfn.XLOOKUP(transactions[[#This Row],[OpportunityID]],Opportunities[ID],Opportunities[Amount])/IF(_xlfn.XLOOKUP(transactions[[#This Row],[OpportunityID]],Opportunities[ID],Opportunities[Recurrences])=0,1,_xlfn.XLOOKUP(transactions[[#This Row],[OpportunityID]],Opportunities[ID],Opportunities[Recurrences]))</f>
        <v>118160.5</v>
      </c>
      <c r="H130" s="51" t="str">
        <f>_xlfn.XLOOKUP(transactions[[#This Row],[OpportunityID]],Opportunities[ID],Opportunities[Status])</f>
        <v>At Risk</v>
      </c>
      <c r="I130" s="51" t="str">
        <f>_xlfn.XLOOKUP(transactions[[#This Row],[OpportunityID]],Opportunities[ID],Opportunities[Stage])</f>
        <v>Proposal</v>
      </c>
      <c r="J130" s="51" t="str">
        <f>_xlfn.XLOOKUP(transactions[[#This Row],[OpportunityID]],Opportunities[ID],Opportunities[OpportunityName])</f>
        <v>Quality Management System</v>
      </c>
      <c r="K130" s="51" t="str">
        <f>_xlfn.XLOOKUP(transactions[[#This Row],[CustomerId]],Customers[Id],Customers[Customer Name])</f>
        <v>Environmental Services</v>
      </c>
      <c r="L130" s="51" t="str">
        <f>_xlfn.XLOOKUP(transactions[[#This Row],[OpportunityID]],Opportunities[ID],Opportunities[OpportunityOwner])</f>
        <v>John Manager</v>
      </c>
      <c r="M130" s="51" t="str">
        <f ca="1">IF((transactions[[#This Row],[TransactionDate]]-TODAY())&lt;=366,transactions[[#This Row],[FQ]],"Out-year")</f>
        <v>Out-year</v>
      </c>
      <c r="N130" s="55">
        <f>transactions[[#This Row],[UnWeighted]]/1000</f>
        <v>118.1605</v>
      </c>
      <c r="O130" s="55">
        <f>transactions[[#This Row],[Weighted]]/1000</f>
        <v>59.080249999999999</v>
      </c>
      <c r="P130" s="55">
        <f>transactions[[#This Row],[$K Unweighted]]/1000</f>
        <v>0.1181605</v>
      </c>
      <c r="Q130" s="55" t="b">
        <f ca="1">transactions[[#This Row],[TransactionDate]]&gt;TODAY()</f>
        <v>1</v>
      </c>
    </row>
    <row r="131" spans="1:17" x14ac:dyDescent="0.25">
      <c r="A131">
        <v>11</v>
      </c>
      <c r="B131">
        <v>3</v>
      </c>
      <c r="C131" s="31">
        <v>46490</v>
      </c>
      <c r="D13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31" s="51" t="str">
        <f>"CY"&amp;RIGHT(YEAR(transactions[[#This Row],[TransactionDate]]),2)&amp;"-Q"&amp;ROUNDUP(MONTH(transactions[[#This Row],[TransactionDate]])/3, 0)</f>
        <v>CY27-Q2</v>
      </c>
      <c r="F131" s="52">
        <f>transactions[[#This Row],[UnWeighted]]*_xlfn.XLOOKUP(transactions[[#This Row],[OpportunityID]],Opportunities[ID],Opportunities[WinProbabilityValue])</f>
        <v>113460.75</v>
      </c>
      <c r="G131" s="52">
        <f>_xlfn.XLOOKUP(transactions[[#This Row],[OpportunityID]],Opportunities[ID],Opportunities[Amount])/IF(_xlfn.XLOOKUP(transactions[[#This Row],[OpportunityID]],Opportunities[ID],Opportunities[Recurrences])=0,1,_xlfn.XLOOKUP(transactions[[#This Row],[OpportunityID]],Opportunities[ID],Opportunities[Recurrences]))</f>
        <v>126067.5</v>
      </c>
      <c r="H131" s="51" t="str">
        <f>_xlfn.XLOOKUP(transactions[[#This Row],[OpportunityID]],Opportunities[ID],Opportunities[Status])</f>
        <v>At Risk</v>
      </c>
      <c r="I131" s="51" t="str">
        <f>_xlfn.XLOOKUP(transactions[[#This Row],[OpportunityID]],Opportunities[ID],Opportunities[Stage])</f>
        <v>Negotiation</v>
      </c>
      <c r="J131" s="51" t="str">
        <f>_xlfn.XLOOKUP(transactions[[#This Row],[OpportunityID]],Opportunities[ID],Opportunities[OpportunityName])</f>
        <v>Data Center Consolidation</v>
      </c>
      <c r="K131" s="51" t="str">
        <f>_xlfn.XLOOKUP(transactions[[#This Row],[CustomerId]],Customers[Id],Customers[Customer Name])</f>
        <v>Tech Solutions Inc</v>
      </c>
      <c r="L131" s="51" t="str">
        <f>_xlfn.XLOOKUP(transactions[[#This Row],[OpportunityID]],Opportunities[ID],Opportunities[OpportunityOwner])</f>
        <v>David Specialist</v>
      </c>
      <c r="M131" s="51" t="str">
        <f ca="1">IF((transactions[[#This Row],[TransactionDate]]-TODAY())&lt;=366,transactions[[#This Row],[FQ]],"Out-year")</f>
        <v>Out-year</v>
      </c>
      <c r="N131" s="55">
        <f>transactions[[#This Row],[UnWeighted]]/1000</f>
        <v>126.0675</v>
      </c>
      <c r="O131" s="55">
        <f>transactions[[#This Row],[Weighted]]/1000</f>
        <v>113.46075</v>
      </c>
      <c r="P131" s="55">
        <f>transactions[[#This Row],[$K Unweighted]]/1000</f>
        <v>0.1260675</v>
      </c>
      <c r="Q131" s="55" t="b">
        <f ca="1">transactions[[#This Row],[TransactionDate]]&gt;TODAY()</f>
        <v>1</v>
      </c>
    </row>
    <row r="132" spans="1:17" x14ac:dyDescent="0.25">
      <c r="A132">
        <v>2</v>
      </c>
      <c r="B132">
        <v>10</v>
      </c>
      <c r="C132" s="31">
        <v>46494</v>
      </c>
      <c r="D13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32" s="51" t="str">
        <f>"CY"&amp;RIGHT(YEAR(transactions[[#This Row],[TransactionDate]]),2)&amp;"-Q"&amp;ROUNDUP(MONTH(transactions[[#This Row],[TransactionDate]])/3, 0)</f>
        <v>CY27-Q2</v>
      </c>
      <c r="F132" s="52">
        <f>transactions[[#This Row],[UnWeighted]]*_xlfn.XLOOKUP(transactions[[#This Row],[OpportunityID]],Opportunities[ID],Opportunities[WinProbabilityValue])</f>
        <v>20720.20930232558</v>
      </c>
      <c r="G132"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32" s="51" t="str">
        <f>_xlfn.XLOOKUP(transactions[[#This Row],[OpportunityID]],Opportunities[ID],Opportunities[Status])</f>
        <v>Active</v>
      </c>
      <c r="I132" s="51" t="str">
        <f>_xlfn.XLOOKUP(transactions[[#This Row],[OpportunityID]],Opportunities[ID],Opportunities[Stage])</f>
        <v>Proposal</v>
      </c>
      <c r="J132" s="51" t="str">
        <f>_xlfn.XLOOKUP(transactions[[#This Row],[OpportunityID]],Opportunities[ID],Opportunities[OpportunityName])</f>
        <v>Cloud Migration Initiative</v>
      </c>
      <c r="K132" s="51" t="str">
        <f>_xlfn.XLOOKUP(transactions[[#This Row],[CustomerId]],Customers[Id],Customers[Customer Name])</f>
        <v>Education First</v>
      </c>
      <c r="L132" s="51" t="str">
        <f>_xlfn.XLOOKUP(transactions[[#This Row],[OpportunityID]],Opportunities[ID],Opportunities[OpportunityOwner])</f>
        <v>Robert Analyst</v>
      </c>
      <c r="M132" s="51" t="str">
        <f ca="1">IF((transactions[[#This Row],[TransactionDate]]-TODAY())&lt;=366,transactions[[#This Row],[FQ]],"Out-year")</f>
        <v>Out-year</v>
      </c>
      <c r="N132" s="55">
        <f>transactions[[#This Row],[UnWeighted]]/1000</f>
        <v>41.440418604651157</v>
      </c>
      <c r="O132" s="55">
        <f>transactions[[#This Row],[Weighted]]/1000</f>
        <v>20.720209302325578</v>
      </c>
      <c r="P132" s="55">
        <f>transactions[[#This Row],[$K Unweighted]]/1000</f>
        <v>4.1440418604651155E-2</v>
      </c>
      <c r="Q132" s="55" t="b">
        <f ca="1">transactions[[#This Row],[TransactionDate]]&gt;TODAY()</f>
        <v>1</v>
      </c>
    </row>
    <row r="133" spans="1:17" x14ac:dyDescent="0.25">
      <c r="A133">
        <v>13</v>
      </c>
      <c r="B133">
        <v>2</v>
      </c>
      <c r="C133" s="31">
        <v>46499</v>
      </c>
      <c r="D13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33" s="51" t="str">
        <f>"CY"&amp;RIGHT(YEAR(transactions[[#This Row],[TransactionDate]]),2)&amp;"-Q"&amp;ROUNDUP(MONTH(transactions[[#This Row],[TransactionDate]])/3, 0)</f>
        <v>CY27-Q2</v>
      </c>
      <c r="F133" s="52">
        <f>transactions[[#This Row],[UnWeighted]]*_xlfn.XLOOKUP(transactions[[#This Row],[OpportunityID]],Opportunities[ID],Opportunities[WinProbabilityValue])</f>
        <v>12618.744897959185</v>
      </c>
      <c r="G133"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33" s="51" t="str">
        <f>_xlfn.XLOOKUP(transactions[[#This Row],[OpportunityID]],Opportunities[ID],Opportunities[Status])</f>
        <v>Active</v>
      </c>
      <c r="I133" s="51" t="str">
        <f>_xlfn.XLOOKUP(transactions[[#This Row],[OpportunityID]],Opportunities[ID],Opportunities[Stage])</f>
        <v>Negotiation</v>
      </c>
      <c r="J133" s="51" t="str">
        <f>_xlfn.XLOOKUP(transactions[[#This Row],[OpportunityID]],Opportunities[ID],Opportunities[OpportunityName])</f>
        <v>E-commerce Platform</v>
      </c>
      <c r="K133" s="51" t="str">
        <f>_xlfn.XLOOKUP(transactions[[#This Row],[CustomerId]],Customers[Id],Customers[Customer Name])</f>
        <v>Global Industries</v>
      </c>
      <c r="L133" s="51" t="str">
        <f>_xlfn.XLOOKUP(transactions[[#This Row],[OpportunityID]],Opportunities[ID],Opportunities[OpportunityOwner])</f>
        <v>Lisa Engineer</v>
      </c>
      <c r="M133" s="51" t="str">
        <f ca="1">IF((transactions[[#This Row],[TransactionDate]]-TODAY())&lt;=366,transactions[[#This Row],[FQ]],"Out-year")</f>
        <v>Out-year</v>
      </c>
      <c r="N133" s="55">
        <f>transactions[[#This Row],[UnWeighted]]/1000</f>
        <v>25.237489795918368</v>
      </c>
      <c r="O133" s="55">
        <f>transactions[[#This Row],[Weighted]]/1000</f>
        <v>12.618744897959184</v>
      </c>
      <c r="P133" s="55">
        <f>transactions[[#This Row],[$K Unweighted]]/1000</f>
        <v>2.5237489795918368E-2</v>
      </c>
      <c r="Q133" s="55" t="b">
        <f ca="1">transactions[[#This Row],[TransactionDate]]&gt;TODAY()</f>
        <v>1</v>
      </c>
    </row>
    <row r="134" spans="1:17" x14ac:dyDescent="0.25">
      <c r="A134">
        <v>7</v>
      </c>
      <c r="B134">
        <v>14</v>
      </c>
      <c r="C134" s="31">
        <v>46503</v>
      </c>
      <c r="D13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34" s="51" t="str">
        <f>"CY"&amp;RIGHT(YEAR(transactions[[#This Row],[TransactionDate]]),2)&amp;"-Q"&amp;ROUNDUP(MONTH(transactions[[#This Row],[TransactionDate]])/3, 0)</f>
        <v>CY27-Q2</v>
      </c>
      <c r="F134" s="52">
        <f>transactions[[#This Row],[UnWeighted]]*_xlfn.XLOOKUP(transactions[[#This Row],[OpportunityID]],Opportunities[ID],Opportunities[WinProbabilityValue])</f>
        <v>41771.416666666664</v>
      </c>
      <c r="G134" s="52">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134" s="51" t="str">
        <f>_xlfn.XLOOKUP(transactions[[#This Row],[OpportunityID]],Opportunities[ID],Opportunities[Status])</f>
        <v>Active</v>
      </c>
      <c r="I134" s="51" t="str">
        <f>_xlfn.XLOOKUP(transactions[[#This Row],[OpportunityID]],Opportunities[ID],Opportunities[Stage])</f>
        <v>Project Execution</v>
      </c>
      <c r="J134" s="51" t="str">
        <f>_xlfn.XLOOKUP(transactions[[#This Row],[OpportunityID]],Opportunities[ID],Opportunities[OpportunityName])</f>
        <v>Network Infrastructure Upgrade</v>
      </c>
      <c r="K134" s="51" t="str">
        <f>_xlfn.XLOOKUP(transactions[[#This Row],[CustomerId]],Customers[Id],Customers[Customer Name])</f>
        <v>Media Communications</v>
      </c>
      <c r="L134" s="51" t="str">
        <f>_xlfn.XLOOKUP(transactions[[#This Row],[OpportunityID]],Opportunities[ID],Opportunities[OpportunityOwner])</f>
        <v>Dr. Tech Advisor</v>
      </c>
      <c r="M134" s="51" t="str">
        <f ca="1">IF((transactions[[#This Row],[TransactionDate]]-TODAY())&lt;=366,transactions[[#This Row],[FQ]],"Out-year")</f>
        <v>Out-year</v>
      </c>
      <c r="N134" s="55">
        <f>transactions[[#This Row],[UnWeighted]]/1000</f>
        <v>83.542833333333334</v>
      </c>
      <c r="O134" s="55">
        <f>transactions[[#This Row],[Weighted]]/1000</f>
        <v>41.771416666666667</v>
      </c>
      <c r="P134" s="55">
        <f>transactions[[#This Row],[$K Unweighted]]/1000</f>
        <v>8.354283333333333E-2</v>
      </c>
      <c r="Q134" s="55" t="b">
        <f ca="1">transactions[[#This Row],[TransactionDate]]&gt;TODAY()</f>
        <v>1</v>
      </c>
    </row>
    <row r="135" spans="1:17" x14ac:dyDescent="0.25">
      <c r="A135">
        <v>26</v>
      </c>
      <c r="B135">
        <v>1</v>
      </c>
      <c r="C135" s="31">
        <v>46508</v>
      </c>
      <c r="D13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5" s="51" t="str">
        <f>"CY"&amp;RIGHT(YEAR(transactions[[#This Row],[TransactionDate]]),2)&amp;"-Q"&amp;ROUNDUP(MONTH(transactions[[#This Row],[TransactionDate]])/3, 0)</f>
        <v>CY27-Q2</v>
      </c>
      <c r="F135" s="52">
        <f>transactions[[#This Row],[UnWeighted]]*_xlfn.XLOOKUP(transactions[[#This Row],[OpportunityID]],Opportunities[ID],Opportunities[WinProbabilityValue])</f>
        <v>11339.638888888889</v>
      </c>
      <c r="G135"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35" s="51" t="str">
        <f>_xlfn.XLOOKUP(transactions[[#This Row],[OpportunityID]],Opportunities[ID],Opportunities[Status])</f>
        <v>Active</v>
      </c>
      <c r="I135" s="51" t="str">
        <f>_xlfn.XLOOKUP(transactions[[#This Row],[OpportunityID]],Opportunities[ID],Opportunities[Stage])</f>
        <v>Negotiation</v>
      </c>
      <c r="J135" s="51" t="str">
        <f>_xlfn.XLOOKUP(transactions[[#This Row],[OpportunityID]],Opportunities[ID],Opportunities[OpportunityName])</f>
        <v>Video Conferencing Solution</v>
      </c>
      <c r="K135" s="51" t="str">
        <f>_xlfn.XLOOKUP(transactions[[#This Row],[CustomerId]],Customers[Id],Customers[Customer Name])</f>
        <v>ACME Corporation</v>
      </c>
      <c r="L135" s="51" t="str">
        <f>_xlfn.XLOOKUP(transactions[[#This Row],[OpportunityID]],Opportunities[ID],Opportunities[OpportunityOwner])</f>
        <v>Mike Consultant</v>
      </c>
      <c r="M135" s="51" t="str">
        <f ca="1">IF((transactions[[#This Row],[TransactionDate]]-TODAY())&lt;=366,transactions[[#This Row],[FQ]],"Out-year")</f>
        <v>Out-year</v>
      </c>
      <c r="N135" s="55">
        <f>transactions[[#This Row],[UnWeighted]]/1000</f>
        <v>22.679277777777777</v>
      </c>
      <c r="O135" s="55">
        <f>transactions[[#This Row],[Weighted]]/1000</f>
        <v>11.339638888888889</v>
      </c>
      <c r="P135" s="55">
        <f>transactions[[#This Row],[$K Unweighted]]/1000</f>
        <v>2.2679277777777777E-2</v>
      </c>
      <c r="Q135" s="55" t="b">
        <f ca="1">transactions[[#This Row],[TransactionDate]]&gt;TODAY()</f>
        <v>1</v>
      </c>
    </row>
    <row r="136" spans="1:17" x14ac:dyDescent="0.25">
      <c r="A136">
        <v>39</v>
      </c>
      <c r="B136">
        <v>3</v>
      </c>
      <c r="C136" s="31">
        <v>46510</v>
      </c>
      <c r="D13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6" s="51" t="str">
        <f>"CY"&amp;RIGHT(YEAR(transactions[[#This Row],[TransactionDate]]),2)&amp;"-Q"&amp;ROUNDUP(MONTH(transactions[[#This Row],[TransactionDate]])/3, 0)</f>
        <v>CY27-Q2</v>
      </c>
      <c r="F136" s="52">
        <f>transactions[[#This Row],[UnWeighted]]*_xlfn.XLOOKUP(transactions[[#This Row],[OpportunityID]],Opportunities[ID],Opportunities[WinProbabilityValue])</f>
        <v>20929.153846153848</v>
      </c>
      <c r="G136"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36" s="51" t="str">
        <f>_xlfn.XLOOKUP(transactions[[#This Row],[OpportunityID]],Opportunities[ID],Opportunities[Status])</f>
        <v>Active</v>
      </c>
      <c r="I136" s="51" t="str">
        <f>_xlfn.XLOOKUP(transactions[[#This Row],[OpportunityID]],Opportunities[ID],Opportunities[Stage])</f>
        <v>Project Execution</v>
      </c>
      <c r="J136" s="51" t="str">
        <f>_xlfn.XLOOKUP(transactions[[#This Row],[OpportunityID]],Opportunities[ID],Opportunities[OpportunityName])</f>
        <v>API Development Project</v>
      </c>
      <c r="K136" s="51" t="str">
        <f>_xlfn.XLOOKUP(transactions[[#This Row],[CustomerId]],Customers[Id],Customers[Customer Name])</f>
        <v>Tech Solutions Inc</v>
      </c>
      <c r="L136" s="51" t="str">
        <f>_xlfn.XLOOKUP(transactions[[#This Row],[OpportunityID]],Opportunities[ID],Opportunities[OpportunityOwner])</f>
        <v>Jennifer PM</v>
      </c>
      <c r="M136" s="51" t="str">
        <f ca="1">IF((transactions[[#This Row],[TransactionDate]]-TODAY())&lt;=366,transactions[[#This Row],[FQ]],"Out-year")</f>
        <v>Out-year</v>
      </c>
      <c r="N136" s="55">
        <f>transactions[[#This Row],[UnWeighted]]/1000</f>
        <v>41.858307692307697</v>
      </c>
      <c r="O136" s="55">
        <f>transactions[[#This Row],[Weighted]]/1000</f>
        <v>20.929153846153849</v>
      </c>
      <c r="P136" s="55">
        <f>transactions[[#This Row],[$K Unweighted]]/1000</f>
        <v>4.1858307692307695E-2</v>
      </c>
      <c r="Q136" s="55" t="b">
        <f ca="1">transactions[[#This Row],[TransactionDate]]&gt;TODAY()</f>
        <v>1</v>
      </c>
    </row>
    <row r="137" spans="1:17" x14ac:dyDescent="0.25">
      <c r="A137">
        <v>36</v>
      </c>
      <c r="B137">
        <v>1</v>
      </c>
      <c r="C137" s="31">
        <v>46513</v>
      </c>
      <c r="D13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7" s="51" t="str">
        <f>"CY"&amp;RIGHT(YEAR(transactions[[#This Row],[TransactionDate]]),2)&amp;"-Q"&amp;ROUNDUP(MONTH(transactions[[#This Row],[TransactionDate]])/3, 0)</f>
        <v>CY27-Q2</v>
      </c>
      <c r="F137" s="52">
        <f>transactions[[#This Row],[UnWeighted]]*_xlfn.XLOOKUP(transactions[[#This Row],[OpportunityID]],Opportunities[ID],Opportunities[WinProbabilityValue])</f>
        <v>24983.895833333332</v>
      </c>
      <c r="G137"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37" s="51" t="str">
        <f>_xlfn.XLOOKUP(transactions[[#This Row],[OpportunityID]],Opportunities[ID],Opportunities[Status])</f>
        <v>Active</v>
      </c>
      <c r="I137" s="51" t="str">
        <f>_xlfn.XLOOKUP(transactions[[#This Row],[OpportunityID]],Opportunities[ID],Opportunities[Stage])</f>
        <v>Lead Qualification</v>
      </c>
      <c r="J137" s="51" t="str">
        <f>_xlfn.XLOOKUP(transactions[[#This Row],[OpportunityID]],Opportunities[ID],Opportunities[OpportunityName])</f>
        <v>Integration Services Project</v>
      </c>
      <c r="K137" s="51" t="str">
        <f>_xlfn.XLOOKUP(transactions[[#This Row],[CustomerId]],Customers[Id],Customers[Customer Name])</f>
        <v>ACME Corporation</v>
      </c>
      <c r="L137" s="51" t="str">
        <f>_xlfn.XLOOKUP(transactions[[#This Row],[OpportunityID]],Opportunities[ID],Opportunities[OpportunityOwner])</f>
        <v>Amanda Sales</v>
      </c>
      <c r="M137" s="51" t="str">
        <f ca="1">IF((transactions[[#This Row],[TransactionDate]]-TODAY())&lt;=366,transactions[[#This Row],[FQ]],"Out-year")</f>
        <v>Out-year</v>
      </c>
      <c r="N137" s="55">
        <f>transactions[[#This Row],[UnWeighted]]/1000</f>
        <v>49.967791666666663</v>
      </c>
      <c r="O137" s="55">
        <f>transactions[[#This Row],[Weighted]]/1000</f>
        <v>24.983895833333332</v>
      </c>
      <c r="P137" s="55">
        <f>transactions[[#This Row],[$K Unweighted]]/1000</f>
        <v>4.9967791666666664E-2</v>
      </c>
      <c r="Q137" s="55" t="b">
        <f ca="1">transactions[[#This Row],[TransactionDate]]&gt;TODAY()</f>
        <v>1</v>
      </c>
    </row>
    <row r="138" spans="1:17" x14ac:dyDescent="0.25">
      <c r="A138">
        <v>15</v>
      </c>
      <c r="B138">
        <v>24</v>
      </c>
      <c r="C138" s="31">
        <v>46514</v>
      </c>
      <c r="D13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8" s="51" t="str">
        <f>"CY"&amp;RIGHT(YEAR(transactions[[#This Row],[TransactionDate]]),2)&amp;"-Q"&amp;ROUNDUP(MONTH(transactions[[#This Row],[TransactionDate]])/3, 0)</f>
        <v>CY27-Q2</v>
      </c>
      <c r="F138" s="52">
        <f>transactions[[#This Row],[UnWeighted]]*_xlfn.XLOOKUP(transactions[[#This Row],[OpportunityID]],Opportunities[ID],Opportunities[WinProbabilityValue])</f>
        <v>29217.197872340425</v>
      </c>
      <c r="G138"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38" s="51" t="str">
        <f>_xlfn.XLOOKUP(transactions[[#This Row],[OpportunityID]],Opportunities[ID],Opportunities[Status])</f>
        <v>Active</v>
      </c>
      <c r="I138" s="51" t="str">
        <f>_xlfn.XLOOKUP(transactions[[#This Row],[OpportunityID]],Opportunities[ID],Opportunities[Stage])</f>
        <v>Project Execution</v>
      </c>
      <c r="J138" s="51" t="str">
        <f>_xlfn.XLOOKUP(transactions[[#This Row],[OpportunityID]],Opportunities[ID],Opportunities[OpportunityName])</f>
        <v>Training &amp; Development Program</v>
      </c>
      <c r="K138" s="51" t="str">
        <f>_xlfn.XLOOKUP(transactions[[#This Row],[CustomerId]],Customers[Id],Customers[Customer Name])</f>
        <v>Security Solutions</v>
      </c>
      <c r="L138" s="51" t="str">
        <f>_xlfn.XLOOKUP(transactions[[#This Row],[OpportunityID]],Opportunities[ID],Opportunities[OpportunityOwner])</f>
        <v>Sarah Director</v>
      </c>
      <c r="M138" s="51" t="str">
        <f ca="1">IF((transactions[[#This Row],[TransactionDate]]-TODAY())&lt;=366,transactions[[#This Row],[FQ]],"Out-year")</f>
        <v>Out-year</v>
      </c>
      <c r="N138" s="55">
        <f>transactions[[#This Row],[UnWeighted]]/1000</f>
        <v>32.46355319148936</v>
      </c>
      <c r="O138" s="55">
        <f>transactions[[#This Row],[Weighted]]/1000</f>
        <v>29.217197872340424</v>
      </c>
      <c r="P138" s="55">
        <f>transactions[[#This Row],[$K Unweighted]]/1000</f>
        <v>3.2463553191489358E-2</v>
      </c>
      <c r="Q138" s="55" t="b">
        <f ca="1">transactions[[#This Row],[TransactionDate]]&gt;TODAY()</f>
        <v>1</v>
      </c>
    </row>
    <row r="139" spans="1:17" x14ac:dyDescent="0.25">
      <c r="A139">
        <v>29</v>
      </c>
      <c r="B139">
        <v>10</v>
      </c>
      <c r="C139" s="31">
        <v>46515</v>
      </c>
      <c r="D13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9" s="51" t="str">
        <f>"CY"&amp;RIGHT(YEAR(transactions[[#This Row],[TransactionDate]]),2)&amp;"-Q"&amp;ROUNDUP(MONTH(transactions[[#This Row],[TransactionDate]])/3, 0)</f>
        <v>CY27-Q2</v>
      </c>
      <c r="F139" s="52">
        <f>transactions[[#This Row],[UnWeighted]]*_xlfn.XLOOKUP(transactions[[#This Row],[OpportunityID]],Opportunities[ID],Opportunities[WinProbabilityValue])</f>
        <v>150480.08333333334</v>
      </c>
      <c r="G139" s="52">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139" s="51" t="str">
        <f>_xlfn.XLOOKUP(transactions[[#This Row],[OpportunityID]],Opportunities[ID],Opportunities[Status])</f>
        <v>Active</v>
      </c>
      <c r="I139" s="51" t="str">
        <f>_xlfn.XLOOKUP(transactions[[#This Row],[OpportunityID]],Opportunities[ID],Opportunities[Stage])</f>
        <v>Project Execution</v>
      </c>
      <c r="J139" s="51" t="str">
        <f>_xlfn.XLOOKUP(transactions[[#This Row],[OpportunityID]],Opportunities[ID],Opportunities[OpportunityName])</f>
        <v>Social Media Management Tool</v>
      </c>
      <c r="K139" s="51" t="str">
        <f>_xlfn.XLOOKUP(transactions[[#This Row],[CustomerId]],Customers[Id],Customers[Customer Name])</f>
        <v>Education First</v>
      </c>
      <c r="L139" s="51" t="str">
        <f>_xlfn.XLOOKUP(transactions[[#This Row],[OpportunityID]],Opportunities[ID],Opportunities[OpportunityOwner])</f>
        <v>Maria Coordinator</v>
      </c>
      <c r="M139" s="51" t="str">
        <f ca="1">IF((transactions[[#This Row],[TransactionDate]]-TODAY())&lt;=366,transactions[[#This Row],[FQ]],"Out-year")</f>
        <v>Out-year</v>
      </c>
      <c r="N139" s="55">
        <f>transactions[[#This Row],[UnWeighted]]/1000</f>
        <v>300.96016666666668</v>
      </c>
      <c r="O139" s="55">
        <f>transactions[[#This Row],[Weighted]]/1000</f>
        <v>150.48008333333334</v>
      </c>
      <c r="P139" s="55">
        <f>transactions[[#This Row],[$K Unweighted]]/1000</f>
        <v>0.3009601666666667</v>
      </c>
      <c r="Q139" s="55" t="b">
        <f ca="1">transactions[[#This Row],[TransactionDate]]&gt;TODAY()</f>
        <v>1</v>
      </c>
    </row>
    <row r="140" spans="1:17" x14ac:dyDescent="0.25">
      <c r="A140">
        <v>17</v>
      </c>
      <c r="B140">
        <v>19</v>
      </c>
      <c r="C140" s="31">
        <v>46516</v>
      </c>
      <c r="D14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0" s="51" t="str">
        <f>"CY"&amp;RIGHT(YEAR(transactions[[#This Row],[TransactionDate]]),2)&amp;"-Q"&amp;ROUNDUP(MONTH(transactions[[#This Row],[TransactionDate]])/3, 0)</f>
        <v>CY27-Q2</v>
      </c>
      <c r="F140" s="52">
        <f>transactions[[#This Row],[UnWeighted]]*_xlfn.XLOOKUP(transactions[[#This Row],[OpportunityID]],Opportunities[ID],Opportunities[WinProbabilityValue])</f>
        <v>9267.2333333333336</v>
      </c>
      <c r="G140"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40" s="51" t="str">
        <f>_xlfn.XLOOKUP(transactions[[#This Row],[OpportunityID]],Opportunities[ID],Opportunities[Status])</f>
        <v>Active</v>
      </c>
      <c r="I140" s="51" t="str">
        <f>_xlfn.XLOOKUP(transactions[[#This Row],[OpportunityID]],Opportunities[ID],Opportunities[Stage])</f>
        <v>Negotiation</v>
      </c>
      <c r="J140" s="51" t="str">
        <f>_xlfn.XLOOKUP(transactions[[#This Row],[OpportunityID]],Opportunities[ID],Opportunities[OpportunityName])</f>
        <v>Supply Chain Optimization</v>
      </c>
      <c r="K140" s="51" t="str">
        <f>_xlfn.XLOOKUP(transactions[[#This Row],[CustomerId]],Customers[Id],Customers[Customer Name])</f>
        <v>Hotel Management Group</v>
      </c>
      <c r="L140" s="51" t="str">
        <f>_xlfn.XLOOKUP(transactions[[#This Row],[OpportunityID]],Opportunities[ID],Opportunities[OpportunityOwner])</f>
        <v>Jennifer PM</v>
      </c>
      <c r="M140" s="51" t="str">
        <f ca="1">IF((transactions[[#This Row],[TransactionDate]]-TODAY())&lt;=366,transactions[[#This Row],[FQ]],"Out-year")</f>
        <v>Out-year</v>
      </c>
      <c r="N140" s="55">
        <f>transactions[[#This Row],[UnWeighted]]/1000</f>
        <v>46.336166666666664</v>
      </c>
      <c r="O140" s="55">
        <f>transactions[[#This Row],[Weighted]]/1000</f>
        <v>9.2672333333333334</v>
      </c>
      <c r="P140" s="55">
        <f>transactions[[#This Row],[$K Unweighted]]/1000</f>
        <v>4.6336166666666664E-2</v>
      </c>
      <c r="Q140" s="55" t="b">
        <f ca="1">transactions[[#This Row],[TransactionDate]]&gt;TODAY()</f>
        <v>1</v>
      </c>
    </row>
    <row r="141" spans="1:17" x14ac:dyDescent="0.25">
      <c r="A141">
        <v>25</v>
      </c>
      <c r="B141">
        <v>14</v>
      </c>
      <c r="C141" s="31">
        <v>46516</v>
      </c>
      <c r="D14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1" s="51" t="str">
        <f>"CY"&amp;RIGHT(YEAR(transactions[[#This Row],[TransactionDate]]),2)&amp;"-Q"&amp;ROUNDUP(MONTH(transactions[[#This Row],[TransactionDate]])/3, 0)</f>
        <v>CY27-Q2</v>
      </c>
      <c r="F141" s="52">
        <f>transactions[[#This Row],[UnWeighted]]*_xlfn.XLOOKUP(transactions[[#This Row],[OpportunityID]],Opportunities[ID],Opportunities[WinProbabilityValue])</f>
        <v>35076.26666666667</v>
      </c>
      <c r="G141" s="52">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141" s="51" t="str">
        <f>_xlfn.XLOOKUP(transactions[[#This Row],[OpportunityID]],Opportunities[ID],Opportunities[Status])</f>
        <v>Active</v>
      </c>
      <c r="I141" s="51" t="str">
        <f>_xlfn.XLOOKUP(transactions[[#This Row],[OpportunityID]],Opportunities[ID],Opportunities[Stage])</f>
        <v>Lead Qualification</v>
      </c>
      <c r="J141" s="51" t="str">
        <f>_xlfn.XLOOKUP(transactions[[#This Row],[OpportunityID]],Opportunities[ID],Opportunities[OpportunityName])</f>
        <v>Project Management Software</v>
      </c>
      <c r="K141" s="51" t="str">
        <f>_xlfn.XLOOKUP(transactions[[#This Row],[CustomerId]],Customers[Id],Customers[Customer Name])</f>
        <v>Media Communications</v>
      </c>
      <c r="L141" s="51" t="str">
        <f>_xlfn.XLOOKUP(transactions[[#This Row],[OpportunityID]],Opportunities[ID],Opportunities[OpportunityOwner])</f>
        <v>Amanda Sales</v>
      </c>
      <c r="M141" s="51" t="str">
        <f ca="1">IF((transactions[[#This Row],[TransactionDate]]-TODAY())&lt;=366,transactions[[#This Row],[FQ]],"Out-year")</f>
        <v>Out-year</v>
      </c>
      <c r="N141" s="55">
        <f>transactions[[#This Row],[UnWeighted]]/1000</f>
        <v>70.152533333333338</v>
      </c>
      <c r="O141" s="55">
        <f>transactions[[#This Row],[Weighted]]/1000</f>
        <v>35.076266666666669</v>
      </c>
      <c r="P141" s="55">
        <f>transactions[[#This Row],[$K Unweighted]]/1000</f>
        <v>7.0152533333333336E-2</v>
      </c>
      <c r="Q141" s="55" t="b">
        <f ca="1">transactions[[#This Row],[TransactionDate]]&gt;TODAY()</f>
        <v>1</v>
      </c>
    </row>
    <row r="142" spans="1:17" x14ac:dyDescent="0.25">
      <c r="A142">
        <v>22</v>
      </c>
      <c r="B142">
        <v>11</v>
      </c>
      <c r="C142" s="31">
        <v>46518</v>
      </c>
      <c r="D14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2" s="51" t="str">
        <f>"CY"&amp;RIGHT(YEAR(transactions[[#This Row],[TransactionDate]]),2)&amp;"-Q"&amp;ROUNDUP(MONTH(transactions[[#This Row],[TransactionDate]])/3, 0)</f>
        <v>CY27-Q2</v>
      </c>
      <c r="F142" s="52">
        <f>transactions[[#This Row],[UnWeighted]]*_xlfn.XLOOKUP(transactions[[#This Row],[OpportunityID]],Opportunities[ID],Opportunities[WinProbabilityValue])</f>
        <v>26390.544230769232</v>
      </c>
      <c r="G142"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42" s="51" t="str">
        <f>_xlfn.XLOOKUP(transactions[[#This Row],[OpportunityID]],Opportunities[ID],Opportunities[Status])</f>
        <v>Active</v>
      </c>
      <c r="I142" s="51" t="str">
        <f>_xlfn.XLOOKUP(transactions[[#This Row],[OpportunityID]],Opportunities[ID],Opportunities[Stage])</f>
        <v>Nurturing</v>
      </c>
      <c r="J142" s="51" t="str">
        <f>_xlfn.XLOOKUP(transactions[[#This Row],[OpportunityID]],Opportunities[ID],Opportunities[OpportunityName])</f>
        <v>Inventory Management Solution</v>
      </c>
      <c r="K142" s="51" t="str">
        <f>_xlfn.XLOOKUP(transactions[[#This Row],[CustomerId]],Customers[Id],Customers[Customer Name])</f>
        <v>Transport Logistics</v>
      </c>
      <c r="L142" s="51" t="str">
        <f>_xlfn.XLOOKUP(transactions[[#This Row],[OpportunityID]],Opportunities[ID],Opportunities[OpportunityOwner])</f>
        <v>Sarah Director</v>
      </c>
      <c r="M142" s="51" t="str">
        <f ca="1">IF((transactions[[#This Row],[TransactionDate]]-TODAY())&lt;=366,transactions[[#This Row],[FQ]],"Out-year")</f>
        <v>Out-year</v>
      </c>
      <c r="N142" s="55">
        <f>transactions[[#This Row],[UnWeighted]]/1000</f>
        <v>29.322826923076921</v>
      </c>
      <c r="O142" s="55">
        <f>transactions[[#This Row],[Weighted]]/1000</f>
        <v>26.390544230769233</v>
      </c>
      <c r="P142" s="55">
        <f>transactions[[#This Row],[$K Unweighted]]/1000</f>
        <v>2.932282692307692E-2</v>
      </c>
      <c r="Q142" s="55" t="b">
        <f ca="1">transactions[[#This Row],[TransactionDate]]&gt;TODAY()</f>
        <v>1</v>
      </c>
    </row>
    <row r="143" spans="1:17" x14ac:dyDescent="0.25">
      <c r="A143">
        <v>28</v>
      </c>
      <c r="B143">
        <v>1</v>
      </c>
      <c r="C143" s="31">
        <v>46523</v>
      </c>
      <c r="D14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3" s="51" t="str">
        <f>"CY"&amp;RIGHT(YEAR(transactions[[#This Row],[TransactionDate]]),2)&amp;"-Q"&amp;ROUNDUP(MONTH(transactions[[#This Row],[TransactionDate]])/3, 0)</f>
        <v>CY27-Q2</v>
      </c>
      <c r="F143" s="52">
        <f>transactions[[#This Row],[UnWeighted]]*_xlfn.XLOOKUP(transactions[[#This Row],[OpportunityID]],Opportunities[ID],Opportunities[WinProbabilityValue])</f>
        <v>40447.666666666664</v>
      </c>
      <c r="G143" s="52">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143" s="51" t="str">
        <f>_xlfn.XLOOKUP(transactions[[#This Row],[OpportunityID]],Opportunities[ID],Opportunities[Status])</f>
        <v>Active</v>
      </c>
      <c r="I143" s="51" t="str">
        <f>_xlfn.XLOOKUP(transactions[[#This Row],[OpportunityID]],Opportunities[ID],Opportunities[Stage])</f>
        <v>Lead Qualification</v>
      </c>
      <c r="J143" s="51" t="str">
        <f>_xlfn.XLOOKUP(transactions[[#This Row],[OpportunityID]],Opportunities[ID],Opportunities[OpportunityName])</f>
        <v>Website Redesign Project</v>
      </c>
      <c r="K143" s="51" t="str">
        <f>_xlfn.XLOOKUP(transactions[[#This Row],[CustomerId]],Customers[Id],Customers[Customer Name])</f>
        <v>ACME Corporation</v>
      </c>
      <c r="L143" s="51" t="str">
        <f>_xlfn.XLOOKUP(transactions[[#This Row],[OpportunityID]],Opportunities[ID],Opportunities[OpportunityOwner])</f>
        <v>Lisa Engineer</v>
      </c>
      <c r="M143" s="51" t="str">
        <f ca="1">IF((transactions[[#This Row],[TransactionDate]]-TODAY())&lt;=366,transactions[[#This Row],[FQ]],"Out-year")</f>
        <v>Out-year</v>
      </c>
      <c r="N143" s="55">
        <f>transactions[[#This Row],[UnWeighted]]/1000</f>
        <v>80.895333333333326</v>
      </c>
      <c r="O143" s="55">
        <f>transactions[[#This Row],[Weighted]]/1000</f>
        <v>40.447666666666663</v>
      </c>
      <c r="P143" s="55">
        <f>transactions[[#This Row],[$K Unweighted]]/1000</f>
        <v>8.0895333333333333E-2</v>
      </c>
      <c r="Q143" s="55" t="b">
        <f ca="1">transactions[[#This Row],[TransactionDate]]&gt;TODAY()</f>
        <v>1</v>
      </c>
    </row>
    <row r="144" spans="1:17" x14ac:dyDescent="0.25">
      <c r="A144">
        <v>2</v>
      </c>
      <c r="B144">
        <v>10</v>
      </c>
      <c r="C144" s="31">
        <v>46524</v>
      </c>
      <c r="D14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4" s="51" t="str">
        <f>"CY"&amp;RIGHT(YEAR(transactions[[#This Row],[TransactionDate]]),2)&amp;"-Q"&amp;ROUNDUP(MONTH(transactions[[#This Row],[TransactionDate]])/3, 0)</f>
        <v>CY27-Q2</v>
      </c>
      <c r="F144" s="52">
        <f>transactions[[#This Row],[UnWeighted]]*_xlfn.XLOOKUP(transactions[[#This Row],[OpportunityID]],Opportunities[ID],Opportunities[WinProbabilityValue])</f>
        <v>20720.20930232558</v>
      </c>
      <c r="G144"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44" s="51" t="str">
        <f>_xlfn.XLOOKUP(transactions[[#This Row],[OpportunityID]],Opportunities[ID],Opportunities[Status])</f>
        <v>Active</v>
      </c>
      <c r="I144" s="51" t="str">
        <f>_xlfn.XLOOKUP(transactions[[#This Row],[OpportunityID]],Opportunities[ID],Opportunities[Stage])</f>
        <v>Proposal</v>
      </c>
      <c r="J144" s="51" t="str">
        <f>_xlfn.XLOOKUP(transactions[[#This Row],[OpportunityID]],Opportunities[ID],Opportunities[OpportunityName])</f>
        <v>Cloud Migration Initiative</v>
      </c>
      <c r="K144" s="51" t="str">
        <f>_xlfn.XLOOKUP(transactions[[#This Row],[CustomerId]],Customers[Id],Customers[Customer Name])</f>
        <v>Education First</v>
      </c>
      <c r="L144" s="51" t="str">
        <f>_xlfn.XLOOKUP(transactions[[#This Row],[OpportunityID]],Opportunities[ID],Opportunities[OpportunityOwner])</f>
        <v>Robert Analyst</v>
      </c>
      <c r="M144" s="51" t="str">
        <f ca="1">IF((transactions[[#This Row],[TransactionDate]]-TODAY())&lt;=366,transactions[[#This Row],[FQ]],"Out-year")</f>
        <v>Out-year</v>
      </c>
      <c r="N144" s="55">
        <f>transactions[[#This Row],[UnWeighted]]/1000</f>
        <v>41.440418604651157</v>
      </c>
      <c r="O144" s="55">
        <f>transactions[[#This Row],[Weighted]]/1000</f>
        <v>20.720209302325578</v>
      </c>
      <c r="P144" s="55">
        <f>transactions[[#This Row],[$K Unweighted]]/1000</f>
        <v>4.1440418604651155E-2</v>
      </c>
      <c r="Q144" s="55" t="b">
        <f ca="1">transactions[[#This Row],[TransactionDate]]&gt;TODAY()</f>
        <v>1</v>
      </c>
    </row>
    <row r="145" spans="1:17" x14ac:dyDescent="0.25">
      <c r="A145">
        <v>27</v>
      </c>
      <c r="B145">
        <v>2</v>
      </c>
      <c r="C145" s="31">
        <v>46524</v>
      </c>
      <c r="D14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5" s="51" t="str">
        <f>"CY"&amp;RIGHT(YEAR(transactions[[#This Row],[TransactionDate]]),2)&amp;"-Q"&amp;ROUNDUP(MONTH(transactions[[#This Row],[TransactionDate]])/3, 0)</f>
        <v>CY27-Q2</v>
      </c>
      <c r="F145" s="52">
        <f>transactions[[#This Row],[UnWeighted]]*_xlfn.XLOOKUP(transactions[[#This Row],[OpportunityID]],Opportunities[ID],Opportunities[WinProbabilityValue])</f>
        <v>46287.333333333336</v>
      </c>
      <c r="G145"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145" s="51" t="str">
        <f>_xlfn.XLOOKUP(transactions[[#This Row],[OpportunityID]],Opportunities[ID],Opportunities[Status])</f>
        <v>Active</v>
      </c>
      <c r="I145" s="51" t="str">
        <f>_xlfn.XLOOKUP(transactions[[#This Row],[OpportunityID]],Opportunities[ID],Opportunities[Stage])</f>
        <v>Lead Qualification</v>
      </c>
      <c r="J145" s="51" t="str">
        <f>_xlfn.XLOOKUP(transactions[[#This Row],[OpportunityID]],Opportunities[ID],Opportunities[OpportunityName])</f>
        <v>Backup &amp; Recovery System</v>
      </c>
      <c r="K145" s="51" t="str">
        <f>_xlfn.XLOOKUP(transactions[[#This Row],[CustomerId]],Customers[Id],Customers[Customer Name])</f>
        <v>Global Industries</v>
      </c>
      <c r="L145" s="51" t="str">
        <f>_xlfn.XLOOKUP(transactions[[#This Row],[OpportunityID]],Opportunities[ID],Opportunities[OpportunityOwner])</f>
        <v>Amanda Sales</v>
      </c>
      <c r="M145" s="51" t="str">
        <f ca="1">IF((transactions[[#This Row],[TransactionDate]]-TODAY())&lt;=366,transactions[[#This Row],[FQ]],"Out-year")</f>
        <v>Out-year</v>
      </c>
      <c r="N145" s="55">
        <f>transactions[[#This Row],[UnWeighted]]/1000</f>
        <v>92.574666666666673</v>
      </c>
      <c r="O145" s="55">
        <f>transactions[[#This Row],[Weighted]]/1000</f>
        <v>46.287333333333336</v>
      </c>
      <c r="P145" s="55">
        <f>transactions[[#This Row],[$K Unweighted]]/1000</f>
        <v>9.2574666666666666E-2</v>
      </c>
      <c r="Q145" s="55" t="b">
        <f ca="1">transactions[[#This Row],[TransactionDate]]&gt;TODAY()</f>
        <v>1</v>
      </c>
    </row>
    <row r="146" spans="1:17" x14ac:dyDescent="0.25">
      <c r="A146">
        <v>37</v>
      </c>
      <c r="B146">
        <v>20</v>
      </c>
      <c r="C146" s="31">
        <v>46525</v>
      </c>
      <c r="D14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6" s="51" t="str">
        <f>"CY"&amp;RIGHT(YEAR(transactions[[#This Row],[TransactionDate]]),2)&amp;"-Q"&amp;ROUNDUP(MONTH(transactions[[#This Row],[TransactionDate]])/3, 0)</f>
        <v>CY27-Q2</v>
      </c>
      <c r="F146" s="52">
        <f>transactions[[#This Row],[UnWeighted]]*_xlfn.XLOOKUP(transactions[[#This Row],[OpportunityID]],Opportunities[ID],Opportunities[WinProbabilityValue])</f>
        <v>103010.25</v>
      </c>
      <c r="G146" s="52">
        <f>_xlfn.XLOOKUP(transactions[[#This Row],[OpportunityID]],Opportunities[ID],Opportunities[Amount])/IF(_xlfn.XLOOKUP(transactions[[#This Row],[OpportunityID]],Opportunities[ID],Opportunities[Recurrences])=0,1,_xlfn.XLOOKUP(transactions[[#This Row],[OpportunityID]],Opportunities[ID],Opportunities[Recurrences]))</f>
        <v>206020.5</v>
      </c>
      <c r="H146" s="51" t="str">
        <f>_xlfn.XLOOKUP(transactions[[#This Row],[OpportunityID]],Opportunities[ID],Opportunities[Status])</f>
        <v>Active</v>
      </c>
      <c r="I146" s="51" t="str">
        <f>_xlfn.XLOOKUP(transactions[[#This Row],[OpportunityID]],Opportunities[ID],Opportunities[Stage])</f>
        <v>Nurturing</v>
      </c>
      <c r="J146" s="51" t="str">
        <f>_xlfn.XLOOKUP(transactions[[#This Row],[OpportunityID]],Opportunities[ID],Opportunities[OpportunityName])</f>
        <v>Database Migration Project</v>
      </c>
      <c r="K146" s="51" t="str">
        <f>_xlfn.XLOOKUP(transactions[[#This Row],[CustomerId]],Customers[Id],Customers[Customer Name])</f>
        <v>Automotive Parts Plus</v>
      </c>
      <c r="L146" s="51" t="str">
        <f>_xlfn.XLOOKUP(transactions[[#This Row],[OpportunityID]],Opportunities[ID],Opportunities[OpportunityOwner])</f>
        <v>Lisa Engineer</v>
      </c>
      <c r="M146" s="51" t="str">
        <f ca="1">IF((transactions[[#This Row],[TransactionDate]]-TODAY())&lt;=366,transactions[[#This Row],[FQ]],"Out-year")</f>
        <v>Out-year</v>
      </c>
      <c r="N146" s="55">
        <f>transactions[[#This Row],[UnWeighted]]/1000</f>
        <v>206.0205</v>
      </c>
      <c r="O146" s="55">
        <f>transactions[[#This Row],[Weighted]]/1000</f>
        <v>103.01025</v>
      </c>
      <c r="P146" s="55">
        <f>transactions[[#This Row],[$K Unweighted]]/1000</f>
        <v>0.2060205</v>
      </c>
      <c r="Q146" s="55" t="b">
        <f ca="1">transactions[[#This Row],[TransactionDate]]&gt;TODAY()</f>
        <v>1</v>
      </c>
    </row>
    <row r="147" spans="1:17" x14ac:dyDescent="0.25">
      <c r="A147">
        <v>23</v>
      </c>
      <c r="B147">
        <v>11</v>
      </c>
      <c r="C147" s="31">
        <v>46527</v>
      </c>
      <c r="D14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7" s="51" t="str">
        <f>"CY"&amp;RIGHT(YEAR(transactions[[#This Row],[TransactionDate]]),2)&amp;"-Q"&amp;ROUNDUP(MONTH(transactions[[#This Row],[TransactionDate]])/3, 0)</f>
        <v>CY27-Q2</v>
      </c>
      <c r="F147" s="52">
        <f>transactions[[#This Row],[UnWeighted]]*_xlfn.XLOOKUP(transactions[[#This Row],[OpportunityID]],Opportunities[ID],Opportunities[WinProbabilityValue])</f>
        <v>25249.37777777778</v>
      </c>
      <c r="G147" s="52">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147" s="51" t="str">
        <f>_xlfn.XLOOKUP(transactions[[#This Row],[OpportunityID]],Opportunities[ID],Opportunities[Status])</f>
        <v>Critical</v>
      </c>
      <c r="I147" s="51" t="str">
        <f>_xlfn.XLOOKUP(transactions[[#This Row],[OpportunityID]],Opportunities[ID],Opportunities[Stage])</f>
        <v>Negotiation</v>
      </c>
      <c r="J147" s="51" t="str">
        <f>_xlfn.XLOOKUP(transactions[[#This Row],[OpportunityID]],Opportunities[ID],Opportunities[OpportunityName])</f>
        <v>Point of Sale System</v>
      </c>
      <c r="K147" s="51" t="str">
        <f>_xlfn.XLOOKUP(transactions[[#This Row],[CustomerId]],Customers[Id],Customers[Customer Name])</f>
        <v>Transport Logistics</v>
      </c>
      <c r="L147" s="51" t="str">
        <f>_xlfn.XLOOKUP(transactions[[#This Row],[OpportunityID]],Opportunities[ID],Opportunities[OpportunityOwner])</f>
        <v>David Specialist</v>
      </c>
      <c r="M147" s="51" t="str">
        <f ca="1">IF((transactions[[#This Row],[TransactionDate]]-TODAY())&lt;=366,transactions[[#This Row],[FQ]],"Out-year")</f>
        <v>Out-year</v>
      </c>
      <c r="N147" s="55">
        <f>transactions[[#This Row],[UnWeighted]]/1000</f>
        <v>126.24688888888889</v>
      </c>
      <c r="O147" s="55">
        <f>transactions[[#This Row],[Weighted]]/1000</f>
        <v>25.249377777777781</v>
      </c>
      <c r="P147" s="55">
        <f>transactions[[#This Row],[$K Unweighted]]/1000</f>
        <v>0.12624688888888888</v>
      </c>
      <c r="Q147" s="55" t="b">
        <f ca="1">transactions[[#This Row],[TransactionDate]]&gt;TODAY()</f>
        <v>1</v>
      </c>
    </row>
    <row r="148" spans="1:17" x14ac:dyDescent="0.25">
      <c r="A148">
        <v>13</v>
      </c>
      <c r="B148">
        <v>2</v>
      </c>
      <c r="C148" s="31">
        <v>46529</v>
      </c>
      <c r="D14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8" s="51" t="str">
        <f>"CY"&amp;RIGHT(YEAR(transactions[[#This Row],[TransactionDate]]),2)&amp;"-Q"&amp;ROUNDUP(MONTH(transactions[[#This Row],[TransactionDate]])/3, 0)</f>
        <v>CY27-Q2</v>
      </c>
      <c r="F148" s="52">
        <f>transactions[[#This Row],[UnWeighted]]*_xlfn.XLOOKUP(transactions[[#This Row],[OpportunityID]],Opportunities[ID],Opportunities[WinProbabilityValue])</f>
        <v>12618.744897959185</v>
      </c>
      <c r="G148"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48" s="51" t="str">
        <f>_xlfn.XLOOKUP(transactions[[#This Row],[OpportunityID]],Opportunities[ID],Opportunities[Status])</f>
        <v>Active</v>
      </c>
      <c r="I148" s="51" t="str">
        <f>_xlfn.XLOOKUP(transactions[[#This Row],[OpportunityID]],Opportunities[ID],Opportunities[Stage])</f>
        <v>Negotiation</v>
      </c>
      <c r="J148" s="51" t="str">
        <f>_xlfn.XLOOKUP(transactions[[#This Row],[OpportunityID]],Opportunities[ID],Opportunities[OpportunityName])</f>
        <v>E-commerce Platform</v>
      </c>
      <c r="K148" s="51" t="str">
        <f>_xlfn.XLOOKUP(transactions[[#This Row],[CustomerId]],Customers[Id],Customers[Customer Name])</f>
        <v>Global Industries</v>
      </c>
      <c r="L148" s="51" t="str">
        <f>_xlfn.XLOOKUP(transactions[[#This Row],[OpportunityID]],Opportunities[ID],Opportunities[OpportunityOwner])</f>
        <v>Lisa Engineer</v>
      </c>
      <c r="M148" s="51" t="str">
        <f ca="1">IF((transactions[[#This Row],[TransactionDate]]-TODAY())&lt;=366,transactions[[#This Row],[FQ]],"Out-year")</f>
        <v>Out-year</v>
      </c>
      <c r="N148" s="55">
        <f>transactions[[#This Row],[UnWeighted]]/1000</f>
        <v>25.237489795918368</v>
      </c>
      <c r="O148" s="55">
        <f>transactions[[#This Row],[Weighted]]/1000</f>
        <v>12.618744897959184</v>
      </c>
      <c r="P148" s="55">
        <f>transactions[[#This Row],[$K Unweighted]]/1000</f>
        <v>2.5237489795918368E-2</v>
      </c>
      <c r="Q148" s="55" t="b">
        <f ca="1">transactions[[#This Row],[TransactionDate]]&gt;TODAY()</f>
        <v>1</v>
      </c>
    </row>
    <row r="149" spans="1:17" x14ac:dyDescent="0.25">
      <c r="A149">
        <v>31</v>
      </c>
      <c r="B149">
        <v>15</v>
      </c>
      <c r="C149" s="31">
        <v>46529</v>
      </c>
      <c r="D14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9" s="51" t="str">
        <f>"CY"&amp;RIGHT(YEAR(transactions[[#This Row],[TransactionDate]]),2)&amp;"-Q"&amp;ROUNDUP(MONTH(transactions[[#This Row],[TransactionDate]])/3, 0)</f>
        <v>CY27-Q2</v>
      </c>
      <c r="F149" s="52">
        <f>transactions[[#This Row],[UnWeighted]]*_xlfn.XLOOKUP(transactions[[#This Row],[OpportunityID]],Opportunities[ID],Opportunities[WinProbabilityValue])</f>
        <v>19221.625</v>
      </c>
      <c r="G149" s="52">
        <f>_xlfn.XLOOKUP(transactions[[#This Row],[OpportunityID]],Opportunities[ID],Opportunities[Amount])/IF(_xlfn.XLOOKUP(transactions[[#This Row],[OpportunityID]],Opportunities[ID],Opportunities[Recurrences])=0,1,_xlfn.XLOOKUP(transactions[[#This Row],[OpportunityID]],Opportunities[ID],Opportunities[Recurrences]))</f>
        <v>96108.125</v>
      </c>
      <c r="H149" s="51" t="str">
        <f>_xlfn.XLOOKUP(transactions[[#This Row],[OpportunityID]],Opportunities[ID],Opportunities[Status])</f>
        <v>At Risk</v>
      </c>
      <c r="I149" s="51" t="str">
        <f>_xlfn.XLOOKUP(transactions[[#This Row],[OpportunityID]],Opportunities[ID],Opportunities[Stage])</f>
        <v>Negotiation</v>
      </c>
      <c r="J149" s="51" t="str">
        <f>_xlfn.XLOOKUP(transactions[[#This Row],[OpportunityID]],Opportunities[ID],Opportunities[OpportunityName])</f>
        <v>Fleet Management System</v>
      </c>
      <c r="K149" s="51" t="str">
        <f>_xlfn.XLOOKUP(transactions[[#This Row],[CustomerId]],Customers[Id],Customers[Customer Name])</f>
        <v>Pharmaceutical Research</v>
      </c>
      <c r="L149" s="51" t="str">
        <f>_xlfn.XLOOKUP(transactions[[#This Row],[OpportunityID]],Opportunities[ID],Opportunities[OpportunityOwner])</f>
        <v>Amanda Sales</v>
      </c>
      <c r="M149" s="51" t="str">
        <f ca="1">IF((transactions[[#This Row],[TransactionDate]]-TODAY())&lt;=366,transactions[[#This Row],[FQ]],"Out-year")</f>
        <v>Out-year</v>
      </c>
      <c r="N149" s="55">
        <f>transactions[[#This Row],[UnWeighted]]/1000</f>
        <v>96.108125000000001</v>
      </c>
      <c r="O149" s="55">
        <f>transactions[[#This Row],[Weighted]]/1000</f>
        <v>19.221625</v>
      </c>
      <c r="P149" s="55">
        <f>transactions[[#This Row],[$K Unweighted]]/1000</f>
        <v>9.6108125000000003E-2</v>
      </c>
      <c r="Q149" s="55" t="b">
        <f ca="1">transactions[[#This Row],[TransactionDate]]&gt;TODAY()</f>
        <v>1</v>
      </c>
    </row>
    <row r="150" spans="1:17" x14ac:dyDescent="0.25">
      <c r="A150">
        <v>26</v>
      </c>
      <c r="B150">
        <v>1</v>
      </c>
      <c r="C150" s="31">
        <v>46539</v>
      </c>
      <c r="D15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0" s="51" t="str">
        <f>"CY"&amp;RIGHT(YEAR(transactions[[#This Row],[TransactionDate]]),2)&amp;"-Q"&amp;ROUNDUP(MONTH(transactions[[#This Row],[TransactionDate]])/3, 0)</f>
        <v>CY27-Q2</v>
      </c>
      <c r="F150" s="52">
        <f>transactions[[#This Row],[UnWeighted]]*_xlfn.XLOOKUP(transactions[[#This Row],[OpportunityID]],Opportunities[ID],Opportunities[WinProbabilityValue])</f>
        <v>11339.638888888889</v>
      </c>
      <c r="G150"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50" s="51" t="str">
        <f>_xlfn.XLOOKUP(transactions[[#This Row],[OpportunityID]],Opportunities[ID],Opportunities[Status])</f>
        <v>Active</v>
      </c>
      <c r="I150" s="51" t="str">
        <f>_xlfn.XLOOKUP(transactions[[#This Row],[OpportunityID]],Opportunities[ID],Opportunities[Stage])</f>
        <v>Negotiation</v>
      </c>
      <c r="J150" s="51" t="str">
        <f>_xlfn.XLOOKUP(transactions[[#This Row],[OpportunityID]],Opportunities[ID],Opportunities[OpportunityName])</f>
        <v>Video Conferencing Solution</v>
      </c>
      <c r="K150" s="51" t="str">
        <f>_xlfn.XLOOKUP(transactions[[#This Row],[CustomerId]],Customers[Id],Customers[Customer Name])</f>
        <v>ACME Corporation</v>
      </c>
      <c r="L150" s="51" t="str">
        <f>_xlfn.XLOOKUP(transactions[[#This Row],[OpportunityID]],Opportunities[ID],Opportunities[OpportunityOwner])</f>
        <v>Mike Consultant</v>
      </c>
      <c r="M150" s="51" t="str">
        <f ca="1">IF((transactions[[#This Row],[TransactionDate]]-TODAY())&lt;=366,transactions[[#This Row],[FQ]],"Out-year")</f>
        <v>Out-year</v>
      </c>
      <c r="N150" s="55">
        <f>transactions[[#This Row],[UnWeighted]]/1000</f>
        <v>22.679277777777777</v>
      </c>
      <c r="O150" s="55">
        <f>transactions[[#This Row],[Weighted]]/1000</f>
        <v>11.339638888888889</v>
      </c>
      <c r="P150" s="55">
        <f>transactions[[#This Row],[$K Unweighted]]/1000</f>
        <v>2.2679277777777777E-2</v>
      </c>
      <c r="Q150" s="55" t="b">
        <f ca="1">transactions[[#This Row],[TransactionDate]]&gt;TODAY()</f>
        <v>1</v>
      </c>
    </row>
    <row r="151" spans="1:17" x14ac:dyDescent="0.25">
      <c r="A151">
        <v>8</v>
      </c>
      <c r="B151">
        <v>13</v>
      </c>
      <c r="C151" s="31">
        <v>46540</v>
      </c>
      <c r="D15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1" s="51" t="str">
        <f>"CY"&amp;RIGHT(YEAR(transactions[[#This Row],[TransactionDate]]),2)&amp;"-Q"&amp;ROUNDUP(MONTH(transactions[[#This Row],[TransactionDate]])/3, 0)</f>
        <v>CY27-Q2</v>
      </c>
      <c r="F151" s="52">
        <f>transactions[[#This Row],[UnWeighted]]*_xlfn.XLOOKUP(transactions[[#This Row],[OpportunityID]],Opportunities[ID],Opportunities[WinProbabilityValue])</f>
        <v>62725.125</v>
      </c>
      <c r="G151" s="52">
        <f>_xlfn.XLOOKUP(transactions[[#This Row],[OpportunityID]],Opportunities[ID],Opportunities[Amount])/IF(_xlfn.XLOOKUP(transactions[[#This Row],[OpportunityID]],Opportunities[ID],Opportunities[Recurrences])=0,1,_xlfn.XLOOKUP(transactions[[#This Row],[OpportunityID]],Opportunities[ID],Opportunities[Recurrences]))</f>
        <v>125450.25</v>
      </c>
      <c r="H151" s="51" t="str">
        <f>_xlfn.XLOOKUP(transactions[[#This Row],[OpportunityID]],Opportunities[ID],Opportunities[Status])</f>
        <v>Active</v>
      </c>
      <c r="I151" s="51" t="str">
        <f>_xlfn.XLOOKUP(transactions[[#This Row],[OpportunityID]],Opportunities[ID],Opportunities[Stage])</f>
        <v>Closeout</v>
      </c>
      <c r="J151" s="51" t="str">
        <f>_xlfn.XLOOKUP(transactions[[#This Row],[OpportunityID]],Opportunities[ID],Opportunities[OpportunityName])</f>
        <v>Business Intelligence Solution</v>
      </c>
      <c r="K151" s="51" t="str">
        <f>_xlfn.XLOOKUP(transactions[[#This Row],[CustomerId]],Customers[Id],Customers[Customer Name])</f>
        <v>Professional Services Group</v>
      </c>
      <c r="L151" s="51" t="str">
        <f>_xlfn.XLOOKUP(transactions[[#This Row],[OpportunityID]],Opportunities[ID],Opportunities[OpportunityOwner])</f>
        <v>Sarah Director</v>
      </c>
      <c r="M151" s="51" t="str">
        <f ca="1">IF((transactions[[#This Row],[TransactionDate]]-TODAY())&lt;=366,transactions[[#This Row],[FQ]],"Out-year")</f>
        <v>Out-year</v>
      </c>
      <c r="N151" s="55">
        <f>transactions[[#This Row],[UnWeighted]]/1000</f>
        <v>125.45025</v>
      </c>
      <c r="O151" s="55">
        <f>transactions[[#This Row],[Weighted]]/1000</f>
        <v>62.725124999999998</v>
      </c>
      <c r="P151" s="55">
        <f>transactions[[#This Row],[$K Unweighted]]/1000</f>
        <v>0.12545024999999999</v>
      </c>
      <c r="Q151" s="55" t="b">
        <f ca="1">transactions[[#This Row],[TransactionDate]]&gt;TODAY()</f>
        <v>1</v>
      </c>
    </row>
    <row r="152" spans="1:17" x14ac:dyDescent="0.25">
      <c r="A152">
        <v>39</v>
      </c>
      <c r="B152">
        <v>3</v>
      </c>
      <c r="C152" s="31">
        <v>46541</v>
      </c>
      <c r="D15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2" s="51" t="str">
        <f>"CY"&amp;RIGHT(YEAR(transactions[[#This Row],[TransactionDate]]),2)&amp;"-Q"&amp;ROUNDUP(MONTH(transactions[[#This Row],[TransactionDate]])/3, 0)</f>
        <v>CY27-Q2</v>
      </c>
      <c r="F152" s="52">
        <f>transactions[[#This Row],[UnWeighted]]*_xlfn.XLOOKUP(transactions[[#This Row],[OpportunityID]],Opportunities[ID],Opportunities[WinProbabilityValue])</f>
        <v>20929.153846153848</v>
      </c>
      <c r="G152"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52" s="51" t="str">
        <f>_xlfn.XLOOKUP(transactions[[#This Row],[OpportunityID]],Opportunities[ID],Opportunities[Status])</f>
        <v>Active</v>
      </c>
      <c r="I152" s="51" t="str">
        <f>_xlfn.XLOOKUP(transactions[[#This Row],[OpportunityID]],Opportunities[ID],Opportunities[Stage])</f>
        <v>Project Execution</v>
      </c>
      <c r="J152" s="51" t="str">
        <f>_xlfn.XLOOKUP(transactions[[#This Row],[OpportunityID]],Opportunities[ID],Opportunities[OpportunityName])</f>
        <v>API Development Project</v>
      </c>
      <c r="K152" s="51" t="str">
        <f>_xlfn.XLOOKUP(transactions[[#This Row],[CustomerId]],Customers[Id],Customers[Customer Name])</f>
        <v>Tech Solutions Inc</v>
      </c>
      <c r="L152" s="51" t="str">
        <f>_xlfn.XLOOKUP(transactions[[#This Row],[OpportunityID]],Opportunities[ID],Opportunities[OpportunityOwner])</f>
        <v>Jennifer PM</v>
      </c>
      <c r="M152" s="51" t="str">
        <f ca="1">IF((transactions[[#This Row],[TransactionDate]]-TODAY())&lt;=366,transactions[[#This Row],[FQ]],"Out-year")</f>
        <v>Out-year</v>
      </c>
      <c r="N152" s="55">
        <f>transactions[[#This Row],[UnWeighted]]/1000</f>
        <v>41.858307692307697</v>
      </c>
      <c r="O152" s="55">
        <f>transactions[[#This Row],[Weighted]]/1000</f>
        <v>20.929153846153849</v>
      </c>
      <c r="P152" s="55">
        <f>transactions[[#This Row],[$K Unweighted]]/1000</f>
        <v>4.1858307692307695E-2</v>
      </c>
      <c r="Q152" s="55" t="b">
        <f ca="1">transactions[[#This Row],[TransactionDate]]&gt;TODAY()</f>
        <v>1</v>
      </c>
    </row>
    <row r="153" spans="1:17" x14ac:dyDescent="0.25">
      <c r="A153">
        <v>36</v>
      </c>
      <c r="B153">
        <v>1</v>
      </c>
      <c r="C153" s="31">
        <v>46544</v>
      </c>
      <c r="D15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3" s="51" t="str">
        <f>"CY"&amp;RIGHT(YEAR(transactions[[#This Row],[TransactionDate]]),2)&amp;"-Q"&amp;ROUNDUP(MONTH(transactions[[#This Row],[TransactionDate]])/3, 0)</f>
        <v>CY27-Q2</v>
      </c>
      <c r="F153" s="52">
        <f>transactions[[#This Row],[UnWeighted]]*_xlfn.XLOOKUP(transactions[[#This Row],[OpportunityID]],Opportunities[ID],Opportunities[WinProbabilityValue])</f>
        <v>24983.895833333332</v>
      </c>
      <c r="G153"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53" s="51" t="str">
        <f>_xlfn.XLOOKUP(transactions[[#This Row],[OpportunityID]],Opportunities[ID],Opportunities[Status])</f>
        <v>Active</v>
      </c>
      <c r="I153" s="51" t="str">
        <f>_xlfn.XLOOKUP(transactions[[#This Row],[OpportunityID]],Opportunities[ID],Opportunities[Stage])</f>
        <v>Lead Qualification</v>
      </c>
      <c r="J153" s="51" t="str">
        <f>_xlfn.XLOOKUP(transactions[[#This Row],[OpportunityID]],Opportunities[ID],Opportunities[OpportunityName])</f>
        <v>Integration Services Project</v>
      </c>
      <c r="K153" s="51" t="str">
        <f>_xlfn.XLOOKUP(transactions[[#This Row],[CustomerId]],Customers[Id],Customers[Customer Name])</f>
        <v>ACME Corporation</v>
      </c>
      <c r="L153" s="51" t="str">
        <f>_xlfn.XLOOKUP(transactions[[#This Row],[OpportunityID]],Opportunities[ID],Opportunities[OpportunityOwner])</f>
        <v>Amanda Sales</v>
      </c>
      <c r="M153" s="51" t="str">
        <f ca="1">IF((transactions[[#This Row],[TransactionDate]]-TODAY())&lt;=366,transactions[[#This Row],[FQ]],"Out-year")</f>
        <v>Out-year</v>
      </c>
      <c r="N153" s="55">
        <f>transactions[[#This Row],[UnWeighted]]/1000</f>
        <v>49.967791666666663</v>
      </c>
      <c r="O153" s="55">
        <f>transactions[[#This Row],[Weighted]]/1000</f>
        <v>24.983895833333332</v>
      </c>
      <c r="P153" s="55">
        <f>transactions[[#This Row],[$K Unweighted]]/1000</f>
        <v>4.9967791666666664E-2</v>
      </c>
      <c r="Q153" s="55" t="b">
        <f ca="1">transactions[[#This Row],[TransactionDate]]&gt;TODAY()</f>
        <v>1</v>
      </c>
    </row>
    <row r="154" spans="1:17" x14ac:dyDescent="0.25">
      <c r="A154">
        <v>15</v>
      </c>
      <c r="B154">
        <v>24</v>
      </c>
      <c r="C154" s="31">
        <v>46545</v>
      </c>
      <c r="D15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4" s="51" t="str">
        <f>"CY"&amp;RIGHT(YEAR(transactions[[#This Row],[TransactionDate]]),2)&amp;"-Q"&amp;ROUNDUP(MONTH(transactions[[#This Row],[TransactionDate]])/3, 0)</f>
        <v>CY27-Q2</v>
      </c>
      <c r="F154" s="52">
        <f>transactions[[#This Row],[UnWeighted]]*_xlfn.XLOOKUP(transactions[[#This Row],[OpportunityID]],Opportunities[ID],Opportunities[WinProbabilityValue])</f>
        <v>29217.197872340425</v>
      </c>
      <c r="G154"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54" s="51" t="str">
        <f>_xlfn.XLOOKUP(transactions[[#This Row],[OpportunityID]],Opportunities[ID],Opportunities[Status])</f>
        <v>Active</v>
      </c>
      <c r="I154" s="51" t="str">
        <f>_xlfn.XLOOKUP(transactions[[#This Row],[OpportunityID]],Opportunities[ID],Opportunities[Stage])</f>
        <v>Project Execution</v>
      </c>
      <c r="J154" s="51" t="str">
        <f>_xlfn.XLOOKUP(transactions[[#This Row],[OpportunityID]],Opportunities[ID],Opportunities[OpportunityName])</f>
        <v>Training &amp; Development Program</v>
      </c>
      <c r="K154" s="51" t="str">
        <f>_xlfn.XLOOKUP(transactions[[#This Row],[CustomerId]],Customers[Id],Customers[Customer Name])</f>
        <v>Security Solutions</v>
      </c>
      <c r="L154" s="51" t="str">
        <f>_xlfn.XLOOKUP(transactions[[#This Row],[OpportunityID]],Opportunities[ID],Opportunities[OpportunityOwner])</f>
        <v>Sarah Director</v>
      </c>
      <c r="M154" s="51" t="str">
        <f ca="1">IF((transactions[[#This Row],[TransactionDate]]-TODAY())&lt;=366,transactions[[#This Row],[FQ]],"Out-year")</f>
        <v>Out-year</v>
      </c>
      <c r="N154" s="55">
        <f>transactions[[#This Row],[UnWeighted]]/1000</f>
        <v>32.46355319148936</v>
      </c>
      <c r="O154" s="55">
        <f>transactions[[#This Row],[Weighted]]/1000</f>
        <v>29.217197872340424</v>
      </c>
      <c r="P154" s="55">
        <f>transactions[[#This Row],[$K Unweighted]]/1000</f>
        <v>3.2463553191489358E-2</v>
      </c>
      <c r="Q154" s="55" t="b">
        <f ca="1">transactions[[#This Row],[TransactionDate]]&gt;TODAY()</f>
        <v>1</v>
      </c>
    </row>
    <row r="155" spans="1:17" x14ac:dyDescent="0.25">
      <c r="A155">
        <v>17</v>
      </c>
      <c r="B155">
        <v>19</v>
      </c>
      <c r="C155" s="31">
        <v>46547</v>
      </c>
      <c r="D15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5" s="51" t="str">
        <f>"CY"&amp;RIGHT(YEAR(transactions[[#This Row],[TransactionDate]]),2)&amp;"-Q"&amp;ROUNDUP(MONTH(transactions[[#This Row],[TransactionDate]])/3, 0)</f>
        <v>CY27-Q2</v>
      </c>
      <c r="F155" s="52">
        <f>transactions[[#This Row],[UnWeighted]]*_xlfn.XLOOKUP(transactions[[#This Row],[OpportunityID]],Opportunities[ID],Opportunities[WinProbabilityValue])</f>
        <v>9267.2333333333336</v>
      </c>
      <c r="G155"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55" s="51" t="str">
        <f>_xlfn.XLOOKUP(transactions[[#This Row],[OpportunityID]],Opportunities[ID],Opportunities[Status])</f>
        <v>Active</v>
      </c>
      <c r="I155" s="51" t="str">
        <f>_xlfn.XLOOKUP(transactions[[#This Row],[OpportunityID]],Opportunities[ID],Opportunities[Stage])</f>
        <v>Negotiation</v>
      </c>
      <c r="J155" s="51" t="str">
        <f>_xlfn.XLOOKUP(transactions[[#This Row],[OpportunityID]],Opportunities[ID],Opportunities[OpportunityName])</f>
        <v>Supply Chain Optimization</v>
      </c>
      <c r="K155" s="51" t="str">
        <f>_xlfn.XLOOKUP(transactions[[#This Row],[CustomerId]],Customers[Id],Customers[Customer Name])</f>
        <v>Hotel Management Group</v>
      </c>
      <c r="L155" s="51" t="str">
        <f>_xlfn.XLOOKUP(transactions[[#This Row],[OpportunityID]],Opportunities[ID],Opportunities[OpportunityOwner])</f>
        <v>Jennifer PM</v>
      </c>
      <c r="M155" s="51" t="str">
        <f ca="1">IF((transactions[[#This Row],[TransactionDate]]-TODAY())&lt;=366,transactions[[#This Row],[FQ]],"Out-year")</f>
        <v>Out-year</v>
      </c>
      <c r="N155" s="55">
        <f>transactions[[#This Row],[UnWeighted]]/1000</f>
        <v>46.336166666666664</v>
      </c>
      <c r="O155" s="55">
        <f>transactions[[#This Row],[Weighted]]/1000</f>
        <v>9.2672333333333334</v>
      </c>
      <c r="P155" s="55">
        <f>transactions[[#This Row],[$K Unweighted]]/1000</f>
        <v>4.6336166666666664E-2</v>
      </c>
      <c r="Q155" s="55" t="b">
        <f ca="1">transactions[[#This Row],[TransactionDate]]&gt;TODAY()</f>
        <v>1</v>
      </c>
    </row>
    <row r="156" spans="1:17" x14ac:dyDescent="0.25">
      <c r="A156">
        <v>22</v>
      </c>
      <c r="B156">
        <v>11</v>
      </c>
      <c r="C156" s="31">
        <v>46549</v>
      </c>
      <c r="D15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6" s="51" t="str">
        <f>"CY"&amp;RIGHT(YEAR(transactions[[#This Row],[TransactionDate]]),2)&amp;"-Q"&amp;ROUNDUP(MONTH(transactions[[#This Row],[TransactionDate]])/3, 0)</f>
        <v>CY27-Q2</v>
      </c>
      <c r="F156" s="52">
        <f>transactions[[#This Row],[UnWeighted]]*_xlfn.XLOOKUP(transactions[[#This Row],[OpportunityID]],Opportunities[ID],Opportunities[WinProbabilityValue])</f>
        <v>26390.544230769232</v>
      </c>
      <c r="G156"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56" s="51" t="str">
        <f>_xlfn.XLOOKUP(transactions[[#This Row],[OpportunityID]],Opportunities[ID],Opportunities[Status])</f>
        <v>Active</v>
      </c>
      <c r="I156" s="51" t="str">
        <f>_xlfn.XLOOKUP(transactions[[#This Row],[OpportunityID]],Opportunities[ID],Opportunities[Stage])</f>
        <v>Nurturing</v>
      </c>
      <c r="J156" s="51" t="str">
        <f>_xlfn.XLOOKUP(transactions[[#This Row],[OpportunityID]],Opportunities[ID],Opportunities[OpportunityName])</f>
        <v>Inventory Management Solution</v>
      </c>
      <c r="K156" s="51" t="str">
        <f>_xlfn.XLOOKUP(transactions[[#This Row],[CustomerId]],Customers[Id],Customers[Customer Name])</f>
        <v>Transport Logistics</v>
      </c>
      <c r="L156" s="51" t="str">
        <f>_xlfn.XLOOKUP(transactions[[#This Row],[OpportunityID]],Opportunities[ID],Opportunities[OpportunityOwner])</f>
        <v>Sarah Director</v>
      </c>
      <c r="M156" s="51" t="str">
        <f ca="1">IF((transactions[[#This Row],[TransactionDate]]-TODAY())&lt;=366,transactions[[#This Row],[FQ]],"Out-year")</f>
        <v>Out-year</v>
      </c>
      <c r="N156" s="55">
        <f>transactions[[#This Row],[UnWeighted]]/1000</f>
        <v>29.322826923076921</v>
      </c>
      <c r="O156" s="55">
        <f>transactions[[#This Row],[Weighted]]/1000</f>
        <v>26.390544230769233</v>
      </c>
      <c r="P156" s="55">
        <f>transactions[[#This Row],[$K Unweighted]]/1000</f>
        <v>2.932282692307692E-2</v>
      </c>
      <c r="Q156" s="55" t="b">
        <f ca="1">transactions[[#This Row],[TransactionDate]]&gt;TODAY()</f>
        <v>1</v>
      </c>
    </row>
    <row r="157" spans="1:17" x14ac:dyDescent="0.25">
      <c r="A157">
        <v>2</v>
      </c>
      <c r="B157">
        <v>10</v>
      </c>
      <c r="C157" s="31">
        <v>46555</v>
      </c>
      <c r="D15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7" s="51" t="str">
        <f>"CY"&amp;RIGHT(YEAR(transactions[[#This Row],[TransactionDate]]),2)&amp;"-Q"&amp;ROUNDUP(MONTH(transactions[[#This Row],[TransactionDate]])/3, 0)</f>
        <v>CY27-Q2</v>
      </c>
      <c r="F157" s="52">
        <f>transactions[[#This Row],[UnWeighted]]*_xlfn.XLOOKUP(transactions[[#This Row],[OpportunityID]],Opportunities[ID],Opportunities[WinProbabilityValue])</f>
        <v>20720.20930232558</v>
      </c>
      <c r="G157"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57" s="51" t="str">
        <f>_xlfn.XLOOKUP(transactions[[#This Row],[OpportunityID]],Opportunities[ID],Opportunities[Status])</f>
        <v>Active</v>
      </c>
      <c r="I157" s="51" t="str">
        <f>_xlfn.XLOOKUP(transactions[[#This Row],[OpportunityID]],Opportunities[ID],Opportunities[Stage])</f>
        <v>Proposal</v>
      </c>
      <c r="J157" s="51" t="str">
        <f>_xlfn.XLOOKUP(transactions[[#This Row],[OpportunityID]],Opportunities[ID],Opportunities[OpportunityName])</f>
        <v>Cloud Migration Initiative</v>
      </c>
      <c r="K157" s="51" t="str">
        <f>_xlfn.XLOOKUP(transactions[[#This Row],[CustomerId]],Customers[Id],Customers[Customer Name])</f>
        <v>Education First</v>
      </c>
      <c r="L157" s="51" t="str">
        <f>_xlfn.XLOOKUP(transactions[[#This Row],[OpportunityID]],Opportunities[ID],Opportunities[OpportunityOwner])</f>
        <v>Robert Analyst</v>
      </c>
      <c r="M157" s="51" t="str">
        <f ca="1">IF((transactions[[#This Row],[TransactionDate]]-TODAY())&lt;=366,transactions[[#This Row],[FQ]],"Out-year")</f>
        <v>Out-year</v>
      </c>
      <c r="N157" s="55">
        <f>transactions[[#This Row],[UnWeighted]]/1000</f>
        <v>41.440418604651157</v>
      </c>
      <c r="O157" s="55">
        <f>transactions[[#This Row],[Weighted]]/1000</f>
        <v>20.720209302325578</v>
      </c>
      <c r="P157" s="55">
        <f>transactions[[#This Row],[$K Unweighted]]/1000</f>
        <v>4.1440418604651155E-2</v>
      </c>
      <c r="Q157" s="55" t="b">
        <f ca="1">transactions[[#This Row],[TransactionDate]]&gt;TODAY()</f>
        <v>1</v>
      </c>
    </row>
    <row r="158" spans="1:17" x14ac:dyDescent="0.25">
      <c r="A158">
        <v>1</v>
      </c>
      <c r="B158">
        <v>18</v>
      </c>
      <c r="C158" s="31">
        <v>46555</v>
      </c>
      <c r="D15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8" s="51" t="str">
        <f>"CY"&amp;RIGHT(YEAR(transactions[[#This Row],[TransactionDate]]),2)&amp;"-Q"&amp;ROUNDUP(MONTH(transactions[[#This Row],[TransactionDate]])/3, 0)</f>
        <v>CY27-Q2</v>
      </c>
      <c r="F158" s="52">
        <f>transactions[[#This Row],[UnWeighted]]*_xlfn.XLOOKUP(transactions[[#This Row],[OpportunityID]],Opportunities[ID],Opportunities[WinProbabilityValue])</f>
        <v>49601.433333333334</v>
      </c>
      <c r="G158" s="52">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158" s="51" t="str">
        <f>_xlfn.XLOOKUP(transactions[[#This Row],[OpportunityID]],Opportunities[ID],Opportunities[Status])</f>
        <v>Active</v>
      </c>
      <c r="I158" s="51" t="str">
        <f>_xlfn.XLOOKUP(transactions[[#This Row],[OpportunityID]],Opportunities[ID],Opportunities[Stage])</f>
        <v>Lead Qualification</v>
      </c>
      <c r="J158" s="51" t="str">
        <f>_xlfn.XLOOKUP(transactions[[#This Row],[OpportunityID]],Opportunities[ID],Opportunities[OpportunityName])</f>
        <v>ERP Implementation Project</v>
      </c>
      <c r="K158" s="51" t="str">
        <f>_xlfn.XLOOKUP(transactions[[#This Row],[CustomerId]],Customers[Id],Customers[Customer Name])</f>
        <v>Agricultural Systems</v>
      </c>
      <c r="L158" s="51" t="str">
        <f>_xlfn.XLOOKUP(transactions[[#This Row],[OpportunityID]],Opportunities[ID],Opportunities[OpportunityOwner])</f>
        <v>Amanda Sales</v>
      </c>
      <c r="M158" s="51" t="str">
        <f ca="1">IF((transactions[[#This Row],[TransactionDate]]-TODAY())&lt;=366,transactions[[#This Row],[FQ]],"Out-year")</f>
        <v>Out-year</v>
      </c>
      <c r="N158" s="55">
        <f>transactions[[#This Row],[UnWeighted]]/1000</f>
        <v>248.00716666666665</v>
      </c>
      <c r="O158" s="55">
        <f>transactions[[#This Row],[Weighted]]/1000</f>
        <v>49.601433333333333</v>
      </c>
      <c r="P158" s="55">
        <f>transactions[[#This Row],[$K Unweighted]]/1000</f>
        <v>0.24800716666666664</v>
      </c>
      <c r="Q158" s="55" t="b">
        <f ca="1">transactions[[#This Row],[TransactionDate]]&gt;TODAY()</f>
        <v>1</v>
      </c>
    </row>
    <row r="159" spans="1:17" x14ac:dyDescent="0.25">
      <c r="A159">
        <v>13</v>
      </c>
      <c r="B159">
        <v>2</v>
      </c>
      <c r="C159" s="31">
        <v>46560</v>
      </c>
      <c r="D15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9" s="51" t="str">
        <f>"CY"&amp;RIGHT(YEAR(transactions[[#This Row],[TransactionDate]]),2)&amp;"-Q"&amp;ROUNDUP(MONTH(transactions[[#This Row],[TransactionDate]])/3, 0)</f>
        <v>CY27-Q2</v>
      </c>
      <c r="F159" s="52">
        <f>transactions[[#This Row],[UnWeighted]]*_xlfn.XLOOKUP(transactions[[#This Row],[OpportunityID]],Opportunities[ID],Opportunities[WinProbabilityValue])</f>
        <v>12618.744897959185</v>
      </c>
      <c r="G159"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59" s="51" t="str">
        <f>_xlfn.XLOOKUP(transactions[[#This Row],[OpportunityID]],Opportunities[ID],Opportunities[Status])</f>
        <v>Active</v>
      </c>
      <c r="I159" s="51" t="str">
        <f>_xlfn.XLOOKUP(transactions[[#This Row],[OpportunityID]],Opportunities[ID],Opportunities[Stage])</f>
        <v>Negotiation</v>
      </c>
      <c r="J159" s="51" t="str">
        <f>_xlfn.XLOOKUP(transactions[[#This Row],[OpportunityID]],Opportunities[ID],Opportunities[OpportunityName])</f>
        <v>E-commerce Platform</v>
      </c>
      <c r="K159" s="51" t="str">
        <f>_xlfn.XLOOKUP(transactions[[#This Row],[CustomerId]],Customers[Id],Customers[Customer Name])</f>
        <v>Global Industries</v>
      </c>
      <c r="L159" s="51" t="str">
        <f>_xlfn.XLOOKUP(transactions[[#This Row],[OpportunityID]],Opportunities[ID],Opportunities[OpportunityOwner])</f>
        <v>Lisa Engineer</v>
      </c>
      <c r="M159" s="51" t="str">
        <f ca="1">IF((transactions[[#This Row],[TransactionDate]]-TODAY())&lt;=366,transactions[[#This Row],[FQ]],"Out-year")</f>
        <v>Out-year</v>
      </c>
      <c r="N159" s="55">
        <f>transactions[[#This Row],[UnWeighted]]/1000</f>
        <v>25.237489795918368</v>
      </c>
      <c r="O159" s="55">
        <f>transactions[[#This Row],[Weighted]]/1000</f>
        <v>12.618744897959184</v>
      </c>
      <c r="P159" s="55">
        <f>transactions[[#This Row],[$K Unweighted]]/1000</f>
        <v>2.5237489795918368E-2</v>
      </c>
      <c r="Q159" s="55" t="b">
        <f ca="1">transactions[[#This Row],[TransactionDate]]&gt;TODAY()</f>
        <v>1</v>
      </c>
    </row>
    <row r="160" spans="1:17" x14ac:dyDescent="0.25">
      <c r="A160">
        <v>6</v>
      </c>
      <c r="B160">
        <v>13</v>
      </c>
      <c r="C160" s="31">
        <v>46564</v>
      </c>
      <c r="D16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0" s="51" t="str">
        <f>"CY"&amp;RIGHT(YEAR(transactions[[#This Row],[TransactionDate]]),2)&amp;"-Q"&amp;ROUNDUP(MONTH(transactions[[#This Row],[TransactionDate]])/3, 0)</f>
        <v>CY27-Q2</v>
      </c>
      <c r="F160" s="52">
        <f>transactions[[#This Row],[UnWeighted]]*_xlfn.XLOOKUP(transactions[[#This Row],[OpportunityID]],Opportunities[ID],Opportunities[WinProbabilityValue])</f>
        <v>37550.227272727272</v>
      </c>
      <c r="G160" s="52">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160" s="51" t="str">
        <f>_xlfn.XLOOKUP(transactions[[#This Row],[OpportunityID]],Opportunities[ID],Opportunities[Status])</f>
        <v>Active</v>
      </c>
      <c r="I160" s="51" t="str">
        <f>_xlfn.XLOOKUP(transactions[[#This Row],[OpportunityID]],Opportunities[ID],Opportunities[Stage])</f>
        <v>Project Execution</v>
      </c>
      <c r="J160" s="51" t="str">
        <f>_xlfn.XLOOKUP(transactions[[#This Row],[OpportunityID]],Opportunities[ID],Opportunities[OpportunityName])</f>
        <v>Digital Transformation Project</v>
      </c>
      <c r="K160" s="51" t="str">
        <f>_xlfn.XLOOKUP(transactions[[#This Row],[CustomerId]],Customers[Id],Customers[Customer Name])</f>
        <v>Professional Services Group</v>
      </c>
      <c r="L160" s="51" t="str">
        <f>_xlfn.XLOOKUP(transactions[[#This Row],[OpportunityID]],Opportunities[ID],Opportunities[OpportunityOwner])</f>
        <v>Robert Analyst</v>
      </c>
      <c r="M160" s="51" t="str">
        <f ca="1">IF((transactions[[#This Row],[TransactionDate]]-TODAY())&lt;=366,transactions[[#This Row],[FQ]],"Out-year")</f>
        <v>Out-year</v>
      </c>
      <c r="N160" s="55">
        <f>transactions[[#This Row],[UnWeighted]]/1000</f>
        <v>75.100454545454539</v>
      </c>
      <c r="O160" s="55">
        <f>transactions[[#This Row],[Weighted]]/1000</f>
        <v>37.55022727272727</v>
      </c>
      <c r="P160" s="55">
        <f>transactions[[#This Row],[$K Unweighted]]/1000</f>
        <v>7.510045454545454E-2</v>
      </c>
      <c r="Q160" s="55" t="b">
        <f ca="1">transactions[[#This Row],[TransactionDate]]&gt;TODAY()</f>
        <v>1</v>
      </c>
    </row>
    <row r="161" spans="1:17" x14ac:dyDescent="0.25">
      <c r="A161">
        <v>38</v>
      </c>
      <c r="B161">
        <v>21</v>
      </c>
      <c r="C161" s="31">
        <v>46568</v>
      </c>
      <c r="D16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1" s="51" t="str">
        <f>"CY"&amp;RIGHT(YEAR(transactions[[#This Row],[TransactionDate]]),2)&amp;"-Q"&amp;ROUNDUP(MONTH(transactions[[#This Row],[TransactionDate]])/3, 0)</f>
        <v>CY27-Q2</v>
      </c>
      <c r="F161" s="52">
        <f>transactions[[#This Row],[UnWeighted]]*_xlfn.XLOOKUP(transactions[[#This Row],[OpportunityID]],Opportunities[ID],Opportunities[WinProbabilityValue])</f>
        <v>50822.5</v>
      </c>
      <c r="G161" s="52">
        <f>_xlfn.XLOOKUP(transactions[[#This Row],[OpportunityID]],Opportunities[ID],Opportunities[Amount])/IF(_xlfn.XLOOKUP(transactions[[#This Row],[OpportunityID]],Opportunities[ID],Opportunities[Recurrences])=0,1,_xlfn.XLOOKUP(transactions[[#This Row],[OpportunityID]],Opportunities[ID],Opportunities[Recurrences]))</f>
        <v>101645</v>
      </c>
      <c r="H161" s="51" t="str">
        <f>_xlfn.XLOOKUP(transactions[[#This Row],[OpportunityID]],Opportunities[ID],Opportunities[Status])</f>
        <v>Active</v>
      </c>
      <c r="I161" s="51" t="str">
        <f>_xlfn.XLOOKUP(transactions[[#This Row],[OpportunityID]],Opportunities[ID],Opportunities[Stage])</f>
        <v>Proposal</v>
      </c>
      <c r="J161" s="51" t="str">
        <f>_xlfn.XLOOKUP(transactions[[#This Row],[OpportunityID]],Opportunities[ID],Opportunities[OpportunityName])</f>
        <v>Legacy System Modernization</v>
      </c>
      <c r="K161" s="51" t="str">
        <f>_xlfn.XLOOKUP(transactions[[#This Row],[CustomerId]],Customers[Id],Customers[Customer Name])</f>
        <v>Textile Manufacturing</v>
      </c>
      <c r="L161" s="51" t="str">
        <f>_xlfn.XLOOKUP(transactions[[#This Row],[OpportunityID]],Opportunities[ID],Opportunities[OpportunityOwner])</f>
        <v>Lisa Engineer</v>
      </c>
      <c r="M161" s="51" t="str">
        <f ca="1">IF((transactions[[#This Row],[TransactionDate]]-TODAY())&lt;=366,transactions[[#This Row],[FQ]],"Out-year")</f>
        <v>Out-year</v>
      </c>
      <c r="N161" s="55">
        <f>transactions[[#This Row],[UnWeighted]]/1000</f>
        <v>101.645</v>
      </c>
      <c r="O161" s="55">
        <f>transactions[[#This Row],[Weighted]]/1000</f>
        <v>50.822499999999998</v>
      </c>
      <c r="P161" s="55">
        <f>transactions[[#This Row],[$K Unweighted]]/1000</f>
        <v>0.101645</v>
      </c>
      <c r="Q161" s="55" t="b">
        <f ca="1">transactions[[#This Row],[TransactionDate]]&gt;TODAY()</f>
        <v>1</v>
      </c>
    </row>
    <row r="162" spans="1:17" x14ac:dyDescent="0.25">
      <c r="A162">
        <v>26</v>
      </c>
      <c r="B162">
        <v>1</v>
      </c>
      <c r="C162" s="31">
        <v>46569</v>
      </c>
      <c r="D16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2" s="51" t="str">
        <f>"CY"&amp;RIGHT(YEAR(transactions[[#This Row],[TransactionDate]]),2)&amp;"-Q"&amp;ROUNDUP(MONTH(transactions[[#This Row],[TransactionDate]])/3, 0)</f>
        <v>CY27-Q3</v>
      </c>
      <c r="F162" s="52">
        <f>transactions[[#This Row],[UnWeighted]]*_xlfn.XLOOKUP(transactions[[#This Row],[OpportunityID]],Opportunities[ID],Opportunities[WinProbabilityValue])</f>
        <v>11339.638888888889</v>
      </c>
      <c r="G162"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62" s="51" t="str">
        <f>_xlfn.XLOOKUP(transactions[[#This Row],[OpportunityID]],Opportunities[ID],Opportunities[Status])</f>
        <v>Active</v>
      </c>
      <c r="I162" s="51" t="str">
        <f>_xlfn.XLOOKUP(transactions[[#This Row],[OpportunityID]],Opportunities[ID],Opportunities[Stage])</f>
        <v>Negotiation</v>
      </c>
      <c r="J162" s="51" t="str">
        <f>_xlfn.XLOOKUP(transactions[[#This Row],[OpportunityID]],Opportunities[ID],Opportunities[OpportunityName])</f>
        <v>Video Conferencing Solution</v>
      </c>
      <c r="K162" s="51" t="str">
        <f>_xlfn.XLOOKUP(transactions[[#This Row],[CustomerId]],Customers[Id],Customers[Customer Name])</f>
        <v>ACME Corporation</v>
      </c>
      <c r="L162" s="51" t="str">
        <f>_xlfn.XLOOKUP(transactions[[#This Row],[OpportunityID]],Opportunities[ID],Opportunities[OpportunityOwner])</f>
        <v>Mike Consultant</v>
      </c>
      <c r="M162" s="51" t="str">
        <f ca="1">IF((transactions[[#This Row],[TransactionDate]]-TODAY())&lt;=366,transactions[[#This Row],[FQ]],"Out-year")</f>
        <v>Out-year</v>
      </c>
      <c r="N162" s="55">
        <f>transactions[[#This Row],[UnWeighted]]/1000</f>
        <v>22.679277777777777</v>
      </c>
      <c r="O162" s="55">
        <f>transactions[[#This Row],[Weighted]]/1000</f>
        <v>11.339638888888889</v>
      </c>
      <c r="P162" s="55">
        <f>transactions[[#This Row],[$K Unweighted]]/1000</f>
        <v>2.2679277777777777E-2</v>
      </c>
      <c r="Q162" s="55" t="b">
        <f ca="1">transactions[[#This Row],[TransactionDate]]&gt;TODAY()</f>
        <v>1</v>
      </c>
    </row>
    <row r="163" spans="1:17" x14ac:dyDescent="0.25">
      <c r="A163">
        <v>39</v>
      </c>
      <c r="B163">
        <v>3</v>
      </c>
      <c r="C163" s="31">
        <v>46571</v>
      </c>
      <c r="D16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3" s="51" t="str">
        <f>"CY"&amp;RIGHT(YEAR(transactions[[#This Row],[TransactionDate]]),2)&amp;"-Q"&amp;ROUNDUP(MONTH(transactions[[#This Row],[TransactionDate]])/3, 0)</f>
        <v>CY27-Q3</v>
      </c>
      <c r="F163" s="52">
        <f>transactions[[#This Row],[UnWeighted]]*_xlfn.XLOOKUP(transactions[[#This Row],[OpportunityID]],Opportunities[ID],Opportunities[WinProbabilityValue])</f>
        <v>20929.153846153848</v>
      </c>
      <c r="G163"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63" s="51" t="str">
        <f>_xlfn.XLOOKUP(transactions[[#This Row],[OpportunityID]],Opportunities[ID],Opportunities[Status])</f>
        <v>Active</v>
      </c>
      <c r="I163" s="51" t="str">
        <f>_xlfn.XLOOKUP(transactions[[#This Row],[OpportunityID]],Opportunities[ID],Opportunities[Stage])</f>
        <v>Project Execution</v>
      </c>
      <c r="J163" s="51" t="str">
        <f>_xlfn.XLOOKUP(transactions[[#This Row],[OpportunityID]],Opportunities[ID],Opportunities[OpportunityName])</f>
        <v>API Development Project</v>
      </c>
      <c r="K163" s="51" t="str">
        <f>_xlfn.XLOOKUP(transactions[[#This Row],[CustomerId]],Customers[Id],Customers[Customer Name])</f>
        <v>Tech Solutions Inc</v>
      </c>
      <c r="L163" s="51" t="str">
        <f>_xlfn.XLOOKUP(transactions[[#This Row],[OpportunityID]],Opportunities[ID],Opportunities[OpportunityOwner])</f>
        <v>Jennifer PM</v>
      </c>
      <c r="M163" s="51" t="str">
        <f ca="1">IF((transactions[[#This Row],[TransactionDate]]-TODAY())&lt;=366,transactions[[#This Row],[FQ]],"Out-year")</f>
        <v>Out-year</v>
      </c>
      <c r="N163" s="55">
        <f>transactions[[#This Row],[UnWeighted]]/1000</f>
        <v>41.858307692307697</v>
      </c>
      <c r="O163" s="55">
        <f>transactions[[#This Row],[Weighted]]/1000</f>
        <v>20.929153846153849</v>
      </c>
      <c r="P163" s="55">
        <f>transactions[[#This Row],[$K Unweighted]]/1000</f>
        <v>4.1858307692307695E-2</v>
      </c>
      <c r="Q163" s="55" t="b">
        <f ca="1">transactions[[#This Row],[TransactionDate]]&gt;TODAY()</f>
        <v>1</v>
      </c>
    </row>
    <row r="164" spans="1:17" x14ac:dyDescent="0.25">
      <c r="A164">
        <v>36</v>
      </c>
      <c r="B164">
        <v>1</v>
      </c>
      <c r="C164" s="31">
        <v>46574</v>
      </c>
      <c r="D16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4" s="51" t="str">
        <f>"CY"&amp;RIGHT(YEAR(transactions[[#This Row],[TransactionDate]]),2)&amp;"-Q"&amp;ROUNDUP(MONTH(transactions[[#This Row],[TransactionDate]])/3, 0)</f>
        <v>CY27-Q3</v>
      </c>
      <c r="F164" s="52">
        <f>transactions[[#This Row],[UnWeighted]]*_xlfn.XLOOKUP(transactions[[#This Row],[OpportunityID]],Opportunities[ID],Opportunities[WinProbabilityValue])</f>
        <v>24983.895833333332</v>
      </c>
      <c r="G164"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64" s="51" t="str">
        <f>_xlfn.XLOOKUP(transactions[[#This Row],[OpportunityID]],Opportunities[ID],Opportunities[Status])</f>
        <v>Active</v>
      </c>
      <c r="I164" s="51" t="str">
        <f>_xlfn.XLOOKUP(transactions[[#This Row],[OpportunityID]],Opportunities[ID],Opportunities[Stage])</f>
        <v>Lead Qualification</v>
      </c>
      <c r="J164" s="51" t="str">
        <f>_xlfn.XLOOKUP(transactions[[#This Row],[OpportunityID]],Opportunities[ID],Opportunities[OpportunityName])</f>
        <v>Integration Services Project</v>
      </c>
      <c r="K164" s="51" t="str">
        <f>_xlfn.XLOOKUP(transactions[[#This Row],[CustomerId]],Customers[Id],Customers[Customer Name])</f>
        <v>ACME Corporation</v>
      </c>
      <c r="L164" s="51" t="str">
        <f>_xlfn.XLOOKUP(transactions[[#This Row],[OpportunityID]],Opportunities[ID],Opportunities[OpportunityOwner])</f>
        <v>Amanda Sales</v>
      </c>
      <c r="M164" s="51" t="str">
        <f ca="1">IF((transactions[[#This Row],[TransactionDate]]-TODAY())&lt;=366,transactions[[#This Row],[FQ]],"Out-year")</f>
        <v>Out-year</v>
      </c>
      <c r="N164" s="55">
        <f>transactions[[#This Row],[UnWeighted]]/1000</f>
        <v>49.967791666666663</v>
      </c>
      <c r="O164" s="55">
        <f>transactions[[#This Row],[Weighted]]/1000</f>
        <v>24.983895833333332</v>
      </c>
      <c r="P164" s="55">
        <f>transactions[[#This Row],[$K Unweighted]]/1000</f>
        <v>4.9967791666666664E-2</v>
      </c>
      <c r="Q164" s="55" t="b">
        <f ca="1">transactions[[#This Row],[TransactionDate]]&gt;TODAY()</f>
        <v>1</v>
      </c>
    </row>
    <row r="165" spans="1:17" x14ac:dyDescent="0.25">
      <c r="A165">
        <v>15</v>
      </c>
      <c r="B165">
        <v>24</v>
      </c>
      <c r="C165" s="31">
        <v>46575</v>
      </c>
      <c r="D16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5" s="51" t="str">
        <f>"CY"&amp;RIGHT(YEAR(transactions[[#This Row],[TransactionDate]]),2)&amp;"-Q"&amp;ROUNDUP(MONTH(transactions[[#This Row],[TransactionDate]])/3, 0)</f>
        <v>CY27-Q3</v>
      </c>
      <c r="F165" s="52">
        <f>transactions[[#This Row],[UnWeighted]]*_xlfn.XLOOKUP(transactions[[#This Row],[OpportunityID]],Opportunities[ID],Opportunities[WinProbabilityValue])</f>
        <v>29217.197872340425</v>
      </c>
      <c r="G165"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65" s="51" t="str">
        <f>_xlfn.XLOOKUP(transactions[[#This Row],[OpportunityID]],Opportunities[ID],Opportunities[Status])</f>
        <v>Active</v>
      </c>
      <c r="I165" s="51" t="str">
        <f>_xlfn.XLOOKUP(transactions[[#This Row],[OpportunityID]],Opportunities[ID],Opportunities[Stage])</f>
        <v>Project Execution</v>
      </c>
      <c r="J165" s="51" t="str">
        <f>_xlfn.XLOOKUP(transactions[[#This Row],[OpportunityID]],Opportunities[ID],Opportunities[OpportunityName])</f>
        <v>Training &amp; Development Program</v>
      </c>
      <c r="K165" s="51" t="str">
        <f>_xlfn.XLOOKUP(transactions[[#This Row],[CustomerId]],Customers[Id],Customers[Customer Name])</f>
        <v>Security Solutions</v>
      </c>
      <c r="L165" s="51" t="str">
        <f>_xlfn.XLOOKUP(transactions[[#This Row],[OpportunityID]],Opportunities[ID],Opportunities[OpportunityOwner])</f>
        <v>Sarah Director</v>
      </c>
      <c r="M165" s="51" t="str">
        <f ca="1">IF((transactions[[#This Row],[TransactionDate]]-TODAY())&lt;=366,transactions[[#This Row],[FQ]],"Out-year")</f>
        <v>Out-year</v>
      </c>
      <c r="N165" s="55">
        <f>transactions[[#This Row],[UnWeighted]]/1000</f>
        <v>32.46355319148936</v>
      </c>
      <c r="O165" s="55">
        <f>transactions[[#This Row],[Weighted]]/1000</f>
        <v>29.217197872340424</v>
      </c>
      <c r="P165" s="55">
        <f>transactions[[#This Row],[$K Unweighted]]/1000</f>
        <v>3.2463553191489358E-2</v>
      </c>
      <c r="Q165" s="55" t="b">
        <f ca="1">transactions[[#This Row],[TransactionDate]]&gt;TODAY()</f>
        <v>1</v>
      </c>
    </row>
    <row r="166" spans="1:17" x14ac:dyDescent="0.25">
      <c r="A166">
        <v>17</v>
      </c>
      <c r="B166">
        <v>19</v>
      </c>
      <c r="C166" s="31">
        <v>46577</v>
      </c>
      <c r="D16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6" s="51" t="str">
        <f>"CY"&amp;RIGHT(YEAR(transactions[[#This Row],[TransactionDate]]),2)&amp;"-Q"&amp;ROUNDUP(MONTH(transactions[[#This Row],[TransactionDate]])/3, 0)</f>
        <v>CY27-Q3</v>
      </c>
      <c r="F166" s="52">
        <f>transactions[[#This Row],[UnWeighted]]*_xlfn.XLOOKUP(transactions[[#This Row],[OpportunityID]],Opportunities[ID],Opportunities[WinProbabilityValue])</f>
        <v>9267.2333333333336</v>
      </c>
      <c r="G166"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66" s="51" t="str">
        <f>_xlfn.XLOOKUP(transactions[[#This Row],[OpportunityID]],Opportunities[ID],Opportunities[Status])</f>
        <v>Active</v>
      </c>
      <c r="I166" s="51" t="str">
        <f>_xlfn.XLOOKUP(transactions[[#This Row],[OpportunityID]],Opportunities[ID],Opportunities[Stage])</f>
        <v>Negotiation</v>
      </c>
      <c r="J166" s="51" t="str">
        <f>_xlfn.XLOOKUP(transactions[[#This Row],[OpportunityID]],Opportunities[ID],Opportunities[OpportunityName])</f>
        <v>Supply Chain Optimization</v>
      </c>
      <c r="K166" s="51" t="str">
        <f>_xlfn.XLOOKUP(transactions[[#This Row],[CustomerId]],Customers[Id],Customers[Customer Name])</f>
        <v>Hotel Management Group</v>
      </c>
      <c r="L166" s="51" t="str">
        <f>_xlfn.XLOOKUP(transactions[[#This Row],[OpportunityID]],Opportunities[ID],Opportunities[OpportunityOwner])</f>
        <v>Jennifer PM</v>
      </c>
      <c r="M166" s="51" t="str">
        <f ca="1">IF((transactions[[#This Row],[TransactionDate]]-TODAY())&lt;=366,transactions[[#This Row],[FQ]],"Out-year")</f>
        <v>Out-year</v>
      </c>
      <c r="N166" s="55">
        <f>transactions[[#This Row],[UnWeighted]]/1000</f>
        <v>46.336166666666664</v>
      </c>
      <c r="O166" s="55">
        <f>transactions[[#This Row],[Weighted]]/1000</f>
        <v>9.2672333333333334</v>
      </c>
      <c r="P166" s="55">
        <f>transactions[[#This Row],[$K Unweighted]]/1000</f>
        <v>4.6336166666666664E-2</v>
      </c>
      <c r="Q166" s="55" t="b">
        <f ca="1">transactions[[#This Row],[TransactionDate]]&gt;TODAY()</f>
        <v>1</v>
      </c>
    </row>
    <row r="167" spans="1:17" x14ac:dyDescent="0.25">
      <c r="A167">
        <v>16</v>
      </c>
      <c r="B167">
        <v>22</v>
      </c>
      <c r="C167" s="31">
        <v>46579</v>
      </c>
      <c r="D16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7" s="51" t="str">
        <f>"CY"&amp;RIGHT(YEAR(transactions[[#This Row],[TransactionDate]]),2)&amp;"-Q"&amp;ROUNDUP(MONTH(transactions[[#This Row],[TransactionDate]])/3, 0)</f>
        <v>CY27-Q3</v>
      </c>
      <c r="F167" s="52">
        <f>transactions[[#This Row],[UnWeighted]]*_xlfn.XLOOKUP(transactions[[#This Row],[OpportunityID]],Opportunities[ID],Opportunities[WinProbabilityValue])</f>
        <v>59080.25</v>
      </c>
      <c r="G167" s="52">
        <f>_xlfn.XLOOKUP(transactions[[#This Row],[OpportunityID]],Opportunities[ID],Opportunities[Amount])/IF(_xlfn.XLOOKUP(transactions[[#This Row],[OpportunityID]],Opportunities[ID],Opportunities[Recurrences])=0,1,_xlfn.XLOOKUP(transactions[[#This Row],[OpportunityID]],Opportunities[ID],Opportunities[Recurrences]))</f>
        <v>118160.5</v>
      </c>
      <c r="H167" s="51" t="str">
        <f>_xlfn.XLOOKUP(transactions[[#This Row],[OpportunityID]],Opportunities[ID],Opportunities[Status])</f>
        <v>At Risk</v>
      </c>
      <c r="I167" s="51" t="str">
        <f>_xlfn.XLOOKUP(transactions[[#This Row],[OpportunityID]],Opportunities[ID],Opportunities[Stage])</f>
        <v>Proposal</v>
      </c>
      <c r="J167" s="51" t="str">
        <f>_xlfn.XLOOKUP(transactions[[#This Row],[OpportunityID]],Opportunities[ID],Opportunities[OpportunityName])</f>
        <v>Quality Management System</v>
      </c>
      <c r="K167" s="51" t="str">
        <f>_xlfn.XLOOKUP(transactions[[#This Row],[CustomerId]],Customers[Id],Customers[Customer Name])</f>
        <v>Environmental Services</v>
      </c>
      <c r="L167" s="51" t="str">
        <f>_xlfn.XLOOKUP(transactions[[#This Row],[OpportunityID]],Opportunities[ID],Opportunities[OpportunityOwner])</f>
        <v>John Manager</v>
      </c>
      <c r="M167" s="51" t="str">
        <f ca="1">IF((transactions[[#This Row],[TransactionDate]]-TODAY())&lt;=366,transactions[[#This Row],[FQ]],"Out-year")</f>
        <v>Out-year</v>
      </c>
      <c r="N167" s="55">
        <f>transactions[[#This Row],[UnWeighted]]/1000</f>
        <v>118.1605</v>
      </c>
      <c r="O167" s="55">
        <f>transactions[[#This Row],[Weighted]]/1000</f>
        <v>59.080249999999999</v>
      </c>
      <c r="P167" s="55">
        <f>transactions[[#This Row],[$K Unweighted]]/1000</f>
        <v>0.1181605</v>
      </c>
      <c r="Q167" s="55" t="b">
        <f ca="1">transactions[[#This Row],[TransactionDate]]&gt;TODAY()</f>
        <v>1</v>
      </c>
    </row>
    <row r="168" spans="1:17" x14ac:dyDescent="0.25">
      <c r="A168">
        <v>22</v>
      </c>
      <c r="B168">
        <v>11</v>
      </c>
      <c r="C168" s="31">
        <v>46579</v>
      </c>
      <c r="D16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8" s="51" t="str">
        <f>"CY"&amp;RIGHT(YEAR(transactions[[#This Row],[TransactionDate]]),2)&amp;"-Q"&amp;ROUNDUP(MONTH(transactions[[#This Row],[TransactionDate]])/3, 0)</f>
        <v>CY27-Q3</v>
      </c>
      <c r="F168" s="52">
        <f>transactions[[#This Row],[UnWeighted]]*_xlfn.XLOOKUP(transactions[[#This Row],[OpportunityID]],Opportunities[ID],Opportunities[WinProbabilityValue])</f>
        <v>26390.544230769232</v>
      </c>
      <c r="G168"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68" s="51" t="str">
        <f>_xlfn.XLOOKUP(transactions[[#This Row],[OpportunityID]],Opportunities[ID],Opportunities[Status])</f>
        <v>Active</v>
      </c>
      <c r="I168" s="51" t="str">
        <f>_xlfn.XLOOKUP(transactions[[#This Row],[OpportunityID]],Opportunities[ID],Opportunities[Stage])</f>
        <v>Nurturing</v>
      </c>
      <c r="J168" s="51" t="str">
        <f>_xlfn.XLOOKUP(transactions[[#This Row],[OpportunityID]],Opportunities[ID],Opportunities[OpportunityName])</f>
        <v>Inventory Management Solution</v>
      </c>
      <c r="K168" s="51" t="str">
        <f>_xlfn.XLOOKUP(transactions[[#This Row],[CustomerId]],Customers[Id],Customers[Customer Name])</f>
        <v>Transport Logistics</v>
      </c>
      <c r="L168" s="51" t="str">
        <f>_xlfn.XLOOKUP(transactions[[#This Row],[OpportunityID]],Opportunities[ID],Opportunities[OpportunityOwner])</f>
        <v>Sarah Director</v>
      </c>
      <c r="M168" s="51" t="str">
        <f ca="1">IF((transactions[[#This Row],[TransactionDate]]-TODAY())&lt;=366,transactions[[#This Row],[FQ]],"Out-year")</f>
        <v>Out-year</v>
      </c>
      <c r="N168" s="55">
        <f>transactions[[#This Row],[UnWeighted]]/1000</f>
        <v>29.322826923076921</v>
      </c>
      <c r="O168" s="55">
        <f>transactions[[#This Row],[Weighted]]/1000</f>
        <v>26.390544230769233</v>
      </c>
      <c r="P168" s="55">
        <f>transactions[[#This Row],[$K Unweighted]]/1000</f>
        <v>2.932282692307692E-2</v>
      </c>
      <c r="Q168" s="55" t="b">
        <f ca="1">transactions[[#This Row],[TransactionDate]]&gt;TODAY()</f>
        <v>1</v>
      </c>
    </row>
    <row r="169" spans="1:17" x14ac:dyDescent="0.25">
      <c r="A169">
        <v>11</v>
      </c>
      <c r="B169">
        <v>3</v>
      </c>
      <c r="C169" s="31">
        <v>46581</v>
      </c>
      <c r="D16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9" s="51" t="str">
        <f>"CY"&amp;RIGHT(YEAR(transactions[[#This Row],[TransactionDate]]),2)&amp;"-Q"&amp;ROUNDUP(MONTH(transactions[[#This Row],[TransactionDate]])/3, 0)</f>
        <v>CY27-Q3</v>
      </c>
      <c r="F169" s="52">
        <f>transactions[[#This Row],[UnWeighted]]*_xlfn.XLOOKUP(transactions[[#This Row],[OpportunityID]],Opportunities[ID],Opportunities[WinProbabilityValue])</f>
        <v>113460.75</v>
      </c>
      <c r="G169" s="52">
        <f>_xlfn.XLOOKUP(transactions[[#This Row],[OpportunityID]],Opportunities[ID],Opportunities[Amount])/IF(_xlfn.XLOOKUP(transactions[[#This Row],[OpportunityID]],Opportunities[ID],Opportunities[Recurrences])=0,1,_xlfn.XLOOKUP(transactions[[#This Row],[OpportunityID]],Opportunities[ID],Opportunities[Recurrences]))</f>
        <v>126067.5</v>
      </c>
      <c r="H169" s="51" t="str">
        <f>_xlfn.XLOOKUP(transactions[[#This Row],[OpportunityID]],Opportunities[ID],Opportunities[Status])</f>
        <v>At Risk</v>
      </c>
      <c r="I169" s="51" t="str">
        <f>_xlfn.XLOOKUP(transactions[[#This Row],[OpportunityID]],Opportunities[ID],Opportunities[Stage])</f>
        <v>Negotiation</v>
      </c>
      <c r="J169" s="51" t="str">
        <f>_xlfn.XLOOKUP(transactions[[#This Row],[OpportunityID]],Opportunities[ID],Opportunities[OpportunityName])</f>
        <v>Data Center Consolidation</v>
      </c>
      <c r="K169" s="51" t="str">
        <f>_xlfn.XLOOKUP(transactions[[#This Row],[CustomerId]],Customers[Id],Customers[Customer Name])</f>
        <v>Tech Solutions Inc</v>
      </c>
      <c r="L169" s="51" t="str">
        <f>_xlfn.XLOOKUP(transactions[[#This Row],[OpportunityID]],Opportunities[ID],Opportunities[OpportunityOwner])</f>
        <v>David Specialist</v>
      </c>
      <c r="M169" s="51" t="str">
        <f ca="1">IF((transactions[[#This Row],[TransactionDate]]-TODAY())&lt;=366,transactions[[#This Row],[FQ]],"Out-year")</f>
        <v>Out-year</v>
      </c>
      <c r="N169" s="55">
        <f>transactions[[#This Row],[UnWeighted]]/1000</f>
        <v>126.0675</v>
      </c>
      <c r="O169" s="55">
        <f>transactions[[#This Row],[Weighted]]/1000</f>
        <v>113.46075</v>
      </c>
      <c r="P169" s="55">
        <f>transactions[[#This Row],[$K Unweighted]]/1000</f>
        <v>0.1260675</v>
      </c>
      <c r="Q169" s="55" t="b">
        <f ca="1">transactions[[#This Row],[TransactionDate]]&gt;TODAY()</f>
        <v>1</v>
      </c>
    </row>
    <row r="170" spans="1:17" x14ac:dyDescent="0.25">
      <c r="A170">
        <v>2</v>
      </c>
      <c r="B170">
        <v>10</v>
      </c>
      <c r="C170" s="31">
        <v>46585</v>
      </c>
      <c r="D17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0" s="51" t="str">
        <f>"CY"&amp;RIGHT(YEAR(transactions[[#This Row],[TransactionDate]]),2)&amp;"-Q"&amp;ROUNDUP(MONTH(transactions[[#This Row],[TransactionDate]])/3, 0)</f>
        <v>CY27-Q3</v>
      </c>
      <c r="F170" s="52">
        <f>transactions[[#This Row],[UnWeighted]]*_xlfn.XLOOKUP(transactions[[#This Row],[OpportunityID]],Opportunities[ID],Opportunities[WinProbabilityValue])</f>
        <v>20720.20930232558</v>
      </c>
      <c r="G170"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70" s="51" t="str">
        <f>_xlfn.XLOOKUP(transactions[[#This Row],[OpportunityID]],Opportunities[ID],Opportunities[Status])</f>
        <v>Active</v>
      </c>
      <c r="I170" s="51" t="str">
        <f>_xlfn.XLOOKUP(transactions[[#This Row],[OpportunityID]],Opportunities[ID],Opportunities[Stage])</f>
        <v>Proposal</v>
      </c>
      <c r="J170" s="51" t="str">
        <f>_xlfn.XLOOKUP(transactions[[#This Row],[OpportunityID]],Opportunities[ID],Opportunities[OpportunityName])</f>
        <v>Cloud Migration Initiative</v>
      </c>
      <c r="K170" s="51" t="str">
        <f>_xlfn.XLOOKUP(transactions[[#This Row],[CustomerId]],Customers[Id],Customers[Customer Name])</f>
        <v>Education First</v>
      </c>
      <c r="L170" s="51" t="str">
        <f>_xlfn.XLOOKUP(transactions[[#This Row],[OpportunityID]],Opportunities[ID],Opportunities[OpportunityOwner])</f>
        <v>Robert Analyst</v>
      </c>
      <c r="M170" s="51" t="str">
        <f ca="1">IF((transactions[[#This Row],[TransactionDate]]-TODAY())&lt;=366,transactions[[#This Row],[FQ]],"Out-year")</f>
        <v>Out-year</v>
      </c>
      <c r="N170" s="55">
        <f>transactions[[#This Row],[UnWeighted]]/1000</f>
        <v>41.440418604651157</v>
      </c>
      <c r="O170" s="55">
        <f>transactions[[#This Row],[Weighted]]/1000</f>
        <v>20.720209302325578</v>
      </c>
      <c r="P170" s="55">
        <f>transactions[[#This Row],[$K Unweighted]]/1000</f>
        <v>4.1440418604651155E-2</v>
      </c>
      <c r="Q170" s="55" t="b">
        <f ca="1">transactions[[#This Row],[TransactionDate]]&gt;TODAY()</f>
        <v>1</v>
      </c>
    </row>
    <row r="171" spans="1:17" x14ac:dyDescent="0.25">
      <c r="A171">
        <v>9</v>
      </c>
      <c r="B171">
        <v>26</v>
      </c>
      <c r="C171" s="31">
        <v>46587</v>
      </c>
      <c r="D17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1" s="51" t="str">
        <f>"CY"&amp;RIGHT(YEAR(transactions[[#This Row],[TransactionDate]]),2)&amp;"-Q"&amp;ROUNDUP(MONTH(transactions[[#This Row],[TransactionDate]])/3, 0)</f>
        <v>CY27-Q3</v>
      </c>
      <c r="F171" s="52">
        <f>transactions[[#This Row],[UnWeighted]]*_xlfn.XLOOKUP(transactions[[#This Row],[OpportunityID]],Opportunities[ID],Opportunities[WinProbabilityValue])</f>
        <v>37447.800000000003</v>
      </c>
      <c r="G171" s="52">
        <f>_xlfn.XLOOKUP(transactions[[#This Row],[OpportunityID]],Opportunities[ID],Opportunities[Amount])/IF(_xlfn.XLOOKUP(transactions[[#This Row],[OpportunityID]],Opportunities[ID],Opportunities[Recurrences])=0,1,_xlfn.XLOOKUP(transactions[[#This Row],[OpportunityID]],Opportunities[ID],Opportunities[Recurrences]))</f>
        <v>187239</v>
      </c>
      <c r="H171" s="51" t="str">
        <f>_xlfn.XLOOKUP(transactions[[#This Row],[OpportunityID]],Opportunities[ID],Opportunities[Status])</f>
        <v>At Risk</v>
      </c>
      <c r="I171" s="51" t="str">
        <f>_xlfn.XLOOKUP(transactions[[#This Row],[OpportunityID]],Opportunities[ID],Opportunities[Stage])</f>
        <v>Lead Qualification</v>
      </c>
      <c r="J171" s="51" t="str">
        <f>_xlfn.XLOOKUP(transactions[[#This Row],[OpportunityID]],Opportunities[ID],Opportunities[OpportunityName])</f>
        <v>Customer Portal Development</v>
      </c>
      <c r="K171" s="51" t="str">
        <f>_xlfn.XLOOKUP(transactions[[#This Row],[CustomerId]],Customers[Id],Customers[Customer Name])</f>
        <v>Publishing House</v>
      </c>
      <c r="L171" s="51" t="str">
        <f>_xlfn.XLOOKUP(transactions[[#This Row],[OpportunityID]],Opportunities[ID],Opportunities[OpportunityOwner])</f>
        <v>Lisa Engineer</v>
      </c>
      <c r="M171" s="51" t="str">
        <f ca="1">IF((transactions[[#This Row],[TransactionDate]]-TODAY())&lt;=366,transactions[[#This Row],[FQ]],"Out-year")</f>
        <v>Out-year</v>
      </c>
      <c r="N171" s="55">
        <f>transactions[[#This Row],[UnWeighted]]/1000</f>
        <v>187.239</v>
      </c>
      <c r="O171" s="55">
        <f>transactions[[#This Row],[Weighted]]/1000</f>
        <v>37.447800000000001</v>
      </c>
      <c r="P171" s="55">
        <f>transactions[[#This Row],[$K Unweighted]]/1000</f>
        <v>0.18723900000000002</v>
      </c>
      <c r="Q171" s="55" t="b">
        <f ca="1">transactions[[#This Row],[TransactionDate]]&gt;TODAY()</f>
        <v>1</v>
      </c>
    </row>
    <row r="172" spans="1:17" x14ac:dyDescent="0.25">
      <c r="A172">
        <v>40</v>
      </c>
      <c r="B172">
        <v>15</v>
      </c>
      <c r="C172" s="31">
        <v>46587</v>
      </c>
      <c r="D17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2" s="51" t="str">
        <f>"CY"&amp;RIGHT(YEAR(transactions[[#This Row],[TransactionDate]]),2)&amp;"-Q"&amp;ROUNDUP(MONTH(transactions[[#This Row],[TransactionDate]])/3, 0)</f>
        <v>CY27-Q3</v>
      </c>
      <c r="F172" s="52">
        <f>transactions[[#This Row],[UnWeighted]]*_xlfn.XLOOKUP(transactions[[#This Row],[OpportunityID]],Opportunities[ID],Opportunities[WinProbabilityValue])</f>
        <v>36144.450000000004</v>
      </c>
      <c r="G172" s="52">
        <f>_xlfn.XLOOKUP(transactions[[#This Row],[OpportunityID]],Opportunities[ID],Opportunities[Amount])/IF(_xlfn.XLOOKUP(transactions[[#This Row],[OpportunityID]],Opportunities[ID],Opportunities[Recurrences])=0,1,_xlfn.XLOOKUP(transactions[[#This Row],[OpportunityID]],Opportunities[ID],Opportunities[Recurrences]))</f>
        <v>40160.5</v>
      </c>
      <c r="H172" s="51" t="str">
        <f>_xlfn.XLOOKUP(transactions[[#This Row],[OpportunityID]],Opportunities[ID],Opportunities[Status])</f>
        <v>Active</v>
      </c>
      <c r="I172" s="51" t="str">
        <f>_xlfn.XLOOKUP(transactions[[#This Row],[OpportunityID]],Opportunities[ID],Opportunities[Stage])</f>
        <v>Proposal</v>
      </c>
      <c r="J172" s="51" t="str">
        <f>_xlfn.XLOOKUP(transactions[[#This Row],[OpportunityID]],Opportunities[ID],Opportunities[OpportunityName])</f>
        <v>Machine Learning Implementation</v>
      </c>
      <c r="K172" s="51" t="str">
        <f>_xlfn.XLOOKUP(transactions[[#This Row],[CustomerId]],Customers[Id],Customers[Customer Name])</f>
        <v>Pharmaceutical Research</v>
      </c>
      <c r="L172" s="51" t="str">
        <f>_xlfn.XLOOKUP(transactions[[#This Row],[OpportunityID]],Opportunities[ID],Opportunities[OpportunityOwner])</f>
        <v>Mike Consultant</v>
      </c>
      <c r="M172" s="51" t="str">
        <f ca="1">IF((transactions[[#This Row],[TransactionDate]]-TODAY())&lt;=366,transactions[[#This Row],[FQ]],"Out-year")</f>
        <v>Out-year</v>
      </c>
      <c r="N172" s="55">
        <f>transactions[[#This Row],[UnWeighted]]/1000</f>
        <v>40.160499999999999</v>
      </c>
      <c r="O172" s="55">
        <f>transactions[[#This Row],[Weighted]]/1000</f>
        <v>36.144450000000006</v>
      </c>
      <c r="P172" s="55">
        <f>transactions[[#This Row],[$K Unweighted]]/1000</f>
        <v>4.0160500000000002E-2</v>
      </c>
      <c r="Q172" s="55" t="b">
        <f ca="1">transactions[[#This Row],[TransactionDate]]&gt;TODAY()</f>
        <v>1</v>
      </c>
    </row>
    <row r="173" spans="1:17" x14ac:dyDescent="0.25">
      <c r="A173">
        <v>13</v>
      </c>
      <c r="B173">
        <v>2</v>
      </c>
      <c r="C173" s="31">
        <v>46590</v>
      </c>
      <c r="D17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3" s="51" t="str">
        <f>"CY"&amp;RIGHT(YEAR(transactions[[#This Row],[TransactionDate]]),2)&amp;"-Q"&amp;ROUNDUP(MONTH(transactions[[#This Row],[TransactionDate]])/3, 0)</f>
        <v>CY27-Q3</v>
      </c>
      <c r="F173" s="52">
        <f>transactions[[#This Row],[UnWeighted]]*_xlfn.XLOOKUP(transactions[[#This Row],[OpportunityID]],Opportunities[ID],Opportunities[WinProbabilityValue])</f>
        <v>12618.744897959185</v>
      </c>
      <c r="G173"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73" s="51" t="str">
        <f>_xlfn.XLOOKUP(transactions[[#This Row],[OpportunityID]],Opportunities[ID],Opportunities[Status])</f>
        <v>Active</v>
      </c>
      <c r="I173" s="51" t="str">
        <f>_xlfn.XLOOKUP(transactions[[#This Row],[OpportunityID]],Opportunities[ID],Opportunities[Stage])</f>
        <v>Negotiation</v>
      </c>
      <c r="J173" s="51" t="str">
        <f>_xlfn.XLOOKUP(transactions[[#This Row],[OpportunityID]],Opportunities[ID],Opportunities[OpportunityName])</f>
        <v>E-commerce Platform</v>
      </c>
      <c r="K173" s="51" t="str">
        <f>_xlfn.XLOOKUP(transactions[[#This Row],[CustomerId]],Customers[Id],Customers[Customer Name])</f>
        <v>Global Industries</v>
      </c>
      <c r="L173" s="51" t="str">
        <f>_xlfn.XLOOKUP(transactions[[#This Row],[OpportunityID]],Opportunities[ID],Opportunities[OpportunityOwner])</f>
        <v>Lisa Engineer</v>
      </c>
      <c r="M173" s="51" t="str">
        <f ca="1">IF((transactions[[#This Row],[TransactionDate]]-TODAY())&lt;=366,transactions[[#This Row],[FQ]],"Out-year")</f>
        <v>Out-year</v>
      </c>
      <c r="N173" s="55">
        <f>transactions[[#This Row],[UnWeighted]]/1000</f>
        <v>25.237489795918368</v>
      </c>
      <c r="O173" s="55">
        <f>transactions[[#This Row],[Weighted]]/1000</f>
        <v>12.618744897959184</v>
      </c>
      <c r="P173" s="55">
        <f>transactions[[#This Row],[$K Unweighted]]/1000</f>
        <v>2.5237489795918368E-2</v>
      </c>
      <c r="Q173" s="55" t="b">
        <f ca="1">transactions[[#This Row],[TransactionDate]]&gt;TODAY()</f>
        <v>1</v>
      </c>
    </row>
    <row r="174" spans="1:17" x14ac:dyDescent="0.25">
      <c r="A174">
        <v>7</v>
      </c>
      <c r="B174">
        <v>14</v>
      </c>
      <c r="C174" s="31">
        <v>46594</v>
      </c>
      <c r="D17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4" s="51" t="str">
        <f>"CY"&amp;RIGHT(YEAR(transactions[[#This Row],[TransactionDate]]),2)&amp;"-Q"&amp;ROUNDUP(MONTH(transactions[[#This Row],[TransactionDate]])/3, 0)</f>
        <v>CY27-Q3</v>
      </c>
      <c r="F174" s="52">
        <f>transactions[[#This Row],[UnWeighted]]*_xlfn.XLOOKUP(transactions[[#This Row],[OpportunityID]],Opportunities[ID],Opportunities[WinProbabilityValue])</f>
        <v>41771.416666666664</v>
      </c>
      <c r="G174" s="52">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174" s="51" t="str">
        <f>_xlfn.XLOOKUP(transactions[[#This Row],[OpportunityID]],Opportunities[ID],Opportunities[Status])</f>
        <v>Active</v>
      </c>
      <c r="I174" s="51" t="str">
        <f>_xlfn.XLOOKUP(transactions[[#This Row],[OpportunityID]],Opportunities[ID],Opportunities[Stage])</f>
        <v>Project Execution</v>
      </c>
      <c r="J174" s="51" t="str">
        <f>_xlfn.XLOOKUP(transactions[[#This Row],[OpportunityID]],Opportunities[ID],Opportunities[OpportunityName])</f>
        <v>Network Infrastructure Upgrade</v>
      </c>
      <c r="K174" s="51" t="str">
        <f>_xlfn.XLOOKUP(transactions[[#This Row],[CustomerId]],Customers[Id],Customers[Customer Name])</f>
        <v>Media Communications</v>
      </c>
      <c r="L174" s="51" t="str">
        <f>_xlfn.XLOOKUP(transactions[[#This Row],[OpportunityID]],Opportunities[ID],Opportunities[OpportunityOwner])</f>
        <v>Dr. Tech Advisor</v>
      </c>
      <c r="M174" s="51" t="str">
        <f ca="1">IF((transactions[[#This Row],[TransactionDate]]-TODAY())&lt;=366,transactions[[#This Row],[FQ]],"Out-year")</f>
        <v>Out-year</v>
      </c>
      <c r="N174" s="55">
        <f>transactions[[#This Row],[UnWeighted]]/1000</f>
        <v>83.542833333333334</v>
      </c>
      <c r="O174" s="55">
        <f>transactions[[#This Row],[Weighted]]/1000</f>
        <v>41.771416666666667</v>
      </c>
      <c r="P174" s="55">
        <f>transactions[[#This Row],[$K Unweighted]]/1000</f>
        <v>8.354283333333333E-2</v>
      </c>
      <c r="Q174" s="55" t="b">
        <f ca="1">transactions[[#This Row],[TransactionDate]]&gt;TODAY()</f>
        <v>1</v>
      </c>
    </row>
    <row r="175" spans="1:17" x14ac:dyDescent="0.25">
      <c r="A175">
        <v>18</v>
      </c>
      <c r="B175">
        <v>9</v>
      </c>
      <c r="C175" s="31">
        <v>46596</v>
      </c>
      <c r="D17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5" s="51" t="str">
        <f>"CY"&amp;RIGHT(YEAR(transactions[[#This Row],[TransactionDate]]),2)&amp;"-Q"&amp;ROUNDUP(MONTH(transactions[[#This Row],[TransactionDate]])/3, 0)</f>
        <v>CY27-Q3</v>
      </c>
      <c r="F175" s="52">
        <f>transactions[[#This Row],[UnWeighted]]*_xlfn.XLOOKUP(transactions[[#This Row],[OpportunityID]],Opportunities[ID],Opportunities[WinProbabilityValue])</f>
        <v>110906.4</v>
      </c>
      <c r="G175" s="52">
        <f>_xlfn.XLOOKUP(transactions[[#This Row],[OpportunityID]],Opportunities[ID],Opportunities[Amount])/IF(_xlfn.XLOOKUP(transactions[[#This Row],[OpportunityID]],Opportunities[ID],Opportunities[Recurrences])=0,1,_xlfn.XLOOKUP(transactions[[#This Row],[OpportunityID]],Opportunities[ID],Opportunities[Recurrences]))</f>
        <v>221812.8</v>
      </c>
      <c r="H175" s="51" t="str">
        <f>_xlfn.XLOOKUP(transactions[[#This Row],[OpportunityID]],Opportunities[ID],Opportunities[Status])</f>
        <v>Active</v>
      </c>
      <c r="I175" s="51" t="str">
        <f>_xlfn.XLOOKUP(transactions[[#This Row],[OpportunityID]],Opportunities[ID],Opportunities[Stage])</f>
        <v>Lead Qualification</v>
      </c>
      <c r="J175" s="51" t="str">
        <f>_xlfn.XLOOKUP(transactions[[#This Row],[OpportunityID]],Opportunities[ID],Opportunities[OpportunityName])</f>
        <v>Financial Planning Software</v>
      </c>
      <c r="K175" s="51" t="str">
        <f>_xlfn.XLOOKUP(transactions[[#This Row],[CustomerId]],Customers[Id],Customers[Customer Name])</f>
        <v>Construction Dynamics</v>
      </c>
      <c r="L175" s="51" t="str">
        <f>_xlfn.XLOOKUP(transactions[[#This Row],[OpportunityID]],Opportunities[ID],Opportunities[OpportunityOwner])</f>
        <v>Dr. Tech Advisor</v>
      </c>
      <c r="M175" s="51" t="str">
        <f ca="1">IF((transactions[[#This Row],[TransactionDate]]-TODAY())&lt;=366,transactions[[#This Row],[FQ]],"Out-year")</f>
        <v>Out-year</v>
      </c>
      <c r="N175" s="55">
        <f>transactions[[#This Row],[UnWeighted]]/1000</f>
        <v>221.81279999999998</v>
      </c>
      <c r="O175" s="55">
        <f>transactions[[#This Row],[Weighted]]/1000</f>
        <v>110.90639999999999</v>
      </c>
      <c r="P175" s="55">
        <f>transactions[[#This Row],[$K Unweighted]]/1000</f>
        <v>0.22181279999999998</v>
      </c>
      <c r="Q175" s="55" t="b">
        <f ca="1">transactions[[#This Row],[TransactionDate]]&gt;TODAY()</f>
        <v>1</v>
      </c>
    </row>
    <row r="176" spans="1:17" x14ac:dyDescent="0.25">
      <c r="A176">
        <v>26</v>
      </c>
      <c r="B176">
        <v>1</v>
      </c>
      <c r="C176" s="31">
        <v>46600</v>
      </c>
      <c r="D17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76" s="51" t="str">
        <f>"CY"&amp;RIGHT(YEAR(transactions[[#This Row],[TransactionDate]]),2)&amp;"-Q"&amp;ROUNDUP(MONTH(transactions[[#This Row],[TransactionDate]])/3, 0)</f>
        <v>CY27-Q3</v>
      </c>
      <c r="F176" s="52">
        <f>transactions[[#This Row],[UnWeighted]]*_xlfn.XLOOKUP(transactions[[#This Row],[OpportunityID]],Opportunities[ID],Opportunities[WinProbabilityValue])</f>
        <v>11339.638888888889</v>
      </c>
      <c r="G176"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76" s="51" t="str">
        <f>_xlfn.XLOOKUP(transactions[[#This Row],[OpportunityID]],Opportunities[ID],Opportunities[Status])</f>
        <v>Active</v>
      </c>
      <c r="I176" s="51" t="str">
        <f>_xlfn.XLOOKUP(transactions[[#This Row],[OpportunityID]],Opportunities[ID],Opportunities[Stage])</f>
        <v>Negotiation</v>
      </c>
      <c r="J176" s="51" t="str">
        <f>_xlfn.XLOOKUP(transactions[[#This Row],[OpportunityID]],Opportunities[ID],Opportunities[OpportunityName])</f>
        <v>Video Conferencing Solution</v>
      </c>
      <c r="K176" s="51" t="str">
        <f>_xlfn.XLOOKUP(transactions[[#This Row],[CustomerId]],Customers[Id],Customers[Customer Name])</f>
        <v>ACME Corporation</v>
      </c>
      <c r="L176" s="51" t="str">
        <f>_xlfn.XLOOKUP(transactions[[#This Row],[OpportunityID]],Opportunities[ID],Opportunities[OpportunityOwner])</f>
        <v>Mike Consultant</v>
      </c>
      <c r="M176" s="51" t="str">
        <f ca="1">IF((transactions[[#This Row],[TransactionDate]]-TODAY())&lt;=366,transactions[[#This Row],[FQ]],"Out-year")</f>
        <v>Out-year</v>
      </c>
      <c r="N176" s="55">
        <f>transactions[[#This Row],[UnWeighted]]/1000</f>
        <v>22.679277777777777</v>
      </c>
      <c r="O176" s="55">
        <f>transactions[[#This Row],[Weighted]]/1000</f>
        <v>11.339638888888889</v>
      </c>
      <c r="P176" s="55">
        <f>transactions[[#This Row],[$K Unweighted]]/1000</f>
        <v>2.2679277777777777E-2</v>
      </c>
      <c r="Q176" s="55" t="b">
        <f ca="1">transactions[[#This Row],[TransactionDate]]&gt;TODAY()</f>
        <v>1</v>
      </c>
    </row>
    <row r="177" spans="1:17" x14ac:dyDescent="0.25">
      <c r="A177">
        <v>14</v>
      </c>
      <c r="B177">
        <v>2</v>
      </c>
      <c r="C177" s="31">
        <v>46600</v>
      </c>
      <c r="D17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77" s="51" t="str">
        <f>"CY"&amp;RIGHT(YEAR(transactions[[#This Row],[TransactionDate]]),2)&amp;"-Q"&amp;ROUNDUP(MONTH(transactions[[#This Row],[TransactionDate]])/3, 0)</f>
        <v>CY27-Q3</v>
      </c>
      <c r="F177" s="52">
        <f>transactions[[#This Row],[UnWeighted]]*_xlfn.XLOOKUP(transactions[[#This Row],[OpportunityID]],Opportunities[ID],Opportunities[WinProbabilityValue])</f>
        <v>176887.5</v>
      </c>
      <c r="G177" s="52">
        <f>_xlfn.XLOOKUP(transactions[[#This Row],[OpportunityID]],Opportunities[ID],Opportunities[Amount])/IF(_xlfn.XLOOKUP(transactions[[#This Row],[OpportunityID]],Opportunities[ID],Opportunities[Recurrences])=0,1,_xlfn.XLOOKUP(transactions[[#This Row],[OpportunityID]],Opportunities[ID],Opportunities[Recurrences]))</f>
        <v>353775</v>
      </c>
      <c r="H177" s="51" t="str">
        <f>_xlfn.XLOOKUP(transactions[[#This Row],[OpportunityID]],Opportunities[ID],Opportunities[Status])</f>
        <v>Active</v>
      </c>
      <c r="I177" s="51" t="str">
        <f>_xlfn.XLOOKUP(transactions[[#This Row],[OpportunityID]],Opportunities[ID],Opportunities[Stage])</f>
        <v>Lead Qualification</v>
      </c>
      <c r="J177" s="51" t="str">
        <f>_xlfn.XLOOKUP(transactions[[#This Row],[OpportunityID]],Opportunities[ID],Opportunities[OpportunityName])</f>
        <v>Document Management System</v>
      </c>
      <c r="K177" s="51" t="str">
        <f>_xlfn.XLOOKUP(transactions[[#This Row],[CustomerId]],Customers[Id],Customers[Customer Name])</f>
        <v>Global Industries</v>
      </c>
      <c r="L177" s="51" t="str">
        <f>_xlfn.XLOOKUP(transactions[[#This Row],[OpportunityID]],Opportunities[ID],Opportunities[OpportunityOwner])</f>
        <v>John Manager</v>
      </c>
      <c r="M177" s="51" t="str">
        <f ca="1">IF((transactions[[#This Row],[TransactionDate]]-TODAY())&lt;=366,transactions[[#This Row],[FQ]],"Out-year")</f>
        <v>Out-year</v>
      </c>
      <c r="N177" s="55">
        <f>transactions[[#This Row],[UnWeighted]]/1000</f>
        <v>353.77499999999998</v>
      </c>
      <c r="O177" s="55">
        <f>transactions[[#This Row],[Weighted]]/1000</f>
        <v>176.88749999999999</v>
      </c>
      <c r="P177" s="55">
        <f>transactions[[#This Row],[$K Unweighted]]/1000</f>
        <v>0.35377499999999995</v>
      </c>
      <c r="Q177" s="55" t="b">
        <f ca="1">transactions[[#This Row],[TransactionDate]]&gt;TODAY()</f>
        <v>1</v>
      </c>
    </row>
    <row r="178" spans="1:17" x14ac:dyDescent="0.25">
      <c r="A178">
        <v>39</v>
      </c>
      <c r="B178">
        <v>3</v>
      </c>
      <c r="C178" s="31">
        <v>46602</v>
      </c>
      <c r="D17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78" s="51" t="str">
        <f>"CY"&amp;RIGHT(YEAR(transactions[[#This Row],[TransactionDate]]),2)&amp;"-Q"&amp;ROUNDUP(MONTH(transactions[[#This Row],[TransactionDate]])/3, 0)</f>
        <v>CY27-Q3</v>
      </c>
      <c r="F178" s="52">
        <f>transactions[[#This Row],[UnWeighted]]*_xlfn.XLOOKUP(transactions[[#This Row],[OpportunityID]],Opportunities[ID],Opportunities[WinProbabilityValue])</f>
        <v>20929.153846153848</v>
      </c>
      <c r="G178"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78" s="51" t="str">
        <f>_xlfn.XLOOKUP(transactions[[#This Row],[OpportunityID]],Opportunities[ID],Opportunities[Status])</f>
        <v>Active</v>
      </c>
      <c r="I178" s="51" t="str">
        <f>_xlfn.XLOOKUP(transactions[[#This Row],[OpportunityID]],Opportunities[ID],Opportunities[Stage])</f>
        <v>Project Execution</v>
      </c>
      <c r="J178" s="51" t="str">
        <f>_xlfn.XLOOKUP(transactions[[#This Row],[OpportunityID]],Opportunities[ID],Opportunities[OpportunityName])</f>
        <v>API Development Project</v>
      </c>
      <c r="K178" s="51" t="str">
        <f>_xlfn.XLOOKUP(transactions[[#This Row],[CustomerId]],Customers[Id],Customers[Customer Name])</f>
        <v>Tech Solutions Inc</v>
      </c>
      <c r="L178" s="51" t="str">
        <f>_xlfn.XLOOKUP(transactions[[#This Row],[OpportunityID]],Opportunities[ID],Opportunities[OpportunityOwner])</f>
        <v>Jennifer PM</v>
      </c>
      <c r="M178" s="51" t="str">
        <f ca="1">IF((transactions[[#This Row],[TransactionDate]]-TODAY())&lt;=366,transactions[[#This Row],[FQ]],"Out-year")</f>
        <v>Out-year</v>
      </c>
      <c r="N178" s="55">
        <f>transactions[[#This Row],[UnWeighted]]/1000</f>
        <v>41.858307692307697</v>
      </c>
      <c r="O178" s="55">
        <f>transactions[[#This Row],[Weighted]]/1000</f>
        <v>20.929153846153849</v>
      </c>
      <c r="P178" s="55">
        <f>transactions[[#This Row],[$K Unweighted]]/1000</f>
        <v>4.1858307692307695E-2</v>
      </c>
      <c r="Q178" s="55" t="b">
        <f ca="1">transactions[[#This Row],[TransactionDate]]&gt;TODAY()</f>
        <v>1</v>
      </c>
    </row>
    <row r="179" spans="1:17" x14ac:dyDescent="0.25">
      <c r="A179">
        <v>36</v>
      </c>
      <c r="B179">
        <v>1</v>
      </c>
      <c r="C179" s="31">
        <v>46605</v>
      </c>
      <c r="D17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79" s="51" t="str">
        <f>"CY"&amp;RIGHT(YEAR(transactions[[#This Row],[TransactionDate]]),2)&amp;"-Q"&amp;ROUNDUP(MONTH(transactions[[#This Row],[TransactionDate]])/3, 0)</f>
        <v>CY27-Q3</v>
      </c>
      <c r="F179" s="52">
        <f>transactions[[#This Row],[UnWeighted]]*_xlfn.XLOOKUP(transactions[[#This Row],[OpportunityID]],Opportunities[ID],Opportunities[WinProbabilityValue])</f>
        <v>24983.895833333332</v>
      </c>
      <c r="G179"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79" s="51" t="str">
        <f>_xlfn.XLOOKUP(transactions[[#This Row],[OpportunityID]],Opportunities[ID],Opportunities[Status])</f>
        <v>Active</v>
      </c>
      <c r="I179" s="51" t="str">
        <f>_xlfn.XLOOKUP(transactions[[#This Row],[OpportunityID]],Opportunities[ID],Opportunities[Stage])</f>
        <v>Lead Qualification</v>
      </c>
      <c r="J179" s="51" t="str">
        <f>_xlfn.XLOOKUP(transactions[[#This Row],[OpportunityID]],Opportunities[ID],Opportunities[OpportunityName])</f>
        <v>Integration Services Project</v>
      </c>
      <c r="K179" s="51" t="str">
        <f>_xlfn.XLOOKUP(transactions[[#This Row],[CustomerId]],Customers[Id],Customers[Customer Name])</f>
        <v>ACME Corporation</v>
      </c>
      <c r="L179" s="51" t="str">
        <f>_xlfn.XLOOKUP(transactions[[#This Row],[OpportunityID]],Opportunities[ID],Opportunities[OpportunityOwner])</f>
        <v>Amanda Sales</v>
      </c>
      <c r="M179" s="51" t="str">
        <f ca="1">IF((transactions[[#This Row],[TransactionDate]]-TODAY())&lt;=366,transactions[[#This Row],[FQ]],"Out-year")</f>
        <v>Out-year</v>
      </c>
      <c r="N179" s="55">
        <f>transactions[[#This Row],[UnWeighted]]/1000</f>
        <v>49.967791666666663</v>
      </c>
      <c r="O179" s="55">
        <f>transactions[[#This Row],[Weighted]]/1000</f>
        <v>24.983895833333332</v>
      </c>
      <c r="P179" s="55">
        <f>transactions[[#This Row],[$K Unweighted]]/1000</f>
        <v>4.9967791666666664E-2</v>
      </c>
      <c r="Q179" s="55" t="b">
        <f ca="1">transactions[[#This Row],[TransactionDate]]&gt;TODAY()</f>
        <v>1</v>
      </c>
    </row>
    <row r="180" spans="1:17" x14ac:dyDescent="0.25">
      <c r="A180">
        <v>15</v>
      </c>
      <c r="B180">
        <v>24</v>
      </c>
      <c r="C180" s="31">
        <v>46606</v>
      </c>
      <c r="D18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0" s="51" t="str">
        <f>"CY"&amp;RIGHT(YEAR(transactions[[#This Row],[TransactionDate]]),2)&amp;"-Q"&amp;ROUNDUP(MONTH(transactions[[#This Row],[TransactionDate]])/3, 0)</f>
        <v>CY27-Q3</v>
      </c>
      <c r="F180" s="52">
        <f>transactions[[#This Row],[UnWeighted]]*_xlfn.XLOOKUP(transactions[[#This Row],[OpportunityID]],Opportunities[ID],Opportunities[WinProbabilityValue])</f>
        <v>29217.197872340425</v>
      </c>
      <c r="G180"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80" s="51" t="str">
        <f>_xlfn.XLOOKUP(transactions[[#This Row],[OpportunityID]],Opportunities[ID],Opportunities[Status])</f>
        <v>Active</v>
      </c>
      <c r="I180" s="51" t="str">
        <f>_xlfn.XLOOKUP(transactions[[#This Row],[OpportunityID]],Opportunities[ID],Opportunities[Stage])</f>
        <v>Project Execution</v>
      </c>
      <c r="J180" s="51" t="str">
        <f>_xlfn.XLOOKUP(transactions[[#This Row],[OpportunityID]],Opportunities[ID],Opportunities[OpportunityName])</f>
        <v>Training &amp; Development Program</v>
      </c>
      <c r="K180" s="51" t="str">
        <f>_xlfn.XLOOKUP(transactions[[#This Row],[CustomerId]],Customers[Id],Customers[Customer Name])</f>
        <v>Security Solutions</v>
      </c>
      <c r="L180" s="51" t="str">
        <f>_xlfn.XLOOKUP(transactions[[#This Row],[OpportunityID]],Opportunities[ID],Opportunities[OpportunityOwner])</f>
        <v>Sarah Director</v>
      </c>
      <c r="M180" s="51" t="str">
        <f ca="1">IF((transactions[[#This Row],[TransactionDate]]-TODAY())&lt;=366,transactions[[#This Row],[FQ]],"Out-year")</f>
        <v>Out-year</v>
      </c>
      <c r="N180" s="55">
        <f>transactions[[#This Row],[UnWeighted]]/1000</f>
        <v>32.46355319148936</v>
      </c>
      <c r="O180" s="55">
        <f>transactions[[#This Row],[Weighted]]/1000</f>
        <v>29.217197872340424</v>
      </c>
      <c r="P180" s="55">
        <f>transactions[[#This Row],[$K Unweighted]]/1000</f>
        <v>3.2463553191489358E-2</v>
      </c>
      <c r="Q180" s="55" t="b">
        <f ca="1">transactions[[#This Row],[TransactionDate]]&gt;TODAY()</f>
        <v>1</v>
      </c>
    </row>
    <row r="181" spans="1:17" x14ac:dyDescent="0.25">
      <c r="A181">
        <v>25</v>
      </c>
      <c r="B181">
        <v>14</v>
      </c>
      <c r="C181" s="31">
        <v>46608</v>
      </c>
      <c r="D18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1" s="51" t="str">
        <f>"CY"&amp;RIGHT(YEAR(transactions[[#This Row],[TransactionDate]]),2)&amp;"-Q"&amp;ROUNDUP(MONTH(transactions[[#This Row],[TransactionDate]])/3, 0)</f>
        <v>CY27-Q3</v>
      </c>
      <c r="F181" s="52">
        <f>transactions[[#This Row],[UnWeighted]]*_xlfn.XLOOKUP(transactions[[#This Row],[OpportunityID]],Opportunities[ID],Opportunities[WinProbabilityValue])</f>
        <v>35076.26666666667</v>
      </c>
      <c r="G181" s="52">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181" s="51" t="str">
        <f>_xlfn.XLOOKUP(transactions[[#This Row],[OpportunityID]],Opportunities[ID],Opportunities[Status])</f>
        <v>Active</v>
      </c>
      <c r="I181" s="51" t="str">
        <f>_xlfn.XLOOKUP(transactions[[#This Row],[OpportunityID]],Opportunities[ID],Opportunities[Stage])</f>
        <v>Lead Qualification</v>
      </c>
      <c r="J181" s="51" t="str">
        <f>_xlfn.XLOOKUP(transactions[[#This Row],[OpportunityID]],Opportunities[ID],Opportunities[OpportunityName])</f>
        <v>Project Management Software</v>
      </c>
      <c r="K181" s="51" t="str">
        <f>_xlfn.XLOOKUP(transactions[[#This Row],[CustomerId]],Customers[Id],Customers[Customer Name])</f>
        <v>Media Communications</v>
      </c>
      <c r="L181" s="51" t="str">
        <f>_xlfn.XLOOKUP(transactions[[#This Row],[OpportunityID]],Opportunities[ID],Opportunities[OpportunityOwner])</f>
        <v>Amanda Sales</v>
      </c>
      <c r="M181" s="51" t="str">
        <f ca="1">IF((transactions[[#This Row],[TransactionDate]]-TODAY())&lt;=366,transactions[[#This Row],[FQ]],"Out-year")</f>
        <v>Out-year</v>
      </c>
      <c r="N181" s="55">
        <f>transactions[[#This Row],[UnWeighted]]/1000</f>
        <v>70.152533333333338</v>
      </c>
      <c r="O181" s="55">
        <f>transactions[[#This Row],[Weighted]]/1000</f>
        <v>35.076266666666669</v>
      </c>
      <c r="P181" s="55">
        <f>transactions[[#This Row],[$K Unweighted]]/1000</f>
        <v>7.0152533333333336E-2</v>
      </c>
      <c r="Q181" s="55" t="b">
        <f ca="1">transactions[[#This Row],[TransactionDate]]&gt;TODAY()</f>
        <v>1</v>
      </c>
    </row>
    <row r="182" spans="1:17" x14ac:dyDescent="0.25">
      <c r="A182">
        <v>17</v>
      </c>
      <c r="B182">
        <v>19</v>
      </c>
      <c r="C182" s="31">
        <v>46608</v>
      </c>
      <c r="D18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2" s="51" t="str">
        <f>"CY"&amp;RIGHT(YEAR(transactions[[#This Row],[TransactionDate]]),2)&amp;"-Q"&amp;ROUNDUP(MONTH(transactions[[#This Row],[TransactionDate]])/3, 0)</f>
        <v>CY27-Q3</v>
      </c>
      <c r="F182" s="52">
        <f>transactions[[#This Row],[UnWeighted]]*_xlfn.XLOOKUP(transactions[[#This Row],[OpportunityID]],Opportunities[ID],Opportunities[WinProbabilityValue])</f>
        <v>9267.2333333333336</v>
      </c>
      <c r="G182"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82" s="51" t="str">
        <f>_xlfn.XLOOKUP(transactions[[#This Row],[OpportunityID]],Opportunities[ID],Opportunities[Status])</f>
        <v>Active</v>
      </c>
      <c r="I182" s="51" t="str">
        <f>_xlfn.XLOOKUP(transactions[[#This Row],[OpportunityID]],Opportunities[ID],Opportunities[Stage])</f>
        <v>Negotiation</v>
      </c>
      <c r="J182" s="51" t="str">
        <f>_xlfn.XLOOKUP(transactions[[#This Row],[OpportunityID]],Opportunities[ID],Opportunities[OpportunityName])</f>
        <v>Supply Chain Optimization</v>
      </c>
      <c r="K182" s="51" t="str">
        <f>_xlfn.XLOOKUP(transactions[[#This Row],[CustomerId]],Customers[Id],Customers[Customer Name])</f>
        <v>Hotel Management Group</v>
      </c>
      <c r="L182" s="51" t="str">
        <f>_xlfn.XLOOKUP(transactions[[#This Row],[OpportunityID]],Opportunities[ID],Opportunities[OpportunityOwner])</f>
        <v>Jennifer PM</v>
      </c>
      <c r="M182" s="51" t="str">
        <f ca="1">IF((transactions[[#This Row],[TransactionDate]]-TODAY())&lt;=366,transactions[[#This Row],[FQ]],"Out-year")</f>
        <v>Out-year</v>
      </c>
      <c r="N182" s="55">
        <f>transactions[[#This Row],[UnWeighted]]/1000</f>
        <v>46.336166666666664</v>
      </c>
      <c r="O182" s="55">
        <f>transactions[[#This Row],[Weighted]]/1000</f>
        <v>9.2672333333333334</v>
      </c>
      <c r="P182" s="55">
        <f>transactions[[#This Row],[$K Unweighted]]/1000</f>
        <v>4.6336166666666664E-2</v>
      </c>
      <c r="Q182" s="55" t="b">
        <f ca="1">transactions[[#This Row],[TransactionDate]]&gt;TODAY()</f>
        <v>1</v>
      </c>
    </row>
    <row r="183" spans="1:17" x14ac:dyDescent="0.25">
      <c r="A183">
        <v>22</v>
      </c>
      <c r="B183">
        <v>11</v>
      </c>
      <c r="C183" s="31">
        <v>46610</v>
      </c>
      <c r="D18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3" s="51" t="str">
        <f>"CY"&amp;RIGHT(YEAR(transactions[[#This Row],[TransactionDate]]),2)&amp;"-Q"&amp;ROUNDUP(MONTH(transactions[[#This Row],[TransactionDate]])/3, 0)</f>
        <v>CY27-Q3</v>
      </c>
      <c r="F183" s="52">
        <f>transactions[[#This Row],[UnWeighted]]*_xlfn.XLOOKUP(transactions[[#This Row],[OpportunityID]],Opportunities[ID],Opportunities[WinProbabilityValue])</f>
        <v>26390.544230769232</v>
      </c>
      <c r="G183"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83" s="51" t="str">
        <f>_xlfn.XLOOKUP(transactions[[#This Row],[OpportunityID]],Opportunities[ID],Opportunities[Status])</f>
        <v>Active</v>
      </c>
      <c r="I183" s="51" t="str">
        <f>_xlfn.XLOOKUP(transactions[[#This Row],[OpportunityID]],Opportunities[ID],Opportunities[Stage])</f>
        <v>Nurturing</v>
      </c>
      <c r="J183" s="51" t="str">
        <f>_xlfn.XLOOKUP(transactions[[#This Row],[OpportunityID]],Opportunities[ID],Opportunities[OpportunityName])</f>
        <v>Inventory Management Solution</v>
      </c>
      <c r="K183" s="51" t="str">
        <f>_xlfn.XLOOKUP(transactions[[#This Row],[CustomerId]],Customers[Id],Customers[Customer Name])</f>
        <v>Transport Logistics</v>
      </c>
      <c r="L183" s="51" t="str">
        <f>_xlfn.XLOOKUP(transactions[[#This Row],[OpportunityID]],Opportunities[ID],Opportunities[OpportunityOwner])</f>
        <v>Sarah Director</v>
      </c>
      <c r="M183" s="51" t="str">
        <f ca="1">IF((transactions[[#This Row],[TransactionDate]]-TODAY())&lt;=366,transactions[[#This Row],[FQ]],"Out-year")</f>
        <v>Out-year</v>
      </c>
      <c r="N183" s="55">
        <f>transactions[[#This Row],[UnWeighted]]/1000</f>
        <v>29.322826923076921</v>
      </c>
      <c r="O183" s="55">
        <f>transactions[[#This Row],[Weighted]]/1000</f>
        <v>26.390544230769233</v>
      </c>
      <c r="P183" s="55">
        <f>transactions[[#This Row],[$K Unweighted]]/1000</f>
        <v>2.932282692307692E-2</v>
      </c>
      <c r="Q183" s="55" t="b">
        <f ca="1">transactions[[#This Row],[TransactionDate]]&gt;TODAY()</f>
        <v>1</v>
      </c>
    </row>
    <row r="184" spans="1:17" x14ac:dyDescent="0.25">
      <c r="A184">
        <v>28</v>
      </c>
      <c r="B184">
        <v>1</v>
      </c>
      <c r="C184" s="31">
        <v>46615</v>
      </c>
      <c r="D18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4" s="51" t="str">
        <f>"CY"&amp;RIGHT(YEAR(transactions[[#This Row],[TransactionDate]]),2)&amp;"-Q"&amp;ROUNDUP(MONTH(transactions[[#This Row],[TransactionDate]])/3, 0)</f>
        <v>CY27-Q3</v>
      </c>
      <c r="F184" s="52">
        <f>transactions[[#This Row],[UnWeighted]]*_xlfn.XLOOKUP(transactions[[#This Row],[OpportunityID]],Opportunities[ID],Opportunities[WinProbabilityValue])</f>
        <v>40447.666666666664</v>
      </c>
      <c r="G184" s="52">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184" s="51" t="str">
        <f>_xlfn.XLOOKUP(transactions[[#This Row],[OpportunityID]],Opportunities[ID],Opportunities[Status])</f>
        <v>Active</v>
      </c>
      <c r="I184" s="51" t="str">
        <f>_xlfn.XLOOKUP(transactions[[#This Row],[OpportunityID]],Opportunities[ID],Opportunities[Stage])</f>
        <v>Lead Qualification</v>
      </c>
      <c r="J184" s="51" t="str">
        <f>_xlfn.XLOOKUP(transactions[[#This Row],[OpportunityID]],Opportunities[ID],Opportunities[OpportunityName])</f>
        <v>Website Redesign Project</v>
      </c>
      <c r="K184" s="51" t="str">
        <f>_xlfn.XLOOKUP(transactions[[#This Row],[CustomerId]],Customers[Id],Customers[Customer Name])</f>
        <v>ACME Corporation</v>
      </c>
      <c r="L184" s="51" t="str">
        <f>_xlfn.XLOOKUP(transactions[[#This Row],[OpportunityID]],Opportunities[ID],Opportunities[OpportunityOwner])</f>
        <v>Lisa Engineer</v>
      </c>
      <c r="M184" s="51" t="str">
        <f ca="1">IF((transactions[[#This Row],[TransactionDate]]-TODAY())&lt;=366,transactions[[#This Row],[FQ]],"Out-year")</f>
        <v>Out-year</v>
      </c>
      <c r="N184" s="55">
        <f>transactions[[#This Row],[UnWeighted]]/1000</f>
        <v>80.895333333333326</v>
      </c>
      <c r="O184" s="55">
        <f>transactions[[#This Row],[Weighted]]/1000</f>
        <v>40.447666666666663</v>
      </c>
      <c r="P184" s="55">
        <f>transactions[[#This Row],[$K Unweighted]]/1000</f>
        <v>8.0895333333333333E-2</v>
      </c>
      <c r="Q184" s="55" t="b">
        <f ca="1">transactions[[#This Row],[TransactionDate]]&gt;TODAY()</f>
        <v>1</v>
      </c>
    </row>
    <row r="185" spans="1:17" x14ac:dyDescent="0.25">
      <c r="A185">
        <v>2</v>
      </c>
      <c r="B185">
        <v>10</v>
      </c>
      <c r="C185" s="31">
        <v>46616</v>
      </c>
      <c r="D18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5" s="51" t="str">
        <f>"CY"&amp;RIGHT(YEAR(transactions[[#This Row],[TransactionDate]]),2)&amp;"-Q"&amp;ROUNDUP(MONTH(transactions[[#This Row],[TransactionDate]])/3, 0)</f>
        <v>CY27-Q3</v>
      </c>
      <c r="F185" s="52">
        <f>transactions[[#This Row],[UnWeighted]]*_xlfn.XLOOKUP(transactions[[#This Row],[OpportunityID]],Opportunities[ID],Opportunities[WinProbabilityValue])</f>
        <v>20720.20930232558</v>
      </c>
      <c r="G185"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85" s="51" t="str">
        <f>_xlfn.XLOOKUP(transactions[[#This Row],[OpportunityID]],Opportunities[ID],Opportunities[Status])</f>
        <v>Active</v>
      </c>
      <c r="I185" s="51" t="str">
        <f>_xlfn.XLOOKUP(transactions[[#This Row],[OpportunityID]],Opportunities[ID],Opportunities[Stage])</f>
        <v>Proposal</v>
      </c>
      <c r="J185" s="51" t="str">
        <f>_xlfn.XLOOKUP(transactions[[#This Row],[OpportunityID]],Opportunities[ID],Opportunities[OpportunityName])</f>
        <v>Cloud Migration Initiative</v>
      </c>
      <c r="K185" s="51" t="str">
        <f>_xlfn.XLOOKUP(transactions[[#This Row],[CustomerId]],Customers[Id],Customers[Customer Name])</f>
        <v>Education First</v>
      </c>
      <c r="L185" s="51" t="str">
        <f>_xlfn.XLOOKUP(transactions[[#This Row],[OpportunityID]],Opportunities[ID],Opportunities[OpportunityOwner])</f>
        <v>Robert Analyst</v>
      </c>
      <c r="M185" s="51" t="str">
        <f ca="1">IF((transactions[[#This Row],[TransactionDate]]-TODAY())&lt;=366,transactions[[#This Row],[FQ]],"Out-year")</f>
        <v>Out-year</v>
      </c>
      <c r="N185" s="55">
        <f>transactions[[#This Row],[UnWeighted]]/1000</f>
        <v>41.440418604651157</v>
      </c>
      <c r="O185" s="55">
        <f>transactions[[#This Row],[Weighted]]/1000</f>
        <v>20.720209302325578</v>
      </c>
      <c r="P185" s="55">
        <f>transactions[[#This Row],[$K Unweighted]]/1000</f>
        <v>4.1440418604651155E-2</v>
      </c>
      <c r="Q185" s="55" t="b">
        <f ca="1">transactions[[#This Row],[TransactionDate]]&gt;TODAY()</f>
        <v>1</v>
      </c>
    </row>
    <row r="186" spans="1:17" x14ac:dyDescent="0.25">
      <c r="A186">
        <v>27</v>
      </c>
      <c r="B186">
        <v>2</v>
      </c>
      <c r="C186" s="31">
        <v>46616</v>
      </c>
      <c r="D18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6" s="51" t="str">
        <f>"CY"&amp;RIGHT(YEAR(transactions[[#This Row],[TransactionDate]]),2)&amp;"-Q"&amp;ROUNDUP(MONTH(transactions[[#This Row],[TransactionDate]])/3, 0)</f>
        <v>CY27-Q3</v>
      </c>
      <c r="F186" s="52">
        <f>transactions[[#This Row],[UnWeighted]]*_xlfn.XLOOKUP(transactions[[#This Row],[OpportunityID]],Opportunities[ID],Opportunities[WinProbabilityValue])</f>
        <v>46287.333333333336</v>
      </c>
      <c r="G186"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186" s="51" t="str">
        <f>_xlfn.XLOOKUP(transactions[[#This Row],[OpportunityID]],Opportunities[ID],Opportunities[Status])</f>
        <v>Active</v>
      </c>
      <c r="I186" s="51" t="str">
        <f>_xlfn.XLOOKUP(transactions[[#This Row],[OpportunityID]],Opportunities[ID],Opportunities[Stage])</f>
        <v>Lead Qualification</v>
      </c>
      <c r="J186" s="51" t="str">
        <f>_xlfn.XLOOKUP(transactions[[#This Row],[OpportunityID]],Opportunities[ID],Opportunities[OpportunityName])</f>
        <v>Backup &amp; Recovery System</v>
      </c>
      <c r="K186" s="51" t="str">
        <f>_xlfn.XLOOKUP(transactions[[#This Row],[CustomerId]],Customers[Id],Customers[Customer Name])</f>
        <v>Global Industries</v>
      </c>
      <c r="L186" s="51" t="str">
        <f>_xlfn.XLOOKUP(transactions[[#This Row],[OpportunityID]],Opportunities[ID],Opportunities[OpportunityOwner])</f>
        <v>Amanda Sales</v>
      </c>
      <c r="M186" s="51" t="str">
        <f ca="1">IF((transactions[[#This Row],[TransactionDate]]-TODAY())&lt;=366,transactions[[#This Row],[FQ]],"Out-year")</f>
        <v>Out-year</v>
      </c>
      <c r="N186" s="55">
        <f>transactions[[#This Row],[UnWeighted]]/1000</f>
        <v>92.574666666666673</v>
      </c>
      <c r="O186" s="55">
        <f>transactions[[#This Row],[Weighted]]/1000</f>
        <v>46.287333333333336</v>
      </c>
      <c r="P186" s="55">
        <f>transactions[[#This Row],[$K Unweighted]]/1000</f>
        <v>9.2574666666666666E-2</v>
      </c>
      <c r="Q186" s="55" t="b">
        <f ca="1">transactions[[#This Row],[TransactionDate]]&gt;TODAY()</f>
        <v>1</v>
      </c>
    </row>
    <row r="187" spans="1:17" x14ac:dyDescent="0.25">
      <c r="A187">
        <v>13</v>
      </c>
      <c r="B187">
        <v>2</v>
      </c>
      <c r="C187" s="31">
        <v>46621</v>
      </c>
      <c r="D18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7" s="51" t="str">
        <f>"CY"&amp;RIGHT(YEAR(transactions[[#This Row],[TransactionDate]]),2)&amp;"-Q"&amp;ROUNDUP(MONTH(transactions[[#This Row],[TransactionDate]])/3, 0)</f>
        <v>CY27-Q3</v>
      </c>
      <c r="F187" s="52">
        <f>transactions[[#This Row],[UnWeighted]]*_xlfn.XLOOKUP(transactions[[#This Row],[OpportunityID]],Opportunities[ID],Opportunities[WinProbabilityValue])</f>
        <v>12618.744897959185</v>
      </c>
      <c r="G187"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87" s="51" t="str">
        <f>_xlfn.XLOOKUP(transactions[[#This Row],[OpportunityID]],Opportunities[ID],Opportunities[Status])</f>
        <v>Active</v>
      </c>
      <c r="I187" s="51" t="str">
        <f>_xlfn.XLOOKUP(transactions[[#This Row],[OpportunityID]],Opportunities[ID],Opportunities[Stage])</f>
        <v>Negotiation</v>
      </c>
      <c r="J187" s="51" t="str">
        <f>_xlfn.XLOOKUP(transactions[[#This Row],[OpportunityID]],Opportunities[ID],Opportunities[OpportunityName])</f>
        <v>E-commerce Platform</v>
      </c>
      <c r="K187" s="51" t="str">
        <f>_xlfn.XLOOKUP(transactions[[#This Row],[CustomerId]],Customers[Id],Customers[Customer Name])</f>
        <v>Global Industries</v>
      </c>
      <c r="L187" s="51" t="str">
        <f>_xlfn.XLOOKUP(transactions[[#This Row],[OpportunityID]],Opportunities[ID],Opportunities[OpportunityOwner])</f>
        <v>Lisa Engineer</v>
      </c>
      <c r="M187" s="51" t="str">
        <f ca="1">IF((transactions[[#This Row],[TransactionDate]]-TODAY())&lt;=366,transactions[[#This Row],[FQ]],"Out-year")</f>
        <v>Out-year</v>
      </c>
      <c r="N187" s="55">
        <f>transactions[[#This Row],[UnWeighted]]/1000</f>
        <v>25.237489795918368</v>
      </c>
      <c r="O187" s="55">
        <f>transactions[[#This Row],[Weighted]]/1000</f>
        <v>12.618744897959184</v>
      </c>
      <c r="P187" s="55">
        <f>transactions[[#This Row],[$K Unweighted]]/1000</f>
        <v>2.5237489795918368E-2</v>
      </c>
      <c r="Q187" s="55" t="b">
        <f ca="1">transactions[[#This Row],[TransactionDate]]&gt;TODAY()</f>
        <v>1</v>
      </c>
    </row>
    <row r="188" spans="1:17" x14ac:dyDescent="0.25">
      <c r="A188">
        <v>5</v>
      </c>
      <c r="B188">
        <v>12</v>
      </c>
      <c r="C188" s="31">
        <v>46622</v>
      </c>
      <c r="D18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8" s="51" t="str">
        <f>"CY"&amp;RIGHT(YEAR(transactions[[#This Row],[TransactionDate]]),2)&amp;"-Q"&amp;ROUNDUP(MONTH(transactions[[#This Row],[TransactionDate]])/3, 0)</f>
        <v>CY27-Q3</v>
      </c>
      <c r="F188" s="52">
        <f>transactions[[#This Row],[UnWeighted]]*_xlfn.XLOOKUP(transactions[[#This Row],[OpportunityID]],Opportunities[ID],Opportunities[WinProbabilityValue])</f>
        <v>104043.5</v>
      </c>
      <c r="G188" s="52">
        <f>_xlfn.XLOOKUP(transactions[[#This Row],[OpportunityID]],Opportunities[ID],Opportunities[Amount])/IF(_xlfn.XLOOKUP(transactions[[#This Row],[OpportunityID]],Opportunities[ID],Opportunities[Recurrences])=0,1,_xlfn.XLOOKUP(transactions[[#This Row],[OpportunityID]],Opportunities[ID],Opportunities[Recurrences]))</f>
        <v>208087</v>
      </c>
      <c r="H188" s="51" t="str">
        <f>_xlfn.XLOOKUP(transactions[[#This Row],[OpportunityID]],Opportunities[ID],Opportunities[Status])</f>
        <v>Active</v>
      </c>
      <c r="I188" s="51" t="str">
        <f>_xlfn.XLOOKUP(transactions[[#This Row],[OpportunityID]],Opportunities[ID],Opportunities[Stage])</f>
        <v>Proposal</v>
      </c>
      <c r="J188" s="51" t="str">
        <f>_xlfn.XLOOKUP(transactions[[#This Row],[OpportunityID]],Opportunities[ID],Opportunities[OpportunityName])</f>
        <v>Healthcare Data Analytics Platform</v>
      </c>
      <c r="K188" s="51" t="str">
        <f>_xlfn.XLOOKUP(transactions[[#This Row],[CustomerId]],Customers[Id],Customers[Customer Name])</f>
        <v>Food Service Partners</v>
      </c>
      <c r="L188" s="51" t="str">
        <f>_xlfn.XLOOKUP(transactions[[#This Row],[OpportunityID]],Opportunities[ID],Opportunities[OpportunityOwner])</f>
        <v>Amanda Sales</v>
      </c>
      <c r="M188" s="51" t="str">
        <f ca="1">IF((transactions[[#This Row],[TransactionDate]]-TODAY())&lt;=366,transactions[[#This Row],[FQ]],"Out-year")</f>
        <v>Out-year</v>
      </c>
      <c r="N188" s="55">
        <f>transactions[[#This Row],[UnWeighted]]/1000</f>
        <v>208.08699999999999</v>
      </c>
      <c r="O188" s="55">
        <f>transactions[[#This Row],[Weighted]]/1000</f>
        <v>104.04349999999999</v>
      </c>
      <c r="P188" s="55">
        <f>transactions[[#This Row],[$K Unweighted]]/1000</f>
        <v>0.20808699999999999</v>
      </c>
      <c r="Q188" s="55" t="b">
        <f ca="1">transactions[[#This Row],[TransactionDate]]&gt;TODAY()</f>
        <v>1</v>
      </c>
    </row>
    <row r="189" spans="1:17" x14ac:dyDescent="0.25">
      <c r="A189">
        <v>26</v>
      </c>
      <c r="B189">
        <v>1</v>
      </c>
      <c r="C189" s="31">
        <v>46631</v>
      </c>
      <c r="D18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9" s="51" t="str">
        <f>"CY"&amp;RIGHT(YEAR(transactions[[#This Row],[TransactionDate]]),2)&amp;"-Q"&amp;ROUNDUP(MONTH(transactions[[#This Row],[TransactionDate]])/3, 0)</f>
        <v>CY27-Q3</v>
      </c>
      <c r="F189" s="52">
        <f>transactions[[#This Row],[UnWeighted]]*_xlfn.XLOOKUP(transactions[[#This Row],[OpportunityID]],Opportunities[ID],Opportunities[WinProbabilityValue])</f>
        <v>11339.638888888889</v>
      </c>
      <c r="G189"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89" s="51" t="str">
        <f>_xlfn.XLOOKUP(transactions[[#This Row],[OpportunityID]],Opportunities[ID],Opportunities[Status])</f>
        <v>Active</v>
      </c>
      <c r="I189" s="51" t="str">
        <f>_xlfn.XLOOKUP(transactions[[#This Row],[OpportunityID]],Opportunities[ID],Opportunities[Stage])</f>
        <v>Negotiation</v>
      </c>
      <c r="J189" s="51" t="str">
        <f>_xlfn.XLOOKUP(transactions[[#This Row],[OpportunityID]],Opportunities[ID],Opportunities[OpportunityName])</f>
        <v>Video Conferencing Solution</v>
      </c>
      <c r="K189" s="51" t="str">
        <f>_xlfn.XLOOKUP(transactions[[#This Row],[CustomerId]],Customers[Id],Customers[Customer Name])</f>
        <v>ACME Corporation</v>
      </c>
      <c r="L189" s="51" t="str">
        <f>_xlfn.XLOOKUP(transactions[[#This Row],[OpportunityID]],Opportunities[ID],Opportunities[OpportunityOwner])</f>
        <v>Mike Consultant</v>
      </c>
      <c r="M189" s="51" t="str">
        <f ca="1">IF((transactions[[#This Row],[TransactionDate]]-TODAY())&lt;=366,transactions[[#This Row],[FQ]],"Out-year")</f>
        <v>Out-year</v>
      </c>
      <c r="N189" s="55">
        <f>transactions[[#This Row],[UnWeighted]]/1000</f>
        <v>22.679277777777777</v>
      </c>
      <c r="O189" s="55">
        <f>transactions[[#This Row],[Weighted]]/1000</f>
        <v>11.339638888888889</v>
      </c>
      <c r="P189" s="55">
        <f>transactions[[#This Row],[$K Unweighted]]/1000</f>
        <v>2.2679277777777777E-2</v>
      </c>
      <c r="Q189" s="55" t="b">
        <f ca="1">transactions[[#This Row],[TransactionDate]]&gt;TODAY()</f>
        <v>1</v>
      </c>
    </row>
    <row r="190" spans="1:17" x14ac:dyDescent="0.25">
      <c r="A190">
        <v>39</v>
      </c>
      <c r="B190">
        <v>3</v>
      </c>
      <c r="C190" s="31">
        <v>46633</v>
      </c>
      <c r="D19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0" s="51" t="str">
        <f>"CY"&amp;RIGHT(YEAR(transactions[[#This Row],[TransactionDate]]),2)&amp;"-Q"&amp;ROUNDUP(MONTH(transactions[[#This Row],[TransactionDate]])/3, 0)</f>
        <v>CY27-Q3</v>
      </c>
      <c r="F190" s="52">
        <f>transactions[[#This Row],[UnWeighted]]*_xlfn.XLOOKUP(transactions[[#This Row],[OpportunityID]],Opportunities[ID],Opportunities[WinProbabilityValue])</f>
        <v>20929.153846153848</v>
      </c>
      <c r="G190"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90" s="51" t="str">
        <f>_xlfn.XLOOKUP(transactions[[#This Row],[OpportunityID]],Opportunities[ID],Opportunities[Status])</f>
        <v>Active</v>
      </c>
      <c r="I190" s="51" t="str">
        <f>_xlfn.XLOOKUP(transactions[[#This Row],[OpportunityID]],Opportunities[ID],Opportunities[Stage])</f>
        <v>Project Execution</v>
      </c>
      <c r="J190" s="51" t="str">
        <f>_xlfn.XLOOKUP(transactions[[#This Row],[OpportunityID]],Opportunities[ID],Opportunities[OpportunityName])</f>
        <v>API Development Project</v>
      </c>
      <c r="K190" s="51" t="str">
        <f>_xlfn.XLOOKUP(transactions[[#This Row],[CustomerId]],Customers[Id],Customers[Customer Name])</f>
        <v>Tech Solutions Inc</v>
      </c>
      <c r="L190" s="51" t="str">
        <f>_xlfn.XLOOKUP(transactions[[#This Row],[OpportunityID]],Opportunities[ID],Opportunities[OpportunityOwner])</f>
        <v>Jennifer PM</v>
      </c>
      <c r="M190" s="51" t="str">
        <f ca="1">IF((transactions[[#This Row],[TransactionDate]]-TODAY())&lt;=366,transactions[[#This Row],[FQ]],"Out-year")</f>
        <v>Out-year</v>
      </c>
      <c r="N190" s="55">
        <f>transactions[[#This Row],[UnWeighted]]/1000</f>
        <v>41.858307692307697</v>
      </c>
      <c r="O190" s="55">
        <f>transactions[[#This Row],[Weighted]]/1000</f>
        <v>20.929153846153849</v>
      </c>
      <c r="P190" s="55">
        <f>transactions[[#This Row],[$K Unweighted]]/1000</f>
        <v>4.1858307692307695E-2</v>
      </c>
      <c r="Q190" s="55" t="b">
        <f ca="1">transactions[[#This Row],[TransactionDate]]&gt;TODAY()</f>
        <v>1</v>
      </c>
    </row>
    <row r="191" spans="1:17" x14ac:dyDescent="0.25">
      <c r="A191">
        <v>36</v>
      </c>
      <c r="B191">
        <v>1</v>
      </c>
      <c r="C191" s="31">
        <v>46636</v>
      </c>
      <c r="D19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1" s="51" t="str">
        <f>"CY"&amp;RIGHT(YEAR(transactions[[#This Row],[TransactionDate]]),2)&amp;"-Q"&amp;ROUNDUP(MONTH(transactions[[#This Row],[TransactionDate]])/3, 0)</f>
        <v>CY27-Q3</v>
      </c>
      <c r="F191" s="52">
        <f>transactions[[#This Row],[UnWeighted]]*_xlfn.XLOOKUP(transactions[[#This Row],[OpportunityID]],Opportunities[ID],Opportunities[WinProbabilityValue])</f>
        <v>24983.895833333332</v>
      </c>
      <c r="G191"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91" s="51" t="str">
        <f>_xlfn.XLOOKUP(transactions[[#This Row],[OpportunityID]],Opportunities[ID],Opportunities[Status])</f>
        <v>Active</v>
      </c>
      <c r="I191" s="51" t="str">
        <f>_xlfn.XLOOKUP(transactions[[#This Row],[OpportunityID]],Opportunities[ID],Opportunities[Stage])</f>
        <v>Lead Qualification</v>
      </c>
      <c r="J191" s="51" t="str">
        <f>_xlfn.XLOOKUP(transactions[[#This Row],[OpportunityID]],Opportunities[ID],Opportunities[OpportunityName])</f>
        <v>Integration Services Project</v>
      </c>
      <c r="K191" s="51" t="str">
        <f>_xlfn.XLOOKUP(transactions[[#This Row],[CustomerId]],Customers[Id],Customers[Customer Name])</f>
        <v>ACME Corporation</v>
      </c>
      <c r="L191" s="51" t="str">
        <f>_xlfn.XLOOKUP(transactions[[#This Row],[OpportunityID]],Opportunities[ID],Opportunities[OpportunityOwner])</f>
        <v>Amanda Sales</v>
      </c>
      <c r="M191" s="51" t="str">
        <f ca="1">IF((transactions[[#This Row],[TransactionDate]]-TODAY())&lt;=366,transactions[[#This Row],[FQ]],"Out-year")</f>
        <v>Out-year</v>
      </c>
      <c r="N191" s="55">
        <f>transactions[[#This Row],[UnWeighted]]/1000</f>
        <v>49.967791666666663</v>
      </c>
      <c r="O191" s="55">
        <f>transactions[[#This Row],[Weighted]]/1000</f>
        <v>24.983895833333332</v>
      </c>
      <c r="P191" s="55">
        <f>transactions[[#This Row],[$K Unweighted]]/1000</f>
        <v>4.9967791666666664E-2</v>
      </c>
      <c r="Q191" s="55" t="b">
        <f ca="1">transactions[[#This Row],[TransactionDate]]&gt;TODAY()</f>
        <v>1</v>
      </c>
    </row>
    <row r="192" spans="1:17" x14ac:dyDescent="0.25">
      <c r="A192">
        <v>15</v>
      </c>
      <c r="B192">
        <v>24</v>
      </c>
      <c r="C192" s="31">
        <v>46637</v>
      </c>
      <c r="D19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2" s="51" t="str">
        <f>"CY"&amp;RIGHT(YEAR(transactions[[#This Row],[TransactionDate]]),2)&amp;"-Q"&amp;ROUNDUP(MONTH(transactions[[#This Row],[TransactionDate]])/3, 0)</f>
        <v>CY27-Q3</v>
      </c>
      <c r="F192" s="52">
        <f>transactions[[#This Row],[UnWeighted]]*_xlfn.XLOOKUP(transactions[[#This Row],[OpportunityID]],Opportunities[ID],Opportunities[WinProbabilityValue])</f>
        <v>29217.197872340425</v>
      </c>
      <c r="G192"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92" s="51" t="str">
        <f>_xlfn.XLOOKUP(transactions[[#This Row],[OpportunityID]],Opportunities[ID],Opportunities[Status])</f>
        <v>Active</v>
      </c>
      <c r="I192" s="51" t="str">
        <f>_xlfn.XLOOKUP(transactions[[#This Row],[OpportunityID]],Opportunities[ID],Opportunities[Stage])</f>
        <v>Project Execution</v>
      </c>
      <c r="J192" s="51" t="str">
        <f>_xlfn.XLOOKUP(transactions[[#This Row],[OpportunityID]],Opportunities[ID],Opportunities[OpportunityName])</f>
        <v>Training &amp; Development Program</v>
      </c>
      <c r="K192" s="51" t="str">
        <f>_xlfn.XLOOKUP(transactions[[#This Row],[CustomerId]],Customers[Id],Customers[Customer Name])</f>
        <v>Security Solutions</v>
      </c>
      <c r="L192" s="51" t="str">
        <f>_xlfn.XLOOKUP(transactions[[#This Row],[OpportunityID]],Opportunities[ID],Opportunities[OpportunityOwner])</f>
        <v>Sarah Director</v>
      </c>
      <c r="M192" s="51" t="str">
        <f ca="1">IF((transactions[[#This Row],[TransactionDate]]-TODAY())&lt;=366,transactions[[#This Row],[FQ]],"Out-year")</f>
        <v>Out-year</v>
      </c>
      <c r="N192" s="55">
        <f>transactions[[#This Row],[UnWeighted]]/1000</f>
        <v>32.46355319148936</v>
      </c>
      <c r="O192" s="55">
        <f>transactions[[#This Row],[Weighted]]/1000</f>
        <v>29.217197872340424</v>
      </c>
      <c r="P192" s="55">
        <f>transactions[[#This Row],[$K Unweighted]]/1000</f>
        <v>3.2463553191489358E-2</v>
      </c>
      <c r="Q192" s="55" t="b">
        <f ca="1">transactions[[#This Row],[TransactionDate]]&gt;TODAY()</f>
        <v>1</v>
      </c>
    </row>
    <row r="193" spans="1:17" x14ac:dyDescent="0.25">
      <c r="A193">
        <v>17</v>
      </c>
      <c r="B193">
        <v>19</v>
      </c>
      <c r="C193" s="31">
        <v>46639</v>
      </c>
      <c r="D19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3" s="51" t="str">
        <f>"CY"&amp;RIGHT(YEAR(transactions[[#This Row],[TransactionDate]]),2)&amp;"-Q"&amp;ROUNDUP(MONTH(transactions[[#This Row],[TransactionDate]])/3, 0)</f>
        <v>CY27-Q3</v>
      </c>
      <c r="F193" s="52">
        <f>transactions[[#This Row],[UnWeighted]]*_xlfn.XLOOKUP(transactions[[#This Row],[OpportunityID]],Opportunities[ID],Opportunities[WinProbabilityValue])</f>
        <v>9267.2333333333336</v>
      </c>
      <c r="G193"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93" s="51" t="str">
        <f>_xlfn.XLOOKUP(transactions[[#This Row],[OpportunityID]],Opportunities[ID],Opportunities[Status])</f>
        <v>Active</v>
      </c>
      <c r="I193" s="51" t="str">
        <f>_xlfn.XLOOKUP(transactions[[#This Row],[OpportunityID]],Opportunities[ID],Opportunities[Stage])</f>
        <v>Negotiation</v>
      </c>
      <c r="J193" s="51" t="str">
        <f>_xlfn.XLOOKUP(transactions[[#This Row],[OpportunityID]],Opportunities[ID],Opportunities[OpportunityName])</f>
        <v>Supply Chain Optimization</v>
      </c>
      <c r="K193" s="51" t="str">
        <f>_xlfn.XLOOKUP(transactions[[#This Row],[CustomerId]],Customers[Id],Customers[Customer Name])</f>
        <v>Hotel Management Group</v>
      </c>
      <c r="L193" s="51" t="str">
        <f>_xlfn.XLOOKUP(transactions[[#This Row],[OpportunityID]],Opportunities[ID],Opportunities[OpportunityOwner])</f>
        <v>Jennifer PM</v>
      </c>
      <c r="M193" s="51" t="str">
        <f ca="1">IF((transactions[[#This Row],[TransactionDate]]-TODAY())&lt;=366,transactions[[#This Row],[FQ]],"Out-year")</f>
        <v>Out-year</v>
      </c>
      <c r="N193" s="55">
        <f>transactions[[#This Row],[UnWeighted]]/1000</f>
        <v>46.336166666666664</v>
      </c>
      <c r="O193" s="55">
        <f>transactions[[#This Row],[Weighted]]/1000</f>
        <v>9.2672333333333334</v>
      </c>
      <c r="P193" s="55">
        <f>transactions[[#This Row],[$K Unweighted]]/1000</f>
        <v>4.6336166666666664E-2</v>
      </c>
      <c r="Q193" s="55" t="b">
        <f ca="1">transactions[[#This Row],[TransactionDate]]&gt;TODAY()</f>
        <v>1</v>
      </c>
    </row>
    <row r="194" spans="1:17" x14ac:dyDescent="0.25">
      <c r="A194">
        <v>22</v>
      </c>
      <c r="B194">
        <v>11</v>
      </c>
      <c r="C194" s="31">
        <v>46641</v>
      </c>
      <c r="D19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4" s="51" t="str">
        <f>"CY"&amp;RIGHT(YEAR(transactions[[#This Row],[TransactionDate]]),2)&amp;"-Q"&amp;ROUNDUP(MONTH(transactions[[#This Row],[TransactionDate]])/3, 0)</f>
        <v>CY27-Q3</v>
      </c>
      <c r="F194" s="52">
        <f>transactions[[#This Row],[UnWeighted]]*_xlfn.XLOOKUP(transactions[[#This Row],[OpportunityID]],Opportunities[ID],Opportunities[WinProbabilityValue])</f>
        <v>26390.544230769232</v>
      </c>
      <c r="G194"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94" s="51" t="str">
        <f>_xlfn.XLOOKUP(transactions[[#This Row],[OpportunityID]],Opportunities[ID],Opportunities[Status])</f>
        <v>Active</v>
      </c>
      <c r="I194" s="51" t="str">
        <f>_xlfn.XLOOKUP(transactions[[#This Row],[OpportunityID]],Opportunities[ID],Opportunities[Stage])</f>
        <v>Nurturing</v>
      </c>
      <c r="J194" s="51" t="str">
        <f>_xlfn.XLOOKUP(transactions[[#This Row],[OpportunityID]],Opportunities[ID],Opportunities[OpportunityName])</f>
        <v>Inventory Management Solution</v>
      </c>
      <c r="K194" s="51" t="str">
        <f>_xlfn.XLOOKUP(transactions[[#This Row],[CustomerId]],Customers[Id],Customers[Customer Name])</f>
        <v>Transport Logistics</v>
      </c>
      <c r="L194" s="51" t="str">
        <f>_xlfn.XLOOKUP(transactions[[#This Row],[OpportunityID]],Opportunities[ID],Opportunities[OpportunityOwner])</f>
        <v>Sarah Director</v>
      </c>
      <c r="M194" s="51" t="str">
        <f ca="1">IF((transactions[[#This Row],[TransactionDate]]-TODAY())&lt;=366,transactions[[#This Row],[FQ]],"Out-year")</f>
        <v>Out-year</v>
      </c>
      <c r="N194" s="55">
        <f>transactions[[#This Row],[UnWeighted]]/1000</f>
        <v>29.322826923076921</v>
      </c>
      <c r="O194" s="55">
        <f>transactions[[#This Row],[Weighted]]/1000</f>
        <v>26.390544230769233</v>
      </c>
      <c r="P194" s="55">
        <f>transactions[[#This Row],[$K Unweighted]]/1000</f>
        <v>2.932282692307692E-2</v>
      </c>
      <c r="Q194" s="55" t="b">
        <f ca="1">transactions[[#This Row],[TransactionDate]]&gt;TODAY()</f>
        <v>1</v>
      </c>
    </row>
    <row r="195" spans="1:17" x14ac:dyDescent="0.25">
      <c r="A195">
        <v>2</v>
      </c>
      <c r="B195">
        <v>10</v>
      </c>
      <c r="C195" s="31">
        <v>46647</v>
      </c>
      <c r="D19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5" s="51" t="str">
        <f>"CY"&amp;RIGHT(YEAR(transactions[[#This Row],[TransactionDate]]),2)&amp;"-Q"&amp;ROUNDUP(MONTH(transactions[[#This Row],[TransactionDate]])/3, 0)</f>
        <v>CY27-Q3</v>
      </c>
      <c r="F195" s="52">
        <f>transactions[[#This Row],[UnWeighted]]*_xlfn.XLOOKUP(transactions[[#This Row],[OpportunityID]],Opportunities[ID],Opportunities[WinProbabilityValue])</f>
        <v>20720.20930232558</v>
      </c>
      <c r="G195"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95" s="51" t="str">
        <f>_xlfn.XLOOKUP(transactions[[#This Row],[OpportunityID]],Opportunities[ID],Opportunities[Status])</f>
        <v>Active</v>
      </c>
      <c r="I195" s="51" t="str">
        <f>_xlfn.XLOOKUP(transactions[[#This Row],[OpportunityID]],Opportunities[ID],Opportunities[Stage])</f>
        <v>Proposal</v>
      </c>
      <c r="J195" s="51" t="str">
        <f>_xlfn.XLOOKUP(transactions[[#This Row],[OpportunityID]],Opportunities[ID],Opportunities[OpportunityName])</f>
        <v>Cloud Migration Initiative</v>
      </c>
      <c r="K195" s="51" t="str">
        <f>_xlfn.XLOOKUP(transactions[[#This Row],[CustomerId]],Customers[Id],Customers[Customer Name])</f>
        <v>Education First</v>
      </c>
      <c r="L195" s="51" t="str">
        <f>_xlfn.XLOOKUP(transactions[[#This Row],[OpportunityID]],Opportunities[ID],Opportunities[OpportunityOwner])</f>
        <v>Robert Analyst</v>
      </c>
      <c r="M195" s="51" t="str">
        <f ca="1">IF((transactions[[#This Row],[TransactionDate]]-TODAY())&lt;=366,transactions[[#This Row],[FQ]],"Out-year")</f>
        <v>Out-year</v>
      </c>
      <c r="N195" s="55">
        <f>transactions[[#This Row],[UnWeighted]]/1000</f>
        <v>41.440418604651157</v>
      </c>
      <c r="O195" s="55">
        <f>transactions[[#This Row],[Weighted]]/1000</f>
        <v>20.720209302325578</v>
      </c>
      <c r="P195" s="55">
        <f>transactions[[#This Row],[$K Unweighted]]/1000</f>
        <v>4.1440418604651155E-2</v>
      </c>
      <c r="Q195" s="55" t="b">
        <f ca="1">transactions[[#This Row],[TransactionDate]]&gt;TODAY()</f>
        <v>1</v>
      </c>
    </row>
    <row r="196" spans="1:17" x14ac:dyDescent="0.25">
      <c r="A196">
        <v>13</v>
      </c>
      <c r="B196">
        <v>2</v>
      </c>
      <c r="C196" s="31">
        <v>46652</v>
      </c>
      <c r="D19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6" s="51" t="str">
        <f>"CY"&amp;RIGHT(YEAR(transactions[[#This Row],[TransactionDate]]),2)&amp;"-Q"&amp;ROUNDUP(MONTH(transactions[[#This Row],[TransactionDate]])/3, 0)</f>
        <v>CY27-Q3</v>
      </c>
      <c r="F196" s="52">
        <f>transactions[[#This Row],[UnWeighted]]*_xlfn.XLOOKUP(transactions[[#This Row],[OpportunityID]],Opportunities[ID],Opportunities[WinProbabilityValue])</f>
        <v>12618.744897959185</v>
      </c>
      <c r="G196"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96" s="51" t="str">
        <f>_xlfn.XLOOKUP(transactions[[#This Row],[OpportunityID]],Opportunities[ID],Opportunities[Status])</f>
        <v>Active</v>
      </c>
      <c r="I196" s="51" t="str">
        <f>_xlfn.XLOOKUP(transactions[[#This Row],[OpportunityID]],Opportunities[ID],Opportunities[Stage])</f>
        <v>Negotiation</v>
      </c>
      <c r="J196" s="51" t="str">
        <f>_xlfn.XLOOKUP(transactions[[#This Row],[OpportunityID]],Opportunities[ID],Opportunities[OpportunityName])</f>
        <v>E-commerce Platform</v>
      </c>
      <c r="K196" s="51" t="str">
        <f>_xlfn.XLOOKUP(transactions[[#This Row],[CustomerId]],Customers[Id],Customers[Customer Name])</f>
        <v>Global Industries</v>
      </c>
      <c r="L196" s="51" t="str">
        <f>_xlfn.XLOOKUP(transactions[[#This Row],[OpportunityID]],Opportunities[ID],Opportunities[OpportunityOwner])</f>
        <v>Lisa Engineer</v>
      </c>
      <c r="M196" s="51" t="str">
        <f ca="1">IF((transactions[[#This Row],[TransactionDate]]-TODAY())&lt;=366,transactions[[#This Row],[FQ]],"Out-year")</f>
        <v>Out-year</v>
      </c>
      <c r="N196" s="55">
        <f>transactions[[#This Row],[UnWeighted]]/1000</f>
        <v>25.237489795918368</v>
      </c>
      <c r="O196" s="55">
        <f>transactions[[#This Row],[Weighted]]/1000</f>
        <v>12.618744897959184</v>
      </c>
      <c r="P196" s="55">
        <f>transactions[[#This Row],[$K Unweighted]]/1000</f>
        <v>2.5237489795918368E-2</v>
      </c>
      <c r="Q196" s="55" t="b">
        <f ca="1">transactions[[#This Row],[TransactionDate]]&gt;TODAY()</f>
        <v>1</v>
      </c>
    </row>
    <row r="197" spans="1:17" x14ac:dyDescent="0.25">
      <c r="A197">
        <v>4</v>
      </c>
      <c r="B197">
        <v>12</v>
      </c>
      <c r="C197" s="31">
        <v>46658</v>
      </c>
      <c r="D19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7" s="51" t="str">
        <f>"CY"&amp;RIGHT(YEAR(transactions[[#This Row],[TransactionDate]]),2)&amp;"-Q"&amp;ROUNDUP(MONTH(transactions[[#This Row],[TransactionDate]])/3, 0)</f>
        <v>CY27-Q3</v>
      </c>
      <c r="F197" s="52">
        <f>transactions[[#This Row],[UnWeighted]]*_xlfn.XLOOKUP(transactions[[#This Row],[OpportunityID]],Opportunities[ID],Opportunities[WinProbabilityValue])</f>
        <v>62066.583333333336</v>
      </c>
      <c r="G197" s="52">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197" s="51" t="str">
        <f>_xlfn.XLOOKUP(transactions[[#This Row],[OpportunityID]],Opportunities[ID],Opportunities[Status])</f>
        <v>Active</v>
      </c>
      <c r="I197" s="51" t="str">
        <f>_xlfn.XLOOKUP(transactions[[#This Row],[OpportunityID]],Opportunities[ID],Opportunities[Stage])</f>
        <v>Lead Qualification</v>
      </c>
      <c r="J197" s="51" t="str">
        <f>_xlfn.XLOOKUP(transactions[[#This Row],[OpportunityID]],Opportunities[ID],Opportunities[OpportunityName])</f>
        <v>Manufacturing Automation System</v>
      </c>
      <c r="K197" s="51" t="str">
        <f>_xlfn.XLOOKUP(transactions[[#This Row],[CustomerId]],Customers[Id],Customers[Customer Name])</f>
        <v>Food Service Partners</v>
      </c>
      <c r="L197" s="51" t="str">
        <f>_xlfn.XLOOKUP(transactions[[#This Row],[OpportunityID]],Opportunities[ID],Opportunities[OpportunityOwner])</f>
        <v>Robert Analyst</v>
      </c>
      <c r="M197" s="51" t="str">
        <f ca="1">IF((transactions[[#This Row],[TransactionDate]]-TODAY())&lt;=366,transactions[[#This Row],[FQ]],"Out-year")</f>
        <v>Out-year</v>
      </c>
      <c r="N197" s="55">
        <f>transactions[[#This Row],[UnWeighted]]/1000</f>
        <v>124.13316666666667</v>
      </c>
      <c r="O197" s="55">
        <f>transactions[[#This Row],[Weighted]]/1000</f>
        <v>62.066583333333334</v>
      </c>
      <c r="P197" s="55">
        <f>transactions[[#This Row],[$K Unweighted]]/1000</f>
        <v>0.12413316666666667</v>
      </c>
      <c r="Q197" s="55" t="b">
        <f ca="1">transactions[[#This Row],[TransactionDate]]&gt;TODAY()</f>
        <v>1</v>
      </c>
    </row>
    <row r="198" spans="1:17" x14ac:dyDescent="0.25">
      <c r="A198">
        <v>26</v>
      </c>
      <c r="B198">
        <v>1</v>
      </c>
      <c r="C198" s="31">
        <v>46661</v>
      </c>
      <c r="D19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8" s="51" t="str">
        <f>"CY"&amp;RIGHT(YEAR(transactions[[#This Row],[TransactionDate]]),2)&amp;"-Q"&amp;ROUNDUP(MONTH(transactions[[#This Row],[TransactionDate]])/3, 0)</f>
        <v>CY27-Q4</v>
      </c>
      <c r="F198" s="52">
        <f>transactions[[#This Row],[UnWeighted]]*_xlfn.XLOOKUP(transactions[[#This Row],[OpportunityID]],Opportunities[ID],Opportunities[WinProbabilityValue])</f>
        <v>11339.638888888889</v>
      </c>
      <c r="G198"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98" s="51" t="str">
        <f>_xlfn.XLOOKUP(transactions[[#This Row],[OpportunityID]],Opportunities[ID],Opportunities[Status])</f>
        <v>Active</v>
      </c>
      <c r="I198" s="51" t="str">
        <f>_xlfn.XLOOKUP(transactions[[#This Row],[OpportunityID]],Opportunities[ID],Opportunities[Stage])</f>
        <v>Negotiation</v>
      </c>
      <c r="J198" s="51" t="str">
        <f>_xlfn.XLOOKUP(transactions[[#This Row],[OpportunityID]],Opportunities[ID],Opportunities[OpportunityName])</f>
        <v>Video Conferencing Solution</v>
      </c>
      <c r="K198" s="51" t="str">
        <f>_xlfn.XLOOKUP(transactions[[#This Row],[CustomerId]],Customers[Id],Customers[Customer Name])</f>
        <v>ACME Corporation</v>
      </c>
      <c r="L198" s="51" t="str">
        <f>_xlfn.XLOOKUP(transactions[[#This Row],[OpportunityID]],Opportunities[ID],Opportunities[OpportunityOwner])</f>
        <v>Mike Consultant</v>
      </c>
      <c r="M198" s="51" t="str">
        <f ca="1">IF((transactions[[#This Row],[TransactionDate]]-TODAY())&lt;=366,transactions[[#This Row],[FQ]],"Out-year")</f>
        <v>Out-year</v>
      </c>
      <c r="N198" s="55">
        <f>transactions[[#This Row],[UnWeighted]]/1000</f>
        <v>22.679277777777777</v>
      </c>
      <c r="O198" s="55">
        <f>transactions[[#This Row],[Weighted]]/1000</f>
        <v>11.339638888888889</v>
      </c>
      <c r="P198" s="55">
        <f>transactions[[#This Row],[$K Unweighted]]/1000</f>
        <v>2.2679277777777777E-2</v>
      </c>
      <c r="Q198" s="55" t="b">
        <f ca="1">transactions[[#This Row],[TransactionDate]]&gt;TODAY()</f>
        <v>1</v>
      </c>
    </row>
    <row r="199" spans="1:17" x14ac:dyDescent="0.25">
      <c r="A199">
        <v>39</v>
      </c>
      <c r="B199">
        <v>3</v>
      </c>
      <c r="C199" s="31">
        <v>46663</v>
      </c>
      <c r="D19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9" s="51" t="str">
        <f>"CY"&amp;RIGHT(YEAR(transactions[[#This Row],[TransactionDate]]),2)&amp;"-Q"&amp;ROUNDUP(MONTH(transactions[[#This Row],[TransactionDate]])/3, 0)</f>
        <v>CY27-Q4</v>
      </c>
      <c r="F199" s="52">
        <f>transactions[[#This Row],[UnWeighted]]*_xlfn.XLOOKUP(transactions[[#This Row],[OpportunityID]],Opportunities[ID],Opportunities[WinProbabilityValue])</f>
        <v>20929.153846153848</v>
      </c>
      <c r="G199"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99" s="51" t="str">
        <f>_xlfn.XLOOKUP(transactions[[#This Row],[OpportunityID]],Opportunities[ID],Opportunities[Status])</f>
        <v>Active</v>
      </c>
      <c r="I199" s="51" t="str">
        <f>_xlfn.XLOOKUP(transactions[[#This Row],[OpportunityID]],Opportunities[ID],Opportunities[Stage])</f>
        <v>Project Execution</v>
      </c>
      <c r="J199" s="51" t="str">
        <f>_xlfn.XLOOKUP(transactions[[#This Row],[OpportunityID]],Opportunities[ID],Opportunities[OpportunityName])</f>
        <v>API Development Project</v>
      </c>
      <c r="K199" s="51" t="str">
        <f>_xlfn.XLOOKUP(transactions[[#This Row],[CustomerId]],Customers[Id],Customers[Customer Name])</f>
        <v>Tech Solutions Inc</v>
      </c>
      <c r="L199" s="51" t="str">
        <f>_xlfn.XLOOKUP(transactions[[#This Row],[OpportunityID]],Opportunities[ID],Opportunities[OpportunityOwner])</f>
        <v>Jennifer PM</v>
      </c>
      <c r="M199" s="51" t="str">
        <f ca="1">IF((transactions[[#This Row],[TransactionDate]]-TODAY())&lt;=366,transactions[[#This Row],[FQ]],"Out-year")</f>
        <v>Out-year</v>
      </c>
      <c r="N199" s="55">
        <f>transactions[[#This Row],[UnWeighted]]/1000</f>
        <v>41.858307692307697</v>
      </c>
      <c r="O199" s="55">
        <f>transactions[[#This Row],[Weighted]]/1000</f>
        <v>20.929153846153849</v>
      </c>
      <c r="P199" s="55">
        <f>transactions[[#This Row],[$K Unweighted]]/1000</f>
        <v>4.1858307692307695E-2</v>
      </c>
      <c r="Q199" s="55" t="b">
        <f ca="1">transactions[[#This Row],[TransactionDate]]&gt;TODAY()</f>
        <v>1</v>
      </c>
    </row>
    <row r="200" spans="1:17" x14ac:dyDescent="0.25">
      <c r="A200">
        <v>36</v>
      </c>
      <c r="B200">
        <v>1</v>
      </c>
      <c r="C200" s="31">
        <v>46666</v>
      </c>
      <c r="D20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0" s="51" t="str">
        <f>"CY"&amp;RIGHT(YEAR(transactions[[#This Row],[TransactionDate]]),2)&amp;"-Q"&amp;ROUNDUP(MONTH(transactions[[#This Row],[TransactionDate]])/3, 0)</f>
        <v>CY27-Q4</v>
      </c>
      <c r="F200" s="52">
        <f>transactions[[#This Row],[UnWeighted]]*_xlfn.XLOOKUP(transactions[[#This Row],[OpportunityID]],Opportunities[ID],Opportunities[WinProbabilityValue])</f>
        <v>24983.895833333332</v>
      </c>
      <c r="G200"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00" s="51" t="str">
        <f>_xlfn.XLOOKUP(transactions[[#This Row],[OpportunityID]],Opportunities[ID],Opportunities[Status])</f>
        <v>Active</v>
      </c>
      <c r="I200" s="51" t="str">
        <f>_xlfn.XLOOKUP(transactions[[#This Row],[OpportunityID]],Opportunities[ID],Opportunities[Stage])</f>
        <v>Lead Qualification</v>
      </c>
      <c r="J200" s="51" t="str">
        <f>_xlfn.XLOOKUP(transactions[[#This Row],[OpportunityID]],Opportunities[ID],Opportunities[OpportunityName])</f>
        <v>Integration Services Project</v>
      </c>
      <c r="K200" s="51" t="str">
        <f>_xlfn.XLOOKUP(transactions[[#This Row],[CustomerId]],Customers[Id],Customers[Customer Name])</f>
        <v>ACME Corporation</v>
      </c>
      <c r="L200" s="51" t="str">
        <f>_xlfn.XLOOKUP(transactions[[#This Row],[OpportunityID]],Opportunities[ID],Opportunities[OpportunityOwner])</f>
        <v>Amanda Sales</v>
      </c>
      <c r="M200" s="51" t="str">
        <f ca="1">IF((transactions[[#This Row],[TransactionDate]]-TODAY())&lt;=366,transactions[[#This Row],[FQ]],"Out-year")</f>
        <v>Out-year</v>
      </c>
      <c r="N200" s="55">
        <f>transactions[[#This Row],[UnWeighted]]/1000</f>
        <v>49.967791666666663</v>
      </c>
      <c r="O200" s="55">
        <f>transactions[[#This Row],[Weighted]]/1000</f>
        <v>24.983895833333332</v>
      </c>
      <c r="P200" s="55">
        <f>transactions[[#This Row],[$K Unweighted]]/1000</f>
        <v>4.9967791666666664E-2</v>
      </c>
      <c r="Q200" s="55" t="b">
        <f ca="1">transactions[[#This Row],[TransactionDate]]&gt;TODAY()</f>
        <v>1</v>
      </c>
    </row>
    <row r="201" spans="1:17" x14ac:dyDescent="0.25">
      <c r="A201">
        <v>15</v>
      </c>
      <c r="B201">
        <v>24</v>
      </c>
      <c r="C201" s="31">
        <v>46667</v>
      </c>
      <c r="D20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1" s="51" t="str">
        <f>"CY"&amp;RIGHT(YEAR(transactions[[#This Row],[TransactionDate]]),2)&amp;"-Q"&amp;ROUNDUP(MONTH(transactions[[#This Row],[TransactionDate]])/3, 0)</f>
        <v>CY27-Q4</v>
      </c>
      <c r="F201" s="52">
        <f>transactions[[#This Row],[UnWeighted]]*_xlfn.XLOOKUP(transactions[[#This Row],[OpportunityID]],Opportunities[ID],Opportunities[WinProbabilityValue])</f>
        <v>29217.197872340425</v>
      </c>
      <c r="G201"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01" s="51" t="str">
        <f>_xlfn.XLOOKUP(transactions[[#This Row],[OpportunityID]],Opportunities[ID],Opportunities[Status])</f>
        <v>Active</v>
      </c>
      <c r="I201" s="51" t="str">
        <f>_xlfn.XLOOKUP(transactions[[#This Row],[OpportunityID]],Opportunities[ID],Opportunities[Stage])</f>
        <v>Project Execution</v>
      </c>
      <c r="J201" s="51" t="str">
        <f>_xlfn.XLOOKUP(transactions[[#This Row],[OpportunityID]],Opportunities[ID],Opportunities[OpportunityName])</f>
        <v>Training &amp; Development Program</v>
      </c>
      <c r="K201" s="51" t="str">
        <f>_xlfn.XLOOKUP(transactions[[#This Row],[CustomerId]],Customers[Id],Customers[Customer Name])</f>
        <v>Security Solutions</v>
      </c>
      <c r="L201" s="51" t="str">
        <f>_xlfn.XLOOKUP(transactions[[#This Row],[OpportunityID]],Opportunities[ID],Opportunities[OpportunityOwner])</f>
        <v>Sarah Director</v>
      </c>
      <c r="M201" s="51" t="str">
        <f ca="1">IF((transactions[[#This Row],[TransactionDate]]-TODAY())&lt;=366,transactions[[#This Row],[FQ]],"Out-year")</f>
        <v>Out-year</v>
      </c>
      <c r="N201" s="55">
        <f>transactions[[#This Row],[UnWeighted]]/1000</f>
        <v>32.46355319148936</v>
      </c>
      <c r="O201" s="55">
        <f>transactions[[#This Row],[Weighted]]/1000</f>
        <v>29.217197872340424</v>
      </c>
      <c r="P201" s="55">
        <f>transactions[[#This Row],[$K Unweighted]]/1000</f>
        <v>3.2463553191489358E-2</v>
      </c>
      <c r="Q201" s="55" t="b">
        <f ca="1">transactions[[#This Row],[TransactionDate]]&gt;TODAY()</f>
        <v>1</v>
      </c>
    </row>
    <row r="202" spans="1:17" x14ac:dyDescent="0.25">
      <c r="A202">
        <v>17</v>
      </c>
      <c r="B202">
        <v>19</v>
      </c>
      <c r="C202" s="31">
        <v>46669</v>
      </c>
      <c r="D20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2" s="51" t="str">
        <f>"CY"&amp;RIGHT(YEAR(transactions[[#This Row],[TransactionDate]]),2)&amp;"-Q"&amp;ROUNDUP(MONTH(transactions[[#This Row],[TransactionDate]])/3, 0)</f>
        <v>CY27-Q4</v>
      </c>
      <c r="F202" s="52">
        <f>transactions[[#This Row],[UnWeighted]]*_xlfn.XLOOKUP(transactions[[#This Row],[OpportunityID]],Opportunities[ID],Opportunities[WinProbabilityValue])</f>
        <v>9267.2333333333336</v>
      </c>
      <c r="G202"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02" s="51" t="str">
        <f>_xlfn.XLOOKUP(transactions[[#This Row],[OpportunityID]],Opportunities[ID],Opportunities[Status])</f>
        <v>Active</v>
      </c>
      <c r="I202" s="51" t="str">
        <f>_xlfn.XLOOKUP(transactions[[#This Row],[OpportunityID]],Opportunities[ID],Opportunities[Stage])</f>
        <v>Negotiation</v>
      </c>
      <c r="J202" s="51" t="str">
        <f>_xlfn.XLOOKUP(transactions[[#This Row],[OpportunityID]],Opportunities[ID],Opportunities[OpportunityName])</f>
        <v>Supply Chain Optimization</v>
      </c>
      <c r="K202" s="51" t="str">
        <f>_xlfn.XLOOKUP(transactions[[#This Row],[CustomerId]],Customers[Id],Customers[Customer Name])</f>
        <v>Hotel Management Group</v>
      </c>
      <c r="L202" s="51" t="str">
        <f>_xlfn.XLOOKUP(transactions[[#This Row],[OpportunityID]],Opportunities[ID],Opportunities[OpportunityOwner])</f>
        <v>Jennifer PM</v>
      </c>
      <c r="M202" s="51" t="str">
        <f ca="1">IF((transactions[[#This Row],[TransactionDate]]-TODAY())&lt;=366,transactions[[#This Row],[FQ]],"Out-year")</f>
        <v>Out-year</v>
      </c>
      <c r="N202" s="55">
        <f>transactions[[#This Row],[UnWeighted]]/1000</f>
        <v>46.336166666666664</v>
      </c>
      <c r="O202" s="55">
        <f>transactions[[#This Row],[Weighted]]/1000</f>
        <v>9.2672333333333334</v>
      </c>
      <c r="P202" s="55">
        <f>transactions[[#This Row],[$K Unweighted]]/1000</f>
        <v>4.6336166666666664E-2</v>
      </c>
      <c r="Q202" s="55" t="b">
        <f ca="1">transactions[[#This Row],[TransactionDate]]&gt;TODAY()</f>
        <v>1</v>
      </c>
    </row>
    <row r="203" spans="1:17" x14ac:dyDescent="0.25">
      <c r="A203">
        <v>16</v>
      </c>
      <c r="B203">
        <v>22</v>
      </c>
      <c r="C203" s="31">
        <v>46671</v>
      </c>
      <c r="D20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3" s="51" t="str">
        <f>"CY"&amp;RIGHT(YEAR(transactions[[#This Row],[TransactionDate]]),2)&amp;"-Q"&amp;ROUNDUP(MONTH(transactions[[#This Row],[TransactionDate]])/3, 0)</f>
        <v>CY27-Q4</v>
      </c>
      <c r="F203" s="52">
        <f>transactions[[#This Row],[UnWeighted]]*_xlfn.XLOOKUP(transactions[[#This Row],[OpportunityID]],Opportunities[ID],Opportunities[WinProbabilityValue])</f>
        <v>59080.25</v>
      </c>
      <c r="G203" s="52">
        <f>_xlfn.XLOOKUP(transactions[[#This Row],[OpportunityID]],Opportunities[ID],Opportunities[Amount])/IF(_xlfn.XLOOKUP(transactions[[#This Row],[OpportunityID]],Opportunities[ID],Opportunities[Recurrences])=0,1,_xlfn.XLOOKUP(transactions[[#This Row],[OpportunityID]],Opportunities[ID],Opportunities[Recurrences]))</f>
        <v>118160.5</v>
      </c>
      <c r="H203" s="51" t="str">
        <f>_xlfn.XLOOKUP(transactions[[#This Row],[OpportunityID]],Opportunities[ID],Opportunities[Status])</f>
        <v>At Risk</v>
      </c>
      <c r="I203" s="51" t="str">
        <f>_xlfn.XLOOKUP(transactions[[#This Row],[OpportunityID]],Opportunities[ID],Opportunities[Stage])</f>
        <v>Proposal</v>
      </c>
      <c r="J203" s="51" t="str">
        <f>_xlfn.XLOOKUP(transactions[[#This Row],[OpportunityID]],Opportunities[ID],Opportunities[OpportunityName])</f>
        <v>Quality Management System</v>
      </c>
      <c r="K203" s="51" t="str">
        <f>_xlfn.XLOOKUP(transactions[[#This Row],[CustomerId]],Customers[Id],Customers[Customer Name])</f>
        <v>Environmental Services</v>
      </c>
      <c r="L203" s="51" t="str">
        <f>_xlfn.XLOOKUP(transactions[[#This Row],[OpportunityID]],Opportunities[ID],Opportunities[OpportunityOwner])</f>
        <v>John Manager</v>
      </c>
      <c r="M203" s="51" t="str">
        <f ca="1">IF((transactions[[#This Row],[TransactionDate]]-TODAY())&lt;=366,transactions[[#This Row],[FQ]],"Out-year")</f>
        <v>Out-year</v>
      </c>
      <c r="N203" s="55">
        <f>transactions[[#This Row],[UnWeighted]]/1000</f>
        <v>118.1605</v>
      </c>
      <c r="O203" s="55">
        <f>transactions[[#This Row],[Weighted]]/1000</f>
        <v>59.080249999999999</v>
      </c>
      <c r="P203" s="55">
        <f>transactions[[#This Row],[$K Unweighted]]/1000</f>
        <v>0.1181605</v>
      </c>
      <c r="Q203" s="55" t="b">
        <f ca="1">transactions[[#This Row],[TransactionDate]]&gt;TODAY()</f>
        <v>1</v>
      </c>
    </row>
    <row r="204" spans="1:17" x14ac:dyDescent="0.25">
      <c r="A204">
        <v>22</v>
      </c>
      <c r="B204">
        <v>11</v>
      </c>
      <c r="C204" s="31">
        <v>46671</v>
      </c>
      <c r="D20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4" s="51" t="str">
        <f>"CY"&amp;RIGHT(YEAR(transactions[[#This Row],[TransactionDate]]),2)&amp;"-Q"&amp;ROUNDUP(MONTH(transactions[[#This Row],[TransactionDate]])/3, 0)</f>
        <v>CY27-Q4</v>
      </c>
      <c r="F204" s="52">
        <f>transactions[[#This Row],[UnWeighted]]*_xlfn.XLOOKUP(transactions[[#This Row],[OpportunityID]],Opportunities[ID],Opportunities[WinProbabilityValue])</f>
        <v>26390.544230769232</v>
      </c>
      <c r="G204"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04" s="51" t="str">
        <f>_xlfn.XLOOKUP(transactions[[#This Row],[OpportunityID]],Opportunities[ID],Opportunities[Status])</f>
        <v>Active</v>
      </c>
      <c r="I204" s="51" t="str">
        <f>_xlfn.XLOOKUP(transactions[[#This Row],[OpportunityID]],Opportunities[ID],Opportunities[Stage])</f>
        <v>Nurturing</v>
      </c>
      <c r="J204" s="51" t="str">
        <f>_xlfn.XLOOKUP(transactions[[#This Row],[OpportunityID]],Opportunities[ID],Opportunities[OpportunityName])</f>
        <v>Inventory Management Solution</v>
      </c>
      <c r="K204" s="51" t="str">
        <f>_xlfn.XLOOKUP(transactions[[#This Row],[CustomerId]],Customers[Id],Customers[Customer Name])</f>
        <v>Transport Logistics</v>
      </c>
      <c r="L204" s="51" t="str">
        <f>_xlfn.XLOOKUP(transactions[[#This Row],[OpportunityID]],Opportunities[ID],Opportunities[OpportunityOwner])</f>
        <v>Sarah Director</v>
      </c>
      <c r="M204" s="51" t="str">
        <f ca="1">IF((transactions[[#This Row],[TransactionDate]]-TODAY())&lt;=366,transactions[[#This Row],[FQ]],"Out-year")</f>
        <v>Out-year</v>
      </c>
      <c r="N204" s="55">
        <f>transactions[[#This Row],[UnWeighted]]/1000</f>
        <v>29.322826923076921</v>
      </c>
      <c r="O204" s="55">
        <f>transactions[[#This Row],[Weighted]]/1000</f>
        <v>26.390544230769233</v>
      </c>
      <c r="P204" s="55">
        <f>transactions[[#This Row],[$K Unweighted]]/1000</f>
        <v>2.932282692307692E-2</v>
      </c>
      <c r="Q204" s="55" t="b">
        <f ca="1">transactions[[#This Row],[TransactionDate]]&gt;TODAY()</f>
        <v>1</v>
      </c>
    </row>
    <row r="205" spans="1:17" x14ac:dyDescent="0.25">
      <c r="A205">
        <v>11</v>
      </c>
      <c r="B205">
        <v>3</v>
      </c>
      <c r="C205" s="31">
        <v>46673</v>
      </c>
      <c r="D20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5" s="51" t="str">
        <f>"CY"&amp;RIGHT(YEAR(transactions[[#This Row],[TransactionDate]]),2)&amp;"-Q"&amp;ROUNDUP(MONTH(transactions[[#This Row],[TransactionDate]])/3, 0)</f>
        <v>CY27-Q4</v>
      </c>
      <c r="F205" s="52">
        <f>transactions[[#This Row],[UnWeighted]]*_xlfn.XLOOKUP(transactions[[#This Row],[OpportunityID]],Opportunities[ID],Opportunities[WinProbabilityValue])</f>
        <v>113460.75</v>
      </c>
      <c r="G205" s="52">
        <f>_xlfn.XLOOKUP(transactions[[#This Row],[OpportunityID]],Opportunities[ID],Opportunities[Amount])/IF(_xlfn.XLOOKUP(transactions[[#This Row],[OpportunityID]],Opportunities[ID],Opportunities[Recurrences])=0,1,_xlfn.XLOOKUP(transactions[[#This Row],[OpportunityID]],Opportunities[ID],Opportunities[Recurrences]))</f>
        <v>126067.5</v>
      </c>
      <c r="H205" s="51" t="str">
        <f>_xlfn.XLOOKUP(transactions[[#This Row],[OpportunityID]],Opportunities[ID],Opportunities[Status])</f>
        <v>At Risk</v>
      </c>
      <c r="I205" s="51" t="str">
        <f>_xlfn.XLOOKUP(transactions[[#This Row],[OpportunityID]],Opportunities[ID],Opportunities[Stage])</f>
        <v>Negotiation</v>
      </c>
      <c r="J205" s="51" t="str">
        <f>_xlfn.XLOOKUP(transactions[[#This Row],[OpportunityID]],Opportunities[ID],Opportunities[OpportunityName])</f>
        <v>Data Center Consolidation</v>
      </c>
      <c r="K205" s="51" t="str">
        <f>_xlfn.XLOOKUP(transactions[[#This Row],[CustomerId]],Customers[Id],Customers[Customer Name])</f>
        <v>Tech Solutions Inc</v>
      </c>
      <c r="L205" s="51" t="str">
        <f>_xlfn.XLOOKUP(transactions[[#This Row],[OpportunityID]],Opportunities[ID],Opportunities[OpportunityOwner])</f>
        <v>David Specialist</v>
      </c>
      <c r="M205" s="51" t="str">
        <f ca="1">IF((transactions[[#This Row],[TransactionDate]]-TODAY())&lt;=366,transactions[[#This Row],[FQ]],"Out-year")</f>
        <v>Out-year</v>
      </c>
      <c r="N205" s="55">
        <f>transactions[[#This Row],[UnWeighted]]/1000</f>
        <v>126.0675</v>
      </c>
      <c r="O205" s="55">
        <f>transactions[[#This Row],[Weighted]]/1000</f>
        <v>113.46075</v>
      </c>
      <c r="P205" s="55">
        <f>transactions[[#This Row],[$K Unweighted]]/1000</f>
        <v>0.1260675</v>
      </c>
      <c r="Q205" s="55" t="b">
        <f ca="1">transactions[[#This Row],[TransactionDate]]&gt;TODAY()</f>
        <v>1</v>
      </c>
    </row>
    <row r="206" spans="1:17" x14ac:dyDescent="0.25">
      <c r="A206">
        <v>2</v>
      </c>
      <c r="B206">
        <v>10</v>
      </c>
      <c r="C206" s="31">
        <v>46677</v>
      </c>
      <c r="D20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6" s="51" t="str">
        <f>"CY"&amp;RIGHT(YEAR(transactions[[#This Row],[TransactionDate]]),2)&amp;"-Q"&amp;ROUNDUP(MONTH(transactions[[#This Row],[TransactionDate]])/3, 0)</f>
        <v>CY27-Q4</v>
      </c>
      <c r="F206" s="52">
        <f>transactions[[#This Row],[UnWeighted]]*_xlfn.XLOOKUP(transactions[[#This Row],[OpportunityID]],Opportunities[ID],Opportunities[WinProbabilityValue])</f>
        <v>20720.20930232558</v>
      </c>
      <c r="G206"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06" s="51" t="str">
        <f>_xlfn.XLOOKUP(transactions[[#This Row],[OpportunityID]],Opportunities[ID],Opportunities[Status])</f>
        <v>Active</v>
      </c>
      <c r="I206" s="51" t="str">
        <f>_xlfn.XLOOKUP(transactions[[#This Row],[OpportunityID]],Opportunities[ID],Opportunities[Stage])</f>
        <v>Proposal</v>
      </c>
      <c r="J206" s="51" t="str">
        <f>_xlfn.XLOOKUP(transactions[[#This Row],[OpportunityID]],Opportunities[ID],Opportunities[OpportunityName])</f>
        <v>Cloud Migration Initiative</v>
      </c>
      <c r="K206" s="51" t="str">
        <f>_xlfn.XLOOKUP(transactions[[#This Row],[CustomerId]],Customers[Id],Customers[Customer Name])</f>
        <v>Education First</v>
      </c>
      <c r="L206" s="51" t="str">
        <f>_xlfn.XLOOKUP(transactions[[#This Row],[OpportunityID]],Opportunities[ID],Opportunities[OpportunityOwner])</f>
        <v>Robert Analyst</v>
      </c>
      <c r="M206" s="51" t="str">
        <f ca="1">IF((transactions[[#This Row],[TransactionDate]]-TODAY())&lt;=366,transactions[[#This Row],[FQ]],"Out-year")</f>
        <v>Out-year</v>
      </c>
      <c r="N206" s="55">
        <f>transactions[[#This Row],[UnWeighted]]/1000</f>
        <v>41.440418604651157</v>
      </c>
      <c r="O206" s="55">
        <f>transactions[[#This Row],[Weighted]]/1000</f>
        <v>20.720209302325578</v>
      </c>
      <c r="P206" s="55">
        <f>transactions[[#This Row],[$K Unweighted]]/1000</f>
        <v>4.1440418604651155E-2</v>
      </c>
      <c r="Q206" s="55" t="b">
        <f ca="1">transactions[[#This Row],[TransactionDate]]&gt;TODAY()</f>
        <v>1</v>
      </c>
    </row>
    <row r="207" spans="1:17" x14ac:dyDescent="0.25">
      <c r="A207">
        <v>12</v>
      </c>
      <c r="B207">
        <v>17</v>
      </c>
      <c r="C207" s="31">
        <v>46678</v>
      </c>
      <c r="D20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7" s="51" t="str">
        <f>"CY"&amp;RIGHT(YEAR(transactions[[#This Row],[TransactionDate]]),2)&amp;"-Q"&amp;ROUNDUP(MONTH(transactions[[#This Row],[TransactionDate]])/3, 0)</f>
        <v>CY27-Q4</v>
      </c>
      <c r="F207" s="52">
        <f>transactions[[#This Row],[UnWeighted]]*_xlfn.XLOOKUP(transactions[[#This Row],[OpportunityID]],Opportunities[ID],Opportunities[WinProbabilityValue])</f>
        <v>67945.3125</v>
      </c>
      <c r="G207" s="52">
        <f>_xlfn.XLOOKUP(transactions[[#This Row],[OpportunityID]],Opportunities[ID],Opportunities[Amount])/IF(_xlfn.XLOOKUP(transactions[[#This Row],[OpportunityID]],Opportunities[ID],Opportunities[Recurrences])=0,1,_xlfn.XLOOKUP(transactions[[#This Row],[OpportunityID]],Opportunities[ID],Opportunities[Recurrences]))</f>
        <v>135890.625</v>
      </c>
      <c r="H207" s="51" t="str">
        <f>_xlfn.XLOOKUP(transactions[[#This Row],[OpportunityID]],Opportunities[ID],Opportunities[Status])</f>
        <v>Active</v>
      </c>
      <c r="I207" s="51" t="str">
        <f>_xlfn.XLOOKUP(transactions[[#This Row],[OpportunityID]],Opportunities[ID],Opportunities[Stage])</f>
        <v>Project Execution</v>
      </c>
      <c r="J207" s="51" t="str">
        <f>_xlfn.XLOOKUP(transactions[[#This Row],[OpportunityID]],Opportunities[ID],Opportunities[OpportunityName])</f>
        <v>Cybersecurity Enhancement</v>
      </c>
      <c r="K207" s="51" t="str">
        <f>_xlfn.XLOOKUP(transactions[[#This Row],[CustomerId]],Customers[Id],Customers[Customer Name])</f>
        <v>Insurance Specialists</v>
      </c>
      <c r="L207" s="51" t="str">
        <f>_xlfn.XLOOKUP(transactions[[#This Row],[OpportunityID]],Opportunities[ID],Opportunities[OpportunityOwner])</f>
        <v>Dr. Tech Advisor</v>
      </c>
      <c r="M207" s="51" t="str">
        <f ca="1">IF((transactions[[#This Row],[TransactionDate]]-TODAY())&lt;=366,transactions[[#This Row],[FQ]],"Out-year")</f>
        <v>Out-year</v>
      </c>
      <c r="N207" s="55">
        <f>transactions[[#This Row],[UnWeighted]]/1000</f>
        <v>135.890625</v>
      </c>
      <c r="O207" s="55">
        <f>transactions[[#This Row],[Weighted]]/1000</f>
        <v>67.9453125</v>
      </c>
      <c r="P207" s="55">
        <f>transactions[[#This Row],[$K Unweighted]]/1000</f>
        <v>0.13589062499999999</v>
      </c>
      <c r="Q207" s="55" t="b">
        <f ca="1">transactions[[#This Row],[TransactionDate]]&gt;TODAY()</f>
        <v>1</v>
      </c>
    </row>
    <row r="208" spans="1:17" x14ac:dyDescent="0.25">
      <c r="A208">
        <v>30</v>
      </c>
      <c r="B208">
        <v>1</v>
      </c>
      <c r="C208" s="31">
        <v>46681</v>
      </c>
      <c r="D20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8" s="51" t="str">
        <f>"CY"&amp;RIGHT(YEAR(transactions[[#This Row],[TransactionDate]]),2)&amp;"-Q"&amp;ROUNDUP(MONTH(transactions[[#This Row],[TransactionDate]])/3, 0)</f>
        <v>CY27-Q4</v>
      </c>
      <c r="F208" s="52">
        <f>transactions[[#This Row],[UnWeighted]]*_xlfn.XLOOKUP(transactions[[#This Row],[OpportunityID]],Opportunities[ID],Opportunities[WinProbabilityValue])</f>
        <v>73260.25</v>
      </c>
      <c r="G208" s="52">
        <f>_xlfn.XLOOKUP(transactions[[#This Row],[OpportunityID]],Opportunities[ID],Opportunities[Amount])/IF(_xlfn.XLOOKUP(transactions[[#This Row],[OpportunityID]],Opportunities[ID],Opportunities[Recurrences])=0,1,_xlfn.XLOOKUP(transactions[[#This Row],[OpportunityID]],Opportunities[ID],Opportunities[Recurrences]))</f>
        <v>146520.5</v>
      </c>
      <c r="H208" s="51" t="str">
        <f>_xlfn.XLOOKUP(transactions[[#This Row],[OpportunityID]],Opportunities[ID],Opportunities[Status])</f>
        <v>Active</v>
      </c>
      <c r="I208" s="51" t="str">
        <f>_xlfn.XLOOKUP(transactions[[#This Row],[OpportunityID]],Opportunities[ID],Opportunities[Stage])</f>
        <v>Nurturing</v>
      </c>
      <c r="J208" s="51" t="str">
        <f>_xlfn.XLOOKUP(transactions[[#This Row],[OpportunityID]],Opportunities[ID],Opportunities[OpportunityName])</f>
        <v>Customer Service Platform</v>
      </c>
      <c r="K208" s="51" t="str">
        <f>_xlfn.XLOOKUP(transactions[[#This Row],[CustomerId]],Customers[Id],Customers[Customer Name])</f>
        <v>ACME Corporation</v>
      </c>
      <c r="L208" s="51" t="str">
        <f>_xlfn.XLOOKUP(transactions[[#This Row],[OpportunityID]],Opportunities[ID],Opportunities[OpportunityOwner])</f>
        <v>Maria Coordinator</v>
      </c>
      <c r="M208" s="51" t="str">
        <f ca="1">IF((transactions[[#This Row],[TransactionDate]]-TODAY())&lt;=366,transactions[[#This Row],[FQ]],"Out-year")</f>
        <v>Out-year</v>
      </c>
      <c r="N208" s="55">
        <f>transactions[[#This Row],[UnWeighted]]/1000</f>
        <v>146.5205</v>
      </c>
      <c r="O208" s="55">
        <f>transactions[[#This Row],[Weighted]]/1000</f>
        <v>73.260249999999999</v>
      </c>
      <c r="P208" s="55">
        <f>transactions[[#This Row],[$K Unweighted]]/1000</f>
        <v>0.1465205</v>
      </c>
      <c r="Q208" s="55" t="b">
        <f ca="1">transactions[[#This Row],[TransactionDate]]&gt;TODAY()</f>
        <v>1</v>
      </c>
    </row>
    <row r="209" spans="1:17" x14ac:dyDescent="0.25">
      <c r="A209">
        <v>13</v>
      </c>
      <c r="B209">
        <v>2</v>
      </c>
      <c r="C209" s="31">
        <v>46682</v>
      </c>
      <c r="D20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9" s="51" t="str">
        <f>"CY"&amp;RIGHT(YEAR(transactions[[#This Row],[TransactionDate]]),2)&amp;"-Q"&amp;ROUNDUP(MONTH(transactions[[#This Row],[TransactionDate]])/3, 0)</f>
        <v>CY27-Q4</v>
      </c>
      <c r="F209" s="52">
        <f>transactions[[#This Row],[UnWeighted]]*_xlfn.XLOOKUP(transactions[[#This Row],[OpportunityID]],Opportunities[ID],Opportunities[WinProbabilityValue])</f>
        <v>12618.744897959185</v>
      </c>
      <c r="G209"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09" s="51" t="str">
        <f>_xlfn.XLOOKUP(transactions[[#This Row],[OpportunityID]],Opportunities[ID],Opportunities[Status])</f>
        <v>Active</v>
      </c>
      <c r="I209" s="51" t="str">
        <f>_xlfn.XLOOKUP(transactions[[#This Row],[OpportunityID]],Opportunities[ID],Opportunities[Stage])</f>
        <v>Negotiation</v>
      </c>
      <c r="J209" s="51" t="str">
        <f>_xlfn.XLOOKUP(transactions[[#This Row],[OpportunityID]],Opportunities[ID],Opportunities[OpportunityName])</f>
        <v>E-commerce Platform</v>
      </c>
      <c r="K209" s="51" t="str">
        <f>_xlfn.XLOOKUP(transactions[[#This Row],[CustomerId]],Customers[Id],Customers[Customer Name])</f>
        <v>Global Industries</v>
      </c>
      <c r="L209" s="51" t="str">
        <f>_xlfn.XLOOKUP(transactions[[#This Row],[OpportunityID]],Opportunities[ID],Opportunities[OpportunityOwner])</f>
        <v>Lisa Engineer</v>
      </c>
      <c r="M209" s="51" t="str">
        <f ca="1">IF((transactions[[#This Row],[TransactionDate]]-TODAY())&lt;=366,transactions[[#This Row],[FQ]],"Out-year")</f>
        <v>Out-year</v>
      </c>
      <c r="N209" s="55">
        <f>transactions[[#This Row],[UnWeighted]]/1000</f>
        <v>25.237489795918368</v>
      </c>
      <c r="O209" s="55">
        <f>transactions[[#This Row],[Weighted]]/1000</f>
        <v>12.618744897959184</v>
      </c>
      <c r="P209" s="55">
        <f>transactions[[#This Row],[$K Unweighted]]/1000</f>
        <v>2.5237489795918368E-2</v>
      </c>
      <c r="Q209" s="55" t="b">
        <f ca="1">transactions[[#This Row],[TransactionDate]]&gt;TODAY()</f>
        <v>1</v>
      </c>
    </row>
    <row r="210" spans="1:17" x14ac:dyDescent="0.25">
      <c r="A210">
        <v>32</v>
      </c>
      <c r="B210">
        <v>29</v>
      </c>
      <c r="C210" s="31">
        <v>46683</v>
      </c>
      <c r="D21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10" s="51" t="str">
        <f>"CY"&amp;RIGHT(YEAR(transactions[[#This Row],[TransactionDate]]),2)&amp;"-Q"&amp;ROUNDUP(MONTH(transactions[[#This Row],[TransactionDate]])/3, 0)</f>
        <v>CY27-Q4</v>
      </c>
      <c r="F210" s="52">
        <f>transactions[[#This Row],[UnWeighted]]*_xlfn.XLOOKUP(transactions[[#This Row],[OpportunityID]],Opportunities[ID],Opportunities[WinProbabilityValue])</f>
        <v>19870.314285714288</v>
      </c>
      <c r="G210" s="52">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210" s="51" t="str">
        <f>_xlfn.XLOOKUP(transactions[[#This Row],[OpportunityID]],Opportunities[ID],Opportunities[Status])</f>
        <v>Active</v>
      </c>
      <c r="I210" s="51" t="str">
        <f>_xlfn.XLOOKUP(transactions[[#This Row],[OpportunityID]],Opportunities[ID],Opportunities[Stage])</f>
        <v>Proposal</v>
      </c>
      <c r="J210" s="51" t="str">
        <f>_xlfn.XLOOKUP(transactions[[#This Row],[OpportunityID]],Opportunities[ID],Opportunities[OpportunityName])</f>
        <v>Environmental Monitoring Solution</v>
      </c>
      <c r="K210" s="51" t="str">
        <f>_xlfn.XLOOKUP(transactions[[#This Row],[CustomerId]],Customers[Id],Customers[Customer Name])</f>
        <v>Waste Management Co</v>
      </c>
      <c r="L210" s="51" t="str">
        <f>_xlfn.XLOOKUP(transactions[[#This Row],[OpportunityID]],Opportunities[ID],Opportunities[OpportunityOwner])</f>
        <v>Jennifer PM</v>
      </c>
      <c r="M210" s="51" t="str">
        <f ca="1">IF((transactions[[#This Row],[TransactionDate]]-TODAY())&lt;=366,transactions[[#This Row],[FQ]],"Out-year")</f>
        <v>Out-year</v>
      </c>
      <c r="N210" s="55">
        <f>transactions[[#This Row],[UnWeighted]]/1000</f>
        <v>99.351571428571432</v>
      </c>
      <c r="O210" s="55">
        <f>transactions[[#This Row],[Weighted]]/1000</f>
        <v>19.87031428571429</v>
      </c>
      <c r="P210" s="55">
        <f>transactions[[#This Row],[$K Unweighted]]/1000</f>
        <v>9.9351571428571428E-2</v>
      </c>
      <c r="Q210" s="55" t="b">
        <f ca="1">transactions[[#This Row],[TransactionDate]]&gt;TODAY()</f>
        <v>1</v>
      </c>
    </row>
    <row r="211" spans="1:17" x14ac:dyDescent="0.25">
      <c r="A211">
        <v>7</v>
      </c>
      <c r="B211">
        <v>14</v>
      </c>
      <c r="C211" s="31">
        <v>46686</v>
      </c>
      <c r="D21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11" s="51" t="str">
        <f>"CY"&amp;RIGHT(YEAR(transactions[[#This Row],[TransactionDate]]),2)&amp;"-Q"&amp;ROUNDUP(MONTH(transactions[[#This Row],[TransactionDate]])/3, 0)</f>
        <v>CY27-Q4</v>
      </c>
      <c r="F211" s="52">
        <f>transactions[[#This Row],[UnWeighted]]*_xlfn.XLOOKUP(transactions[[#This Row],[OpportunityID]],Opportunities[ID],Opportunities[WinProbabilityValue])</f>
        <v>41771.416666666664</v>
      </c>
      <c r="G211" s="52">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211" s="51" t="str">
        <f>_xlfn.XLOOKUP(transactions[[#This Row],[OpportunityID]],Opportunities[ID],Opportunities[Status])</f>
        <v>Active</v>
      </c>
      <c r="I211" s="51" t="str">
        <f>_xlfn.XLOOKUP(transactions[[#This Row],[OpportunityID]],Opportunities[ID],Opportunities[Stage])</f>
        <v>Project Execution</v>
      </c>
      <c r="J211" s="51" t="str">
        <f>_xlfn.XLOOKUP(transactions[[#This Row],[OpportunityID]],Opportunities[ID],Opportunities[OpportunityName])</f>
        <v>Network Infrastructure Upgrade</v>
      </c>
      <c r="K211" s="51" t="str">
        <f>_xlfn.XLOOKUP(transactions[[#This Row],[CustomerId]],Customers[Id],Customers[Customer Name])</f>
        <v>Media Communications</v>
      </c>
      <c r="L211" s="51" t="str">
        <f>_xlfn.XLOOKUP(transactions[[#This Row],[OpportunityID]],Opportunities[ID],Opportunities[OpportunityOwner])</f>
        <v>Dr. Tech Advisor</v>
      </c>
      <c r="M211" s="51" t="str">
        <f ca="1">IF((transactions[[#This Row],[TransactionDate]]-TODAY())&lt;=366,transactions[[#This Row],[FQ]],"Out-year")</f>
        <v>Out-year</v>
      </c>
      <c r="N211" s="55">
        <f>transactions[[#This Row],[UnWeighted]]/1000</f>
        <v>83.542833333333334</v>
      </c>
      <c r="O211" s="55">
        <f>transactions[[#This Row],[Weighted]]/1000</f>
        <v>41.771416666666667</v>
      </c>
      <c r="P211" s="55">
        <f>transactions[[#This Row],[$K Unweighted]]/1000</f>
        <v>8.354283333333333E-2</v>
      </c>
      <c r="Q211" s="55" t="b">
        <f ca="1">transactions[[#This Row],[TransactionDate]]&gt;TODAY()</f>
        <v>1</v>
      </c>
    </row>
    <row r="212" spans="1:17" x14ac:dyDescent="0.25">
      <c r="A212">
        <v>26</v>
      </c>
      <c r="B212">
        <v>1</v>
      </c>
      <c r="C212" s="31">
        <v>46692</v>
      </c>
      <c r="D21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2" s="51" t="str">
        <f>"CY"&amp;RIGHT(YEAR(transactions[[#This Row],[TransactionDate]]),2)&amp;"-Q"&amp;ROUNDUP(MONTH(transactions[[#This Row],[TransactionDate]])/3, 0)</f>
        <v>CY27-Q4</v>
      </c>
      <c r="F212" s="52">
        <f>transactions[[#This Row],[UnWeighted]]*_xlfn.XLOOKUP(transactions[[#This Row],[OpportunityID]],Opportunities[ID],Opportunities[WinProbabilityValue])</f>
        <v>11339.638888888889</v>
      </c>
      <c r="G212"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12" s="51" t="str">
        <f>_xlfn.XLOOKUP(transactions[[#This Row],[OpportunityID]],Opportunities[ID],Opportunities[Status])</f>
        <v>Active</v>
      </c>
      <c r="I212" s="51" t="str">
        <f>_xlfn.XLOOKUP(transactions[[#This Row],[OpportunityID]],Opportunities[ID],Opportunities[Stage])</f>
        <v>Negotiation</v>
      </c>
      <c r="J212" s="51" t="str">
        <f>_xlfn.XLOOKUP(transactions[[#This Row],[OpportunityID]],Opportunities[ID],Opportunities[OpportunityName])</f>
        <v>Video Conferencing Solution</v>
      </c>
      <c r="K212" s="51" t="str">
        <f>_xlfn.XLOOKUP(transactions[[#This Row],[CustomerId]],Customers[Id],Customers[Customer Name])</f>
        <v>ACME Corporation</v>
      </c>
      <c r="L212" s="51" t="str">
        <f>_xlfn.XLOOKUP(transactions[[#This Row],[OpportunityID]],Opportunities[ID],Opportunities[OpportunityOwner])</f>
        <v>Mike Consultant</v>
      </c>
      <c r="M212" s="51" t="str">
        <f ca="1">IF((transactions[[#This Row],[TransactionDate]]-TODAY())&lt;=366,transactions[[#This Row],[FQ]],"Out-year")</f>
        <v>Out-year</v>
      </c>
      <c r="N212" s="55">
        <f>transactions[[#This Row],[UnWeighted]]/1000</f>
        <v>22.679277777777777</v>
      </c>
      <c r="O212" s="55">
        <f>transactions[[#This Row],[Weighted]]/1000</f>
        <v>11.339638888888889</v>
      </c>
      <c r="P212" s="55">
        <f>transactions[[#This Row],[$K Unweighted]]/1000</f>
        <v>2.2679277777777777E-2</v>
      </c>
      <c r="Q212" s="55" t="b">
        <f ca="1">transactions[[#This Row],[TransactionDate]]&gt;TODAY()</f>
        <v>1</v>
      </c>
    </row>
    <row r="213" spans="1:17" x14ac:dyDescent="0.25">
      <c r="A213">
        <v>39</v>
      </c>
      <c r="B213">
        <v>3</v>
      </c>
      <c r="C213" s="31">
        <v>46694</v>
      </c>
      <c r="D21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3" s="51" t="str">
        <f>"CY"&amp;RIGHT(YEAR(transactions[[#This Row],[TransactionDate]]),2)&amp;"-Q"&amp;ROUNDUP(MONTH(transactions[[#This Row],[TransactionDate]])/3, 0)</f>
        <v>CY27-Q4</v>
      </c>
      <c r="F213" s="52">
        <f>transactions[[#This Row],[UnWeighted]]*_xlfn.XLOOKUP(transactions[[#This Row],[OpportunityID]],Opportunities[ID],Opportunities[WinProbabilityValue])</f>
        <v>20929.153846153848</v>
      </c>
      <c r="G213"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13" s="51" t="str">
        <f>_xlfn.XLOOKUP(transactions[[#This Row],[OpportunityID]],Opportunities[ID],Opportunities[Status])</f>
        <v>Active</v>
      </c>
      <c r="I213" s="51" t="str">
        <f>_xlfn.XLOOKUP(transactions[[#This Row],[OpportunityID]],Opportunities[ID],Opportunities[Stage])</f>
        <v>Project Execution</v>
      </c>
      <c r="J213" s="51" t="str">
        <f>_xlfn.XLOOKUP(transactions[[#This Row],[OpportunityID]],Opportunities[ID],Opportunities[OpportunityName])</f>
        <v>API Development Project</v>
      </c>
      <c r="K213" s="51" t="str">
        <f>_xlfn.XLOOKUP(transactions[[#This Row],[CustomerId]],Customers[Id],Customers[Customer Name])</f>
        <v>Tech Solutions Inc</v>
      </c>
      <c r="L213" s="51" t="str">
        <f>_xlfn.XLOOKUP(transactions[[#This Row],[OpportunityID]],Opportunities[ID],Opportunities[OpportunityOwner])</f>
        <v>Jennifer PM</v>
      </c>
      <c r="M213" s="51" t="str">
        <f ca="1">IF((transactions[[#This Row],[TransactionDate]]-TODAY())&lt;=366,transactions[[#This Row],[FQ]],"Out-year")</f>
        <v>Out-year</v>
      </c>
      <c r="N213" s="55">
        <f>transactions[[#This Row],[UnWeighted]]/1000</f>
        <v>41.858307692307697</v>
      </c>
      <c r="O213" s="55">
        <f>transactions[[#This Row],[Weighted]]/1000</f>
        <v>20.929153846153849</v>
      </c>
      <c r="P213" s="55">
        <f>transactions[[#This Row],[$K Unweighted]]/1000</f>
        <v>4.1858307692307695E-2</v>
      </c>
      <c r="Q213" s="55" t="b">
        <f ca="1">transactions[[#This Row],[TransactionDate]]&gt;TODAY()</f>
        <v>1</v>
      </c>
    </row>
    <row r="214" spans="1:17" x14ac:dyDescent="0.25">
      <c r="A214">
        <v>36</v>
      </c>
      <c r="B214">
        <v>1</v>
      </c>
      <c r="C214" s="31">
        <v>46697</v>
      </c>
      <c r="D21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4" s="51" t="str">
        <f>"CY"&amp;RIGHT(YEAR(transactions[[#This Row],[TransactionDate]]),2)&amp;"-Q"&amp;ROUNDUP(MONTH(transactions[[#This Row],[TransactionDate]])/3, 0)</f>
        <v>CY27-Q4</v>
      </c>
      <c r="F214" s="52">
        <f>transactions[[#This Row],[UnWeighted]]*_xlfn.XLOOKUP(transactions[[#This Row],[OpportunityID]],Opportunities[ID],Opportunities[WinProbabilityValue])</f>
        <v>24983.895833333332</v>
      </c>
      <c r="G214"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14" s="51" t="str">
        <f>_xlfn.XLOOKUP(transactions[[#This Row],[OpportunityID]],Opportunities[ID],Opportunities[Status])</f>
        <v>Active</v>
      </c>
      <c r="I214" s="51" t="str">
        <f>_xlfn.XLOOKUP(transactions[[#This Row],[OpportunityID]],Opportunities[ID],Opportunities[Stage])</f>
        <v>Lead Qualification</v>
      </c>
      <c r="J214" s="51" t="str">
        <f>_xlfn.XLOOKUP(transactions[[#This Row],[OpportunityID]],Opportunities[ID],Opportunities[OpportunityName])</f>
        <v>Integration Services Project</v>
      </c>
      <c r="K214" s="51" t="str">
        <f>_xlfn.XLOOKUP(transactions[[#This Row],[CustomerId]],Customers[Id],Customers[Customer Name])</f>
        <v>ACME Corporation</v>
      </c>
      <c r="L214" s="51" t="str">
        <f>_xlfn.XLOOKUP(transactions[[#This Row],[OpportunityID]],Opportunities[ID],Opportunities[OpportunityOwner])</f>
        <v>Amanda Sales</v>
      </c>
      <c r="M214" s="51" t="str">
        <f ca="1">IF((transactions[[#This Row],[TransactionDate]]-TODAY())&lt;=366,transactions[[#This Row],[FQ]],"Out-year")</f>
        <v>Out-year</v>
      </c>
      <c r="N214" s="55">
        <f>transactions[[#This Row],[UnWeighted]]/1000</f>
        <v>49.967791666666663</v>
      </c>
      <c r="O214" s="55">
        <f>transactions[[#This Row],[Weighted]]/1000</f>
        <v>24.983895833333332</v>
      </c>
      <c r="P214" s="55">
        <f>transactions[[#This Row],[$K Unweighted]]/1000</f>
        <v>4.9967791666666664E-2</v>
      </c>
      <c r="Q214" s="55" t="b">
        <f ca="1">transactions[[#This Row],[TransactionDate]]&gt;TODAY()</f>
        <v>1</v>
      </c>
    </row>
    <row r="215" spans="1:17" x14ac:dyDescent="0.25">
      <c r="A215">
        <v>15</v>
      </c>
      <c r="B215">
        <v>24</v>
      </c>
      <c r="C215" s="31">
        <v>46698</v>
      </c>
      <c r="D21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5" s="51" t="str">
        <f>"CY"&amp;RIGHT(YEAR(transactions[[#This Row],[TransactionDate]]),2)&amp;"-Q"&amp;ROUNDUP(MONTH(transactions[[#This Row],[TransactionDate]])/3, 0)</f>
        <v>CY27-Q4</v>
      </c>
      <c r="F215" s="52">
        <f>transactions[[#This Row],[UnWeighted]]*_xlfn.XLOOKUP(transactions[[#This Row],[OpportunityID]],Opportunities[ID],Opportunities[WinProbabilityValue])</f>
        <v>29217.197872340425</v>
      </c>
      <c r="G215"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15" s="51" t="str">
        <f>_xlfn.XLOOKUP(transactions[[#This Row],[OpportunityID]],Opportunities[ID],Opportunities[Status])</f>
        <v>Active</v>
      </c>
      <c r="I215" s="51" t="str">
        <f>_xlfn.XLOOKUP(transactions[[#This Row],[OpportunityID]],Opportunities[ID],Opportunities[Stage])</f>
        <v>Project Execution</v>
      </c>
      <c r="J215" s="51" t="str">
        <f>_xlfn.XLOOKUP(transactions[[#This Row],[OpportunityID]],Opportunities[ID],Opportunities[OpportunityName])</f>
        <v>Training &amp; Development Program</v>
      </c>
      <c r="K215" s="51" t="str">
        <f>_xlfn.XLOOKUP(transactions[[#This Row],[CustomerId]],Customers[Id],Customers[Customer Name])</f>
        <v>Security Solutions</v>
      </c>
      <c r="L215" s="51" t="str">
        <f>_xlfn.XLOOKUP(transactions[[#This Row],[OpportunityID]],Opportunities[ID],Opportunities[OpportunityOwner])</f>
        <v>Sarah Director</v>
      </c>
      <c r="M215" s="51" t="str">
        <f ca="1">IF((transactions[[#This Row],[TransactionDate]]-TODAY())&lt;=366,transactions[[#This Row],[FQ]],"Out-year")</f>
        <v>Out-year</v>
      </c>
      <c r="N215" s="55">
        <f>transactions[[#This Row],[UnWeighted]]/1000</f>
        <v>32.46355319148936</v>
      </c>
      <c r="O215" s="55">
        <f>transactions[[#This Row],[Weighted]]/1000</f>
        <v>29.217197872340424</v>
      </c>
      <c r="P215" s="55">
        <f>transactions[[#This Row],[$K Unweighted]]/1000</f>
        <v>3.2463553191489358E-2</v>
      </c>
      <c r="Q215" s="55" t="b">
        <f ca="1">transactions[[#This Row],[TransactionDate]]&gt;TODAY()</f>
        <v>1</v>
      </c>
    </row>
    <row r="216" spans="1:17" x14ac:dyDescent="0.25">
      <c r="A216">
        <v>25</v>
      </c>
      <c r="B216">
        <v>14</v>
      </c>
      <c r="C216" s="31">
        <v>46700</v>
      </c>
      <c r="D21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6" s="51" t="str">
        <f>"CY"&amp;RIGHT(YEAR(transactions[[#This Row],[TransactionDate]]),2)&amp;"-Q"&amp;ROUNDUP(MONTH(transactions[[#This Row],[TransactionDate]])/3, 0)</f>
        <v>CY27-Q4</v>
      </c>
      <c r="F216" s="52">
        <f>transactions[[#This Row],[UnWeighted]]*_xlfn.XLOOKUP(transactions[[#This Row],[OpportunityID]],Opportunities[ID],Opportunities[WinProbabilityValue])</f>
        <v>35076.26666666667</v>
      </c>
      <c r="G216" s="52">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216" s="51" t="str">
        <f>_xlfn.XLOOKUP(transactions[[#This Row],[OpportunityID]],Opportunities[ID],Opportunities[Status])</f>
        <v>Active</v>
      </c>
      <c r="I216" s="51" t="str">
        <f>_xlfn.XLOOKUP(transactions[[#This Row],[OpportunityID]],Opportunities[ID],Opportunities[Stage])</f>
        <v>Lead Qualification</v>
      </c>
      <c r="J216" s="51" t="str">
        <f>_xlfn.XLOOKUP(transactions[[#This Row],[OpportunityID]],Opportunities[ID],Opportunities[OpportunityName])</f>
        <v>Project Management Software</v>
      </c>
      <c r="K216" s="51" t="str">
        <f>_xlfn.XLOOKUP(transactions[[#This Row],[CustomerId]],Customers[Id],Customers[Customer Name])</f>
        <v>Media Communications</v>
      </c>
      <c r="L216" s="51" t="str">
        <f>_xlfn.XLOOKUP(transactions[[#This Row],[OpportunityID]],Opportunities[ID],Opportunities[OpportunityOwner])</f>
        <v>Amanda Sales</v>
      </c>
      <c r="M216" s="51" t="str">
        <f ca="1">IF((transactions[[#This Row],[TransactionDate]]-TODAY())&lt;=366,transactions[[#This Row],[FQ]],"Out-year")</f>
        <v>Out-year</v>
      </c>
      <c r="N216" s="55">
        <f>transactions[[#This Row],[UnWeighted]]/1000</f>
        <v>70.152533333333338</v>
      </c>
      <c r="O216" s="55">
        <f>transactions[[#This Row],[Weighted]]/1000</f>
        <v>35.076266666666669</v>
      </c>
      <c r="P216" s="55">
        <f>transactions[[#This Row],[$K Unweighted]]/1000</f>
        <v>7.0152533333333336E-2</v>
      </c>
      <c r="Q216" s="55" t="b">
        <f ca="1">transactions[[#This Row],[TransactionDate]]&gt;TODAY()</f>
        <v>1</v>
      </c>
    </row>
    <row r="217" spans="1:17" x14ac:dyDescent="0.25">
      <c r="A217">
        <v>17</v>
      </c>
      <c r="B217">
        <v>19</v>
      </c>
      <c r="C217" s="31">
        <v>46700</v>
      </c>
      <c r="D21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7" s="51" t="str">
        <f>"CY"&amp;RIGHT(YEAR(transactions[[#This Row],[TransactionDate]]),2)&amp;"-Q"&amp;ROUNDUP(MONTH(transactions[[#This Row],[TransactionDate]])/3, 0)</f>
        <v>CY27-Q4</v>
      </c>
      <c r="F217" s="52">
        <f>transactions[[#This Row],[UnWeighted]]*_xlfn.XLOOKUP(transactions[[#This Row],[OpportunityID]],Opportunities[ID],Opportunities[WinProbabilityValue])</f>
        <v>9267.2333333333336</v>
      </c>
      <c r="G217"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17" s="51" t="str">
        <f>_xlfn.XLOOKUP(transactions[[#This Row],[OpportunityID]],Opportunities[ID],Opportunities[Status])</f>
        <v>Active</v>
      </c>
      <c r="I217" s="51" t="str">
        <f>_xlfn.XLOOKUP(transactions[[#This Row],[OpportunityID]],Opportunities[ID],Opportunities[Stage])</f>
        <v>Negotiation</v>
      </c>
      <c r="J217" s="51" t="str">
        <f>_xlfn.XLOOKUP(transactions[[#This Row],[OpportunityID]],Opportunities[ID],Opportunities[OpportunityName])</f>
        <v>Supply Chain Optimization</v>
      </c>
      <c r="K217" s="51" t="str">
        <f>_xlfn.XLOOKUP(transactions[[#This Row],[CustomerId]],Customers[Id],Customers[Customer Name])</f>
        <v>Hotel Management Group</v>
      </c>
      <c r="L217" s="51" t="str">
        <f>_xlfn.XLOOKUP(transactions[[#This Row],[OpportunityID]],Opportunities[ID],Opportunities[OpportunityOwner])</f>
        <v>Jennifer PM</v>
      </c>
      <c r="M217" s="51" t="str">
        <f ca="1">IF((transactions[[#This Row],[TransactionDate]]-TODAY())&lt;=366,transactions[[#This Row],[FQ]],"Out-year")</f>
        <v>Out-year</v>
      </c>
      <c r="N217" s="55">
        <f>transactions[[#This Row],[UnWeighted]]/1000</f>
        <v>46.336166666666664</v>
      </c>
      <c r="O217" s="55">
        <f>transactions[[#This Row],[Weighted]]/1000</f>
        <v>9.2672333333333334</v>
      </c>
      <c r="P217" s="55">
        <f>transactions[[#This Row],[$K Unweighted]]/1000</f>
        <v>4.6336166666666664E-2</v>
      </c>
      <c r="Q217" s="55" t="b">
        <f ca="1">transactions[[#This Row],[TransactionDate]]&gt;TODAY()</f>
        <v>1</v>
      </c>
    </row>
    <row r="218" spans="1:17" x14ac:dyDescent="0.25">
      <c r="A218">
        <v>22</v>
      </c>
      <c r="B218">
        <v>11</v>
      </c>
      <c r="C218" s="31">
        <v>46702</v>
      </c>
      <c r="D21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8" s="51" t="str">
        <f>"CY"&amp;RIGHT(YEAR(transactions[[#This Row],[TransactionDate]]),2)&amp;"-Q"&amp;ROUNDUP(MONTH(transactions[[#This Row],[TransactionDate]])/3, 0)</f>
        <v>CY27-Q4</v>
      </c>
      <c r="F218" s="52">
        <f>transactions[[#This Row],[UnWeighted]]*_xlfn.XLOOKUP(transactions[[#This Row],[OpportunityID]],Opportunities[ID],Opportunities[WinProbabilityValue])</f>
        <v>26390.544230769232</v>
      </c>
      <c r="G218"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18" s="51" t="str">
        <f>_xlfn.XLOOKUP(transactions[[#This Row],[OpportunityID]],Opportunities[ID],Opportunities[Status])</f>
        <v>Active</v>
      </c>
      <c r="I218" s="51" t="str">
        <f>_xlfn.XLOOKUP(transactions[[#This Row],[OpportunityID]],Opportunities[ID],Opportunities[Stage])</f>
        <v>Nurturing</v>
      </c>
      <c r="J218" s="51" t="str">
        <f>_xlfn.XLOOKUP(transactions[[#This Row],[OpportunityID]],Opportunities[ID],Opportunities[OpportunityName])</f>
        <v>Inventory Management Solution</v>
      </c>
      <c r="K218" s="51" t="str">
        <f>_xlfn.XLOOKUP(transactions[[#This Row],[CustomerId]],Customers[Id],Customers[Customer Name])</f>
        <v>Transport Logistics</v>
      </c>
      <c r="L218" s="51" t="str">
        <f>_xlfn.XLOOKUP(transactions[[#This Row],[OpportunityID]],Opportunities[ID],Opportunities[OpportunityOwner])</f>
        <v>Sarah Director</v>
      </c>
      <c r="M218" s="51" t="str">
        <f ca="1">IF((transactions[[#This Row],[TransactionDate]]-TODAY())&lt;=366,transactions[[#This Row],[FQ]],"Out-year")</f>
        <v>Out-year</v>
      </c>
      <c r="N218" s="55">
        <f>transactions[[#This Row],[UnWeighted]]/1000</f>
        <v>29.322826923076921</v>
      </c>
      <c r="O218" s="55">
        <f>transactions[[#This Row],[Weighted]]/1000</f>
        <v>26.390544230769233</v>
      </c>
      <c r="P218" s="55">
        <f>transactions[[#This Row],[$K Unweighted]]/1000</f>
        <v>2.932282692307692E-2</v>
      </c>
      <c r="Q218" s="55" t="b">
        <f ca="1">transactions[[#This Row],[TransactionDate]]&gt;TODAY()</f>
        <v>1</v>
      </c>
    </row>
    <row r="219" spans="1:17" x14ac:dyDescent="0.25">
      <c r="A219">
        <v>28</v>
      </c>
      <c r="B219">
        <v>1</v>
      </c>
      <c r="C219" s="31">
        <v>46707</v>
      </c>
      <c r="D21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9" s="51" t="str">
        <f>"CY"&amp;RIGHT(YEAR(transactions[[#This Row],[TransactionDate]]),2)&amp;"-Q"&amp;ROUNDUP(MONTH(transactions[[#This Row],[TransactionDate]])/3, 0)</f>
        <v>CY27-Q4</v>
      </c>
      <c r="F219" s="52">
        <f>transactions[[#This Row],[UnWeighted]]*_xlfn.XLOOKUP(transactions[[#This Row],[OpportunityID]],Opportunities[ID],Opportunities[WinProbabilityValue])</f>
        <v>40447.666666666664</v>
      </c>
      <c r="G219" s="52">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219" s="51" t="str">
        <f>_xlfn.XLOOKUP(transactions[[#This Row],[OpportunityID]],Opportunities[ID],Opportunities[Status])</f>
        <v>Active</v>
      </c>
      <c r="I219" s="51" t="str">
        <f>_xlfn.XLOOKUP(transactions[[#This Row],[OpportunityID]],Opportunities[ID],Opportunities[Stage])</f>
        <v>Lead Qualification</v>
      </c>
      <c r="J219" s="51" t="str">
        <f>_xlfn.XLOOKUP(transactions[[#This Row],[OpportunityID]],Opportunities[ID],Opportunities[OpportunityName])</f>
        <v>Website Redesign Project</v>
      </c>
      <c r="K219" s="51" t="str">
        <f>_xlfn.XLOOKUP(transactions[[#This Row],[CustomerId]],Customers[Id],Customers[Customer Name])</f>
        <v>ACME Corporation</v>
      </c>
      <c r="L219" s="51" t="str">
        <f>_xlfn.XLOOKUP(transactions[[#This Row],[OpportunityID]],Opportunities[ID],Opportunities[OpportunityOwner])</f>
        <v>Lisa Engineer</v>
      </c>
      <c r="M219" s="51" t="str">
        <f ca="1">IF((transactions[[#This Row],[TransactionDate]]-TODAY())&lt;=366,transactions[[#This Row],[FQ]],"Out-year")</f>
        <v>Out-year</v>
      </c>
      <c r="N219" s="55">
        <f>transactions[[#This Row],[UnWeighted]]/1000</f>
        <v>80.895333333333326</v>
      </c>
      <c r="O219" s="55">
        <f>transactions[[#This Row],[Weighted]]/1000</f>
        <v>40.447666666666663</v>
      </c>
      <c r="P219" s="55">
        <f>transactions[[#This Row],[$K Unweighted]]/1000</f>
        <v>8.0895333333333333E-2</v>
      </c>
      <c r="Q219" s="55" t="b">
        <f ca="1">transactions[[#This Row],[TransactionDate]]&gt;TODAY()</f>
        <v>1</v>
      </c>
    </row>
    <row r="220" spans="1:17" x14ac:dyDescent="0.25">
      <c r="A220">
        <v>2</v>
      </c>
      <c r="B220">
        <v>10</v>
      </c>
      <c r="C220" s="31">
        <v>46708</v>
      </c>
      <c r="D22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0" s="51" t="str">
        <f>"CY"&amp;RIGHT(YEAR(transactions[[#This Row],[TransactionDate]]),2)&amp;"-Q"&amp;ROUNDUP(MONTH(transactions[[#This Row],[TransactionDate]])/3, 0)</f>
        <v>CY27-Q4</v>
      </c>
      <c r="F220" s="52">
        <f>transactions[[#This Row],[UnWeighted]]*_xlfn.XLOOKUP(transactions[[#This Row],[OpportunityID]],Opportunities[ID],Opportunities[WinProbabilityValue])</f>
        <v>20720.20930232558</v>
      </c>
      <c r="G220"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20" s="51" t="str">
        <f>_xlfn.XLOOKUP(transactions[[#This Row],[OpportunityID]],Opportunities[ID],Opportunities[Status])</f>
        <v>Active</v>
      </c>
      <c r="I220" s="51" t="str">
        <f>_xlfn.XLOOKUP(transactions[[#This Row],[OpportunityID]],Opportunities[ID],Opportunities[Stage])</f>
        <v>Proposal</v>
      </c>
      <c r="J220" s="51" t="str">
        <f>_xlfn.XLOOKUP(transactions[[#This Row],[OpportunityID]],Opportunities[ID],Opportunities[OpportunityName])</f>
        <v>Cloud Migration Initiative</v>
      </c>
      <c r="K220" s="51" t="str">
        <f>_xlfn.XLOOKUP(transactions[[#This Row],[CustomerId]],Customers[Id],Customers[Customer Name])</f>
        <v>Education First</v>
      </c>
      <c r="L220" s="51" t="str">
        <f>_xlfn.XLOOKUP(transactions[[#This Row],[OpportunityID]],Opportunities[ID],Opportunities[OpportunityOwner])</f>
        <v>Robert Analyst</v>
      </c>
      <c r="M220" s="51" t="str">
        <f ca="1">IF((transactions[[#This Row],[TransactionDate]]-TODAY())&lt;=366,transactions[[#This Row],[FQ]],"Out-year")</f>
        <v>Out-year</v>
      </c>
      <c r="N220" s="55">
        <f>transactions[[#This Row],[UnWeighted]]/1000</f>
        <v>41.440418604651157</v>
      </c>
      <c r="O220" s="55">
        <f>transactions[[#This Row],[Weighted]]/1000</f>
        <v>20.720209302325578</v>
      </c>
      <c r="P220" s="55">
        <f>transactions[[#This Row],[$K Unweighted]]/1000</f>
        <v>4.1440418604651155E-2</v>
      </c>
      <c r="Q220" s="55" t="b">
        <f ca="1">transactions[[#This Row],[TransactionDate]]&gt;TODAY()</f>
        <v>1</v>
      </c>
    </row>
    <row r="221" spans="1:17" x14ac:dyDescent="0.25">
      <c r="A221">
        <v>27</v>
      </c>
      <c r="B221">
        <v>2</v>
      </c>
      <c r="C221" s="31">
        <v>46708</v>
      </c>
      <c r="D22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1" s="51" t="str">
        <f>"CY"&amp;RIGHT(YEAR(transactions[[#This Row],[TransactionDate]]),2)&amp;"-Q"&amp;ROUNDUP(MONTH(transactions[[#This Row],[TransactionDate]])/3, 0)</f>
        <v>CY27-Q4</v>
      </c>
      <c r="F221" s="52">
        <f>transactions[[#This Row],[UnWeighted]]*_xlfn.XLOOKUP(transactions[[#This Row],[OpportunityID]],Opportunities[ID],Opportunities[WinProbabilityValue])</f>
        <v>46287.333333333336</v>
      </c>
      <c r="G221"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221" s="51" t="str">
        <f>_xlfn.XLOOKUP(transactions[[#This Row],[OpportunityID]],Opportunities[ID],Opportunities[Status])</f>
        <v>Active</v>
      </c>
      <c r="I221" s="51" t="str">
        <f>_xlfn.XLOOKUP(transactions[[#This Row],[OpportunityID]],Opportunities[ID],Opportunities[Stage])</f>
        <v>Lead Qualification</v>
      </c>
      <c r="J221" s="51" t="str">
        <f>_xlfn.XLOOKUP(transactions[[#This Row],[OpportunityID]],Opportunities[ID],Opportunities[OpportunityName])</f>
        <v>Backup &amp; Recovery System</v>
      </c>
      <c r="K221" s="51" t="str">
        <f>_xlfn.XLOOKUP(transactions[[#This Row],[CustomerId]],Customers[Id],Customers[Customer Name])</f>
        <v>Global Industries</v>
      </c>
      <c r="L221" s="51" t="str">
        <f>_xlfn.XLOOKUP(transactions[[#This Row],[OpportunityID]],Opportunities[ID],Opportunities[OpportunityOwner])</f>
        <v>Amanda Sales</v>
      </c>
      <c r="M221" s="51" t="str">
        <f ca="1">IF((transactions[[#This Row],[TransactionDate]]-TODAY())&lt;=366,transactions[[#This Row],[FQ]],"Out-year")</f>
        <v>Out-year</v>
      </c>
      <c r="N221" s="55">
        <f>transactions[[#This Row],[UnWeighted]]/1000</f>
        <v>92.574666666666673</v>
      </c>
      <c r="O221" s="55">
        <f>transactions[[#This Row],[Weighted]]/1000</f>
        <v>46.287333333333336</v>
      </c>
      <c r="P221" s="55">
        <f>transactions[[#This Row],[$K Unweighted]]/1000</f>
        <v>9.2574666666666666E-2</v>
      </c>
      <c r="Q221" s="55" t="b">
        <f ca="1">transactions[[#This Row],[TransactionDate]]&gt;TODAY()</f>
        <v>1</v>
      </c>
    </row>
    <row r="222" spans="1:17" x14ac:dyDescent="0.25">
      <c r="A222">
        <v>37</v>
      </c>
      <c r="B222">
        <v>20</v>
      </c>
      <c r="C222" s="31">
        <v>46709</v>
      </c>
      <c r="D22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2" s="51" t="str">
        <f>"CY"&amp;RIGHT(YEAR(transactions[[#This Row],[TransactionDate]]),2)&amp;"-Q"&amp;ROUNDUP(MONTH(transactions[[#This Row],[TransactionDate]])/3, 0)</f>
        <v>CY27-Q4</v>
      </c>
      <c r="F222" s="52">
        <f>transactions[[#This Row],[UnWeighted]]*_xlfn.XLOOKUP(transactions[[#This Row],[OpportunityID]],Opportunities[ID],Opportunities[WinProbabilityValue])</f>
        <v>103010.25</v>
      </c>
      <c r="G222" s="52">
        <f>_xlfn.XLOOKUP(transactions[[#This Row],[OpportunityID]],Opportunities[ID],Opportunities[Amount])/IF(_xlfn.XLOOKUP(transactions[[#This Row],[OpportunityID]],Opportunities[ID],Opportunities[Recurrences])=0,1,_xlfn.XLOOKUP(transactions[[#This Row],[OpportunityID]],Opportunities[ID],Opportunities[Recurrences]))</f>
        <v>206020.5</v>
      </c>
      <c r="H222" s="51" t="str">
        <f>_xlfn.XLOOKUP(transactions[[#This Row],[OpportunityID]],Opportunities[ID],Opportunities[Status])</f>
        <v>Active</v>
      </c>
      <c r="I222" s="51" t="str">
        <f>_xlfn.XLOOKUP(transactions[[#This Row],[OpportunityID]],Opportunities[ID],Opportunities[Stage])</f>
        <v>Nurturing</v>
      </c>
      <c r="J222" s="51" t="str">
        <f>_xlfn.XLOOKUP(transactions[[#This Row],[OpportunityID]],Opportunities[ID],Opportunities[OpportunityName])</f>
        <v>Database Migration Project</v>
      </c>
      <c r="K222" s="51" t="str">
        <f>_xlfn.XLOOKUP(transactions[[#This Row],[CustomerId]],Customers[Id],Customers[Customer Name])</f>
        <v>Automotive Parts Plus</v>
      </c>
      <c r="L222" s="51" t="str">
        <f>_xlfn.XLOOKUP(transactions[[#This Row],[OpportunityID]],Opportunities[ID],Opportunities[OpportunityOwner])</f>
        <v>Lisa Engineer</v>
      </c>
      <c r="M222" s="51" t="str">
        <f ca="1">IF((transactions[[#This Row],[TransactionDate]]-TODAY())&lt;=366,transactions[[#This Row],[FQ]],"Out-year")</f>
        <v>Out-year</v>
      </c>
      <c r="N222" s="55">
        <f>transactions[[#This Row],[UnWeighted]]/1000</f>
        <v>206.0205</v>
      </c>
      <c r="O222" s="55">
        <f>transactions[[#This Row],[Weighted]]/1000</f>
        <v>103.01025</v>
      </c>
      <c r="P222" s="55">
        <f>transactions[[#This Row],[$K Unweighted]]/1000</f>
        <v>0.2060205</v>
      </c>
      <c r="Q222" s="55" t="b">
        <f ca="1">transactions[[#This Row],[TransactionDate]]&gt;TODAY()</f>
        <v>1</v>
      </c>
    </row>
    <row r="223" spans="1:17" x14ac:dyDescent="0.25">
      <c r="A223">
        <v>23</v>
      </c>
      <c r="B223">
        <v>11</v>
      </c>
      <c r="C223" s="31">
        <v>46711</v>
      </c>
      <c r="D22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3" s="51" t="str">
        <f>"CY"&amp;RIGHT(YEAR(transactions[[#This Row],[TransactionDate]]),2)&amp;"-Q"&amp;ROUNDUP(MONTH(transactions[[#This Row],[TransactionDate]])/3, 0)</f>
        <v>CY27-Q4</v>
      </c>
      <c r="F223" s="52">
        <f>transactions[[#This Row],[UnWeighted]]*_xlfn.XLOOKUP(transactions[[#This Row],[OpportunityID]],Opportunities[ID],Opportunities[WinProbabilityValue])</f>
        <v>25249.37777777778</v>
      </c>
      <c r="G223" s="52">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223" s="51" t="str">
        <f>_xlfn.XLOOKUP(transactions[[#This Row],[OpportunityID]],Opportunities[ID],Opportunities[Status])</f>
        <v>Critical</v>
      </c>
      <c r="I223" s="51" t="str">
        <f>_xlfn.XLOOKUP(transactions[[#This Row],[OpportunityID]],Opportunities[ID],Opportunities[Stage])</f>
        <v>Negotiation</v>
      </c>
      <c r="J223" s="51" t="str">
        <f>_xlfn.XLOOKUP(transactions[[#This Row],[OpportunityID]],Opportunities[ID],Opportunities[OpportunityName])</f>
        <v>Point of Sale System</v>
      </c>
      <c r="K223" s="51" t="str">
        <f>_xlfn.XLOOKUP(transactions[[#This Row],[CustomerId]],Customers[Id],Customers[Customer Name])</f>
        <v>Transport Logistics</v>
      </c>
      <c r="L223" s="51" t="str">
        <f>_xlfn.XLOOKUP(transactions[[#This Row],[OpportunityID]],Opportunities[ID],Opportunities[OpportunityOwner])</f>
        <v>David Specialist</v>
      </c>
      <c r="M223" s="51" t="str">
        <f ca="1">IF((transactions[[#This Row],[TransactionDate]]-TODAY())&lt;=366,transactions[[#This Row],[FQ]],"Out-year")</f>
        <v>Out-year</v>
      </c>
      <c r="N223" s="55">
        <f>transactions[[#This Row],[UnWeighted]]/1000</f>
        <v>126.24688888888889</v>
      </c>
      <c r="O223" s="55">
        <f>transactions[[#This Row],[Weighted]]/1000</f>
        <v>25.249377777777781</v>
      </c>
      <c r="P223" s="55">
        <f>transactions[[#This Row],[$K Unweighted]]/1000</f>
        <v>0.12624688888888888</v>
      </c>
      <c r="Q223" s="55" t="b">
        <f ca="1">transactions[[#This Row],[TransactionDate]]&gt;TODAY()</f>
        <v>1</v>
      </c>
    </row>
    <row r="224" spans="1:17" x14ac:dyDescent="0.25">
      <c r="A224">
        <v>31</v>
      </c>
      <c r="B224">
        <v>15</v>
      </c>
      <c r="C224" s="31">
        <v>46713</v>
      </c>
      <c r="D22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4" s="51" t="str">
        <f>"CY"&amp;RIGHT(YEAR(transactions[[#This Row],[TransactionDate]]),2)&amp;"-Q"&amp;ROUNDUP(MONTH(transactions[[#This Row],[TransactionDate]])/3, 0)</f>
        <v>CY27-Q4</v>
      </c>
      <c r="F224" s="52">
        <f>transactions[[#This Row],[UnWeighted]]*_xlfn.XLOOKUP(transactions[[#This Row],[OpportunityID]],Opportunities[ID],Opportunities[WinProbabilityValue])</f>
        <v>19221.625</v>
      </c>
      <c r="G224" s="52">
        <f>_xlfn.XLOOKUP(transactions[[#This Row],[OpportunityID]],Opportunities[ID],Opportunities[Amount])/IF(_xlfn.XLOOKUP(transactions[[#This Row],[OpportunityID]],Opportunities[ID],Opportunities[Recurrences])=0,1,_xlfn.XLOOKUP(transactions[[#This Row],[OpportunityID]],Opportunities[ID],Opportunities[Recurrences]))</f>
        <v>96108.125</v>
      </c>
      <c r="H224" s="51" t="str">
        <f>_xlfn.XLOOKUP(transactions[[#This Row],[OpportunityID]],Opportunities[ID],Opportunities[Status])</f>
        <v>At Risk</v>
      </c>
      <c r="I224" s="51" t="str">
        <f>_xlfn.XLOOKUP(transactions[[#This Row],[OpportunityID]],Opportunities[ID],Opportunities[Stage])</f>
        <v>Negotiation</v>
      </c>
      <c r="J224" s="51" t="str">
        <f>_xlfn.XLOOKUP(transactions[[#This Row],[OpportunityID]],Opportunities[ID],Opportunities[OpportunityName])</f>
        <v>Fleet Management System</v>
      </c>
      <c r="K224" s="51" t="str">
        <f>_xlfn.XLOOKUP(transactions[[#This Row],[CustomerId]],Customers[Id],Customers[Customer Name])</f>
        <v>Pharmaceutical Research</v>
      </c>
      <c r="L224" s="51" t="str">
        <f>_xlfn.XLOOKUP(transactions[[#This Row],[OpportunityID]],Opportunities[ID],Opportunities[OpportunityOwner])</f>
        <v>Amanda Sales</v>
      </c>
      <c r="M224" s="51" t="str">
        <f ca="1">IF((transactions[[#This Row],[TransactionDate]]-TODAY())&lt;=366,transactions[[#This Row],[FQ]],"Out-year")</f>
        <v>Out-year</v>
      </c>
      <c r="N224" s="55">
        <f>transactions[[#This Row],[UnWeighted]]/1000</f>
        <v>96.108125000000001</v>
      </c>
      <c r="O224" s="55">
        <f>transactions[[#This Row],[Weighted]]/1000</f>
        <v>19.221625</v>
      </c>
      <c r="P224" s="55">
        <f>transactions[[#This Row],[$K Unweighted]]/1000</f>
        <v>9.6108125000000003E-2</v>
      </c>
      <c r="Q224" s="55" t="b">
        <f ca="1">transactions[[#This Row],[TransactionDate]]&gt;TODAY()</f>
        <v>1</v>
      </c>
    </row>
    <row r="225" spans="1:17" x14ac:dyDescent="0.25">
      <c r="A225">
        <v>13</v>
      </c>
      <c r="B225">
        <v>2</v>
      </c>
      <c r="C225" s="31">
        <v>46713</v>
      </c>
      <c r="D22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5" s="51" t="str">
        <f>"CY"&amp;RIGHT(YEAR(transactions[[#This Row],[TransactionDate]]),2)&amp;"-Q"&amp;ROUNDUP(MONTH(transactions[[#This Row],[TransactionDate]])/3, 0)</f>
        <v>CY27-Q4</v>
      </c>
      <c r="F225" s="52">
        <f>transactions[[#This Row],[UnWeighted]]*_xlfn.XLOOKUP(transactions[[#This Row],[OpportunityID]],Opportunities[ID],Opportunities[WinProbabilityValue])</f>
        <v>12618.744897959185</v>
      </c>
      <c r="G225"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25" s="51" t="str">
        <f>_xlfn.XLOOKUP(transactions[[#This Row],[OpportunityID]],Opportunities[ID],Opportunities[Status])</f>
        <v>Active</v>
      </c>
      <c r="I225" s="51" t="str">
        <f>_xlfn.XLOOKUP(transactions[[#This Row],[OpportunityID]],Opportunities[ID],Opportunities[Stage])</f>
        <v>Negotiation</v>
      </c>
      <c r="J225" s="51" t="str">
        <f>_xlfn.XLOOKUP(transactions[[#This Row],[OpportunityID]],Opportunities[ID],Opportunities[OpportunityName])</f>
        <v>E-commerce Platform</v>
      </c>
      <c r="K225" s="51" t="str">
        <f>_xlfn.XLOOKUP(transactions[[#This Row],[CustomerId]],Customers[Id],Customers[Customer Name])</f>
        <v>Global Industries</v>
      </c>
      <c r="L225" s="51" t="str">
        <f>_xlfn.XLOOKUP(transactions[[#This Row],[OpportunityID]],Opportunities[ID],Opportunities[OpportunityOwner])</f>
        <v>Lisa Engineer</v>
      </c>
      <c r="M225" s="51" t="str">
        <f ca="1">IF((transactions[[#This Row],[TransactionDate]]-TODAY())&lt;=366,transactions[[#This Row],[FQ]],"Out-year")</f>
        <v>Out-year</v>
      </c>
      <c r="N225" s="55">
        <f>transactions[[#This Row],[UnWeighted]]/1000</f>
        <v>25.237489795918368</v>
      </c>
      <c r="O225" s="55">
        <f>transactions[[#This Row],[Weighted]]/1000</f>
        <v>12.618744897959184</v>
      </c>
      <c r="P225" s="55">
        <f>transactions[[#This Row],[$K Unweighted]]/1000</f>
        <v>2.5237489795918368E-2</v>
      </c>
      <c r="Q225" s="55" t="b">
        <f ca="1">transactions[[#This Row],[TransactionDate]]&gt;TODAY()</f>
        <v>1</v>
      </c>
    </row>
    <row r="226" spans="1:17" x14ac:dyDescent="0.25">
      <c r="A226">
        <v>26</v>
      </c>
      <c r="B226">
        <v>1</v>
      </c>
      <c r="C226" s="31">
        <v>46722</v>
      </c>
      <c r="D22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6" s="51" t="str">
        <f>"CY"&amp;RIGHT(YEAR(transactions[[#This Row],[TransactionDate]]),2)&amp;"-Q"&amp;ROUNDUP(MONTH(transactions[[#This Row],[TransactionDate]])/3, 0)</f>
        <v>CY27-Q4</v>
      </c>
      <c r="F226" s="52">
        <f>transactions[[#This Row],[UnWeighted]]*_xlfn.XLOOKUP(transactions[[#This Row],[OpportunityID]],Opportunities[ID],Opportunities[WinProbabilityValue])</f>
        <v>11339.638888888889</v>
      </c>
      <c r="G226"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26" s="51" t="str">
        <f>_xlfn.XLOOKUP(transactions[[#This Row],[OpportunityID]],Opportunities[ID],Opportunities[Status])</f>
        <v>Active</v>
      </c>
      <c r="I226" s="51" t="str">
        <f>_xlfn.XLOOKUP(transactions[[#This Row],[OpportunityID]],Opportunities[ID],Opportunities[Stage])</f>
        <v>Negotiation</v>
      </c>
      <c r="J226" s="51" t="str">
        <f>_xlfn.XLOOKUP(transactions[[#This Row],[OpportunityID]],Opportunities[ID],Opportunities[OpportunityName])</f>
        <v>Video Conferencing Solution</v>
      </c>
      <c r="K226" s="51" t="str">
        <f>_xlfn.XLOOKUP(transactions[[#This Row],[CustomerId]],Customers[Id],Customers[Customer Name])</f>
        <v>ACME Corporation</v>
      </c>
      <c r="L226" s="51" t="str">
        <f>_xlfn.XLOOKUP(transactions[[#This Row],[OpportunityID]],Opportunities[ID],Opportunities[OpportunityOwner])</f>
        <v>Mike Consultant</v>
      </c>
      <c r="M226" s="51" t="str">
        <f ca="1">IF((transactions[[#This Row],[TransactionDate]]-TODAY())&lt;=366,transactions[[#This Row],[FQ]],"Out-year")</f>
        <v>Out-year</v>
      </c>
      <c r="N226" s="55">
        <f>transactions[[#This Row],[UnWeighted]]/1000</f>
        <v>22.679277777777777</v>
      </c>
      <c r="O226" s="55">
        <f>transactions[[#This Row],[Weighted]]/1000</f>
        <v>11.339638888888889</v>
      </c>
      <c r="P226" s="55">
        <f>transactions[[#This Row],[$K Unweighted]]/1000</f>
        <v>2.2679277777777777E-2</v>
      </c>
      <c r="Q226" s="55" t="b">
        <f ca="1">transactions[[#This Row],[TransactionDate]]&gt;TODAY()</f>
        <v>1</v>
      </c>
    </row>
    <row r="227" spans="1:17" x14ac:dyDescent="0.25">
      <c r="A227">
        <v>8</v>
      </c>
      <c r="B227">
        <v>13</v>
      </c>
      <c r="C227" s="31">
        <v>46723</v>
      </c>
      <c r="D22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7" s="51" t="str">
        <f>"CY"&amp;RIGHT(YEAR(transactions[[#This Row],[TransactionDate]]),2)&amp;"-Q"&amp;ROUNDUP(MONTH(transactions[[#This Row],[TransactionDate]])/3, 0)</f>
        <v>CY27-Q4</v>
      </c>
      <c r="F227" s="52">
        <f>transactions[[#This Row],[UnWeighted]]*_xlfn.XLOOKUP(transactions[[#This Row],[OpportunityID]],Opportunities[ID],Opportunities[WinProbabilityValue])</f>
        <v>62725.125</v>
      </c>
      <c r="G227" s="52">
        <f>_xlfn.XLOOKUP(transactions[[#This Row],[OpportunityID]],Opportunities[ID],Opportunities[Amount])/IF(_xlfn.XLOOKUP(transactions[[#This Row],[OpportunityID]],Opportunities[ID],Opportunities[Recurrences])=0,1,_xlfn.XLOOKUP(transactions[[#This Row],[OpportunityID]],Opportunities[ID],Opportunities[Recurrences]))</f>
        <v>125450.25</v>
      </c>
      <c r="H227" s="51" t="str">
        <f>_xlfn.XLOOKUP(transactions[[#This Row],[OpportunityID]],Opportunities[ID],Opportunities[Status])</f>
        <v>Active</v>
      </c>
      <c r="I227" s="51" t="str">
        <f>_xlfn.XLOOKUP(transactions[[#This Row],[OpportunityID]],Opportunities[ID],Opportunities[Stage])</f>
        <v>Closeout</v>
      </c>
      <c r="J227" s="51" t="str">
        <f>_xlfn.XLOOKUP(transactions[[#This Row],[OpportunityID]],Opportunities[ID],Opportunities[OpportunityName])</f>
        <v>Business Intelligence Solution</v>
      </c>
      <c r="K227" s="51" t="str">
        <f>_xlfn.XLOOKUP(transactions[[#This Row],[CustomerId]],Customers[Id],Customers[Customer Name])</f>
        <v>Professional Services Group</v>
      </c>
      <c r="L227" s="51" t="str">
        <f>_xlfn.XLOOKUP(transactions[[#This Row],[OpportunityID]],Opportunities[ID],Opportunities[OpportunityOwner])</f>
        <v>Sarah Director</v>
      </c>
      <c r="M227" s="51" t="str">
        <f ca="1">IF((transactions[[#This Row],[TransactionDate]]-TODAY())&lt;=366,transactions[[#This Row],[FQ]],"Out-year")</f>
        <v>Out-year</v>
      </c>
      <c r="N227" s="55">
        <f>transactions[[#This Row],[UnWeighted]]/1000</f>
        <v>125.45025</v>
      </c>
      <c r="O227" s="55">
        <f>transactions[[#This Row],[Weighted]]/1000</f>
        <v>62.725124999999998</v>
      </c>
      <c r="P227" s="55">
        <f>transactions[[#This Row],[$K Unweighted]]/1000</f>
        <v>0.12545024999999999</v>
      </c>
      <c r="Q227" s="55" t="b">
        <f ca="1">transactions[[#This Row],[TransactionDate]]&gt;TODAY()</f>
        <v>1</v>
      </c>
    </row>
    <row r="228" spans="1:17" x14ac:dyDescent="0.25">
      <c r="A228">
        <v>39</v>
      </c>
      <c r="B228">
        <v>3</v>
      </c>
      <c r="C228" s="31">
        <v>46724</v>
      </c>
      <c r="D22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8" s="51" t="str">
        <f>"CY"&amp;RIGHT(YEAR(transactions[[#This Row],[TransactionDate]]),2)&amp;"-Q"&amp;ROUNDUP(MONTH(transactions[[#This Row],[TransactionDate]])/3, 0)</f>
        <v>CY27-Q4</v>
      </c>
      <c r="F228" s="52">
        <f>transactions[[#This Row],[UnWeighted]]*_xlfn.XLOOKUP(transactions[[#This Row],[OpportunityID]],Opportunities[ID],Opportunities[WinProbabilityValue])</f>
        <v>20929.153846153848</v>
      </c>
      <c r="G228"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28" s="51" t="str">
        <f>_xlfn.XLOOKUP(transactions[[#This Row],[OpportunityID]],Opportunities[ID],Opportunities[Status])</f>
        <v>Active</v>
      </c>
      <c r="I228" s="51" t="str">
        <f>_xlfn.XLOOKUP(transactions[[#This Row],[OpportunityID]],Opportunities[ID],Opportunities[Stage])</f>
        <v>Project Execution</v>
      </c>
      <c r="J228" s="51" t="str">
        <f>_xlfn.XLOOKUP(transactions[[#This Row],[OpportunityID]],Opportunities[ID],Opportunities[OpportunityName])</f>
        <v>API Development Project</v>
      </c>
      <c r="K228" s="51" t="str">
        <f>_xlfn.XLOOKUP(transactions[[#This Row],[CustomerId]],Customers[Id],Customers[Customer Name])</f>
        <v>Tech Solutions Inc</v>
      </c>
      <c r="L228" s="51" t="str">
        <f>_xlfn.XLOOKUP(transactions[[#This Row],[OpportunityID]],Opportunities[ID],Opportunities[OpportunityOwner])</f>
        <v>Jennifer PM</v>
      </c>
      <c r="M228" s="51" t="str">
        <f ca="1">IF((transactions[[#This Row],[TransactionDate]]-TODAY())&lt;=366,transactions[[#This Row],[FQ]],"Out-year")</f>
        <v>Out-year</v>
      </c>
      <c r="N228" s="55">
        <f>transactions[[#This Row],[UnWeighted]]/1000</f>
        <v>41.858307692307697</v>
      </c>
      <c r="O228" s="55">
        <f>transactions[[#This Row],[Weighted]]/1000</f>
        <v>20.929153846153849</v>
      </c>
      <c r="P228" s="55">
        <f>transactions[[#This Row],[$K Unweighted]]/1000</f>
        <v>4.1858307692307695E-2</v>
      </c>
      <c r="Q228" s="55" t="b">
        <f ca="1">transactions[[#This Row],[TransactionDate]]&gt;TODAY()</f>
        <v>1</v>
      </c>
    </row>
    <row r="229" spans="1:17" x14ac:dyDescent="0.25">
      <c r="A229">
        <v>36</v>
      </c>
      <c r="B229">
        <v>1</v>
      </c>
      <c r="C229" s="31">
        <v>46727</v>
      </c>
      <c r="D22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9" s="51" t="str">
        <f>"CY"&amp;RIGHT(YEAR(transactions[[#This Row],[TransactionDate]]),2)&amp;"-Q"&amp;ROUNDUP(MONTH(transactions[[#This Row],[TransactionDate]])/3, 0)</f>
        <v>CY27-Q4</v>
      </c>
      <c r="F229" s="52">
        <f>transactions[[#This Row],[UnWeighted]]*_xlfn.XLOOKUP(transactions[[#This Row],[OpportunityID]],Opportunities[ID],Opportunities[WinProbabilityValue])</f>
        <v>24983.895833333332</v>
      </c>
      <c r="G229"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29" s="51" t="str">
        <f>_xlfn.XLOOKUP(transactions[[#This Row],[OpportunityID]],Opportunities[ID],Opportunities[Status])</f>
        <v>Active</v>
      </c>
      <c r="I229" s="51" t="str">
        <f>_xlfn.XLOOKUP(transactions[[#This Row],[OpportunityID]],Opportunities[ID],Opportunities[Stage])</f>
        <v>Lead Qualification</v>
      </c>
      <c r="J229" s="51" t="str">
        <f>_xlfn.XLOOKUP(transactions[[#This Row],[OpportunityID]],Opportunities[ID],Opportunities[OpportunityName])</f>
        <v>Integration Services Project</v>
      </c>
      <c r="K229" s="51" t="str">
        <f>_xlfn.XLOOKUP(transactions[[#This Row],[CustomerId]],Customers[Id],Customers[Customer Name])</f>
        <v>ACME Corporation</v>
      </c>
      <c r="L229" s="51" t="str">
        <f>_xlfn.XLOOKUP(transactions[[#This Row],[OpportunityID]],Opportunities[ID],Opportunities[OpportunityOwner])</f>
        <v>Amanda Sales</v>
      </c>
      <c r="M229" s="51" t="str">
        <f ca="1">IF((transactions[[#This Row],[TransactionDate]]-TODAY())&lt;=366,transactions[[#This Row],[FQ]],"Out-year")</f>
        <v>Out-year</v>
      </c>
      <c r="N229" s="55">
        <f>transactions[[#This Row],[UnWeighted]]/1000</f>
        <v>49.967791666666663</v>
      </c>
      <c r="O229" s="55">
        <f>transactions[[#This Row],[Weighted]]/1000</f>
        <v>24.983895833333332</v>
      </c>
      <c r="P229" s="55">
        <f>transactions[[#This Row],[$K Unweighted]]/1000</f>
        <v>4.9967791666666664E-2</v>
      </c>
      <c r="Q229" s="55" t="b">
        <f ca="1">transactions[[#This Row],[TransactionDate]]&gt;TODAY()</f>
        <v>1</v>
      </c>
    </row>
    <row r="230" spans="1:17" x14ac:dyDescent="0.25">
      <c r="A230">
        <v>15</v>
      </c>
      <c r="B230">
        <v>24</v>
      </c>
      <c r="C230" s="31">
        <v>46728</v>
      </c>
      <c r="D23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0" s="51" t="str">
        <f>"CY"&amp;RIGHT(YEAR(transactions[[#This Row],[TransactionDate]]),2)&amp;"-Q"&amp;ROUNDUP(MONTH(transactions[[#This Row],[TransactionDate]])/3, 0)</f>
        <v>CY27-Q4</v>
      </c>
      <c r="F230" s="52">
        <f>transactions[[#This Row],[UnWeighted]]*_xlfn.XLOOKUP(transactions[[#This Row],[OpportunityID]],Opportunities[ID],Opportunities[WinProbabilityValue])</f>
        <v>29217.197872340425</v>
      </c>
      <c r="G230"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30" s="51" t="str">
        <f>_xlfn.XLOOKUP(transactions[[#This Row],[OpportunityID]],Opportunities[ID],Opportunities[Status])</f>
        <v>Active</v>
      </c>
      <c r="I230" s="51" t="str">
        <f>_xlfn.XLOOKUP(transactions[[#This Row],[OpportunityID]],Opportunities[ID],Opportunities[Stage])</f>
        <v>Project Execution</v>
      </c>
      <c r="J230" s="51" t="str">
        <f>_xlfn.XLOOKUP(transactions[[#This Row],[OpportunityID]],Opportunities[ID],Opportunities[OpportunityName])</f>
        <v>Training &amp; Development Program</v>
      </c>
      <c r="K230" s="51" t="str">
        <f>_xlfn.XLOOKUP(transactions[[#This Row],[CustomerId]],Customers[Id],Customers[Customer Name])</f>
        <v>Security Solutions</v>
      </c>
      <c r="L230" s="51" t="str">
        <f>_xlfn.XLOOKUP(transactions[[#This Row],[OpportunityID]],Opportunities[ID],Opportunities[OpportunityOwner])</f>
        <v>Sarah Director</v>
      </c>
      <c r="M230" s="51" t="str">
        <f ca="1">IF((transactions[[#This Row],[TransactionDate]]-TODAY())&lt;=366,transactions[[#This Row],[FQ]],"Out-year")</f>
        <v>Out-year</v>
      </c>
      <c r="N230" s="55">
        <f>transactions[[#This Row],[UnWeighted]]/1000</f>
        <v>32.46355319148936</v>
      </c>
      <c r="O230" s="55">
        <f>transactions[[#This Row],[Weighted]]/1000</f>
        <v>29.217197872340424</v>
      </c>
      <c r="P230" s="55">
        <f>transactions[[#This Row],[$K Unweighted]]/1000</f>
        <v>3.2463553191489358E-2</v>
      </c>
      <c r="Q230" s="55" t="b">
        <f ca="1">transactions[[#This Row],[TransactionDate]]&gt;TODAY()</f>
        <v>1</v>
      </c>
    </row>
    <row r="231" spans="1:17" x14ac:dyDescent="0.25">
      <c r="A231">
        <v>17</v>
      </c>
      <c r="B231">
        <v>19</v>
      </c>
      <c r="C231" s="31">
        <v>46730</v>
      </c>
      <c r="D23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1" s="51" t="str">
        <f>"CY"&amp;RIGHT(YEAR(transactions[[#This Row],[TransactionDate]]),2)&amp;"-Q"&amp;ROUNDUP(MONTH(transactions[[#This Row],[TransactionDate]])/3, 0)</f>
        <v>CY27-Q4</v>
      </c>
      <c r="F231" s="52">
        <f>transactions[[#This Row],[UnWeighted]]*_xlfn.XLOOKUP(transactions[[#This Row],[OpportunityID]],Opportunities[ID],Opportunities[WinProbabilityValue])</f>
        <v>9267.2333333333336</v>
      </c>
      <c r="G231"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31" s="51" t="str">
        <f>_xlfn.XLOOKUP(transactions[[#This Row],[OpportunityID]],Opportunities[ID],Opportunities[Status])</f>
        <v>Active</v>
      </c>
      <c r="I231" s="51" t="str">
        <f>_xlfn.XLOOKUP(transactions[[#This Row],[OpportunityID]],Opportunities[ID],Opportunities[Stage])</f>
        <v>Negotiation</v>
      </c>
      <c r="J231" s="51" t="str">
        <f>_xlfn.XLOOKUP(transactions[[#This Row],[OpportunityID]],Opportunities[ID],Opportunities[OpportunityName])</f>
        <v>Supply Chain Optimization</v>
      </c>
      <c r="K231" s="51" t="str">
        <f>_xlfn.XLOOKUP(transactions[[#This Row],[CustomerId]],Customers[Id],Customers[Customer Name])</f>
        <v>Hotel Management Group</v>
      </c>
      <c r="L231" s="51" t="str">
        <f>_xlfn.XLOOKUP(transactions[[#This Row],[OpportunityID]],Opportunities[ID],Opportunities[OpportunityOwner])</f>
        <v>Jennifer PM</v>
      </c>
      <c r="M231" s="51" t="str">
        <f ca="1">IF((transactions[[#This Row],[TransactionDate]]-TODAY())&lt;=366,transactions[[#This Row],[FQ]],"Out-year")</f>
        <v>Out-year</v>
      </c>
      <c r="N231" s="55">
        <f>transactions[[#This Row],[UnWeighted]]/1000</f>
        <v>46.336166666666664</v>
      </c>
      <c r="O231" s="55">
        <f>transactions[[#This Row],[Weighted]]/1000</f>
        <v>9.2672333333333334</v>
      </c>
      <c r="P231" s="55">
        <f>transactions[[#This Row],[$K Unweighted]]/1000</f>
        <v>4.6336166666666664E-2</v>
      </c>
      <c r="Q231" s="55" t="b">
        <f ca="1">transactions[[#This Row],[TransactionDate]]&gt;TODAY()</f>
        <v>1</v>
      </c>
    </row>
    <row r="232" spans="1:17" x14ac:dyDescent="0.25">
      <c r="A232">
        <v>22</v>
      </c>
      <c r="B232">
        <v>11</v>
      </c>
      <c r="C232" s="31">
        <v>46732</v>
      </c>
      <c r="D23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2" s="51" t="str">
        <f>"CY"&amp;RIGHT(YEAR(transactions[[#This Row],[TransactionDate]]),2)&amp;"-Q"&amp;ROUNDUP(MONTH(transactions[[#This Row],[TransactionDate]])/3, 0)</f>
        <v>CY27-Q4</v>
      </c>
      <c r="F232" s="52">
        <f>transactions[[#This Row],[UnWeighted]]*_xlfn.XLOOKUP(transactions[[#This Row],[OpportunityID]],Opportunities[ID],Opportunities[WinProbabilityValue])</f>
        <v>26390.544230769232</v>
      </c>
      <c r="G232"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32" s="51" t="str">
        <f>_xlfn.XLOOKUP(transactions[[#This Row],[OpportunityID]],Opportunities[ID],Opportunities[Status])</f>
        <v>Active</v>
      </c>
      <c r="I232" s="51" t="str">
        <f>_xlfn.XLOOKUP(transactions[[#This Row],[OpportunityID]],Opportunities[ID],Opportunities[Stage])</f>
        <v>Nurturing</v>
      </c>
      <c r="J232" s="51" t="str">
        <f>_xlfn.XLOOKUP(transactions[[#This Row],[OpportunityID]],Opportunities[ID],Opportunities[OpportunityName])</f>
        <v>Inventory Management Solution</v>
      </c>
      <c r="K232" s="51" t="str">
        <f>_xlfn.XLOOKUP(transactions[[#This Row],[CustomerId]],Customers[Id],Customers[Customer Name])</f>
        <v>Transport Logistics</v>
      </c>
      <c r="L232" s="51" t="str">
        <f>_xlfn.XLOOKUP(transactions[[#This Row],[OpportunityID]],Opportunities[ID],Opportunities[OpportunityOwner])</f>
        <v>Sarah Director</v>
      </c>
      <c r="M232" s="51" t="str">
        <f ca="1">IF((transactions[[#This Row],[TransactionDate]]-TODAY())&lt;=366,transactions[[#This Row],[FQ]],"Out-year")</f>
        <v>Out-year</v>
      </c>
      <c r="N232" s="55">
        <f>transactions[[#This Row],[UnWeighted]]/1000</f>
        <v>29.322826923076921</v>
      </c>
      <c r="O232" s="55">
        <f>transactions[[#This Row],[Weighted]]/1000</f>
        <v>26.390544230769233</v>
      </c>
      <c r="P232" s="55">
        <f>transactions[[#This Row],[$K Unweighted]]/1000</f>
        <v>2.932282692307692E-2</v>
      </c>
      <c r="Q232" s="55" t="b">
        <f ca="1">transactions[[#This Row],[TransactionDate]]&gt;TODAY()</f>
        <v>1</v>
      </c>
    </row>
    <row r="233" spans="1:17" x14ac:dyDescent="0.25">
      <c r="A233">
        <v>2</v>
      </c>
      <c r="B233">
        <v>10</v>
      </c>
      <c r="C233" s="31">
        <v>46738</v>
      </c>
      <c r="D23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3" s="51" t="str">
        <f>"CY"&amp;RIGHT(YEAR(transactions[[#This Row],[TransactionDate]]),2)&amp;"-Q"&amp;ROUNDUP(MONTH(transactions[[#This Row],[TransactionDate]])/3, 0)</f>
        <v>CY27-Q4</v>
      </c>
      <c r="F233" s="52">
        <f>transactions[[#This Row],[UnWeighted]]*_xlfn.XLOOKUP(transactions[[#This Row],[OpportunityID]],Opportunities[ID],Opportunities[WinProbabilityValue])</f>
        <v>20720.20930232558</v>
      </c>
      <c r="G233"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33" s="51" t="str">
        <f>_xlfn.XLOOKUP(transactions[[#This Row],[OpportunityID]],Opportunities[ID],Opportunities[Status])</f>
        <v>Active</v>
      </c>
      <c r="I233" s="51" t="str">
        <f>_xlfn.XLOOKUP(transactions[[#This Row],[OpportunityID]],Opportunities[ID],Opportunities[Stage])</f>
        <v>Proposal</v>
      </c>
      <c r="J233" s="51" t="str">
        <f>_xlfn.XLOOKUP(transactions[[#This Row],[OpportunityID]],Opportunities[ID],Opportunities[OpportunityName])</f>
        <v>Cloud Migration Initiative</v>
      </c>
      <c r="K233" s="51" t="str">
        <f>_xlfn.XLOOKUP(transactions[[#This Row],[CustomerId]],Customers[Id],Customers[Customer Name])</f>
        <v>Education First</v>
      </c>
      <c r="L233" s="51" t="str">
        <f>_xlfn.XLOOKUP(transactions[[#This Row],[OpportunityID]],Opportunities[ID],Opportunities[OpportunityOwner])</f>
        <v>Robert Analyst</v>
      </c>
      <c r="M233" s="51" t="str">
        <f ca="1">IF((transactions[[#This Row],[TransactionDate]]-TODAY())&lt;=366,transactions[[#This Row],[FQ]],"Out-year")</f>
        <v>Out-year</v>
      </c>
      <c r="N233" s="55">
        <f>transactions[[#This Row],[UnWeighted]]/1000</f>
        <v>41.440418604651157</v>
      </c>
      <c r="O233" s="55">
        <f>transactions[[#This Row],[Weighted]]/1000</f>
        <v>20.720209302325578</v>
      </c>
      <c r="P233" s="55">
        <f>transactions[[#This Row],[$K Unweighted]]/1000</f>
        <v>4.1440418604651155E-2</v>
      </c>
      <c r="Q233" s="55" t="b">
        <f ca="1">transactions[[#This Row],[TransactionDate]]&gt;TODAY()</f>
        <v>1</v>
      </c>
    </row>
    <row r="234" spans="1:17" x14ac:dyDescent="0.25">
      <c r="A234">
        <v>13</v>
      </c>
      <c r="B234">
        <v>2</v>
      </c>
      <c r="C234" s="31">
        <v>46743</v>
      </c>
      <c r="D23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4" s="51" t="str">
        <f>"CY"&amp;RIGHT(YEAR(transactions[[#This Row],[TransactionDate]]),2)&amp;"-Q"&amp;ROUNDUP(MONTH(transactions[[#This Row],[TransactionDate]])/3, 0)</f>
        <v>CY27-Q4</v>
      </c>
      <c r="F234" s="52">
        <f>transactions[[#This Row],[UnWeighted]]*_xlfn.XLOOKUP(transactions[[#This Row],[OpportunityID]],Opportunities[ID],Opportunities[WinProbabilityValue])</f>
        <v>12618.744897959185</v>
      </c>
      <c r="G234"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34" s="51" t="str">
        <f>_xlfn.XLOOKUP(transactions[[#This Row],[OpportunityID]],Opportunities[ID],Opportunities[Status])</f>
        <v>Active</v>
      </c>
      <c r="I234" s="51" t="str">
        <f>_xlfn.XLOOKUP(transactions[[#This Row],[OpportunityID]],Opportunities[ID],Opportunities[Stage])</f>
        <v>Negotiation</v>
      </c>
      <c r="J234" s="51" t="str">
        <f>_xlfn.XLOOKUP(transactions[[#This Row],[OpportunityID]],Opportunities[ID],Opportunities[OpportunityName])</f>
        <v>E-commerce Platform</v>
      </c>
      <c r="K234" s="51" t="str">
        <f>_xlfn.XLOOKUP(transactions[[#This Row],[CustomerId]],Customers[Id],Customers[Customer Name])</f>
        <v>Global Industries</v>
      </c>
      <c r="L234" s="51" t="str">
        <f>_xlfn.XLOOKUP(transactions[[#This Row],[OpportunityID]],Opportunities[ID],Opportunities[OpportunityOwner])</f>
        <v>Lisa Engineer</v>
      </c>
      <c r="M234" s="51" t="str">
        <f ca="1">IF((transactions[[#This Row],[TransactionDate]]-TODAY())&lt;=366,transactions[[#This Row],[FQ]],"Out-year")</f>
        <v>Out-year</v>
      </c>
      <c r="N234" s="55">
        <f>transactions[[#This Row],[UnWeighted]]/1000</f>
        <v>25.237489795918368</v>
      </c>
      <c r="O234" s="55">
        <f>transactions[[#This Row],[Weighted]]/1000</f>
        <v>12.618744897959184</v>
      </c>
      <c r="P234" s="55">
        <f>transactions[[#This Row],[$K Unweighted]]/1000</f>
        <v>2.5237489795918368E-2</v>
      </c>
      <c r="Q234" s="55" t="b">
        <f ca="1">transactions[[#This Row],[TransactionDate]]&gt;TODAY()</f>
        <v>1</v>
      </c>
    </row>
    <row r="235" spans="1:17" x14ac:dyDescent="0.25">
      <c r="A235">
        <v>33</v>
      </c>
      <c r="B235">
        <v>3</v>
      </c>
      <c r="C235" s="31">
        <v>46743</v>
      </c>
      <c r="D23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5" s="51" t="str">
        <f>"CY"&amp;RIGHT(YEAR(transactions[[#This Row],[TransactionDate]]),2)&amp;"-Q"&amp;ROUNDUP(MONTH(transactions[[#This Row],[TransactionDate]])/3, 0)</f>
        <v>CY27-Q4</v>
      </c>
      <c r="F235" s="52">
        <f>transactions[[#This Row],[UnWeighted]]*_xlfn.XLOOKUP(transactions[[#This Row],[OpportunityID]],Opportunities[ID],Opportunities[WinProbabilityValue])</f>
        <v>326376.83333333331</v>
      </c>
      <c r="G235" s="52">
        <f>_xlfn.XLOOKUP(transactions[[#This Row],[OpportunityID]],Opportunities[ID],Opportunities[Amount])/IF(_xlfn.XLOOKUP(transactions[[#This Row],[OpportunityID]],Opportunities[ID],Opportunities[Recurrences])=0,1,_xlfn.XLOOKUP(transactions[[#This Row],[OpportunityID]],Opportunities[ID],Opportunities[Recurrences]))</f>
        <v>652753.66666666663</v>
      </c>
      <c r="H235" s="51" t="str">
        <f>_xlfn.XLOOKUP(transactions[[#This Row],[OpportunityID]],Opportunities[ID],Opportunities[Status])</f>
        <v>Active</v>
      </c>
      <c r="I235" s="51" t="str">
        <f>_xlfn.XLOOKUP(transactions[[#This Row],[OpportunityID]],Opportunities[ID],Opportunities[Stage])</f>
        <v>Proposal</v>
      </c>
      <c r="J235" s="51" t="str">
        <f>_xlfn.XLOOKUP(transactions[[#This Row],[OpportunityID]],Opportunities[ID],Opportunities[OpportunityName])</f>
        <v>Safety Management System</v>
      </c>
      <c r="K235" s="51" t="str">
        <f>_xlfn.XLOOKUP(transactions[[#This Row],[CustomerId]],Customers[Id],Customers[Customer Name])</f>
        <v>Tech Solutions Inc</v>
      </c>
      <c r="L235" s="51" t="str">
        <f>_xlfn.XLOOKUP(transactions[[#This Row],[OpportunityID]],Opportunities[ID],Opportunities[OpportunityOwner])</f>
        <v>Dr. Tech Advisor</v>
      </c>
      <c r="M235" s="51" t="str">
        <f ca="1">IF((transactions[[#This Row],[TransactionDate]]-TODAY())&lt;=366,transactions[[#This Row],[FQ]],"Out-year")</f>
        <v>Out-year</v>
      </c>
      <c r="N235" s="55">
        <f>transactions[[#This Row],[UnWeighted]]/1000</f>
        <v>652.75366666666662</v>
      </c>
      <c r="O235" s="55">
        <f>transactions[[#This Row],[Weighted]]/1000</f>
        <v>326.37683333333331</v>
      </c>
      <c r="P235" s="55">
        <f>transactions[[#This Row],[$K Unweighted]]/1000</f>
        <v>0.65275366666666657</v>
      </c>
      <c r="Q235" s="55" t="b">
        <f ca="1">transactions[[#This Row],[TransactionDate]]&gt;TODAY()</f>
        <v>1</v>
      </c>
    </row>
    <row r="236" spans="1:17" x14ac:dyDescent="0.25">
      <c r="A236">
        <v>6</v>
      </c>
      <c r="B236">
        <v>13</v>
      </c>
      <c r="C236" s="31">
        <v>46747</v>
      </c>
      <c r="D23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6" s="51" t="str">
        <f>"CY"&amp;RIGHT(YEAR(transactions[[#This Row],[TransactionDate]]),2)&amp;"-Q"&amp;ROUNDUP(MONTH(transactions[[#This Row],[TransactionDate]])/3, 0)</f>
        <v>CY27-Q4</v>
      </c>
      <c r="F236" s="52">
        <f>transactions[[#This Row],[UnWeighted]]*_xlfn.XLOOKUP(transactions[[#This Row],[OpportunityID]],Opportunities[ID],Opportunities[WinProbabilityValue])</f>
        <v>37550.227272727272</v>
      </c>
      <c r="G236" s="52">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236" s="51" t="str">
        <f>_xlfn.XLOOKUP(transactions[[#This Row],[OpportunityID]],Opportunities[ID],Opportunities[Status])</f>
        <v>Active</v>
      </c>
      <c r="I236" s="51" t="str">
        <f>_xlfn.XLOOKUP(transactions[[#This Row],[OpportunityID]],Opportunities[ID],Opportunities[Stage])</f>
        <v>Project Execution</v>
      </c>
      <c r="J236" s="51" t="str">
        <f>_xlfn.XLOOKUP(transactions[[#This Row],[OpportunityID]],Opportunities[ID],Opportunities[OpportunityName])</f>
        <v>Digital Transformation Project</v>
      </c>
      <c r="K236" s="51" t="str">
        <f>_xlfn.XLOOKUP(transactions[[#This Row],[CustomerId]],Customers[Id],Customers[Customer Name])</f>
        <v>Professional Services Group</v>
      </c>
      <c r="L236" s="51" t="str">
        <f>_xlfn.XLOOKUP(transactions[[#This Row],[OpportunityID]],Opportunities[ID],Opportunities[OpportunityOwner])</f>
        <v>Robert Analyst</v>
      </c>
      <c r="M236" s="51" t="str">
        <f ca="1">IF((transactions[[#This Row],[TransactionDate]]-TODAY())&lt;=366,transactions[[#This Row],[FQ]],"Out-year")</f>
        <v>Out-year</v>
      </c>
      <c r="N236" s="55">
        <f>transactions[[#This Row],[UnWeighted]]/1000</f>
        <v>75.100454545454539</v>
      </c>
      <c r="O236" s="55">
        <f>transactions[[#This Row],[Weighted]]/1000</f>
        <v>37.55022727272727</v>
      </c>
      <c r="P236" s="55">
        <f>transactions[[#This Row],[$K Unweighted]]/1000</f>
        <v>7.510045454545454E-2</v>
      </c>
      <c r="Q236" s="55" t="b">
        <f ca="1">transactions[[#This Row],[TransactionDate]]&gt;TODAY()</f>
        <v>1</v>
      </c>
    </row>
    <row r="237" spans="1:17" x14ac:dyDescent="0.25">
      <c r="A237">
        <v>38</v>
      </c>
      <c r="B237">
        <v>21</v>
      </c>
      <c r="C237" s="31">
        <v>46751</v>
      </c>
      <c r="D23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7" s="51" t="str">
        <f>"CY"&amp;RIGHT(YEAR(transactions[[#This Row],[TransactionDate]]),2)&amp;"-Q"&amp;ROUNDUP(MONTH(transactions[[#This Row],[TransactionDate]])/3, 0)</f>
        <v>CY27-Q4</v>
      </c>
      <c r="F237" s="52">
        <f>transactions[[#This Row],[UnWeighted]]*_xlfn.XLOOKUP(transactions[[#This Row],[OpportunityID]],Opportunities[ID],Opportunities[WinProbabilityValue])</f>
        <v>50822.5</v>
      </c>
      <c r="G237" s="52">
        <f>_xlfn.XLOOKUP(transactions[[#This Row],[OpportunityID]],Opportunities[ID],Opportunities[Amount])/IF(_xlfn.XLOOKUP(transactions[[#This Row],[OpportunityID]],Opportunities[ID],Opportunities[Recurrences])=0,1,_xlfn.XLOOKUP(transactions[[#This Row],[OpportunityID]],Opportunities[ID],Opportunities[Recurrences]))</f>
        <v>101645</v>
      </c>
      <c r="H237" s="51" t="str">
        <f>_xlfn.XLOOKUP(transactions[[#This Row],[OpportunityID]],Opportunities[ID],Opportunities[Status])</f>
        <v>Active</v>
      </c>
      <c r="I237" s="51" t="str">
        <f>_xlfn.XLOOKUP(transactions[[#This Row],[OpportunityID]],Opportunities[ID],Opportunities[Stage])</f>
        <v>Proposal</v>
      </c>
      <c r="J237" s="51" t="str">
        <f>_xlfn.XLOOKUP(transactions[[#This Row],[OpportunityID]],Opportunities[ID],Opportunities[OpportunityName])</f>
        <v>Legacy System Modernization</v>
      </c>
      <c r="K237" s="51" t="str">
        <f>_xlfn.XLOOKUP(transactions[[#This Row],[CustomerId]],Customers[Id],Customers[Customer Name])</f>
        <v>Textile Manufacturing</v>
      </c>
      <c r="L237" s="51" t="str">
        <f>_xlfn.XLOOKUP(transactions[[#This Row],[OpportunityID]],Opportunities[ID],Opportunities[OpportunityOwner])</f>
        <v>Lisa Engineer</v>
      </c>
      <c r="M237" s="51" t="str">
        <f ca="1">IF((transactions[[#This Row],[TransactionDate]]-TODAY())&lt;=366,transactions[[#This Row],[FQ]],"Out-year")</f>
        <v>Out-year</v>
      </c>
      <c r="N237" s="55">
        <f>transactions[[#This Row],[UnWeighted]]/1000</f>
        <v>101.645</v>
      </c>
      <c r="O237" s="55">
        <f>transactions[[#This Row],[Weighted]]/1000</f>
        <v>50.822499999999998</v>
      </c>
      <c r="P237" s="55">
        <f>transactions[[#This Row],[$K Unweighted]]/1000</f>
        <v>0.101645</v>
      </c>
      <c r="Q237" s="55" t="b">
        <f ca="1">transactions[[#This Row],[TransactionDate]]&gt;TODAY()</f>
        <v>1</v>
      </c>
    </row>
    <row r="238" spans="1:17" x14ac:dyDescent="0.25">
      <c r="A238">
        <v>26</v>
      </c>
      <c r="B238">
        <v>1</v>
      </c>
      <c r="C238" s="31">
        <v>46753</v>
      </c>
      <c r="D23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8" s="51" t="str">
        <f>"CY"&amp;RIGHT(YEAR(transactions[[#This Row],[TransactionDate]]),2)&amp;"-Q"&amp;ROUNDUP(MONTH(transactions[[#This Row],[TransactionDate]])/3, 0)</f>
        <v>CY28-Q1</v>
      </c>
      <c r="F238" s="52">
        <f>transactions[[#This Row],[UnWeighted]]*_xlfn.XLOOKUP(transactions[[#This Row],[OpportunityID]],Opportunities[ID],Opportunities[WinProbabilityValue])</f>
        <v>11339.638888888889</v>
      </c>
      <c r="G238"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38" s="51" t="str">
        <f>_xlfn.XLOOKUP(transactions[[#This Row],[OpportunityID]],Opportunities[ID],Opportunities[Status])</f>
        <v>Active</v>
      </c>
      <c r="I238" s="51" t="str">
        <f>_xlfn.XLOOKUP(transactions[[#This Row],[OpportunityID]],Opportunities[ID],Opportunities[Stage])</f>
        <v>Negotiation</v>
      </c>
      <c r="J238" s="51" t="str">
        <f>_xlfn.XLOOKUP(transactions[[#This Row],[OpportunityID]],Opportunities[ID],Opportunities[OpportunityName])</f>
        <v>Video Conferencing Solution</v>
      </c>
      <c r="K238" s="51" t="str">
        <f>_xlfn.XLOOKUP(transactions[[#This Row],[CustomerId]],Customers[Id],Customers[Customer Name])</f>
        <v>ACME Corporation</v>
      </c>
      <c r="L238" s="51" t="str">
        <f>_xlfn.XLOOKUP(transactions[[#This Row],[OpportunityID]],Opportunities[ID],Opportunities[OpportunityOwner])</f>
        <v>Mike Consultant</v>
      </c>
      <c r="M238" s="51" t="str">
        <f ca="1">IF((transactions[[#This Row],[TransactionDate]]-TODAY())&lt;=366,transactions[[#This Row],[FQ]],"Out-year")</f>
        <v>Out-year</v>
      </c>
      <c r="N238" s="55">
        <f>transactions[[#This Row],[UnWeighted]]/1000</f>
        <v>22.679277777777777</v>
      </c>
      <c r="O238" s="55">
        <f>transactions[[#This Row],[Weighted]]/1000</f>
        <v>11.339638888888889</v>
      </c>
      <c r="P238" s="55">
        <f>transactions[[#This Row],[$K Unweighted]]/1000</f>
        <v>2.2679277777777777E-2</v>
      </c>
      <c r="Q238" s="55" t="b">
        <f ca="1">transactions[[#This Row],[TransactionDate]]&gt;TODAY()</f>
        <v>1</v>
      </c>
    </row>
    <row r="239" spans="1:17" x14ac:dyDescent="0.25">
      <c r="A239">
        <v>39</v>
      </c>
      <c r="B239">
        <v>3</v>
      </c>
      <c r="C239" s="31">
        <v>46755</v>
      </c>
      <c r="D23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9" s="51" t="str">
        <f>"CY"&amp;RIGHT(YEAR(transactions[[#This Row],[TransactionDate]]),2)&amp;"-Q"&amp;ROUNDUP(MONTH(transactions[[#This Row],[TransactionDate]])/3, 0)</f>
        <v>CY28-Q1</v>
      </c>
      <c r="F239" s="52">
        <f>transactions[[#This Row],[UnWeighted]]*_xlfn.XLOOKUP(transactions[[#This Row],[OpportunityID]],Opportunities[ID],Opportunities[WinProbabilityValue])</f>
        <v>20929.153846153848</v>
      </c>
      <c r="G239"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39" s="51" t="str">
        <f>_xlfn.XLOOKUP(transactions[[#This Row],[OpportunityID]],Opportunities[ID],Opportunities[Status])</f>
        <v>Active</v>
      </c>
      <c r="I239" s="51" t="str">
        <f>_xlfn.XLOOKUP(transactions[[#This Row],[OpportunityID]],Opportunities[ID],Opportunities[Stage])</f>
        <v>Project Execution</v>
      </c>
      <c r="J239" s="51" t="str">
        <f>_xlfn.XLOOKUP(transactions[[#This Row],[OpportunityID]],Opportunities[ID],Opportunities[OpportunityName])</f>
        <v>API Development Project</v>
      </c>
      <c r="K239" s="51" t="str">
        <f>_xlfn.XLOOKUP(transactions[[#This Row],[CustomerId]],Customers[Id],Customers[Customer Name])</f>
        <v>Tech Solutions Inc</v>
      </c>
      <c r="L239" s="51" t="str">
        <f>_xlfn.XLOOKUP(transactions[[#This Row],[OpportunityID]],Opportunities[ID],Opportunities[OpportunityOwner])</f>
        <v>Jennifer PM</v>
      </c>
      <c r="M239" s="51" t="str">
        <f ca="1">IF((transactions[[#This Row],[TransactionDate]]-TODAY())&lt;=366,transactions[[#This Row],[FQ]],"Out-year")</f>
        <v>Out-year</v>
      </c>
      <c r="N239" s="55">
        <f>transactions[[#This Row],[UnWeighted]]/1000</f>
        <v>41.858307692307697</v>
      </c>
      <c r="O239" s="55">
        <f>transactions[[#This Row],[Weighted]]/1000</f>
        <v>20.929153846153849</v>
      </c>
      <c r="P239" s="55">
        <f>transactions[[#This Row],[$K Unweighted]]/1000</f>
        <v>4.1858307692307695E-2</v>
      </c>
      <c r="Q239" s="55" t="b">
        <f ca="1">transactions[[#This Row],[TransactionDate]]&gt;TODAY()</f>
        <v>1</v>
      </c>
    </row>
    <row r="240" spans="1:17" x14ac:dyDescent="0.25">
      <c r="A240">
        <v>36</v>
      </c>
      <c r="B240">
        <v>1</v>
      </c>
      <c r="C240" s="31">
        <v>46758</v>
      </c>
      <c r="D24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0" s="51" t="str">
        <f>"CY"&amp;RIGHT(YEAR(transactions[[#This Row],[TransactionDate]]),2)&amp;"-Q"&amp;ROUNDUP(MONTH(transactions[[#This Row],[TransactionDate]])/3, 0)</f>
        <v>CY28-Q1</v>
      </c>
      <c r="F240" s="52">
        <f>transactions[[#This Row],[UnWeighted]]*_xlfn.XLOOKUP(transactions[[#This Row],[OpportunityID]],Opportunities[ID],Opportunities[WinProbabilityValue])</f>
        <v>24983.895833333332</v>
      </c>
      <c r="G240"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40" s="51" t="str">
        <f>_xlfn.XLOOKUP(transactions[[#This Row],[OpportunityID]],Opportunities[ID],Opportunities[Status])</f>
        <v>Active</v>
      </c>
      <c r="I240" s="51" t="str">
        <f>_xlfn.XLOOKUP(transactions[[#This Row],[OpportunityID]],Opportunities[ID],Opportunities[Stage])</f>
        <v>Lead Qualification</v>
      </c>
      <c r="J240" s="51" t="str">
        <f>_xlfn.XLOOKUP(transactions[[#This Row],[OpportunityID]],Opportunities[ID],Opportunities[OpportunityName])</f>
        <v>Integration Services Project</v>
      </c>
      <c r="K240" s="51" t="str">
        <f>_xlfn.XLOOKUP(transactions[[#This Row],[CustomerId]],Customers[Id],Customers[Customer Name])</f>
        <v>ACME Corporation</v>
      </c>
      <c r="L240" s="51" t="str">
        <f>_xlfn.XLOOKUP(transactions[[#This Row],[OpportunityID]],Opportunities[ID],Opportunities[OpportunityOwner])</f>
        <v>Amanda Sales</v>
      </c>
      <c r="M240" s="51" t="str">
        <f ca="1">IF((transactions[[#This Row],[TransactionDate]]-TODAY())&lt;=366,transactions[[#This Row],[FQ]],"Out-year")</f>
        <v>Out-year</v>
      </c>
      <c r="N240" s="55">
        <f>transactions[[#This Row],[UnWeighted]]/1000</f>
        <v>49.967791666666663</v>
      </c>
      <c r="O240" s="55">
        <f>transactions[[#This Row],[Weighted]]/1000</f>
        <v>24.983895833333332</v>
      </c>
      <c r="P240" s="55">
        <f>transactions[[#This Row],[$K Unweighted]]/1000</f>
        <v>4.9967791666666664E-2</v>
      </c>
      <c r="Q240" s="55" t="b">
        <f ca="1">transactions[[#This Row],[TransactionDate]]&gt;TODAY()</f>
        <v>1</v>
      </c>
    </row>
    <row r="241" spans="1:17" x14ac:dyDescent="0.25">
      <c r="A241">
        <v>15</v>
      </c>
      <c r="B241">
        <v>24</v>
      </c>
      <c r="C241" s="31">
        <v>46759</v>
      </c>
      <c r="D24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1" s="51" t="str">
        <f>"CY"&amp;RIGHT(YEAR(transactions[[#This Row],[TransactionDate]]),2)&amp;"-Q"&amp;ROUNDUP(MONTH(transactions[[#This Row],[TransactionDate]])/3, 0)</f>
        <v>CY28-Q1</v>
      </c>
      <c r="F241" s="52">
        <f>transactions[[#This Row],[UnWeighted]]*_xlfn.XLOOKUP(transactions[[#This Row],[OpportunityID]],Opportunities[ID],Opportunities[WinProbabilityValue])</f>
        <v>29217.197872340425</v>
      </c>
      <c r="G241"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41" s="51" t="str">
        <f>_xlfn.XLOOKUP(transactions[[#This Row],[OpportunityID]],Opportunities[ID],Opportunities[Status])</f>
        <v>Active</v>
      </c>
      <c r="I241" s="51" t="str">
        <f>_xlfn.XLOOKUP(transactions[[#This Row],[OpportunityID]],Opportunities[ID],Opportunities[Stage])</f>
        <v>Project Execution</v>
      </c>
      <c r="J241" s="51" t="str">
        <f>_xlfn.XLOOKUP(transactions[[#This Row],[OpportunityID]],Opportunities[ID],Opportunities[OpportunityName])</f>
        <v>Training &amp; Development Program</v>
      </c>
      <c r="K241" s="51" t="str">
        <f>_xlfn.XLOOKUP(transactions[[#This Row],[CustomerId]],Customers[Id],Customers[Customer Name])</f>
        <v>Security Solutions</v>
      </c>
      <c r="L241" s="51" t="str">
        <f>_xlfn.XLOOKUP(transactions[[#This Row],[OpportunityID]],Opportunities[ID],Opportunities[OpportunityOwner])</f>
        <v>Sarah Director</v>
      </c>
      <c r="M241" s="51" t="str">
        <f ca="1">IF((transactions[[#This Row],[TransactionDate]]-TODAY())&lt;=366,transactions[[#This Row],[FQ]],"Out-year")</f>
        <v>Out-year</v>
      </c>
      <c r="N241" s="55">
        <f>transactions[[#This Row],[UnWeighted]]/1000</f>
        <v>32.46355319148936</v>
      </c>
      <c r="O241" s="55">
        <f>transactions[[#This Row],[Weighted]]/1000</f>
        <v>29.217197872340424</v>
      </c>
      <c r="P241" s="55">
        <f>transactions[[#This Row],[$K Unweighted]]/1000</f>
        <v>3.2463553191489358E-2</v>
      </c>
      <c r="Q241" s="55" t="b">
        <f ca="1">transactions[[#This Row],[TransactionDate]]&gt;TODAY()</f>
        <v>1</v>
      </c>
    </row>
    <row r="242" spans="1:17" x14ac:dyDescent="0.25">
      <c r="A242">
        <v>17</v>
      </c>
      <c r="B242">
        <v>19</v>
      </c>
      <c r="C242" s="31">
        <v>46761</v>
      </c>
      <c r="D24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2" s="51" t="str">
        <f>"CY"&amp;RIGHT(YEAR(transactions[[#This Row],[TransactionDate]]),2)&amp;"-Q"&amp;ROUNDUP(MONTH(transactions[[#This Row],[TransactionDate]])/3, 0)</f>
        <v>CY28-Q1</v>
      </c>
      <c r="F242" s="52">
        <f>transactions[[#This Row],[UnWeighted]]*_xlfn.XLOOKUP(transactions[[#This Row],[OpportunityID]],Opportunities[ID],Opportunities[WinProbabilityValue])</f>
        <v>9267.2333333333336</v>
      </c>
      <c r="G242"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42" s="51" t="str">
        <f>_xlfn.XLOOKUP(transactions[[#This Row],[OpportunityID]],Opportunities[ID],Opportunities[Status])</f>
        <v>Active</v>
      </c>
      <c r="I242" s="51" t="str">
        <f>_xlfn.XLOOKUP(transactions[[#This Row],[OpportunityID]],Opportunities[ID],Opportunities[Stage])</f>
        <v>Negotiation</v>
      </c>
      <c r="J242" s="51" t="str">
        <f>_xlfn.XLOOKUP(transactions[[#This Row],[OpportunityID]],Opportunities[ID],Opportunities[OpportunityName])</f>
        <v>Supply Chain Optimization</v>
      </c>
      <c r="K242" s="51" t="str">
        <f>_xlfn.XLOOKUP(transactions[[#This Row],[CustomerId]],Customers[Id],Customers[Customer Name])</f>
        <v>Hotel Management Group</v>
      </c>
      <c r="L242" s="51" t="str">
        <f>_xlfn.XLOOKUP(transactions[[#This Row],[OpportunityID]],Opportunities[ID],Opportunities[OpportunityOwner])</f>
        <v>Jennifer PM</v>
      </c>
      <c r="M242" s="51" t="str">
        <f ca="1">IF((transactions[[#This Row],[TransactionDate]]-TODAY())&lt;=366,transactions[[#This Row],[FQ]],"Out-year")</f>
        <v>Out-year</v>
      </c>
      <c r="N242" s="55">
        <f>transactions[[#This Row],[UnWeighted]]/1000</f>
        <v>46.336166666666664</v>
      </c>
      <c r="O242" s="55">
        <f>transactions[[#This Row],[Weighted]]/1000</f>
        <v>9.2672333333333334</v>
      </c>
      <c r="P242" s="55">
        <f>transactions[[#This Row],[$K Unweighted]]/1000</f>
        <v>4.6336166666666664E-2</v>
      </c>
      <c r="Q242" s="55" t="b">
        <f ca="1">transactions[[#This Row],[TransactionDate]]&gt;TODAY()</f>
        <v>1</v>
      </c>
    </row>
    <row r="243" spans="1:17" x14ac:dyDescent="0.25">
      <c r="A243">
        <v>22</v>
      </c>
      <c r="B243">
        <v>11</v>
      </c>
      <c r="C243" s="31">
        <v>46763</v>
      </c>
      <c r="D24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3" s="51" t="str">
        <f>"CY"&amp;RIGHT(YEAR(transactions[[#This Row],[TransactionDate]]),2)&amp;"-Q"&amp;ROUNDUP(MONTH(transactions[[#This Row],[TransactionDate]])/3, 0)</f>
        <v>CY28-Q1</v>
      </c>
      <c r="F243" s="52">
        <f>transactions[[#This Row],[UnWeighted]]*_xlfn.XLOOKUP(transactions[[#This Row],[OpportunityID]],Opportunities[ID],Opportunities[WinProbabilityValue])</f>
        <v>26390.544230769232</v>
      </c>
      <c r="G243"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43" s="51" t="str">
        <f>_xlfn.XLOOKUP(transactions[[#This Row],[OpportunityID]],Opportunities[ID],Opportunities[Status])</f>
        <v>Active</v>
      </c>
      <c r="I243" s="51" t="str">
        <f>_xlfn.XLOOKUP(transactions[[#This Row],[OpportunityID]],Opportunities[ID],Opportunities[Stage])</f>
        <v>Nurturing</v>
      </c>
      <c r="J243" s="51" t="str">
        <f>_xlfn.XLOOKUP(transactions[[#This Row],[OpportunityID]],Opportunities[ID],Opportunities[OpportunityName])</f>
        <v>Inventory Management Solution</v>
      </c>
      <c r="K243" s="51" t="str">
        <f>_xlfn.XLOOKUP(transactions[[#This Row],[CustomerId]],Customers[Id],Customers[Customer Name])</f>
        <v>Transport Logistics</v>
      </c>
      <c r="L243" s="51" t="str">
        <f>_xlfn.XLOOKUP(transactions[[#This Row],[OpportunityID]],Opportunities[ID],Opportunities[OpportunityOwner])</f>
        <v>Sarah Director</v>
      </c>
      <c r="M243" s="51" t="str">
        <f ca="1">IF((transactions[[#This Row],[TransactionDate]]-TODAY())&lt;=366,transactions[[#This Row],[FQ]],"Out-year")</f>
        <v>Out-year</v>
      </c>
      <c r="N243" s="55">
        <f>transactions[[#This Row],[UnWeighted]]/1000</f>
        <v>29.322826923076921</v>
      </c>
      <c r="O243" s="55">
        <f>transactions[[#This Row],[Weighted]]/1000</f>
        <v>26.390544230769233</v>
      </c>
      <c r="P243" s="55">
        <f>transactions[[#This Row],[$K Unweighted]]/1000</f>
        <v>2.932282692307692E-2</v>
      </c>
      <c r="Q243" s="55" t="b">
        <f ca="1">transactions[[#This Row],[TransactionDate]]&gt;TODAY()</f>
        <v>1</v>
      </c>
    </row>
    <row r="244" spans="1:17" x14ac:dyDescent="0.25">
      <c r="A244">
        <v>16</v>
      </c>
      <c r="B244">
        <v>22</v>
      </c>
      <c r="C244" s="31">
        <v>46763</v>
      </c>
      <c r="D24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4" s="51" t="str">
        <f>"CY"&amp;RIGHT(YEAR(transactions[[#This Row],[TransactionDate]]),2)&amp;"-Q"&amp;ROUNDUP(MONTH(transactions[[#This Row],[TransactionDate]])/3, 0)</f>
        <v>CY28-Q1</v>
      </c>
      <c r="F244" s="52">
        <f>transactions[[#This Row],[UnWeighted]]*_xlfn.XLOOKUP(transactions[[#This Row],[OpportunityID]],Opportunities[ID],Opportunities[WinProbabilityValue])</f>
        <v>59080.25</v>
      </c>
      <c r="G244" s="52">
        <f>_xlfn.XLOOKUP(transactions[[#This Row],[OpportunityID]],Opportunities[ID],Opportunities[Amount])/IF(_xlfn.XLOOKUP(transactions[[#This Row],[OpportunityID]],Opportunities[ID],Opportunities[Recurrences])=0,1,_xlfn.XLOOKUP(transactions[[#This Row],[OpportunityID]],Opportunities[ID],Opportunities[Recurrences]))</f>
        <v>118160.5</v>
      </c>
      <c r="H244" s="51" t="str">
        <f>_xlfn.XLOOKUP(transactions[[#This Row],[OpportunityID]],Opportunities[ID],Opportunities[Status])</f>
        <v>At Risk</v>
      </c>
      <c r="I244" s="51" t="str">
        <f>_xlfn.XLOOKUP(transactions[[#This Row],[OpportunityID]],Opportunities[ID],Opportunities[Stage])</f>
        <v>Proposal</v>
      </c>
      <c r="J244" s="51" t="str">
        <f>_xlfn.XLOOKUP(transactions[[#This Row],[OpportunityID]],Opportunities[ID],Opportunities[OpportunityName])</f>
        <v>Quality Management System</v>
      </c>
      <c r="K244" s="51" t="str">
        <f>_xlfn.XLOOKUP(transactions[[#This Row],[CustomerId]],Customers[Id],Customers[Customer Name])</f>
        <v>Environmental Services</v>
      </c>
      <c r="L244" s="51" t="str">
        <f>_xlfn.XLOOKUP(transactions[[#This Row],[OpportunityID]],Opportunities[ID],Opportunities[OpportunityOwner])</f>
        <v>John Manager</v>
      </c>
      <c r="M244" s="51" t="str">
        <f ca="1">IF((transactions[[#This Row],[TransactionDate]]-TODAY())&lt;=366,transactions[[#This Row],[FQ]],"Out-year")</f>
        <v>Out-year</v>
      </c>
      <c r="N244" s="55">
        <f>transactions[[#This Row],[UnWeighted]]/1000</f>
        <v>118.1605</v>
      </c>
      <c r="O244" s="55">
        <f>transactions[[#This Row],[Weighted]]/1000</f>
        <v>59.080249999999999</v>
      </c>
      <c r="P244" s="55">
        <f>transactions[[#This Row],[$K Unweighted]]/1000</f>
        <v>0.1181605</v>
      </c>
      <c r="Q244" s="55" t="b">
        <f ca="1">transactions[[#This Row],[TransactionDate]]&gt;TODAY()</f>
        <v>1</v>
      </c>
    </row>
    <row r="245" spans="1:17" x14ac:dyDescent="0.25">
      <c r="A245">
        <v>11</v>
      </c>
      <c r="B245">
        <v>3</v>
      </c>
      <c r="C245" s="31">
        <v>46765</v>
      </c>
      <c r="D24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5" s="51" t="str">
        <f>"CY"&amp;RIGHT(YEAR(transactions[[#This Row],[TransactionDate]]),2)&amp;"-Q"&amp;ROUNDUP(MONTH(transactions[[#This Row],[TransactionDate]])/3, 0)</f>
        <v>CY28-Q1</v>
      </c>
      <c r="F245" s="52">
        <f>transactions[[#This Row],[UnWeighted]]*_xlfn.XLOOKUP(transactions[[#This Row],[OpportunityID]],Opportunities[ID],Opportunities[WinProbabilityValue])</f>
        <v>113460.75</v>
      </c>
      <c r="G245" s="52">
        <f>_xlfn.XLOOKUP(transactions[[#This Row],[OpportunityID]],Opportunities[ID],Opportunities[Amount])/IF(_xlfn.XLOOKUP(transactions[[#This Row],[OpportunityID]],Opportunities[ID],Opportunities[Recurrences])=0,1,_xlfn.XLOOKUP(transactions[[#This Row],[OpportunityID]],Opportunities[ID],Opportunities[Recurrences]))</f>
        <v>126067.5</v>
      </c>
      <c r="H245" s="51" t="str">
        <f>_xlfn.XLOOKUP(transactions[[#This Row],[OpportunityID]],Opportunities[ID],Opportunities[Status])</f>
        <v>At Risk</v>
      </c>
      <c r="I245" s="51" t="str">
        <f>_xlfn.XLOOKUP(transactions[[#This Row],[OpportunityID]],Opportunities[ID],Opportunities[Stage])</f>
        <v>Negotiation</v>
      </c>
      <c r="J245" s="51" t="str">
        <f>_xlfn.XLOOKUP(transactions[[#This Row],[OpportunityID]],Opportunities[ID],Opportunities[OpportunityName])</f>
        <v>Data Center Consolidation</v>
      </c>
      <c r="K245" s="51" t="str">
        <f>_xlfn.XLOOKUP(transactions[[#This Row],[CustomerId]],Customers[Id],Customers[Customer Name])</f>
        <v>Tech Solutions Inc</v>
      </c>
      <c r="L245" s="51" t="str">
        <f>_xlfn.XLOOKUP(transactions[[#This Row],[OpportunityID]],Opportunities[ID],Opportunities[OpportunityOwner])</f>
        <v>David Specialist</v>
      </c>
      <c r="M245" s="51" t="str">
        <f ca="1">IF((transactions[[#This Row],[TransactionDate]]-TODAY())&lt;=366,transactions[[#This Row],[FQ]],"Out-year")</f>
        <v>Out-year</v>
      </c>
      <c r="N245" s="55">
        <f>transactions[[#This Row],[UnWeighted]]/1000</f>
        <v>126.0675</v>
      </c>
      <c r="O245" s="55">
        <f>transactions[[#This Row],[Weighted]]/1000</f>
        <v>113.46075</v>
      </c>
      <c r="P245" s="55">
        <f>transactions[[#This Row],[$K Unweighted]]/1000</f>
        <v>0.1260675</v>
      </c>
      <c r="Q245" s="55" t="b">
        <f ca="1">transactions[[#This Row],[TransactionDate]]&gt;TODAY()</f>
        <v>1</v>
      </c>
    </row>
    <row r="246" spans="1:17" x14ac:dyDescent="0.25">
      <c r="A246">
        <v>2</v>
      </c>
      <c r="B246">
        <v>10</v>
      </c>
      <c r="C246" s="31">
        <v>46769</v>
      </c>
      <c r="D24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6" s="51" t="str">
        <f>"CY"&amp;RIGHT(YEAR(transactions[[#This Row],[TransactionDate]]),2)&amp;"-Q"&amp;ROUNDUP(MONTH(transactions[[#This Row],[TransactionDate]])/3, 0)</f>
        <v>CY28-Q1</v>
      </c>
      <c r="F246" s="52">
        <f>transactions[[#This Row],[UnWeighted]]*_xlfn.XLOOKUP(transactions[[#This Row],[OpportunityID]],Opportunities[ID],Opportunities[WinProbabilityValue])</f>
        <v>20720.20930232558</v>
      </c>
      <c r="G246"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46" s="51" t="str">
        <f>_xlfn.XLOOKUP(transactions[[#This Row],[OpportunityID]],Opportunities[ID],Opportunities[Status])</f>
        <v>Active</v>
      </c>
      <c r="I246" s="51" t="str">
        <f>_xlfn.XLOOKUP(transactions[[#This Row],[OpportunityID]],Opportunities[ID],Opportunities[Stage])</f>
        <v>Proposal</v>
      </c>
      <c r="J246" s="51" t="str">
        <f>_xlfn.XLOOKUP(transactions[[#This Row],[OpportunityID]],Opportunities[ID],Opportunities[OpportunityName])</f>
        <v>Cloud Migration Initiative</v>
      </c>
      <c r="K246" s="51" t="str">
        <f>_xlfn.XLOOKUP(transactions[[#This Row],[CustomerId]],Customers[Id],Customers[Customer Name])</f>
        <v>Education First</v>
      </c>
      <c r="L246" s="51" t="str">
        <f>_xlfn.XLOOKUP(transactions[[#This Row],[OpportunityID]],Opportunities[ID],Opportunities[OpportunityOwner])</f>
        <v>Robert Analyst</v>
      </c>
      <c r="M246" s="51" t="str">
        <f ca="1">IF((transactions[[#This Row],[TransactionDate]]-TODAY())&lt;=366,transactions[[#This Row],[FQ]],"Out-year")</f>
        <v>Out-year</v>
      </c>
      <c r="N246" s="55">
        <f>transactions[[#This Row],[UnWeighted]]/1000</f>
        <v>41.440418604651157</v>
      </c>
      <c r="O246" s="55">
        <f>transactions[[#This Row],[Weighted]]/1000</f>
        <v>20.720209302325578</v>
      </c>
      <c r="P246" s="55">
        <f>transactions[[#This Row],[$K Unweighted]]/1000</f>
        <v>4.1440418604651155E-2</v>
      </c>
      <c r="Q246" s="55" t="b">
        <f ca="1">transactions[[#This Row],[TransactionDate]]&gt;TODAY()</f>
        <v>1</v>
      </c>
    </row>
    <row r="247" spans="1:17" x14ac:dyDescent="0.25">
      <c r="A247">
        <v>40</v>
      </c>
      <c r="B247">
        <v>15</v>
      </c>
      <c r="C247" s="31">
        <v>46771</v>
      </c>
      <c r="D24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7" s="51" t="str">
        <f>"CY"&amp;RIGHT(YEAR(transactions[[#This Row],[TransactionDate]]),2)&amp;"-Q"&amp;ROUNDUP(MONTH(transactions[[#This Row],[TransactionDate]])/3, 0)</f>
        <v>CY28-Q1</v>
      </c>
      <c r="F247" s="52">
        <f>transactions[[#This Row],[UnWeighted]]*_xlfn.XLOOKUP(transactions[[#This Row],[OpportunityID]],Opportunities[ID],Opportunities[WinProbabilityValue])</f>
        <v>36144.450000000004</v>
      </c>
      <c r="G247" s="52">
        <f>_xlfn.XLOOKUP(transactions[[#This Row],[OpportunityID]],Opportunities[ID],Opportunities[Amount])/IF(_xlfn.XLOOKUP(transactions[[#This Row],[OpportunityID]],Opportunities[ID],Opportunities[Recurrences])=0,1,_xlfn.XLOOKUP(transactions[[#This Row],[OpportunityID]],Opportunities[ID],Opportunities[Recurrences]))</f>
        <v>40160.5</v>
      </c>
      <c r="H247" s="51" t="str">
        <f>_xlfn.XLOOKUP(transactions[[#This Row],[OpportunityID]],Opportunities[ID],Opportunities[Status])</f>
        <v>Active</v>
      </c>
      <c r="I247" s="51" t="str">
        <f>_xlfn.XLOOKUP(transactions[[#This Row],[OpportunityID]],Opportunities[ID],Opportunities[Stage])</f>
        <v>Proposal</v>
      </c>
      <c r="J247" s="51" t="str">
        <f>_xlfn.XLOOKUP(transactions[[#This Row],[OpportunityID]],Opportunities[ID],Opportunities[OpportunityName])</f>
        <v>Machine Learning Implementation</v>
      </c>
      <c r="K247" s="51" t="str">
        <f>_xlfn.XLOOKUP(transactions[[#This Row],[CustomerId]],Customers[Id],Customers[Customer Name])</f>
        <v>Pharmaceutical Research</v>
      </c>
      <c r="L247" s="51" t="str">
        <f>_xlfn.XLOOKUP(transactions[[#This Row],[OpportunityID]],Opportunities[ID],Opportunities[OpportunityOwner])</f>
        <v>Mike Consultant</v>
      </c>
      <c r="M247" s="51" t="str">
        <f ca="1">IF((transactions[[#This Row],[TransactionDate]]-TODAY())&lt;=366,transactions[[#This Row],[FQ]],"Out-year")</f>
        <v>Out-year</v>
      </c>
      <c r="N247" s="55">
        <f>transactions[[#This Row],[UnWeighted]]/1000</f>
        <v>40.160499999999999</v>
      </c>
      <c r="O247" s="55">
        <f>transactions[[#This Row],[Weighted]]/1000</f>
        <v>36.144450000000006</v>
      </c>
      <c r="P247" s="55">
        <f>transactions[[#This Row],[$K Unweighted]]/1000</f>
        <v>4.0160500000000002E-2</v>
      </c>
      <c r="Q247" s="55" t="b">
        <f ca="1">transactions[[#This Row],[TransactionDate]]&gt;TODAY()</f>
        <v>1</v>
      </c>
    </row>
    <row r="248" spans="1:17" x14ac:dyDescent="0.25">
      <c r="A248">
        <v>13</v>
      </c>
      <c r="B248">
        <v>2</v>
      </c>
      <c r="C248" s="31">
        <v>46774</v>
      </c>
      <c r="D24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8" s="51" t="str">
        <f>"CY"&amp;RIGHT(YEAR(transactions[[#This Row],[TransactionDate]]),2)&amp;"-Q"&amp;ROUNDUP(MONTH(transactions[[#This Row],[TransactionDate]])/3, 0)</f>
        <v>CY28-Q1</v>
      </c>
      <c r="F248" s="52">
        <f>transactions[[#This Row],[UnWeighted]]*_xlfn.XLOOKUP(transactions[[#This Row],[OpportunityID]],Opportunities[ID],Opportunities[WinProbabilityValue])</f>
        <v>12618.744897959185</v>
      </c>
      <c r="G248"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48" s="51" t="str">
        <f>_xlfn.XLOOKUP(transactions[[#This Row],[OpportunityID]],Opportunities[ID],Opportunities[Status])</f>
        <v>Active</v>
      </c>
      <c r="I248" s="51" t="str">
        <f>_xlfn.XLOOKUP(transactions[[#This Row],[OpportunityID]],Opportunities[ID],Opportunities[Stage])</f>
        <v>Negotiation</v>
      </c>
      <c r="J248" s="51" t="str">
        <f>_xlfn.XLOOKUP(transactions[[#This Row],[OpportunityID]],Opportunities[ID],Opportunities[OpportunityName])</f>
        <v>E-commerce Platform</v>
      </c>
      <c r="K248" s="51" t="str">
        <f>_xlfn.XLOOKUP(transactions[[#This Row],[CustomerId]],Customers[Id],Customers[Customer Name])</f>
        <v>Global Industries</v>
      </c>
      <c r="L248" s="51" t="str">
        <f>_xlfn.XLOOKUP(transactions[[#This Row],[OpportunityID]],Opportunities[ID],Opportunities[OpportunityOwner])</f>
        <v>Lisa Engineer</v>
      </c>
      <c r="M248" s="51" t="str">
        <f ca="1">IF((transactions[[#This Row],[TransactionDate]]-TODAY())&lt;=366,transactions[[#This Row],[FQ]],"Out-year")</f>
        <v>Out-year</v>
      </c>
      <c r="N248" s="55">
        <f>transactions[[#This Row],[UnWeighted]]/1000</f>
        <v>25.237489795918368</v>
      </c>
      <c r="O248" s="55">
        <f>transactions[[#This Row],[Weighted]]/1000</f>
        <v>12.618744897959184</v>
      </c>
      <c r="P248" s="55">
        <f>transactions[[#This Row],[$K Unweighted]]/1000</f>
        <v>2.5237489795918368E-2</v>
      </c>
      <c r="Q248" s="55" t="b">
        <f ca="1">transactions[[#This Row],[TransactionDate]]&gt;TODAY()</f>
        <v>1</v>
      </c>
    </row>
    <row r="249" spans="1:17" x14ac:dyDescent="0.25">
      <c r="A249">
        <v>7</v>
      </c>
      <c r="B249">
        <v>14</v>
      </c>
      <c r="C249" s="31">
        <v>46778</v>
      </c>
      <c r="D24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9" s="51" t="str">
        <f>"CY"&amp;RIGHT(YEAR(transactions[[#This Row],[TransactionDate]]),2)&amp;"-Q"&amp;ROUNDUP(MONTH(transactions[[#This Row],[TransactionDate]])/3, 0)</f>
        <v>CY28-Q1</v>
      </c>
      <c r="F249" s="52">
        <f>transactions[[#This Row],[UnWeighted]]*_xlfn.XLOOKUP(transactions[[#This Row],[OpportunityID]],Opportunities[ID],Opportunities[WinProbabilityValue])</f>
        <v>41771.416666666664</v>
      </c>
      <c r="G249" s="52">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249" s="51" t="str">
        <f>_xlfn.XLOOKUP(transactions[[#This Row],[OpportunityID]],Opportunities[ID],Opportunities[Status])</f>
        <v>Active</v>
      </c>
      <c r="I249" s="51" t="str">
        <f>_xlfn.XLOOKUP(transactions[[#This Row],[OpportunityID]],Opportunities[ID],Opportunities[Stage])</f>
        <v>Project Execution</v>
      </c>
      <c r="J249" s="51" t="str">
        <f>_xlfn.XLOOKUP(transactions[[#This Row],[OpportunityID]],Opportunities[ID],Opportunities[OpportunityName])</f>
        <v>Network Infrastructure Upgrade</v>
      </c>
      <c r="K249" s="51" t="str">
        <f>_xlfn.XLOOKUP(transactions[[#This Row],[CustomerId]],Customers[Id],Customers[Customer Name])</f>
        <v>Media Communications</v>
      </c>
      <c r="L249" s="51" t="str">
        <f>_xlfn.XLOOKUP(transactions[[#This Row],[OpportunityID]],Opportunities[ID],Opportunities[OpportunityOwner])</f>
        <v>Dr. Tech Advisor</v>
      </c>
      <c r="M249" s="51" t="str">
        <f ca="1">IF((transactions[[#This Row],[TransactionDate]]-TODAY())&lt;=366,transactions[[#This Row],[FQ]],"Out-year")</f>
        <v>Out-year</v>
      </c>
      <c r="N249" s="55">
        <f>transactions[[#This Row],[UnWeighted]]/1000</f>
        <v>83.542833333333334</v>
      </c>
      <c r="O249" s="55">
        <f>transactions[[#This Row],[Weighted]]/1000</f>
        <v>41.771416666666667</v>
      </c>
      <c r="P249" s="55">
        <f>transactions[[#This Row],[$K Unweighted]]/1000</f>
        <v>8.354283333333333E-2</v>
      </c>
      <c r="Q249" s="55" t="b">
        <f ca="1">transactions[[#This Row],[TransactionDate]]&gt;TODAY()</f>
        <v>1</v>
      </c>
    </row>
    <row r="250" spans="1:17" x14ac:dyDescent="0.25">
      <c r="A250">
        <v>18</v>
      </c>
      <c r="B250">
        <v>9</v>
      </c>
      <c r="C250" s="31">
        <v>46780</v>
      </c>
      <c r="D25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50" s="51" t="str">
        <f>"CY"&amp;RIGHT(YEAR(transactions[[#This Row],[TransactionDate]]),2)&amp;"-Q"&amp;ROUNDUP(MONTH(transactions[[#This Row],[TransactionDate]])/3, 0)</f>
        <v>CY28-Q1</v>
      </c>
      <c r="F250" s="52">
        <f>transactions[[#This Row],[UnWeighted]]*_xlfn.XLOOKUP(transactions[[#This Row],[OpportunityID]],Opportunities[ID],Opportunities[WinProbabilityValue])</f>
        <v>110906.4</v>
      </c>
      <c r="G250" s="52">
        <f>_xlfn.XLOOKUP(transactions[[#This Row],[OpportunityID]],Opportunities[ID],Opportunities[Amount])/IF(_xlfn.XLOOKUP(transactions[[#This Row],[OpportunityID]],Opportunities[ID],Opportunities[Recurrences])=0,1,_xlfn.XLOOKUP(transactions[[#This Row],[OpportunityID]],Opportunities[ID],Opportunities[Recurrences]))</f>
        <v>221812.8</v>
      </c>
      <c r="H250" s="51" t="str">
        <f>_xlfn.XLOOKUP(transactions[[#This Row],[OpportunityID]],Opportunities[ID],Opportunities[Status])</f>
        <v>Active</v>
      </c>
      <c r="I250" s="51" t="str">
        <f>_xlfn.XLOOKUP(transactions[[#This Row],[OpportunityID]],Opportunities[ID],Opportunities[Stage])</f>
        <v>Lead Qualification</v>
      </c>
      <c r="J250" s="51" t="str">
        <f>_xlfn.XLOOKUP(transactions[[#This Row],[OpportunityID]],Opportunities[ID],Opportunities[OpportunityName])</f>
        <v>Financial Planning Software</v>
      </c>
      <c r="K250" s="51" t="str">
        <f>_xlfn.XLOOKUP(transactions[[#This Row],[CustomerId]],Customers[Id],Customers[Customer Name])</f>
        <v>Construction Dynamics</v>
      </c>
      <c r="L250" s="51" t="str">
        <f>_xlfn.XLOOKUP(transactions[[#This Row],[OpportunityID]],Opportunities[ID],Opportunities[OpportunityOwner])</f>
        <v>Dr. Tech Advisor</v>
      </c>
      <c r="M250" s="51" t="str">
        <f ca="1">IF((transactions[[#This Row],[TransactionDate]]-TODAY())&lt;=366,transactions[[#This Row],[FQ]],"Out-year")</f>
        <v>Out-year</v>
      </c>
      <c r="N250" s="55">
        <f>transactions[[#This Row],[UnWeighted]]/1000</f>
        <v>221.81279999999998</v>
      </c>
      <c r="O250" s="55">
        <f>transactions[[#This Row],[Weighted]]/1000</f>
        <v>110.90639999999999</v>
      </c>
      <c r="P250" s="55">
        <f>transactions[[#This Row],[$K Unweighted]]/1000</f>
        <v>0.22181279999999998</v>
      </c>
      <c r="Q250" s="55" t="b">
        <f ca="1">transactions[[#This Row],[TransactionDate]]&gt;TODAY()</f>
        <v>1</v>
      </c>
    </row>
    <row r="251" spans="1:17" x14ac:dyDescent="0.25">
      <c r="A251">
        <v>26</v>
      </c>
      <c r="B251">
        <v>1</v>
      </c>
      <c r="C251" s="31">
        <v>46784</v>
      </c>
      <c r="D25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1" s="51" t="str">
        <f>"CY"&amp;RIGHT(YEAR(transactions[[#This Row],[TransactionDate]]),2)&amp;"-Q"&amp;ROUNDUP(MONTH(transactions[[#This Row],[TransactionDate]])/3, 0)</f>
        <v>CY28-Q1</v>
      </c>
      <c r="F251" s="52">
        <f>transactions[[#This Row],[UnWeighted]]*_xlfn.XLOOKUP(transactions[[#This Row],[OpportunityID]],Opportunities[ID],Opportunities[WinProbabilityValue])</f>
        <v>11339.638888888889</v>
      </c>
      <c r="G251"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51" s="51" t="str">
        <f>_xlfn.XLOOKUP(transactions[[#This Row],[OpportunityID]],Opportunities[ID],Opportunities[Status])</f>
        <v>Active</v>
      </c>
      <c r="I251" s="51" t="str">
        <f>_xlfn.XLOOKUP(transactions[[#This Row],[OpportunityID]],Opportunities[ID],Opportunities[Stage])</f>
        <v>Negotiation</v>
      </c>
      <c r="J251" s="51" t="str">
        <f>_xlfn.XLOOKUP(transactions[[#This Row],[OpportunityID]],Opportunities[ID],Opportunities[OpportunityName])</f>
        <v>Video Conferencing Solution</v>
      </c>
      <c r="K251" s="51" t="str">
        <f>_xlfn.XLOOKUP(transactions[[#This Row],[CustomerId]],Customers[Id],Customers[Customer Name])</f>
        <v>ACME Corporation</v>
      </c>
      <c r="L251" s="51" t="str">
        <f>_xlfn.XLOOKUP(transactions[[#This Row],[OpportunityID]],Opportunities[ID],Opportunities[OpportunityOwner])</f>
        <v>Mike Consultant</v>
      </c>
      <c r="M251" s="51" t="str">
        <f ca="1">IF((transactions[[#This Row],[TransactionDate]]-TODAY())&lt;=366,transactions[[#This Row],[FQ]],"Out-year")</f>
        <v>Out-year</v>
      </c>
      <c r="N251" s="55">
        <f>transactions[[#This Row],[UnWeighted]]/1000</f>
        <v>22.679277777777777</v>
      </c>
      <c r="O251" s="55">
        <f>transactions[[#This Row],[Weighted]]/1000</f>
        <v>11.339638888888889</v>
      </c>
      <c r="P251" s="55">
        <f>transactions[[#This Row],[$K Unweighted]]/1000</f>
        <v>2.2679277777777777E-2</v>
      </c>
      <c r="Q251" s="55" t="b">
        <f ca="1">transactions[[#This Row],[TransactionDate]]&gt;TODAY()</f>
        <v>1</v>
      </c>
    </row>
    <row r="252" spans="1:17" x14ac:dyDescent="0.25">
      <c r="A252">
        <v>39</v>
      </c>
      <c r="B252">
        <v>3</v>
      </c>
      <c r="C252" s="31">
        <v>46786</v>
      </c>
      <c r="D25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2" s="51" t="str">
        <f>"CY"&amp;RIGHT(YEAR(transactions[[#This Row],[TransactionDate]]),2)&amp;"-Q"&amp;ROUNDUP(MONTH(transactions[[#This Row],[TransactionDate]])/3, 0)</f>
        <v>CY28-Q1</v>
      </c>
      <c r="F252" s="52">
        <f>transactions[[#This Row],[UnWeighted]]*_xlfn.XLOOKUP(transactions[[#This Row],[OpportunityID]],Opportunities[ID],Opportunities[WinProbabilityValue])</f>
        <v>20929.153846153848</v>
      </c>
      <c r="G252"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52" s="51" t="str">
        <f>_xlfn.XLOOKUP(transactions[[#This Row],[OpportunityID]],Opportunities[ID],Opportunities[Status])</f>
        <v>Active</v>
      </c>
      <c r="I252" s="51" t="str">
        <f>_xlfn.XLOOKUP(transactions[[#This Row],[OpportunityID]],Opportunities[ID],Opportunities[Stage])</f>
        <v>Project Execution</v>
      </c>
      <c r="J252" s="51" t="str">
        <f>_xlfn.XLOOKUP(transactions[[#This Row],[OpportunityID]],Opportunities[ID],Opportunities[OpportunityName])</f>
        <v>API Development Project</v>
      </c>
      <c r="K252" s="51" t="str">
        <f>_xlfn.XLOOKUP(transactions[[#This Row],[CustomerId]],Customers[Id],Customers[Customer Name])</f>
        <v>Tech Solutions Inc</v>
      </c>
      <c r="L252" s="51" t="str">
        <f>_xlfn.XLOOKUP(transactions[[#This Row],[OpportunityID]],Opportunities[ID],Opportunities[OpportunityOwner])</f>
        <v>Jennifer PM</v>
      </c>
      <c r="M252" s="51" t="str">
        <f ca="1">IF((transactions[[#This Row],[TransactionDate]]-TODAY())&lt;=366,transactions[[#This Row],[FQ]],"Out-year")</f>
        <v>Out-year</v>
      </c>
      <c r="N252" s="55">
        <f>transactions[[#This Row],[UnWeighted]]/1000</f>
        <v>41.858307692307697</v>
      </c>
      <c r="O252" s="55">
        <f>transactions[[#This Row],[Weighted]]/1000</f>
        <v>20.929153846153849</v>
      </c>
      <c r="P252" s="55">
        <f>transactions[[#This Row],[$K Unweighted]]/1000</f>
        <v>4.1858307692307695E-2</v>
      </c>
      <c r="Q252" s="55" t="b">
        <f ca="1">transactions[[#This Row],[TransactionDate]]&gt;TODAY()</f>
        <v>1</v>
      </c>
    </row>
    <row r="253" spans="1:17" x14ac:dyDescent="0.25">
      <c r="A253">
        <v>36</v>
      </c>
      <c r="B253">
        <v>1</v>
      </c>
      <c r="C253" s="31">
        <v>46789</v>
      </c>
      <c r="D25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3" s="51" t="str">
        <f>"CY"&amp;RIGHT(YEAR(transactions[[#This Row],[TransactionDate]]),2)&amp;"-Q"&amp;ROUNDUP(MONTH(transactions[[#This Row],[TransactionDate]])/3, 0)</f>
        <v>CY28-Q1</v>
      </c>
      <c r="F253" s="52">
        <f>transactions[[#This Row],[UnWeighted]]*_xlfn.XLOOKUP(transactions[[#This Row],[OpportunityID]],Opportunities[ID],Opportunities[WinProbabilityValue])</f>
        <v>24983.895833333332</v>
      </c>
      <c r="G253"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53" s="51" t="str">
        <f>_xlfn.XLOOKUP(transactions[[#This Row],[OpportunityID]],Opportunities[ID],Opportunities[Status])</f>
        <v>Active</v>
      </c>
      <c r="I253" s="51" t="str">
        <f>_xlfn.XLOOKUP(transactions[[#This Row],[OpportunityID]],Opportunities[ID],Opportunities[Stage])</f>
        <v>Lead Qualification</v>
      </c>
      <c r="J253" s="51" t="str">
        <f>_xlfn.XLOOKUP(transactions[[#This Row],[OpportunityID]],Opportunities[ID],Opportunities[OpportunityName])</f>
        <v>Integration Services Project</v>
      </c>
      <c r="K253" s="51" t="str">
        <f>_xlfn.XLOOKUP(transactions[[#This Row],[CustomerId]],Customers[Id],Customers[Customer Name])</f>
        <v>ACME Corporation</v>
      </c>
      <c r="L253" s="51" t="str">
        <f>_xlfn.XLOOKUP(transactions[[#This Row],[OpportunityID]],Opportunities[ID],Opportunities[OpportunityOwner])</f>
        <v>Amanda Sales</v>
      </c>
      <c r="M253" s="51" t="str">
        <f ca="1">IF((transactions[[#This Row],[TransactionDate]]-TODAY())&lt;=366,transactions[[#This Row],[FQ]],"Out-year")</f>
        <v>Out-year</v>
      </c>
      <c r="N253" s="55">
        <f>transactions[[#This Row],[UnWeighted]]/1000</f>
        <v>49.967791666666663</v>
      </c>
      <c r="O253" s="55">
        <f>transactions[[#This Row],[Weighted]]/1000</f>
        <v>24.983895833333332</v>
      </c>
      <c r="P253" s="55">
        <f>transactions[[#This Row],[$K Unweighted]]/1000</f>
        <v>4.9967791666666664E-2</v>
      </c>
      <c r="Q253" s="55" t="b">
        <f ca="1">transactions[[#This Row],[TransactionDate]]&gt;TODAY()</f>
        <v>1</v>
      </c>
    </row>
    <row r="254" spans="1:17" x14ac:dyDescent="0.25">
      <c r="A254">
        <v>15</v>
      </c>
      <c r="B254">
        <v>24</v>
      </c>
      <c r="C254" s="31">
        <v>46790</v>
      </c>
      <c r="D25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4" s="51" t="str">
        <f>"CY"&amp;RIGHT(YEAR(transactions[[#This Row],[TransactionDate]]),2)&amp;"-Q"&amp;ROUNDUP(MONTH(transactions[[#This Row],[TransactionDate]])/3, 0)</f>
        <v>CY28-Q1</v>
      </c>
      <c r="F254" s="52">
        <f>transactions[[#This Row],[UnWeighted]]*_xlfn.XLOOKUP(transactions[[#This Row],[OpportunityID]],Opportunities[ID],Opportunities[WinProbabilityValue])</f>
        <v>29217.197872340425</v>
      </c>
      <c r="G254"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54" s="51" t="str">
        <f>_xlfn.XLOOKUP(transactions[[#This Row],[OpportunityID]],Opportunities[ID],Opportunities[Status])</f>
        <v>Active</v>
      </c>
      <c r="I254" s="51" t="str">
        <f>_xlfn.XLOOKUP(transactions[[#This Row],[OpportunityID]],Opportunities[ID],Opportunities[Stage])</f>
        <v>Project Execution</v>
      </c>
      <c r="J254" s="51" t="str">
        <f>_xlfn.XLOOKUP(transactions[[#This Row],[OpportunityID]],Opportunities[ID],Opportunities[OpportunityName])</f>
        <v>Training &amp; Development Program</v>
      </c>
      <c r="K254" s="51" t="str">
        <f>_xlfn.XLOOKUP(transactions[[#This Row],[CustomerId]],Customers[Id],Customers[Customer Name])</f>
        <v>Security Solutions</v>
      </c>
      <c r="L254" s="51" t="str">
        <f>_xlfn.XLOOKUP(transactions[[#This Row],[OpportunityID]],Opportunities[ID],Opportunities[OpportunityOwner])</f>
        <v>Sarah Director</v>
      </c>
      <c r="M254" s="51" t="str">
        <f ca="1">IF((transactions[[#This Row],[TransactionDate]]-TODAY())&lt;=366,transactions[[#This Row],[FQ]],"Out-year")</f>
        <v>Out-year</v>
      </c>
      <c r="N254" s="55">
        <f>transactions[[#This Row],[UnWeighted]]/1000</f>
        <v>32.46355319148936</v>
      </c>
      <c r="O254" s="55">
        <f>transactions[[#This Row],[Weighted]]/1000</f>
        <v>29.217197872340424</v>
      </c>
      <c r="P254" s="55">
        <f>transactions[[#This Row],[$K Unweighted]]/1000</f>
        <v>3.2463553191489358E-2</v>
      </c>
      <c r="Q254" s="55" t="b">
        <f ca="1">transactions[[#This Row],[TransactionDate]]&gt;TODAY()</f>
        <v>1</v>
      </c>
    </row>
    <row r="255" spans="1:17" x14ac:dyDescent="0.25">
      <c r="A255">
        <v>25</v>
      </c>
      <c r="B255">
        <v>14</v>
      </c>
      <c r="C255" s="31">
        <v>46792</v>
      </c>
      <c r="D25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5" s="51" t="str">
        <f>"CY"&amp;RIGHT(YEAR(transactions[[#This Row],[TransactionDate]]),2)&amp;"-Q"&amp;ROUNDUP(MONTH(transactions[[#This Row],[TransactionDate]])/3, 0)</f>
        <v>CY28-Q1</v>
      </c>
      <c r="F255" s="52">
        <f>transactions[[#This Row],[UnWeighted]]*_xlfn.XLOOKUP(transactions[[#This Row],[OpportunityID]],Opportunities[ID],Opportunities[WinProbabilityValue])</f>
        <v>35076.26666666667</v>
      </c>
      <c r="G255" s="52">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255" s="51" t="str">
        <f>_xlfn.XLOOKUP(transactions[[#This Row],[OpportunityID]],Opportunities[ID],Opportunities[Status])</f>
        <v>Active</v>
      </c>
      <c r="I255" s="51" t="str">
        <f>_xlfn.XLOOKUP(transactions[[#This Row],[OpportunityID]],Opportunities[ID],Opportunities[Stage])</f>
        <v>Lead Qualification</v>
      </c>
      <c r="J255" s="51" t="str">
        <f>_xlfn.XLOOKUP(transactions[[#This Row],[OpportunityID]],Opportunities[ID],Opportunities[OpportunityName])</f>
        <v>Project Management Software</v>
      </c>
      <c r="K255" s="51" t="str">
        <f>_xlfn.XLOOKUP(transactions[[#This Row],[CustomerId]],Customers[Id],Customers[Customer Name])</f>
        <v>Media Communications</v>
      </c>
      <c r="L255" s="51" t="str">
        <f>_xlfn.XLOOKUP(transactions[[#This Row],[OpportunityID]],Opportunities[ID],Opportunities[OpportunityOwner])</f>
        <v>Amanda Sales</v>
      </c>
      <c r="M255" s="51" t="str">
        <f ca="1">IF((transactions[[#This Row],[TransactionDate]]-TODAY())&lt;=366,transactions[[#This Row],[FQ]],"Out-year")</f>
        <v>Out-year</v>
      </c>
      <c r="N255" s="55">
        <f>transactions[[#This Row],[UnWeighted]]/1000</f>
        <v>70.152533333333338</v>
      </c>
      <c r="O255" s="55">
        <f>transactions[[#This Row],[Weighted]]/1000</f>
        <v>35.076266666666669</v>
      </c>
      <c r="P255" s="55">
        <f>transactions[[#This Row],[$K Unweighted]]/1000</f>
        <v>7.0152533333333336E-2</v>
      </c>
      <c r="Q255" s="55" t="b">
        <f ca="1">transactions[[#This Row],[TransactionDate]]&gt;TODAY()</f>
        <v>1</v>
      </c>
    </row>
    <row r="256" spans="1:17" x14ac:dyDescent="0.25">
      <c r="A256">
        <v>17</v>
      </c>
      <c r="B256">
        <v>19</v>
      </c>
      <c r="C256" s="31">
        <v>46792</v>
      </c>
      <c r="D25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6" s="51" t="str">
        <f>"CY"&amp;RIGHT(YEAR(transactions[[#This Row],[TransactionDate]]),2)&amp;"-Q"&amp;ROUNDUP(MONTH(transactions[[#This Row],[TransactionDate]])/3, 0)</f>
        <v>CY28-Q1</v>
      </c>
      <c r="F256" s="52">
        <f>transactions[[#This Row],[UnWeighted]]*_xlfn.XLOOKUP(transactions[[#This Row],[OpportunityID]],Opportunities[ID],Opportunities[WinProbabilityValue])</f>
        <v>9267.2333333333336</v>
      </c>
      <c r="G256"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56" s="51" t="str">
        <f>_xlfn.XLOOKUP(transactions[[#This Row],[OpportunityID]],Opportunities[ID],Opportunities[Status])</f>
        <v>Active</v>
      </c>
      <c r="I256" s="51" t="str">
        <f>_xlfn.XLOOKUP(transactions[[#This Row],[OpportunityID]],Opportunities[ID],Opportunities[Stage])</f>
        <v>Negotiation</v>
      </c>
      <c r="J256" s="51" t="str">
        <f>_xlfn.XLOOKUP(transactions[[#This Row],[OpportunityID]],Opportunities[ID],Opportunities[OpportunityName])</f>
        <v>Supply Chain Optimization</v>
      </c>
      <c r="K256" s="51" t="str">
        <f>_xlfn.XLOOKUP(transactions[[#This Row],[CustomerId]],Customers[Id],Customers[Customer Name])</f>
        <v>Hotel Management Group</v>
      </c>
      <c r="L256" s="51" t="str">
        <f>_xlfn.XLOOKUP(transactions[[#This Row],[OpportunityID]],Opportunities[ID],Opportunities[OpportunityOwner])</f>
        <v>Jennifer PM</v>
      </c>
      <c r="M256" s="51" t="str">
        <f ca="1">IF((transactions[[#This Row],[TransactionDate]]-TODAY())&lt;=366,transactions[[#This Row],[FQ]],"Out-year")</f>
        <v>Out-year</v>
      </c>
      <c r="N256" s="55">
        <f>transactions[[#This Row],[UnWeighted]]/1000</f>
        <v>46.336166666666664</v>
      </c>
      <c r="O256" s="55">
        <f>transactions[[#This Row],[Weighted]]/1000</f>
        <v>9.2672333333333334</v>
      </c>
      <c r="P256" s="55">
        <f>transactions[[#This Row],[$K Unweighted]]/1000</f>
        <v>4.6336166666666664E-2</v>
      </c>
      <c r="Q256" s="55" t="b">
        <f ca="1">transactions[[#This Row],[TransactionDate]]&gt;TODAY()</f>
        <v>1</v>
      </c>
    </row>
    <row r="257" spans="1:17" x14ac:dyDescent="0.25">
      <c r="A257">
        <v>22</v>
      </c>
      <c r="B257">
        <v>11</v>
      </c>
      <c r="C257" s="31">
        <v>46794</v>
      </c>
      <c r="D25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7" s="51" t="str">
        <f>"CY"&amp;RIGHT(YEAR(transactions[[#This Row],[TransactionDate]]),2)&amp;"-Q"&amp;ROUNDUP(MONTH(transactions[[#This Row],[TransactionDate]])/3, 0)</f>
        <v>CY28-Q1</v>
      </c>
      <c r="F257" s="52">
        <f>transactions[[#This Row],[UnWeighted]]*_xlfn.XLOOKUP(transactions[[#This Row],[OpportunityID]],Opportunities[ID],Opportunities[WinProbabilityValue])</f>
        <v>26390.544230769232</v>
      </c>
      <c r="G257"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57" s="51" t="str">
        <f>_xlfn.XLOOKUP(transactions[[#This Row],[OpportunityID]],Opportunities[ID],Opportunities[Status])</f>
        <v>Active</v>
      </c>
      <c r="I257" s="51" t="str">
        <f>_xlfn.XLOOKUP(transactions[[#This Row],[OpportunityID]],Opportunities[ID],Opportunities[Stage])</f>
        <v>Nurturing</v>
      </c>
      <c r="J257" s="51" t="str">
        <f>_xlfn.XLOOKUP(transactions[[#This Row],[OpportunityID]],Opportunities[ID],Opportunities[OpportunityName])</f>
        <v>Inventory Management Solution</v>
      </c>
      <c r="K257" s="51" t="str">
        <f>_xlfn.XLOOKUP(transactions[[#This Row],[CustomerId]],Customers[Id],Customers[Customer Name])</f>
        <v>Transport Logistics</v>
      </c>
      <c r="L257" s="51" t="str">
        <f>_xlfn.XLOOKUP(transactions[[#This Row],[OpportunityID]],Opportunities[ID],Opportunities[OpportunityOwner])</f>
        <v>Sarah Director</v>
      </c>
      <c r="M257" s="51" t="str">
        <f ca="1">IF((transactions[[#This Row],[TransactionDate]]-TODAY())&lt;=366,transactions[[#This Row],[FQ]],"Out-year")</f>
        <v>Out-year</v>
      </c>
      <c r="N257" s="55">
        <f>transactions[[#This Row],[UnWeighted]]/1000</f>
        <v>29.322826923076921</v>
      </c>
      <c r="O257" s="55">
        <f>transactions[[#This Row],[Weighted]]/1000</f>
        <v>26.390544230769233</v>
      </c>
      <c r="P257" s="55">
        <f>transactions[[#This Row],[$K Unweighted]]/1000</f>
        <v>2.932282692307692E-2</v>
      </c>
      <c r="Q257" s="55" t="b">
        <f ca="1">transactions[[#This Row],[TransactionDate]]&gt;TODAY()</f>
        <v>1</v>
      </c>
    </row>
    <row r="258" spans="1:17" x14ac:dyDescent="0.25">
      <c r="A258">
        <v>28</v>
      </c>
      <c r="B258">
        <v>1</v>
      </c>
      <c r="C258" s="31">
        <v>46799</v>
      </c>
      <c r="D25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8" s="51" t="str">
        <f>"CY"&amp;RIGHT(YEAR(transactions[[#This Row],[TransactionDate]]),2)&amp;"-Q"&amp;ROUNDUP(MONTH(transactions[[#This Row],[TransactionDate]])/3, 0)</f>
        <v>CY28-Q1</v>
      </c>
      <c r="F258" s="52">
        <f>transactions[[#This Row],[UnWeighted]]*_xlfn.XLOOKUP(transactions[[#This Row],[OpportunityID]],Opportunities[ID],Opportunities[WinProbabilityValue])</f>
        <v>40447.666666666664</v>
      </c>
      <c r="G258" s="52">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258" s="51" t="str">
        <f>_xlfn.XLOOKUP(transactions[[#This Row],[OpportunityID]],Opportunities[ID],Opportunities[Status])</f>
        <v>Active</v>
      </c>
      <c r="I258" s="51" t="str">
        <f>_xlfn.XLOOKUP(transactions[[#This Row],[OpportunityID]],Opportunities[ID],Opportunities[Stage])</f>
        <v>Lead Qualification</v>
      </c>
      <c r="J258" s="51" t="str">
        <f>_xlfn.XLOOKUP(transactions[[#This Row],[OpportunityID]],Opportunities[ID],Opportunities[OpportunityName])</f>
        <v>Website Redesign Project</v>
      </c>
      <c r="K258" s="51" t="str">
        <f>_xlfn.XLOOKUP(transactions[[#This Row],[CustomerId]],Customers[Id],Customers[Customer Name])</f>
        <v>ACME Corporation</v>
      </c>
      <c r="L258" s="51" t="str">
        <f>_xlfn.XLOOKUP(transactions[[#This Row],[OpportunityID]],Opportunities[ID],Opportunities[OpportunityOwner])</f>
        <v>Lisa Engineer</v>
      </c>
      <c r="M258" s="51" t="str">
        <f ca="1">IF((transactions[[#This Row],[TransactionDate]]-TODAY())&lt;=366,transactions[[#This Row],[FQ]],"Out-year")</f>
        <v>Out-year</v>
      </c>
      <c r="N258" s="55">
        <f>transactions[[#This Row],[UnWeighted]]/1000</f>
        <v>80.895333333333326</v>
      </c>
      <c r="O258" s="55">
        <f>transactions[[#This Row],[Weighted]]/1000</f>
        <v>40.447666666666663</v>
      </c>
      <c r="P258" s="55">
        <f>transactions[[#This Row],[$K Unweighted]]/1000</f>
        <v>8.0895333333333333E-2</v>
      </c>
      <c r="Q258" s="55" t="b">
        <f ca="1">transactions[[#This Row],[TransactionDate]]&gt;TODAY()</f>
        <v>1</v>
      </c>
    </row>
    <row r="259" spans="1:17" x14ac:dyDescent="0.25">
      <c r="A259">
        <v>27</v>
      </c>
      <c r="B259">
        <v>2</v>
      </c>
      <c r="C259" s="31">
        <v>46800</v>
      </c>
      <c r="D25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9" s="51" t="str">
        <f>"CY"&amp;RIGHT(YEAR(transactions[[#This Row],[TransactionDate]]),2)&amp;"-Q"&amp;ROUNDUP(MONTH(transactions[[#This Row],[TransactionDate]])/3, 0)</f>
        <v>CY28-Q1</v>
      </c>
      <c r="F259" s="52">
        <f>transactions[[#This Row],[UnWeighted]]*_xlfn.XLOOKUP(transactions[[#This Row],[OpportunityID]],Opportunities[ID],Opportunities[WinProbabilityValue])</f>
        <v>46287.333333333336</v>
      </c>
      <c r="G259"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259" s="51" t="str">
        <f>_xlfn.XLOOKUP(transactions[[#This Row],[OpportunityID]],Opportunities[ID],Opportunities[Status])</f>
        <v>Active</v>
      </c>
      <c r="I259" s="51" t="str">
        <f>_xlfn.XLOOKUP(transactions[[#This Row],[OpportunityID]],Opportunities[ID],Opportunities[Stage])</f>
        <v>Lead Qualification</v>
      </c>
      <c r="J259" s="51" t="str">
        <f>_xlfn.XLOOKUP(transactions[[#This Row],[OpportunityID]],Opportunities[ID],Opportunities[OpportunityName])</f>
        <v>Backup &amp; Recovery System</v>
      </c>
      <c r="K259" s="51" t="str">
        <f>_xlfn.XLOOKUP(transactions[[#This Row],[CustomerId]],Customers[Id],Customers[Customer Name])</f>
        <v>Global Industries</v>
      </c>
      <c r="L259" s="51" t="str">
        <f>_xlfn.XLOOKUP(transactions[[#This Row],[OpportunityID]],Opportunities[ID],Opportunities[OpportunityOwner])</f>
        <v>Amanda Sales</v>
      </c>
      <c r="M259" s="51" t="str">
        <f ca="1">IF((transactions[[#This Row],[TransactionDate]]-TODAY())&lt;=366,transactions[[#This Row],[FQ]],"Out-year")</f>
        <v>Out-year</v>
      </c>
      <c r="N259" s="55">
        <f>transactions[[#This Row],[UnWeighted]]/1000</f>
        <v>92.574666666666673</v>
      </c>
      <c r="O259" s="55">
        <f>transactions[[#This Row],[Weighted]]/1000</f>
        <v>46.287333333333336</v>
      </c>
      <c r="P259" s="55">
        <f>transactions[[#This Row],[$K Unweighted]]/1000</f>
        <v>9.2574666666666666E-2</v>
      </c>
      <c r="Q259" s="55" t="b">
        <f ca="1">transactions[[#This Row],[TransactionDate]]&gt;TODAY()</f>
        <v>1</v>
      </c>
    </row>
    <row r="260" spans="1:17" x14ac:dyDescent="0.25">
      <c r="A260">
        <v>2</v>
      </c>
      <c r="B260">
        <v>10</v>
      </c>
      <c r="C260" s="31">
        <v>46800</v>
      </c>
      <c r="D26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0" s="51" t="str">
        <f>"CY"&amp;RIGHT(YEAR(transactions[[#This Row],[TransactionDate]]),2)&amp;"-Q"&amp;ROUNDUP(MONTH(transactions[[#This Row],[TransactionDate]])/3, 0)</f>
        <v>CY28-Q1</v>
      </c>
      <c r="F260" s="52">
        <f>transactions[[#This Row],[UnWeighted]]*_xlfn.XLOOKUP(transactions[[#This Row],[OpportunityID]],Opportunities[ID],Opportunities[WinProbabilityValue])</f>
        <v>20720.20930232558</v>
      </c>
      <c r="G260"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60" s="51" t="str">
        <f>_xlfn.XLOOKUP(transactions[[#This Row],[OpportunityID]],Opportunities[ID],Opportunities[Status])</f>
        <v>Active</v>
      </c>
      <c r="I260" s="51" t="str">
        <f>_xlfn.XLOOKUP(transactions[[#This Row],[OpportunityID]],Opportunities[ID],Opportunities[Stage])</f>
        <v>Proposal</v>
      </c>
      <c r="J260" s="51" t="str">
        <f>_xlfn.XLOOKUP(transactions[[#This Row],[OpportunityID]],Opportunities[ID],Opportunities[OpportunityName])</f>
        <v>Cloud Migration Initiative</v>
      </c>
      <c r="K260" s="51" t="str">
        <f>_xlfn.XLOOKUP(transactions[[#This Row],[CustomerId]],Customers[Id],Customers[Customer Name])</f>
        <v>Education First</v>
      </c>
      <c r="L260" s="51" t="str">
        <f>_xlfn.XLOOKUP(transactions[[#This Row],[OpportunityID]],Opportunities[ID],Opportunities[OpportunityOwner])</f>
        <v>Robert Analyst</v>
      </c>
      <c r="M260" s="51" t="str">
        <f ca="1">IF((transactions[[#This Row],[TransactionDate]]-TODAY())&lt;=366,transactions[[#This Row],[FQ]],"Out-year")</f>
        <v>Out-year</v>
      </c>
      <c r="N260" s="55">
        <f>transactions[[#This Row],[UnWeighted]]/1000</f>
        <v>41.440418604651157</v>
      </c>
      <c r="O260" s="55">
        <f>transactions[[#This Row],[Weighted]]/1000</f>
        <v>20.720209302325578</v>
      </c>
      <c r="P260" s="55">
        <f>transactions[[#This Row],[$K Unweighted]]/1000</f>
        <v>4.1440418604651155E-2</v>
      </c>
      <c r="Q260" s="55" t="b">
        <f ca="1">transactions[[#This Row],[TransactionDate]]&gt;TODAY()</f>
        <v>1</v>
      </c>
    </row>
    <row r="261" spans="1:17" x14ac:dyDescent="0.25">
      <c r="A261">
        <v>13</v>
      </c>
      <c r="B261">
        <v>2</v>
      </c>
      <c r="C261" s="31">
        <v>46805</v>
      </c>
      <c r="D26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1" s="51" t="str">
        <f>"CY"&amp;RIGHT(YEAR(transactions[[#This Row],[TransactionDate]]),2)&amp;"-Q"&amp;ROUNDUP(MONTH(transactions[[#This Row],[TransactionDate]])/3, 0)</f>
        <v>CY28-Q1</v>
      </c>
      <c r="F261" s="52">
        <f>transactions[[#This Row],[UnWeighted]]*_xlfn.XLOOKUP(transactions[[#This Row],[OpportunityID]],Opportunities[ID],Opportunities[WinProbabilityValue])</f>
        <v>12618.744897959185</v>
      </c>
      <c r="G261"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61" s="51" t="str">
        <f>_xlfn.XLOOKUP(transactions[[#This Row],[OpportunityID]],Opportunities[ID],Opportunities[Status])</f>
        <v>Active</v>
      </c>
      <c r="I261" s="51" t="str">
        <f>_xlfn.XLOOKUP(transactions[[#This Row],[OpportunityID]],Opportunities[ID],Opportunities[Stage])</f>
        <v>Negotiation</v>
      </c>
      <c r="J261" s="51" t="str">
        <f>_xlfn.XLOOKUP(transactions[[#This Row],[OpportunityID]],Opportunities[ID],Opportunities[OpportunityName])</f>
        <v>E-commerce Platform</v>
      </c>
      <c r="K261" s="51" t="str">
        <f>_xlfn.XLOOKUP(transactions[[#This Row],[CustomerId]],Customers[Id],Customers[Customer Name])</f>
        <v>Global Industries</v>
      </c>
      <c r="L261" s="51" t="str">
        <f>_xlfn.XLOOKUP(transactions[[#This Row],[OpportunityID]],Opportunities[ID],Opportunities[OpportunityOwner])</f>
        <v>Lisa Engineer</v>
      </c>
      <c r="M261" s="51" t="str">
        <f ca="1">IF((transactions[[#This Row],[TransactionDate]]-TODAY())&lt;=366,transactions[[#This Row],[FQ]],"Out-year")</f>
        <v>Out-year</v>
      </c>
      <c r="N261" s="55">
        <f>transactions[[#This Row],[UnWeighted]]/1000</f>
        <v>25.237489795918368</v>
      </c>
      <c r="O261" s="55">
        <f>transactions[[#This Row],[Weighted]]/1000</f>
        <v>12.618744897959184</v>
      </c>
      <c r="P261" s="55">
        <f>transactions[[#This Row],[$K Unweighted]]/1000</f>
        <v>2.5237489795918368E-2</v>
      </c>
      <c r="Q261" s="55" t="b">
        <f ca="1">transactions[[#This Row],[TransactionDate]]&gt;TODAY()</f>
        <v>1</v>
      </c>
    </row>
    <row r="262" spans="1:17" x14ac:dyDescent="0.25">
      <c r="A262">
        <v>5</v>
      </c>
      <c r="B262">
        <v>12</v>
      </c>
      <c r="C262" s="31">
        <v>46806</v>
      </c>
      <c r="D26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2" s="51" t="str">
        <f>"CY"&amp;RIGHT(YEAR(transactions[[#This Row],[TransactionDate]]),2)&amp;"-Q"&amp;ROUNDUP(MONTH(transactions[[#This Row],[TransactionDate]])/3, 0)</f>
        <v>CY28-Q1</v>
      </c>
      <c r="F262" s="52">
        <f>transactions[[#This Row],[UnWeighted]]*_xlfn.XLOOKUP(transactions[[#This Row],[OpportunityID]],Opportunities[ID],Opportunities[WinProbabilityValue])</f>
        <v>104043.5</v>
      </c>
      <c r="G262" s="52">
        <f>_xlfn.XLOOKUP(transactions[[#This Row],[OpportunityID]],Opportunities[ID],Opportunities[Amount])/IF(_xlfn.XLOOKUP(transactions[[#This Row],[OpportunityID]],Opportunities[ID],Opportunities[Recurrences])=0,1,_xlfn.XLOOKUP(transactions[[#This Row],[OpportunityID]],Opportunities[ID],Opportunities[Recurrences]))</f>
        <v>208087</v>
      </c>
      <c r="H262" s="51" t="str">
        <f>_xlfn.XLOOKUP(transactions[[#This Row],[OpportunityID]],Opportunities[ID],Opportunities[Status])</f>
        <v>Active</v>
      </c>
      <c r="I262" s="51" t="str">
        <f>_xlfn.XLOOKUP(transactions[[#This Row],[OpportunityID]],Opportunities[ID],Opportunities[Stage])</f>
        <v>Proposal</v>
      </c>
      <c r="J262" s="51" t="str">
        <f>_xlfn.XLOOKUP(transactions[[#This Row],[OpportunityID]],Opportunities[ID],Opportunities[OpportunityName])</f>
        <v>Healthcare Data Analytics Platform</v>
      </c>
      <c r="K262" s="51" t="str">
        <f>_xlfn.XLOOKUP(transactions[[#This Row],[CustomerId]],Customers[Id],Customers[Customer Name])</f>
        <v>Food Service Partners</v>
      </c>
      <c r="L262" s="51" t="str">
        <f>_xlfn.XLOOKUP(transactions[[#This Row],[OpportunityID]],Opportunities[ID],Opportunities[OpportunityOwner])</f>
        <v>Amanda Sales</v>
      </c>
      <c r="M262" s="51" t="str">
        <f ca="1">IF((transactions[[#This Row],[TransactionDate]]-TODAY())&lt;=366,transactions[[#This Row],[FQ]],"Out-year")</f>
        <v>Out-year</v>
      </c>
      <c r="N262" s="55">
        <f>transactions[[#This Row],[UnWeighted]]/1000</f>
        <v>208.08699999999999</v>
      </c>
      <c r="O262" s="55">
        <f>transactions[[#This Row],[Weighted]]/1000</f>
        <v>104.04349999999999</v>
      </c>
      <c r="P262" s="55">
        <f>transactions[[#This Row],[$K Unweighted]]/1000</f>
        <v>0.20808699999999999</v>
      </c>
      <c r="Q262" s="55" t="b">
        <f ca="1">transactions[[#This Row],[TransactionDate]]&gt;TODAY()</f>
        <v>1</v>
      </c>
    </row>
    <row r="263" spans="1:17" x14ac:dyDescent="0.25">
      <c r="A263">
        <v>26</v>
      </c>
      <c r="B263">
        <v>1</v>
      </c>
      <c r="C263" s="31">
        <v>46813</v>
      </c>
      <c r="D26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3" s="51" t="str">
        <f>"CY"&amp;RIGHT(YEAR(transactions[[#This Row],[TransactionDate]]),2)&amp;"-Q"&amp;ROUNDUP(MONTH(transactions[[#This Row],[TransactionDate]])/3, 0)</f>
        <v>CY28-Q1</v>
      </c>
      <c r="F263" s="52">
        <f>transactions[[#This Row],[UnWeighted]]*_xlfn.XLOOKUP(transactions[[#This Row],[OpportunityID]],Opportunities[ID],Opportunities[WinProbabilityValue])</f>
        <v>11339.638888888889</v>
      </c>
      <c r="G263"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63" s="51" t="str">
        <f>_xlfn.XLOOKUP(transactions[[#This Row],[OpportunityID]],Opportunities[ID],Opportunities[Status])</f>
        <v>Active</v>
      </c>
      <c r="I263" s="51" t="str">
        <f>_xlfn.XLOOKUP(transactions[[#This Row],[OpportunityID]],Opportunities[ID],Opportunities[Stage])</f>
        <v>Negotiation</v>
      </c>
      <c r="J263" s="51" t="str">
        <f>_xlfn.XLOOKUP(transactions[[#This Row],[OpportunityID]],Opportunities[ID],Opportunities[OpportunityName])</f>
        <v>Video Conferencing Solution</v>
      </c>
      <c r="K263" s="51" t="str">
        <f>_xlfn.XLOOKUP(transactions[[#This Row],[CustomerId]],Customers[Id],Customers[Customer Name])</f>
        <v>ACME Corporation</v>
      </c>
      <c r="L263" s="51" t="str">
        <f>_xlfn.XLOOKUP(transactions[[#This Row],[OpportunityID]],Opportunities[ID],Opportunities[OpportunityOwner])</f>
        <v>Mike Consultant</v>
      </c>
      <c r="M263" s="51" t="str">
        <f ca="1">IF((transactions[[#This Row],[TransactionDate]]-TODAY())&lt;=366,transactions[[#This Row],[FQ]],"Out-year")</f>
        <v>Out-year</v>
      </c>
      <c r="N263" s="55">
        <f>transactions[[#This Row],[UnWeighted]]/1000</f>
        <v>22.679277777777777</v>
      </c>
      <c r="O263" s="55">
        <f>transactions[[#This Row],[Weighted]]/1000</f>
        <v>11.339638888888889</v>
      </c>
      <c r="P263" s="55">
        <f>transactions[[#This Row],[$K Unweighted]]/1000</f>
        <v>2.2679277777777777E-2</v>
      </c>
      <c r="Q263" s="55" t="b">
        <f ca="1">transactions[[#This Row],[TransactionDate]]&gt;TODAY()</f>
        <v>1</v>
      </c>
    </row>
    <row r="264" spans="1:17" x14ac:dyDescent="0.25">
      <c r="A264">
        <v>39</v>
      </c>
      <c r="B264">
        <v>3</v>
      </c>
      <c r="C264" s="31">
        <v>46815</v>
      </c>
      <c r="D26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4" s="51" t="str">
        <f>"CY"&amp;RIGHT(YEAR(transactions[[#This Row],[TransactionDate]]),2)&amp;"-Q"&amp;ROUNDUP(MONTH(transactions[[#This Row],[TransactionDate]])/3, 0)</f>
        <v>CY28-Q1</v>
      </c>
      <c r="F264" s="52">
        <f>transactions[[#This Row],[UnWeighted]]*_xlfn.XLOOKUP(transactions[[#This Row],[OpportunityID]],Opportunities[ID],Opportunities[WinProbabilityValue])</f>
        <v>20929.153846153848</v>
      </c>
      <c r="G264"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64" s="51" t="str">
        <f>_xlfn.XLOOKUP(transactions[[#This Row],[OpportunityID]],Opportunities[ID],Opportunities[Status])</f>
        <v>Active</v>
      </c>
      <c r="I264" s="51" t="str">
        <f>_xlfn.XLOOKUP(transactions[[#This Row],[OpportunityID]],Opportunities[ID],Opportunities[Stage])</f>
        <v>Project Execution</v>
      </c>
      <c r="J264" s="51" t="str">
        <f>_xlfn.XLOOKUP(transactions[[#This Row],[OpportunityID]],Opportunities[ID],Opportunities[OpportunityName])</f>
        <v>API Development Project</v>
      </c>
      <c r="K264" s="51" t="str">
        <f>_xlfn.XLOOKUP(transactions[[#This Row],[CustomerId]],Customers[Id],Customers[Customer Name])</f>
        <v>Tech Solutions Inc</v>
      </c>
      <c r="L264" s="51" t="str">
        <f>_xlfn.XLOOKUP(transactions[[#This Row],[OpportunityID]],Opportunities[ID],Opportunities[OpportunityOwner])</f>
        <v>Jennifer PM</v>
      </c>
      <c r="M264" s="51" t="str">
        <f ca="1">IF((transactions[[#This Row],[TransactionDate]]-TODAY())&lt;=366,transactions[[#This Row],[FQ]],"Out-year")</f>
        <v>Out-year</v>
      </c>
      <c r="N264" s="55">
        <f>transactions[[#This Row],[UnWeighted]]/1000</f>
        <v>41.858307692307697</v>
      </c>
      <c r="O264" s="55">
        <f>transactions[[#This Row],[Weighted]]/1000</f>
        <v>20.929153846153849</v>
      </c>
      <c r="P264" s="55">
        <f>transactions[[#This Row],[$K Unweighted]]/1000</f>
        <v>4.1858307692307695E-2</v>
      </c>
      <c r="Q264" s="55" t="b">
        <f ca="1">transactions[[#This Row],[TransactionDate]]&gt;TODAY()</f>
        <v>1</v>
      </c>
    </row>
    <row r="265" spans="1:17" x14ac:dyDescent="0.25">
      <c r="A265">
        <v>24</v>
      </c>
      <c r="B265">
        <v>27</v>
      </c>
      <c r="C265" s="31">
        <v>46818</v>
      </c>
      <c r="D26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5" s="51" t="str">
        <f>"CY"&amp;RIGHT(YEAR(transactions[[#This Row],[TransactionDate]]),2)&amp;"-Q"&amp;ROUNDUP(MONTH(transactions[[#This Row],[TransactionDate]])/3, 0)</f>
        <v>CY28-Q1</v>
      </c>
      <c r="F265" s="52">
        <f>transactions[[#This Row],[UnWeighted]]*_xlfn.XLOOKUP(transactions[[#This Row],[OpportunityID]],Opportunities[ID],Opportunities[WinProbabilityValue])</f>
        <v>33162.73333333333</v>
      </c>
      <c r="G265" s="52">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265" s="51" t="str">
        <f>_xlfn.XLOOKUP(transactions[[#This Row],[OpportunityID]],Opportunities[ID],Opportunities[Status])</f>
        <v>Active</v>
      </c>
      <c r="I265" s="51" t="str">
        <f>_xlfn.XLOOKUP(transactions[[#This Row],[OpportunityID]],Opportunities[ID],Opportunities[Stage])</f>
        <v>Nurturing</v>
      </c>
      <c r="J265" s="51" t="str">
        <f>_xlfn.XLOOKUP(transactions[[#This Row],[OpportunityID]],Opportunities[ID],Opportunities[OpportunityName])</f>
        <v>Compliance Management Tool</v>
      </c>
      <c r="K265" s="51" t="str">
        <f>_xlfn.XLOOKUP(transactions[[#This Row],[CustomerId]],Customers[Id],Customers[Customer Name])</f>
        <v>Mining Operations</v>
      </c>
      <c r="L265" s="51" t="str">
        <f>_xlfn.XLOOKUP(transactions[[#This Row],[OpportunityID]],Opportunities[ID],Opportunities[OpportunityOwner])</f>
        <v>Dr. Tech Advisor</v>
      </c>
      <c r="M265" s="51" t="str">
        <f ca="1">IF((transactions[[#This Row],[TransactionDate]]-TODAY())&lt;=366,transactions[[#This Row],[FQ]],"Out-year")</f>
        <v>Out-year</v>
      </c>
      <c r="N265" s="55">
        <f>transactions[[#This Row],[UnWeighted]]/1000</f>
        <v>165.81366666666665</v>
      </c>
      <c r="O265" s="55">
        <f>transactions[[#This Row],[Weighted]]/1000</f>
        <v>33.162733333333328</v>
      </c>
      <c r="P265" s="55">
        <f>transactions[[#This Row],[$K Unweighted]]/1000</f>
        <v>0.16581366666666664</v>
      </c>
      <c r="Q265" s="55" t="b">
        <f ca="1">transactions[[#This Row],[TransactionDate]]&gt;TODAY()</f>
        <v>1</v>
      </c>
    </row>
    <row r="266" spans="1:17" x14ac:dyDescent="0.25">
      <c r="A266">
        <v>36</v>
      </c>
      <c r="B266">
        <v>1</v>
      </c>
      <c r="C266" s="31">
        <v>46818</v>
      </c>
      <c r="D26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6" s="51" t="str">
        <f>"CY"&amp;RIGHT(YEAR(transactions[[#This Row],[TransactionDate]]),2)&amp;"-Q"&amp;ROUNDUP(MONTH(transactions[[#This Row],[TransactionDate]])/3, 0)</f>
        <v>CY28-Q1</v>
      </c>
      <c r="F266" s="52">
        <f>transactions[[#This Row],[UnWeighted]]*_xlfn.XLOOKUP(transactions[[#This Row],[OpportunityID]],Opportunities[ID],Opportunities[WinProbabilityValue])</f>
        <v>24983.895833333332</v>
      </c>
      <c r="G266"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66" s="51" t="str">
        <f>_xlfn.XLOOKUP(transactions[[#This Row],[OpportunityID]],Opportunities[ID],Opportunities[Status])</f>
        <v>Active</v>
      </c>
      <c r="I266" s="51" t="str">
        <f>_xlfn.XLOOKUP(transactions[[#This Row],[OpportunityID]],Opportunities[ID],Opportunities[Stage])</f>
        <v>Lead Qualification</v>
      </c>
      <c r="J266" s="51" t="str">
        <f>_xlfn.XLOOKUP(transactions[[#This Row],[OpportunityID]],Opportunities[ID],Opportunities[OpportunityName])</f>
        <v>Integration Services Project</v>
      </c>
      <c r="K266" s="51" t="str">
        <f>_xlfn.XLOOKUP(transactions[[#This Row],[CustomerId]],Customers[Id],Customers[Customer Name])</f>
        <v>ACME Corporation</v>
      </c>
      <c r="L266" s="51" t="str">
        <f>_xlfn.XLOOKUP(transactions[[#This Row],[OpportunityID]],Opportunities[ID],Opportunities[OpportunityOwner])</f>
        <v>Amanda Sales</v>
      </c>
      <c r="M266" s="51" t="str">
        <f ca="1">IF((transactions[[#This Row],[TransactionDate]]-TODAY())&lt;=366,transactions[[#This Row],[FQ]],"Out-year")</f>
        <v>Out-year</v>
      </c>
      <c r="N266" s="55">
        <f>transactions[[#This Row],[UnWeighted]]/1000</f>
        <v>49.967791666666663</v>
      </c>
      <c r="O266" s="55">
        <f>transactions[[#This Row],[Weighted]]/1000</f>
        <v>24.983895833333332</v>
      </c>
      <c r="P266" s="55">
        <f>transactions[[#This Row],[$K Unweighted]]/1000</f>
        <v>4.9967791666666664E-2</v>
      </c>
      <c r="Q266" s="55" t="b">
        <f ca="1">transactions[[#This Row],[TransactionDate]]&gt;TODAY()</f>
        <v>1</v>
      </c>
    </row>
    <row r="267" spans="1:17" x14ac:dyDescent="0.25">
      <c r="A267">
        <v>15</v>
      </c>
      <c r="B267">
        <v>24</v>
      </c>
      <c r="C267" s="31">
        <v>46819</v>
      </c>
      <c r="D26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7" s="51" t="str">
        <f>"CY"&amp;RIGHT(YEAR(transactions[[#This Row],[TransactionDate]]),2)&amp;"-Q"&amp;ROUNDUP(MONTH(transactions[[#This Row],[TransactionDate]])/3, 0)</f>
        <v>CY28-Q1</v>
      </c>
      <c r="F267" s="52">
        <f>transactions[[#This Row],[UnWeighted]]*_xlfn.XLOOKUP(transactions[[#This Row],[OpportunityID]],Opportunities[ID],Opportunities[WinProbabilityValue])</f>
        <v>29217.197872340425</v>
      </c>
      <c r="G267"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67" s="51" t="str">
        <f>_xlfn.XLOOKUP(transactions[[#This Row],[OpportunityID]],Opportunities[ID],Opportunities[Status])</f>
        <v>Active</v>
      </c>
      <c r="I267" s="51" t="str">
        <f>_xlfn.XLOOKUP(transactions[[#This Row],[OpportunityID]],Opportunities[ID],Opportunities[Stage])</f>
        <v>Project Execution</v>
      </c>
      <c r="J267" s="51" t="str">
        <f>_xlfn.XLOOKUP(transactions[[#This Row],[OpportunityID]],Opportunities[ID],Opportunities[OpportunityName])</f>
        <v>Training &amp; Development Program</v>
      </c>
      <c r="K267" s="51" t="str">
        <f>_xlfn.XLOOKUP(transactions[[#This Row],[CustomerId]],Customers[Id],Customers[Customer Name])</f>
        <v>Security Solutions</v>
      </c>
      <c r="L267" s="51" t="str">
        <f>_xlfn.XLOOKUP(transactions[[#This Row],[OpportunityID]],Opportunities[ID],Opportunities[OpportunityOwner])</f>
        <v>Sarah Director</v>
      </c>
      <c r="M267" s="51" t="str">
        <f ca="1">IF((transactions[[#This Row],[TransactionDate]]-TODAY())&lt;=366,transactions[[#This Row],[FQ]],"Out-year")</f>
        <v>Out-year</v>
      </c>
      <c r="N267" s="55">
        <f>transactions[[#This Row],[UnWeighted]]/1000</f>
        <v>32.46355319148936</v>
      </c>
      <c r="O267" s="55">
        <f>transactions[[#This Row],[Weighted]]/1000</f>
        <v>29.217197872340424</v>
      </c>
      <c r="P267" s="55">
        <f>transactions[[#This Row],[$K Unweighted]]/1000</f>
        <v>3.2463553191489358E-2</v>
      </c>
      <c r="Q267" s="55" t="b">
        <f ca="1">transactions[[#This Row],[TransactionDate]]&gt;TODAY()</f>
        <v>1</v>
      </c>
    </row>
    <row r="268" spans="1:17" x14ac:dyDescent="0.25">
      <c r="A268">
        <v>17</v>
      </c>
      <c r="B268">
        <v>19</v>
      </c>
      <c r="C268" s="31">
        <v>46821</v>
      </c>
      <c r="D26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8" s="51" t="str">
        <f>"CY"&amp;RIGHT(YEAR(transactions[[#This Row],[TransactionDate]]),2)&amp;"-Q"&amp;ROUNDUP(MONTH(transactions[[#This Row],[TransactionDate]])/3, 0)</f>
        <v>CY28-Q1</v>
      </c>
      <c r="F268" s="52">
        <f>transactions[[#This Row],[UnWeighted]]*_xlfn.XLOOKUP(transactions[[#This Row],[OpportunityID]],Opportunities[ID],Opportunities[WinProbabilityValue])</f>
        <v>9267.2333333333336</v>
      </c>
      <c r="G268"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68" s="51" t="str">
        <f>_xlfn.XLOOKUP(transactions[[#This Row],[OpportunityID]],Opportunities[ID],Opportunities[Status])</f>
        <v>Active</v>
      </c>
      <c r="I268" s="51" t="str">
        <f>_xlfn.XLOOKUP(transactions[[#This Row],[OpportunityID]],Opportunities[ID],Opportunities[Stage])</f>
        <v>Negotiation</v>
      </c>
      <c r="J268" s="51" t="str">
        <f>_xlfn.XLOOKUP(transactions[[#This Row],[OpportunityID]],Opportunities[ID],Opportunities[OpportunityName])</f>
        <v>Supply Chain Optimization</v>
      </c>
      <c r="K268" s="51" t="str">
        <f>_xlfn.XLOOKUP(transactions[[#This Row],[CustomerId]],Customers[Id],Customers[Customer Name])</f>
        <v>Hotel Management Group</v>
      </c>
      <c r="L268" s="51" t="str">
        <f>_xlfn.XLOOKUP(transactions[[#This Row],[OpportunityID]],Opportunities[ID],Opportunities[OpportunityOwner])</f>
        <v>Jennifer PM</v>
      </c>
      <c r="M268" s="51" t="str">
        <f ca="1">IF((transactions[[#This Row],[TransactionDate]]-TODAY())&lt;=366,transactions[[#This Row],[FQ]],"Out-year")</f>
        <v>Out-year</v>
      </c>
      <c r="N268" s="55">
        <f>transactions[[#This Row],[UnWeighted]]/1000</f>
        <v>46.336166666666664</v>
      </c>
      <c r="O268" s="55">
        <f>transactions[[#This Row],[Weighted]]/1000</f>
        <v>9.2672333333333334</v>
      </c>
      <c r="P268" s="55">
        <f>transactions[[#This Row],[$K Unweighted]]/1000</f>
        <v>4.6336166666666664E-2</v>
      </c>
      <c r="Q268" s="55" t="b">
        <f ca="1">transactions[[#This Row],[TransactionDate]]&gt;TODAY()</f>
        <v>1</v>
      </c>
    </row>
    <row r="269" spans="1:17" x14ac:dyDescent="0.25">
      <c r="A269">
        <v>22</v>
      </c>
      <c r="B269">
        <v>11</v>
      </c>
      <c r="C269" s="31">
        <v>46823</v>
      </c>
      <c r="D26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9" s="51" t="str">
        <f>"CY"&amp;RIGHT(YEAR(transactions[[#This Row],[TransactionDate]]),2)&amp;"-Q"&amp;ROUNDUP(MONTH(transactions[[#This Row],[TransactionDate]])/3, 0)</f>
        <v>CY28-Q1</v>
      </c>
      <c r="F269" s="52">
        <f>transactions[[#This Row],[UnWeighted]]*_xlfn.XLOOKUP(transactions[[#This Row],[OpportunityID]],Opportunities[ID],Opportunities[WinProbabilityValue])</f>
        <v>26390.544230769232</v>
      </c>
      <c r="G269"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69" s="51" t="str">
        <f>_xlfn.XLOOKUP(transactions[[#This Row],[OpportunityID]],Opportunities[ID],Opportunities[Status])</f>
        <v>Active</v>
      </c>
      <c r="I269" s="51" t="str">
        <f>_xlfn.XLOOKUP(transactions[[#This Row],[OpportunityID]],Opportunities[ID],Opportunities[Stage])</f>
        <v>Nurturing</v>
      </c>
      <c r="J269" s="51" t="str">
        <f>_xlfn.XLOOKUP(transactions[[#This Row],[OpportunityID]],Opportunities[ID],Opportunities[OpportunityName])</f>
        <v>Inventory Management Solution</v>
      </c>
      <c r="K269" s="51" t="str">
        <f>_xlfn.XLOOKUP(transactions[[#This Row],[CustomerId]],Customers[Id],Customers[Customer Name])</f>
        <v>Transport Logistics</v>
      </c>
      <c r="L269" s="51" t="str">
        <f>_xlfn.XLOOKUP(transactions[[#This Row],[OpportunityID]],Opportunities[ID],Opportunities[OpportunityOwner])</f>
        <v>Sarah Director</v>
      </c>
      <c r="M269" s="51" t="str">
        <f ca="1">IF((transactions[[#This Row],[TransactionDate]]-TODAY())&lt;=366,transactions[[#This Row],[FQ]],"Out-year")</f>
        <v>Out-year</v>
      </c>
      <c r="N269" s="55">
        <f>transactions[[#This Row],[UnWeighted]]/1000</f>
        <v>29.322826923076921</v>
      </c>
      <c r="O269" s="55">
        <f>transactions[[#This Row],[Weighted]]/1000</f>
        <v>26.390544230769233</v>
      </c>
      <c r="P269" s="55">
        <f>transactions[[#This Row],[$K Unweighted]]/1000</f>
        <v>2.932282692307692E-2</v>
      </c>
      <c r="Q269" s="55" t="b">
        <f ca="1">transactions[[#This Row],[TransactionDate]]&gt;TODAY()</f>
        <v>1</v>
      </c>
    </row>
    <row r="270" spans="1:17" x14ac:dyDescent="0.25">
      <c r="A270">
        <v>2</v>
      </c>
      <c r="B270">
        <v>10</v>
      </c>
      <c r="C270" s="31">
        <v>46829</v>
      </c>
      <c r="D27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0" s="51" t="str">
        <f>"CY"&amp;RIGHT(YEAR(transactions[[#This Row],[TransactionDate]]),2)&amp;"-Q"&amp;ROUNDUP(MONTH(transactions[[#This Row],[TransactionDate]])/3, 0)</f>
        <v>CY28-Q1</v>
      </c>
      <c r="F270" s="52">
        <f>transactions[[#This Row],[UnWeighted]]*_xlfn.XLOOKUP(transactions[[#This Row],[OpportunityID]],Opportunities[ID],Opportunities[WinProbabilityValue])</f>
        <v>20720.20930232558</v>
      </c>
      <c r="G270"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70" s="51" t="str">
        <f>_xlfn.XLOOKUP(transactions[[#This Row],[OpportunityID]],Opportunities[ID],Opportunities[Status])</f>
        <v>Active</v>
      </c>
      <c r="I270" s="51" t="str">
        <f>_xlfn.XLOOKUP(transactions[[#This Row],[OpportunityID]],Opportunities[ID],Opportunities[Stage])</f>
        <v>Proposal</v>
      </c>
      <c r="J270" s="51" t="str">
        <f>_xlfn.XLOOKUP(transactions[[#This Row],[OpportunityID]],Opportunities[ID],Opportunities[OpportunityName])</f>
        <v>Cloud Migration Initiative</v>
      </c>
      <c r="K270" s="51" t="str">
        <f>_xlfn.XLOOKUP(transactions[[#This Row],[CustomerId]],Customers[Id],Customers[Customer Name])</f>
        <v>Education First</v>
      </c>
      <c r="L270" s="51" t="str">
        <f>_xlfn.XLOOKUP(transactions[[#This Row],[OpportunityID]],Opportunities[ID],Opportunities[OpportunityOwner])</f>
        <v>Robert Analyst</v>
      </c>
      <c r="M270" s="51" t="str">
        <f ca="1">IF((transactions[[#This Row],[TransactionDate]]-TODAY())&lt;=366,transactions[[#This Row],[FQ]],"Out-year")</f>
        <v>Out-year</v>
      </c>
      <c r="N270" s="55">
        <f>transactions[[#This Row],[UnWeighted]]/1000</f>
        <v>41.440418604651157</v>
      </c>
      <c r="O270" s="55">
        <f>transactions[[#This Row],[Weighted]]/1000</f>
        <v>20.720209302325578</v>
      </c>
      <c r="P270" s="55">
        <f>transactions[[#This Row],[$K Unweighted]]/1000</f>
        <v>4.1440418604651155E-2</v>
      </c>
      <c r="Q270" s="55" t="b">
        <f ca="1">transactions[[#This Row],[TransactionDate]]&gt;TODAY()</f>
        <v>1</v>
      </c>
    </row>
    <row r="271" spans="1:17" x14ac:dyDescent="0.25">
      <c r="A271">
        <v>13</v>
      </c>
      <c r="B271">
        <v>2</v>
      </c>
      <c r="C271" s="31">
        <v>46834</v>
      </c>
      <c r="D27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1" s="51" t="str">
        <f>"CY"&amp;RIGHT(YEAR(transactions[[#This Row],[TransactionDate]]),2)&amp;"-Q"&amp;ROUNDUP(MONTH(transactions[[#This Row],[TransactionDate]])/3, 0)</f>
        <v>CY28-Q1</v>
      </c>
      <c r="F271" s="52">
        <f>transactions[[#This Row],[UnWeighted]]*_xlfn.XLOOKUP(transactions[[#This Row],[OpportunityID]],Opportunities[ID],Opportunities[WinProbabilityValue])</f>
        <v>12618.744897959185</v>
      </c>
      <c r="G271"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71" s="51" t="str">
        <f>_xlfn.XLOOKUP(transactions[[#This Row],[OpportunityID]],Opportunities[ID],Opportunities[Status])</f>
        <v>Active</v>
      </c>
      <c r="I271" s="51" t="str">
        <f>_xlfn.XLOOKUP(transactions[[#This Row],[OpportunityID]],Opportunities[ID],Opportunities[Stage])</f>
        <v>Negotiation</v>
      </c>
      <c r="J271" s="51" t="str">
        <f>_xlfn.XLOOKUP(transactions[[#This Row],[OpportunityID]],Opportunities[ID],Opportunities[OpportunityName])</f>
        <v>E-commerce Platform</v>
      </c>
      <c r="K271" s="51" t="str">
        <f>_xlfn.XLOOKUP(transactions[[#This Row],[CustomerId]],Customers[Id],Customers[Customer Name])</f>
        <v>Global Industries</v>
      </c>
      <c r="L271" s="51" t="str">
        <f>_xlfn.XLOOKUP(transactions[[#This Row],[OpportunityID]],Opportunities[ID],Opportunities[OpportunityOwner])</f>
        <v>Lisa Engineer</v>
      </c>
      <c r="M271" s="51" t="str">
        <f ca="1">IF((transactions[[#This Row],[TransactionDate]]-TODAY())&lt;=366,transactions[[#This Row],[FQ]],"Out-year")</f>
        <v>Out-year</v>
      </c>
      <c r="N271" s="55">
        <f>transactions[[#This Row],[UnWeighted]]/1000</f>
        <v>25.237489795918368</v>
      </c>
      <c r="O271" s="55">
        <f>transactions[[#This Row],[Weighted]]/1000</f>
        <v>12.618744897959184</v>
      </c>
      <c r="P271" s="55">
        <f>transactions[[#This Row],[$K Unweighted]]/1000</f>
        <v>2.5237489795918368E-2</v>
      </c>
      <c r="Q271" s="55" t="b">
        <f ca="1">transactions[[#This Row],[TransactionDate]]&gt;TODAY()</f>
        <v>1</v>
      </c>
    </row>
    <row r="272" spans="1:17" x14ac:dyDescent="0.25">
      <c r="A272">
        <v>20</v>
      </c>
      <c r="B272">
        <v>28</v>
      </c>
      <c r="C272" s="31">
        <v>46837</v>
      </c>
      <c r="D27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2" s="51" t="str">
        <f>"CY"&amp;RIGHT(YEAR(transactions[[#This Row],[TransactionDate]]),2)&amp;"-Q"&amp;ROUNDUP(MONTH(transactions[[#This Row],[TransactionDate]])/3, 0)</f>
        <v>CY28-Q1</v>
      </c>
      <c r="F272" s="52">
        <f>transactions[[#This Row],[UnWeighted]]*_xlfn.XLOOKUP(transactions[[#This Row],[OpportunityID]],Opportunities[ID],Opportunities[WinProbabilityValue])</f>
        <v>46457.040000000008</v>
      </c>
      <c r="G272" s="52">
        <f>_xlfn.XLOOKUP(transactions[[#This Row],[OpportunityID]],Opportunities[ID],Opportunities[Amount])/IF(_xlfn.XLOOKUP(transactions[[#This Row],[OpportunityID]],Opportunities[ID],Opportunities[Recurrences])=0,1,_xlfn.XLOOKUP(transactions[[#This Row],[OpportunityID]],Opportunities[ID],Opportunities[Recurrences]))</f>
        <v>232285.2</v>
      </c>
      <c r="H272" s="51" t="str">
        <f>_xlfn.XLOOKUP(transactions[[#This Row],[OpportunityID]],Opportunities[ID],Opportunities[Status])</f>
        <v>Critical</v>
      </c>
      <c r="I272" s="51" t="str">
        <f>_xlfn.XLOOKUP(transactions[[#This Row],[OpportunityID]],Opportunities[ID],Opportunities[Stage])</f>
        <v>Proposal</v>
      </c>
      <c r="J272" s="51" t="str">
        <f>_xlfn.XLOOKUP(transactions[[#This Row],[OpportunityID]],Opportunities[ID],Opportunities[OpportunityName])</f>
        <v>Marketing Automation Platform</v>
      </c>
      <c r="K272" s="51" t="str">
        <f>_xlfn.XLOOKUP(transactions[[#This Row],[CustomerId]],Customers[Id],Customers[Customer Name])</f>
        <v>Telecommunications Inc</v>
      </c>
      <c r="L272" s="51" t="str">
        <f>_xlfn.XLOOKUP(transactions[[#This Row],[OpportunityID]],Opportunities[ID],Opportunities[OpportunityOwner])</f>
        <v>Amanda Sales</v>
      </c>
      <c r="M272" s="51" t="str">
        <f ca="1">IF((transactions[[#This Row],[TransactionDate]]-TODAY())&lt;=366,transactions[[#This Row],[FQ]],"Out-year")</f>
        <v>Out-year</v>
      </c>
      <c r="N272" s="55">
        <f>transactions[[#This Row],[UnWeighted]]/1000</f>
        <v>232.2852</v>
      </c>
      <c r="O272" s="55">
        <f>transactions[[#This Row],[Weighted]]/1000</f>
        <v>46.457040000000006</v>
      </c>
      <c r="P272" s="55">
        <f>transactions[[#This Row],[$K Unweighted]]/1000</f>
        <v>0.2322852</v>
      </c>
      <c r="Q272" s="55" t="b">
        <f ca="1">transactions[[#This Row],[TransactionDate]]&gt;TODAY()</f>
        <v>1</v>
      </c>
    </row>
    <row r="273" spans="1:17" x14ac:dyDescent="0.25">
      <c r="A273">
        <v>26</v>
      </c>
      <c r="B273">
        <v>1</v>
      </c>
      <c r="C273" s="31">
        <v>46844</v>
      </c>
      <c r="D27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3" s="51" t="str">
        <f>"CY"&amp;RIGHT(YEAR(transactions[[#This Row],[TransactionDate]]),2)&amp;"-Q"&amp;ROUNDUP(MONTH(transactions[[#This Row],[TransactionDate]])/3, 0)</f>
        <v>CY28-Q2</v>
      </c>
      <c r="F273" s="52">
        <f>transactions[[#This Row],[UnWeighted]]*_xlfn.XLOOKUP(transactions[[#This Row],[OpportunityID]],Opportunities[ID],Opportunities[WinProbabilityValue])</f>
        <v>11339.638888888889</v>
      </c>
      <c r="G273"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73" s="51" t="str">
        <f>_xlfn.XLOOKUP(transactions[[#This Row],[OpportunityID]],Opportunities[ID],Opportunities[Status])</f>
        <v>Active</v>
      </c>
      <c r="I273" s="51" t="str">
        <f>_xlfn.XLOOKUP(transactions[[#This Row],[OpportunityID]],Opportunities[ID],Opportunities[Stage])</f>
        <v>Negotiation</v>
      </c>
      <c r="J273" s="51" t="str">
        <f>_xlfn.XLOOKUP(transactions[[#This Row],[OpportunityID]],Opportunities[ID],Opportunities[OpportunityName])</f>
        <v>Video Conferencing Solution</v>
      </c>
      <c r="K273" s="51" t="str">
        <f>_xlfn.XLOOKUP(transactions[[#This Row],[CustomerId]],Customers[Id],Customers[Customer Name])</f>
        <v>ACME Corporation</v>
      </c>
      <c r="L273" s="51" t="str">
        <f>_xlfn.XLOOKUP(transactions[[#This Row],[OpportunityID]],Opportunities[ID],Opportunities[OpportunityOwner])</f>
        <v>Mike Consultant</v>
      </c>
      <c r="M273" s="51" t="str">
        <f ca="1">IF((transactions[[#This Row],[TransactionDate]]-TODAY())&lt;=366,transactions[[#This Row],[FQ]],"Out-year")</f>
        <v>Out-year</v>
      </c>
      <c r="N273" s="55">
        <f>transactions[[#This Row],[UnWeighted]]/1000</f>
        <v>22.679277777777777</v>
      </c>
      <c r="O273" s="55">
        <f>transactions[[#This Row],[Weighted]]/1000</f>
        <v>11.339638888888889</v>
      </c>
      <c r="P273" s="55">
        <f>transactions[[#This Row],[$K Unweighted]]/1000</f>
        <v>2.2679277777777777E-2</v>
      </c>
      <c r="Q273" s="55" t="b">
        <f ca="1">transactions[[#This Row],[TransactionDate]]&gt;TODAY()</f>
        <v>1</v>
      </c>
    </row>
    <row r="274" spans="1:17" x14ac:dyDescent="0.25">
      <c r="A274">
        <v>39</v>
      </c>
      <c r="B274">
        <v>3</v>
      </c>
      <c r="C274" s="31">
        <v>46846</v>
      </c>
      <c r="D27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4" s="51" t="str">
        <f>"CY"&amp;RIGHT(YEAR(transactions[[#This Row],[TransactionDate]]),2)&amp;"-Q"&amp;ROUNDUP(MONTH(transactions[[#This Row],[TransactionDate]])/3, 0)</f>
        <v>CY28-Q2</v>
      </c>
      <c r="F274" s="52">
        <f>transactions[[#This Row],[UnWeighted]]*_xlfn.XLOOKUP(transactions[[#This Row],[OpportunityID]],Opportunities[ID],Opportunities[WinProbabilityValue])</f>
        <v>20929.153846153848</v>
      </c>
      <c r="G274"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74" s="51" t="str">
        <f>_xlfn.XLOOKUP(transactions[[#This Row],[OpportunityID]],Opportunities[ID],Opportunities[Status])</f>
        <v>Active</v>
      </c>
      <c r="I274" s="51" t="str">
        <f>_xlfn.XLOOKUP(transactions[[#This Row],[OpportunityID]],Opportunities[ID],Opportunities[Stage])</f>
        <v>Project Execution</v>
      </c>
      <c r="J274" s="51" t="str">
        <f>_xlfn.XLOOKUP(transactions[[#This Row],[OpportunityID]],Opportunities[ID],Opportunities[OpportunityName])</f>
        <v>API Development Project</v>
      </c>
      <c r="K274" s="51" t="str">
        <f>_xlfn.XLOOKUP(transactions[[#This Row],[CustomerId]],Customers[Id],Customers[Customer Name])</f>
        <v>Tech Solutions Inc</v>
      </c>
      <c r="L274" s="51" t="str">
        <f>_xlfn.XLOOKUP(transactions[[#This Row],[OpportunityID]],Opportunities[ID],Opportunities[OpportunityOwner])</f>
        <v>Jennifer PM</v>
      </c>
      <c r="M274" s="51" t="str">
        <f ca="1">IF((transactions[[#This Row],[TransactionDate]]-TODAY())&lt;=366,transactions[[#This Row],[FQ]],"Out-year")</f>
        <v>Out-year</v>
      </c>
      <c r="N274" s="55">
        <f>transactions[[#This Row],[UnWeighted]]/1000</f>
        <v>41.858307692307697</v>
      </c>
      <c r="O274" s="55">
        <f>transactions[[#This Row],[Weighted]]/1000</f>
        <v>20.929153846153849</v>
      </c>
      <c r="P274" s="55">
        <f>transactions[[#This Row],[$K Unweighted]]/1000</f>
        <v>4.1858307692307695E-2</v>
      </c>
      <c r="Q274" s="55" t="b">
        <f ca="1">transactions[[#This Row],[TransactionDate]]&gt;TODAY()</f>
        <v>1</v>
      </c>
    </row>
    <row r="275" spans="1:17" x14ac:dyDescent="0.25">
      <c r="A275">
        <v>36</v>
      </c>
      <c r="B275">
        <v>1</v>
      </c>
      <c r="C275" s="31">
        <v>46849</v>
      </c>
      <c r="D27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5" s="51" t="str">
        <f>"CY"&amp;RIGHT(YEAR(transactions[[#This Row],[TransactionDate]]),2)&amp;"-Q"&amp;ROUNDUP(MONTH(transactions[[#This Row],[TransactionDate]])/3, 0)</f>
        <v>CY28-Q2</v>
      </c>
      <c r="F275" s="52">
        <f>transactions[[#This Row],[UnWeighted]]*_xlfn.XLOOKUP(transactions[[#This Row],[OpportunityID]],Opportunities[ID],Opportunities[WinProbabilityValue])</f>
        <v>24983.895833333332</v>
      </c>
      <c r="G275"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75" s="51" t="str">
        <f>_xlfn.XLOOKUP(transactions[[#This Row],[OpportunityID]],Opportunities[ID],Opportunities[Status])</f>
        <v>Active</v>
      </c>
      <c r="I275" s="51" t="str">
        <f>_xlfn.XLOOKUP(transactions[[#This Row],[OpportunityID]],Opportunities[ID],Opportunities[Stage])</f>
        <v>Lead Qualification</v>
      </c>
      <c r="J275" s="51" t="str">
        <f>_xlfn.XLOOKUP(transactions[[#This Row],[OpportunityID]],Opportunities[ID],Opportunities[OpportunityName])</f>
        <v>Integration Services Project</v>
      </c>
      <c r="K275" s="51" t="str">
        <f>_xlfn.XLOOKUP(transactions[[#This Row],[CustomerId]],Customers[Id],Customers[Customer Name])</f>
        <v>ACME Corporation</v>
      </c>
      <c r="L275" s="51" t="str">
        <f>_xlfn.XLOOKUP(transactions[[#This Row],[OpportunityID]],Opportunities[ID],Opportunities[OpportunityOwner])</f>
        <v>Amanda Sales</v>
      </c>
      <c r="M275" s="51" t="str">
        <f ca="1">IF((transactions[[#This Row],[TransactionDate]]-TODAY())&lt;=366,transactions[[#This Row],[FQ]],"Out-year")</f>
        <v>Out-year</v>
      </c>
      <c r="N275" s="55">
        <f>transactions[[#This Row],[UnWeighted]]/1000</f>
        <v>49.967791666666663</v>
      </c>
      <c r="O275" s="55">
        <f>transactions[[#This Row],[Weighted]]/1000</f>
        <v>24.983895833333332</v>
      </c>
      <c r="P275" s="55">
        <f>transactions[[#This Row],[$K Unweighted]]/1000</f>
        <v>4.9967791666666664E-2</v>
      </c>
      <c r="Q275" s="55" t="b">
        <f ca="1">transactions[[#This Row],[TransactionDate]]&gt;TODAY()</f>
        <v>1</v>
      </c>
    </row>
    <row r="276" spans="1:17" x14ac:dyDescent="0.25">
      <c r="A276">
        <v>15</v>
      </c>
      <c r="B276">
        <v>24</v>
      </c>
      <c r="C276" s="31">
        <v>46850</v>
      </c>
      <c r="D27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6" s="51" t="str">
        <f>"CY"&amp;RIGHT(YEAR(transactions[[#This Row],[TransactionDate]]),2)&amp;"-Q"&amp;ROUNDUP(MONTH(transactions[[#This Row],[TransactionDate]])/3, 0)</f>
        <v>CY28-Q2</v>
      </c>
      <c r="F276" s="52">
        <f>transactions[[#This Row],[UnWeighted]]*_xlfn.XLOOKUP(transactions[[#This Row],[OpportunityID]],Opportunities[ID],Opportunities[WinProbabilityValue])</f>
        <v>29217.197872340425</v>
      </c>
      <c r="G276"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76" s="51" t="str">
        <f>_xlfn.XLOOKUP(transactions[[#This Row],[OpportunityID]],Opportunities[ID],Opportunities[Status])</f>
        <v>Active</v>
      </c>
      <c r="I276" s="51" t="str">
        <f>_xlfn.XLOOKUP(transactions[[#This Row],[OpportunityID]],Opportunities[ID],Opportunities[Stage])</f>
        <v>Project Execution</v>
      </c>
      <c r="J276" s="51" t="str">
        <f>_xlfn.XLOOKUP(transactions[[#This Row],[OpportunityID]],Opportunities[ID],Opportunities[OpportunityName])</f>
        <v>Training &amp; Development Program</v>
      </c>
      <c r="K276" s="51" t="str">
        <f>_xlfn.XLOOKUP(transactions[[#This Row],[CustomerId]],Customers[Id],Customers[Customer Name])</f>
        <v>Security Solutions</v>
      </c>
      <c r="L276" s="51" t="str">
        <f>_xlfn.XLOOKUP(transactions[[#This Row],[OpportunityID]],Opportunities[ID],Opportunities[OpportunityOwner])</f>
        <v>Sarah Director</v>
      </c>
      <c r="M276" s="51" t="str">
        <f ca="1">IF((transactions[[#This Row],[TransactionDate]]-TODAY())&lt;=366,transactions[[#This Row],[FQ]],"Out-year")</f>
        <v>Out-year</v>
      </c>
      <c r="N276" s="55">
        <f>transactions[[#This Row],[UnWeighted]]/1000</f>
        <v>32.46355319148936</v>
      </c>
      <c r="O276" s="55">
        <f>transactions[[#This Row],[Weighted]]/1000</f>
        <v>29.217197872340424</v>
      </c>
      <c r="P276" s="55">
        <f>transactions[[#This Row],[$K Unweighted]]/1000</f>
        <v>3.2463553191489358E-2</v>
      </c>
      <c r="Q276" s="55" t="b">
        <f ca="1">transactions[[#This Row],[TransactionDate]]&gt;TODAY()</f>
        <v>1</v>
      </c>
    </row>
    <row r="277" spans="1:17" x14ac:dyDescent="0.25">
      <c r="A277">
        <v>17</v>
      </c>
      <c r="B277">
        <v>19</v>
      </c>
      <c r="C277" s="31">
        <v>46852</v>
      </c>
      <c r="D27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7" s="51" t="str">
        <f>"CY"&amp;RIGHT(YEAR(transactions[[#This Row],[TransactionDate]]),2)&amp;"-Q"&amp;ROUNDUP(MONTH(transactions[[#This Row],[TransactionDate]])/3, 0)</f>
        <v>CY28-Q2</v>
      </c>
      <c r="F277" s="52">
        <f>transactions[[#This Row],[UnWeighted]]*_xlfn.XLOOKUP(transactions[[#This Row],[OpportunityID]],Opportunities[ID],Opportunities[WinProbabilityValue])</f>
        <v>9267.2333333333336</v>
      </c>
      <c r="G277"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77" s="51" t="str">
        <f>_xlfn.XLOOKUP(transactions[[#This Row],[OpportunityID]],Opportunities[ID],Opportunities[Status])</f>
        <v>Active</v>
      </c>
      <c r="I277" s="51" t="str">
        <f>_xlfn.XLOOKUP(transactions[[#This Row],[OpportunityID]],Opportunities[ID],Opportunities[Stage])</f>
        <v>Negotiation</v>
      </c>
      <c r="J277" s="51" t="str">
        <f>_xlfn.XLOOKUP(transactions[[#This Row],[OpportunityID]],Opportunities[ID],Opportunities[OpportunityName])</f>
        <v>Supply Chain Optimization</v>
      </c>
      <c r="K277" s="51" t="str">
        <f>_xlfn.XLOOKUP(transactions[[#This Row],[CustomerId]],Customers[Id],Customers[Customer Name])</f>
        <v>Hotel Management Group</v>
      </c>
      <c r="L277" s="51" t="str">
        <f>_xlfn.XLOOKUP(transactions[[#This Row],[OpportunityID]],Opportunities[ID],Opportunities[OpportunityOwner])</f>
        <v>Jennifer PM</v>
      </c>
      <c r="M277" s="51" t="str">
        <f ca="1">IF((transactions[[#This Row],[TransactionDate]]-TODAY())&lt;=366,transactions[[#This Row],[FQ]],"Out-year")</f>
        <v>Out-year</v>
      </c>
      <c r="N277" s="55">
        <f>transactions[[#This Row],[UnWeighted]]/1000</f>
        <v>46.336166666666664</v>
      </c>
      <c r="O277" s="55">
        <f>transactions[[#This Row],[Weighted]]/1000</f>
        <v>9.2672333333333334</v>
      </c>
      <c r="P277" s="55">
        <f>transactions[[#This Row],[$K Unweighted]]/1000</f>
        <v>4.6336166666666664E-2</v>
      </c>
      <c r="Q277" s="55" t="b">
        <f ca="1">transactions[[#This Row],[TransactionDate]]&gt;TODAY()</f>
        <v>1</v>
      </c>
    </row>
    <row r="278" spans="1:17" x14ac:dyDescent="0.25">
      <c r="A278">
        <v>22</v>
      </c>
      <c r="B278">
        <v>11</v>
      </c>
      <c r="C278" s="31">
        <v>46854</v>
      </c>
      <c r="D27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8" s="51" t="str">
        <f>"CY"&amp;RIGHT(YEAR(transactions[[#This Row],[TransactionDate]]),2)&amp;"-Q"&amp;ROUNDUP(MONTH(transactions[[#This Row],[TransactionDate]])/3, 0)</f>
        <v>CY28-Q2</v>
      </c>
      <c r="F278" s="52">
        <f>transactions[[#This Row],[UnWeighted]]*_xlfn.XLOOKUP(transactions[[#This Row],[OpportunityID]],Opportunities[ID],Opportunities[WinProbabilityValue])</f>
        <v>26390.544230769232</v>
      </c>
      <c r="G278"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78" s="51" t="str">
        <f>_xlfn.XLOOKUP(transactions[[#This Row],[OpportunityID]],Opportunities[ID],Opportunities[Status])</f>
        <v>Active</v>
      </c>
      <c r="I278" s="51" t="str">
        <f>_xlfn.XLOOKUP(transactions[[#This Row],[OpportunityID]],Opportunities[ID],Opportunities[Stage])</f>
        <v>Nurturing</v>
      </c>
      <c r="J278" s="51" t="str">
        <f>_xlfn.XLOOKUP(transactions[[#This Row],[OpportunityID]],Opportunities[ID],Opportunities[OpportunityName])</f>
        <v>Inventory Management Solution</v>
      </c>
      <c r="K278" s="51" t="str">
        <f>_xlfn.XLOOKUP(transactions[[#This Row],[CustomerId]],Customers[Id],Customers[Customer Name])</f>
        <v>Transport Logistics</v>
      </c>
      <c r="L278" s="51" t="str">
        <f>_xlfn.XLOOKUP(transactions[[#This Row],[OpportunityID]],Opportunities[ID],Opportunities[OpportunityOwner])</f>
        <v>Sarah Director</v>
      </c>
      <c r="M278" s="51" t="str">
        <f ca="1">IF((transactions[[#This Row],[TransactionDate]]-TODAY())&lt;=366,transactions[[#This Row],[FQ]],"Out-year")</f>
        <v>Out-year</v>
      </c>
      <c r="N278" s="55">
        <f>transactions[[#This Row],[UnWeighted]]/1000</f>
        <v>29.322826923076921</v>
      </c>
      <c r="O278" s="55">
        <f>transactions[[#This Row],[Weighted]]/1000</f>
        <v>26.390544230769233</v>
      </c>
      <c r="P278" s="55">
        <f>transactions[[#This Row],[$K Unweighted]]/1000</f>
        <v>2.932282692307692E-2</v>
      </c>
      <c r="Q278" s="55" t="b">
        <f ca="1">transactions[[#This Row],[TransactionDate]]&gt;TODAY()</f>
        <v>1</v>
      </c>
    </row>
    <row r="279" spans="1:17" x14ac:dyDescent="0.25">
      <c r="A279">
        <v>11</v>
      </c>
      <c r="B279">
        <v>3</v>
      </c>
      <c r="C279" s="31">
        <v>46856</v>
      </c>
      <c r="D27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9" s="51" t="str">
        <f>"CY"&amp;RIGHT(YEAR(transactions[[#This Row],[TransactionDate]]),2)&amp;"-Q"&amp;ROUNDUP(MONTH(transactions[[#This Row],[TransactionDate]])/3, 0)</f>
        <v>CY28-Q2</v>
      </c>
      <c r="F279" s="52">
        <f>transactions[[#This Row],[UnWeighted]]*_xlfn.XLOOKUP(transactions[[#This Row],[OpportunityID]],Opportunities[ID],Opportunities[WinProbabilityValue])</f>
        <v>113460.75</v>
      </c>
      <c r="G279" s="52">
        <f>_xlfn.XLOOKUP(transactions[[#This Row],[OpportunityID]],Opportunities[ID],Opportunities[Amount])/IF(_xlfn.XLOOKUP(transactions[[#This Row],[OpportunityID]],Opportunities[ID],Opportunities[Recurrences])=0,1,_xlfn.XLOOKUP(transactions[[#This Row],[OpportunityID]],Opportunities[ID],Opportunities[Recurrences]))</f>
        <v>126067.5</v>
      </c>
      <c r="H279" s="51" t="str">
        <f>_xlfn.XLOOKUP(transactions[[#This Row],[OpportunityID]],Opportunities[ID],Opportunities[Status])</f>
        <v>At Risk</v>
      </c>
      <c r="I279" s="51" t="str">
        <f>_xlfn.XLOOKUP(transactions[[#This Row],[OpportunityID]],Opportunities[ID],Opportunities[Stage])</f>
        <v>Negotiation</v>
      </c>
      <c r="J279" s="51" t="str">
        <f>_xlfn.XLOOKUP(transactions[[#This Row],[OpportunityID]],Opportunities[ID],Opportunities[OpportunityName])</f>
        <v>Data Center Consolidation</v>
      </c>
      <c r="K279" s="51" t="str">
        <f>_xlfn.XLOOKUP(transactions[[#This Row],[CustomerId]],Customers[Id],Customers[Customer Name])</f>
        <v>Tech Solutions Inc</v>
      </c>
      <c r="L279" s="51" t="str">
        <f>_xlfn.XLOOKUP(transactions[[#This Row],[OpportunityID]],Opportunities[ID],Opportunities[OpportunityOwner])</f>
        <v>David Specialist</v>
      </c>
      <c r="M279" s="51" t="str">
        <f ca="1">IF((transactions[[#This Row],[TransactionDate]]-TODAY())&lt;=366,transactions[[#This Row],[FQ]],"Out-year")</f>
        <v>Out-year</v>
      </c>
      <c r="N279" s="55">
        <f>transactions[[#This Row],[UnWeighted]]/1000</f>
        <v>126.0675</v>
      </c>
      <c r="O279" s="55">
        <f>transactions[[#This Row],[Weighted]]/1000</f>
        <v>113.46075</v>
      </c>
      <c r="P279" s="55">
        <f>transactions[[#This Row],[$K Unweighted]]/1000</f>
        <v>0.1260675</v>
      </c>
      <c r="Q279" s="55" t="b">
        <f ca="1">transactions[[#This Row],[TransactionDate]]&gt;TODAY()</f>
        <v>1</v>
      </c>
    </row>
    <row r="280" spans="1:17" x14ac:dyDescent="0.25">
      <c r="A280">
        <v>2</v>
      </c>
      <c r="B280">
        <v>10</v>
      </c>
      <c r="C280" s="31">
        <v>46860</v>
      </c>
      <c r="D28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80" s="51" t="str">
        <f>"CY"&amp;RIGHT(YEAR(transactions[[#This Row],[TransactionDate]]),2)&amp;"-Q"&amp;ROUNDUP(MONTH(transactions[[#This Row],[TransactionDate]])/3, 0)</f>
        <v>CY28-Q2</v>
      </c>
      <c r="F280" s="52">
        <f>transactions[[#This Row],[UnWeighted]]*_xlfn.XLOOKUP(transactions[[#This Row],[OpportunityID]],Opportunities[ID],Opportunities[WinProbabilityValue])</f>
        <v>20720.20930232558</v>
      </c>
      <c r="G280"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80" s="51" t="str">
        <f>_xlfn.XLOOKUP(transactions[[#This Row],[OpportunityID]],Opportunities[ID],Opportunities[Status])</f>
        <v>Active</v>
      </c>
      <c r="I280" s="51" t="str">
        <f>_xlfn.XLOOKUP(transactions[[#This Row],[OpportunityID]],Opportunities[ID],Opportunities[Stage])</f>
        <v>Proposal</v>
      </c>
      <c r="J280" s="51" t="str">
        <f>_xlfn.XLOOKUP(transactions[[#This Row],[OpportunityID]],Opportunities[ID],Opportunities[OpportunityName])</f>
        <v>Cloud Migration Initiative</v>
      </c>
      <c r="K280" s="51" t="str">
        <f>_xlfn.XLOOKUP(transactions[[#This Row],[CustomerId]],Customers[Id],Customers[Customer Name])</f>
        <v>Education First</v>
      </c>
      <c r="L280" s="51" t="str">
        <f>_xlfn.XLOOKUP(transactions[[#This Row],[OpportunityID]],Opportunities[ID],Opportunities[OpportunityOwner])</f>
        <v>Robert Analyst</v>
      </c>
      <c r="M280" s="51" t="str">
        <f ca="1">IF((transactions[[#This Row],[TransactionDate]]-TODAY())&lt;=366,transactions[[#This Row],[FQ]],"Out-year")</f>
        <v>Out-year</v>
      </c>
      <c r="N280" s="55">
        <f>transactions[[#This Row],[UnWeighted]]/1000</f>
        <v>41.440418604651157</v>
      </c>
      <c r="O280" s="55">
        <f>transactions[[#This Row],[Weighted]]/1000</f>
        <v>20.720209302325578</v>
      </c>
      <c r="P280" s="55">
        <f>transactions[[#This Row],[$K Unweighted]]/1000</f>
        <v>4.1440418604651155E-2</v>
      </c>
      <c r="Q280" s="55" t="b">
        <f ca="1">transactions[[#This Row],[TransactionDate]]&gt;TODAY()</f>
        <v>1</v>
      </c>
    </row>
    <row r="281" spans="1:17" x14ac:dyDescent="0.25">
      <c r="A281">
        <v>13</v>
      </c>
      <c r="B281">
        <v>2</v>
      </c>
      <c r="C281" s="31">
        <v>46865</v>
      </c>
      <c r="D28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81" s="51" t="str">
        <f>"CY"&amp;RIGHT(YEAR(transactions[[#This Row],[TransactionDate]]),2)&amp;"-Q"&amp;ROUNDUP(MONTH(transactions[[#This Row],[TransactionDate]])/3, 0)</f>
        <v>CY28-Q2</v>
      </c>
      <c r="F281" s="52">
        <f>transactions[[#This Row],[UnWeighted]]*_xlfn.XLOOKUP(transactions[[#This Row],[OpportunityID]],Opportunities[ID],Opportunities[WinProbabilityValue])</f>
        <v>12618.744897959185</v>
      </c>
      <c r="G281"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81" s="51" t="str">
        <f>_xlfn.XLOOKUP(transactions[[#This Row],[OpportunityID]],Opportunities[ID],Opportunities[Status])</f>
        <v>Active</v>
      </c>
      <c r="I281" s="51" t="str">
        <f>_xlfn.XLOOKUP(transactions[[#This Row],[OpportunityID]],Opportunities[ID],Opportunities[Stage])</f>
        <v>Negotiation</v>
      </c>
      <c r="J281" s="51" t="str">
        <f>_xlfn.XLOOKUP(transactions[[#This Row],[OpportunityID]],Opportunities[ID],Opportunities[OpportunityName])</f>
        <v>E-commerce Platform</v>
      </c>
      <c r="K281" s="51" t="str">
        <f>_xlfn.XLOOKUP(transactions[[#This Row],[CustomerId]],Customers[Id],Customers[Customer Name])</f>
        <v>Global Industries</v>
      </c>
      <c r="L281" s="51" t="str">
        <f>_xlfn.XLOOKUP(transactions[[#This Row],[OpportunityID]],Opportunities[ID],Opportunities[OpportunityOwner])</f>
        <v>Lisa Engineer</v>
      </c>
      <c r="M281" s="51" t="str">
        <f ca="1">IF((transactions[[#This Row],[TransactionDate]]-TODAY())&lt;=366,transactions[[#This Row],[FQ]],"Out-year")</f>
        <v>Out-year</v>
      </c>
      <c r="N281" s="55">
        <f>transactions[[#This Row],[UnWeighted]]/1000</f>
        <v>25.237489795918368</v>
      </c>
      <c r="O281" s="55">
        <f>transactions[[#This Row],[Weighted]]/1000</f>
        <v>12.618744897959184</v>
      </c>
      <c r="P281" s="55">
        <f>transactions[[#This Row],[$K Unweighted]]/1000</f>
        <v>2.5237489795918368E-2</v>
      </c>
      <c r="Q281" s="55" t="b">
        <f ca="1">transactions[[#This Row],[TransactionDate]]&gt;TODAY()</f>
        <v>1</v>
      </c>
    </row>
    <row r="282" spans="1:17" x14ac:dyDescent="0.25">
      <c r="A282">
        <v>7</v>
      </c>
      <c r="B282">
        <v>14</v>
      </c>
      <c r="C282" s="31">
        <v>46869</v>
      </c>
      <c r="D28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82" s="51" t="str">
        <f>"CY"&amp;RIGHT(YEAR(transactions[[#This Row],[TransactionDate]]),2)&amp;"-Q"&amp;ROUNDUP(MONTH(transactions[[#This Row],[TransactionDate]])/3, 0)</f>
        <v>CY28-Q2</v>
      </c>
      <c r="F282" s="52">
        <f>transactions[[#This Row],[UnWeighted]]*_xlfn.XLOOKUP(transactions[[#This Row],[OpportunityID]],Opportunities[ID],Opportunities[WinProbabilityValue])</f>
        <v>41771.416666666664</v>
      </c>
      <c r="G282" s="52">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282" s="51" t="str">
        <f>_xlfn.XLOOKUP(transactions[[#This Row],[OpportunityID]],Opportunities[ID],Opportunities[Status])</f>
        <v>Active</v>
      </c>
      <c r="I282" s="51" t="str">
        <f>_xlfn.XLOOKUP(transactions[[#This Row],[OpportunityID]],Opportunities[ID],Opportunities[Stage])</f>
        <v>Project Execution</v>
      </c>
      <c r="J282" s="51" t="str">
        <f>_xlfn.XLOOKUP(transactions[[#This Row],[OpportunityID]],Opportunities[ID],Opportunities[OpportunityName])</f>
        <v>Network Infrastructure Upgrade</v>
      </c>
      <c r="K282" s="51" t="str">
        <f>_xlfn.XLOOKUP(transactions[[#This Row],[CustomerId]],Customers[Id],Customers[Customer Name])</f>
        <v>Media Communications</v>
      </c>
      <c r="L282" s="51" t="str">
        <f>_xlfn.XLOOKUP(transactions[[#This Row],[OpportunityID]],Opportunities[ID],Opportunities[OpportunityOwner])</f>
        <v>Dr. Tech Advisor</v>
      </c>
      <c r="M282" s="51" t="str">
        <f ca="1">IF((transactions[[#This Row],[TransactionDate]]-TODAY())&lt;=366,transactions[[#This Row],[FQ]],"Out-year")</f>
        <v>Out-year</v>
      </c>
      <c r="N282" s="55">
        <f>transactions[[#This Row],[UnWeighted]]/1000</f>
        <v>83.542833333333334</v>
      </c>
      <c r="O282" s="55">
        <f>transactions[[#This Row],[Weighted]]/1000</f>
        <v>41.771416666666667</v>
      </c>
      <c r="P282" s="55">
        <f>transactions[[#This Row],[$K Unweighted]]/1000</f>
        <v>8.354283333333333E-2</v>
      </c>
      <c r="Q282" s="55" t="b">
        <f ca="1">transactions[[#This Row],[TransactionDate]]&gt;TODAY()</f>
        <v>1</v>
      </c>
    </row>
    <row r="283" spans="1:17" x14ac:dyDescent="0.25">
      <c r="A283">
        <v>26</v>
      </c>
      <c r="B283">
        <v>1</v>
      </c>
      <c r="C283" s="31">
        <v>46874</v>
      </c>
      <c r="D28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3" s="51" t="str">
        <f>"CY"&amp;RIGHT(YEAR(transactions[[#This Row],[TransactionDate]]),2)&amp;"-Q"&amp;ROUNDUP(MONTH(transactions[[#This Row],[TransactionDate]])/3, 0)</f>
        <v>CY28-Q2</v>
      </c>
      <c r="F283" s="52">
        <f>transactions[[#This Row],[UnWeighted]]*_xlfn.XLOOKUP(transactions[[#This Row],[OpportunityID]],Opportunities[ID],Opportunities[WinProbabilityValue])</f>
        <v>11339.638888888889</v>
      </c>
      <c r="G283"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83" s="51" t="str">
        <f>_xlfn.XLOOKUP(transactions[[#This Row],[OpportunityID]],Opportunities[ID],Opportunities[Status])</f>
        <v>Active</v>
      </c>
      <c r="I283" s="51" t="str">
        <f>_xlfn.XLOOKUP(transactions[[#This Row],[OpportunityID]],Opportunities[ID],Opportunities[Stage])</f>
        <v>Negotiation</v>
      </c>
      <c r="J283" s="51" t="str">
        <f>_xlfn.XLOOKUP(transactions[[#This Row],[OpportunityID]],Opportunities[ID],Opportunities[OpportunityName])</f>
        <v>Video Conferencing Solution</v>
      </c>
      <c r="K283" s="51" t="str">
        <f>_xlfn.XLOOKUP(transactions[[#This Row],[CustomerId]],Customers[Id],Customers[Customer Name])</f>
        <v>ACME Corporation</v>
      </c>
      <c r="L283" s="51" t="str">
        <f>_xlfn.XLOOKUP(transactions[[#This Row],[OpportunityID]],Opportunities[ID],Opportunities[OpportunityOwner])</f>
        <v>Mike Consultant</v>
      </c>
      <c r="M283" s="51" t="str">
        <f ca="1">IF((transactions[[#This Row],[TransactionDate]]-TODAY())&lt;=366,transactions[[#This Row],[FQ]],"Out-year")</f>
        <v>Out-year</v>
      </c>
      <c r="N283" s="55">
        <f>transactions[[#This Row],[UnWeighted]]/1000</f>
        <v>22.679277777777777</v>
      </c>
      <c r="O283" s="55">
        <f>transactions[[#This Row],[Weighted]]/1000</f>
        <v>11.339638888888889</v>
      </c>
      <c r="P283" s="55">
        <f>transactions[[#This Row],[$K Unweighted]]/1000</f>
        <v>2.2679277777777777E-2</v>
      </c>
      <c r="Q283" s="55" t="b">
        <f ca="1">transactions[[#This Row],[TransactionDate]]&gt;TODAY()</f>
        <v>1</v>
      </c>
    </row>
    <row r="284" spans="1:17" x14ac:dyDescent="0.25">
      <c r="A284">
        <v>39</v>
      </c>
      <c r="B284">
        <v>3</v>
      </c>
      <c r="C284" s="31">
        <v>46876</v>
      </c>
      <c r="D28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4" s="51" t="str">
        <f>"CY"&amp;RIGHT(YEAR(transactions[[#This Row],[TransactionDate]]),2)&amp;"-Q"&amp;ROUNDUP(MONTH(transactions[[#This Row],[TransactionDate]])/3, 0)</f>
        <v>CY28-Q2</v>
      </c>
      <c r="F284" s="52">
        <f>transactions[[#This Row],[UnWeighted]]*_xlfn.XLOOKUP(transactions[[#This Row],[OpportunityID]],Opportunities[ID],Opportunities[WinProbabilityValue])</f>
        <v>20929.153846153848</v>
      </c>
      <c r="G284"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84" s="51" t="str">
        <f>_xlfn.XLOOKUP(transactions[[#This Row],[OpportunityID]],Opportunities[ID],Opportunities[Status])</f>
        <v>Active</v>
      </c>
      <c r="I284" s="51" t="str">
        <f>_xlfn.XLOOKUP(transactions[[#This Row],[OpportunityID]],Opportunities[ID],Opportunities[Stage])</f>
        <v>Project Execution</v>
      </c>
      <c r="J284" s="51" t="str">
        <f>_xlfn.XLOOKUP(transactions[[#This Row],[OpportunityID]],Opportunities[ID],Opportunities[OpportunityName])</f>
        <v>API Development Project</v>
      </c>
      <c r="K284" s="51" t="str">
        <f>_xlfn.XLOOKUP(transactions[[#This Row],[CustomerId]],Customers[Id],Customers[Customer Name])</f>
        <v>Tech Solutions Inc</v>
      </c>
      <c r="L284" s="51" t="str">
        <f>_xlfn.XLOOKUP(transactions[[#This Row],[OpportunityID]],Opportunities[ID],Opportunities[OpportunityOwner])</f>
        <v>Jennifer PM</v>
      </c>
      <c r="M284" s="51" t="str">
        <f ca="1">IF((transactions[[#This Row],[TransactionDate]]-TODAY())&lt;=366,transactions[[#This Row],[FQ]],"Out-year")</f>
        <v>Out-year</v>
      </c>
      <c r="N284" s="55">
        <f>transactions[[#This Row],[UnWeighted]]/1000</f>
        <v>41.858307692307697</v>
      </c>
      <c r="O284" s="55">
        <f>transactions[[#This Row],[Weighted]]/1000</f>
        <v>20.929153846153849</v>
      </c>
      <c r="P284" s="55">
        <f>transactions[[#This Row],[$K Unweighted]]/1000</f>
        <v>4.1858307692307695E-2</v>
      </c>
      <c r="Q284" s="55" t="b">
        <f ca="1">transactions[[#This Row],[TransactionDate]]&gt;TODAY()</f>
        <v>1</v>
      </c>
    </row>
    <row r="285" spans="1:17" x14ac:dyDescent="0.25">
      <c r="A285">
        <v>36</v>
      </c>
      <c r="B285">
        <v>1</v>
      </c>
      <c r="C285" s="31">
        <v>46879</v>
      </c>
      <c r="D28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5" s="51" t="str">
        <f>"CY"&amp;RIGHT(YEAR(transactions[[#This Row],[TransactionDate]]),2)&amp;"-Q"&amp;ROUNDUP(MONTH(transactions[[#This Row],[TransactionDate]])/3, 0)</f>
        <v>CY28-Q2</v>
      </c>
      <c r="F285" s="52">
        <f>transactions[[#This Row],[UnWeighted]]*_xlfn.XLOOKUP(transactions[[#This Row],[OpportunityID]],Opportunities[ID],Opportunities[WinProbabilityValue])</f>
        <v>24983.895833333332</v>
      </c>
      <c r="G285"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85" s="51" t="str">
        <f>_xlfn.XLOOKUP(transactions[[#This Row],[OpportunityID]],Opportunities[ID],Opportunities[Status])</f>
        <v>Active</v>
      </c>
      <c r="I285" s="51" t="str">
        <f>_xlfn.XLOOKUP(transactions[[#This Row],[OpportunityID]],Opportunities[ID],Opportunities[Stage])</f>
        <v>Lead Qualification</v>
      </c>
      <c r="J285" s="51" t="str">
        <f>_xlfn.XLOOKUP(transactions[[#This Row],[OpportunityID]],Opportunities[ID],Opportunities[OpportunityName])</f>
        <v>Integration Services Project</v>
      </c>
      <c r="K285" s="51" t="str">
        <f>_xlfn.XLOOKUP(transactions[[#This Row],[CustomerId]],Customers[Id],Customers[Customer Name])</f>
        <v>ACME Corporation</v>
      </c>
      <c r="L285" s="51" t="str">
        <f>_xlfn.XLOOKUP(transactions[[#This Row],[OpportunityID]],Opportunities[ID],Opportunities[OpportunityOwner])</f>
        <v>Amanda Sales</v>
      </c>
      <c r="M285" s="51" t="str">
        <f ca="1">IF((transactions[[#This Row],[TransactionDate]]-TODAY())&lt;=366,transactions[[#This Row],[FQ]],"Out-year")</f>
        <v>Out-year</v>
      </c>
      <c r="N285" s="55">
        <f>transactions[[#This Row],[UnWeighted]]/1000</f>
        <v>49.967791666666663</v>
      </c>
      <c r="O285" s="55">
        <f>transactions[[#This Row],[Weighted]]/1000</f>
        <v>24.983895833333332</v>
      </c>
      <c r="P285" s="55">
        <f>transactions[[#This Row],[$K Unweighted]]/1000</f>
        <v>4.9967791666666664E-2</v>
      </c>
      <c r="Q285" s="55" t="b">
        <f ca="1">transactions[[#This Row],[TransactionDate]]&gt;TODAY()</f>
        <v>1</v>
      </c>
    </row>
    <row r="286" spans="1:17" x14ac:dyDescent="0.25">
      <c r="A286">
        <v>15</v>
      </c>
      <c r="B286">
        <v>24</v>
      </c>
      <c r="C286" s="31">
        <v>46880</v>
      </c>
      <c r="D28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6" s="51" t="str">
        <f>"CY"&amp;RIGHT(YEAR(transactions[[#This Row],[TransactionDate]]),2)&amp;"-Q"&amp;ROUNDUP(MONTH(transactions[[#This Row],[TransactionDate]])/3, 0)</f>
        <v>CY28-Q2</v>
      </c>
      <c r="F286" s="52">
        <f>transactions[[#This Row],[UnWeighted]]*_xlfn.XLOOKUP(transactions[[#This Row],[OpportunityID]],Opportunities[ID],Opportunities[WinProbabilityValue])</f>
        <v>29217.197872340425</v>
      </c>
      <c r="G286"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86" s="51" t="str">
        <f>_xlfn.XLOOKUP(transactions[[#This Row],[OpportunityID]],Opportunities[ID],Opportunities[Status])</f>
        <v>Active</v>
      </c>
      <c r="I286" s="51" t="str">
        <f>_xlfn.XLOOKUP(transactions[[#This Row],[OpportunityID]],Opportunities[ID],Opportunities[Stage])</f>
        <v>Project Execution</v>
      </c>
      <c r="J286" s="51" t="str">
        <f>_xlfn.XLOOKUP(transactions[[#This Row],[OpportunityID]],Opportunities[ID],Opportunities[OpportunityName])</f>
        <v>Training &amp; Development Program</v>
      </c>
      <c r="K286" s="51" t="str">
        <f>_xlfn.XLOOKUP(transactions[[#This Row],[CustomerId]],Customers[Id],Customers[Customer Name])</f>
        <v>Security Solutions</v>
      </c>
      <c r="L286" s="51" t="str">
        <f>_xlfn.XLOOKUP(transactions[[#This Row],[OpportunityID]],Opportunities[ID],Opportunities[OpportunityOwner])</f>
        <v>Sarah Director</v>
      </c>
      <c r="M286" s="51" t="str">
        <f ca="1">IF((transactions[[#This Row],[TransactionDate]]-TODAY())&lt;=366,transactions[[#This Row],[FQ]],"Out-year")</f>
        <v>Out-year</v>
      </c>
      <c r="N286" s="55">
        <f>transactions[[#This Row],[UnWeighted]]/1000</f>
        <v>32.46355319148936</v>
      </c>
      <c r="O286" s="55">
        <f>transactions[[#This Row],[Weighted]]/1000</f>
        <v>29.217197872340424</v>
      </c>
      <c r="P286" s="55">
        <f>transactions[[#This Row],[$K Unweighted]]/1000</f>
        <v>3.2463553191489358E-2</v>
      </c>
      <c r="Q286" s="55" t="b">
        <f ca="1">transactions[[#This Row],[TransactionDate]]&gt;TODAY()</f>
        <v>1</v>
      </c>
    </row>
    <row r="287" spans="1:17" x14ac:dyDescent="0.25">
      <c r="A287">
        <v>29</v>
      </c>
      <c r="B287">
        <v>10</v>
      </c>
      <c r="C287" s="31">
        <v>46881</v>
      </c>
      <c r="D28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7" s="51" t="str">
        <f>"CY"&amp;RIGHT(YEAR(transactions[[#This Row],[TransactionDate]]),2)&amp;"-Q"&amp;ROUNDUP(MONTH(transactions[[#This Row],[TransactionDate]])/3, 0)</f>
        <v>CY28-Q2</v>
      </c>
      <c r="F287" s="52">
        <f>transactions[[#This Row],[UnWeighted]]*_xlfn.XLOOKUP(transactions[[#This Row],[OpportunityID]],Opportunities[ID],Opportunities[WinProbabilityValue])</f>
        <v>150480.08333333334</v>
      </c>
      <c r="G287" s="52">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287" s="51" t="str">
        <f>_xlfn.XLOOKUP(transactions[[#This Row],[OpportunityID]],Opportunities[ID],Opportunities[Status])</f>
        <v>Active</v>
      </c>
      <c r="I287" s="51" t="str">
        <f>_xlfn.XLOOKUP(transactions[[#This Row],[OpportunityID]],Opportunities[ID],Opportunities[Stage])</f>
        <v>Project Execution</v>
      </c>
      <c r="J287" s="51" t="str">
        <f>_xlfn.XLOOKUP(transactions[[#This Row],[OpportunityID]],Opportunities[ID],Opportunities[OpportunityName])</f>
        <v>Social Media Management Tool</v>
      </c>
      <c r="K287" s="51" t="str">
        <f>_xlfn.XLOOKUP(transactions[[#This Row],[CustomerId]],Customers[Id],Customers[Customer Name])</f>
        <v>Education First</v>
      </c>
      <c r="L287" s="51" t="str">
        <f>_xlfn.XLOOKUP(transactions[[#This Row],[OpportunityID]],Opportunities[ID],Opportunities[OpportunityOwner])</f>
        <v>Maria Coordinator</v>
      </c>
      <c r="M287" s="51" t="str">
        <f ca="1">IF((transactions[[#This Row],[TransactionDate]]-TODAY())&lt;=366,transactions[[#This Row],[FQ]],"Out-year")</f>
        <v>Out-year</v>
      </c>
      <c r="N287" s="55">
        <f>transactions[[#This Row],[UnWeighted]]/1000</f>
        <v>300.96016666666668</v>
      </c>
      <c r="O287" s="55">
        <f>transactions[[#This Row],[Weighted]]/1000</f>
        <v>150.48008333333334</v>
      </c>
      <c r="P287" s="55">
        <f>transactions[[#This Row],[$K Unweighted]]/1000</f>
        <v>0.3009601666666667</v>
      </c>
      <c r="Q287" s="55" t="b">
        <f ca="1">transactions[[#This Row],[TransactionDate]]&gt;TODAY()</f>
        <v>1</v>
      </c>
    </row>
    <row r="288" spans="1:17" x14ac:dyDescent="0.25">
      <c r="A288">
        <v>25</v>
      </c>
      <c r="B288">
        <v>14</v>
      </c>
      <c r="C288" s="31">
        <v>46882</v>
      </c>
      <c r="D28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8" s="51" t="str">
        <f>"CY"&amp;RIGHT(YEAR(transactions[[#This Row],[TransactionDate]]),2)&amp;"-Q"&amp;ROUNDUP(MONTH(transactions[[#This Row],[TransactionDate]])/3, 0)</f>
        <v>CY28-Q2</v>
      </c>
      <c r="F288" s="52">
        <f>transactions[[#This Row],[UnWeighted]]*_xlfn.XLOOKUP(transactions[[#This Row],[OpportunityID]],Opportunities[ID],Opportunities[WinProbabilityValue])</f>
        <v>35076.26666666667</v>
      </c>
      <c r="G288" s="52">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288" s="51" t="str">
        <f>_xlfn.XLOOKUP(transactions[[#This Row],[OpportunityID]],Opportunities[ID],Opportunities[Status])</f>
        <v>Active</v>
      </c>
      <c r="I288" s="51" t="str">
        <f>_xlfn.XLOOKUP(transactions[[#This Row],[OpportunityID]],Opportunities[ID],Opportunities[Stage])</f>
        <v>Lead Qualification</v>
      </c>
      <c r="J288" s="51" t="str">
        <f>_xlfn.XLOOKUP(transactions[[#This Row],[OpportunityID]],Opportunities[ID],Opportunities[OpportunityName])</f>
        <v>Project Management Software</v>
      </c>
      <c r="K288" s="51" t="str">
        <f>_xlfn.XLOOKUP(transactions[[#This Row],[CustomerId]],Customers[Id],Customers[Customer Name])</f>
        <v>Media Communications</v>
      </c>
      <c r="L288" s="51" t="str">
        <f>_xlfn.XLOOKUP(transactions[[#This Row],[OpportunityID]],Opportunities[ID],Opportunities[OpportunityOwner])</f>
        <v>Amanda Sales</v>
      </c>
      <c r="M288" s="51" t="str">
        <f ca="1">IF((transactions[[#This Row],[TransactionDate]]-TODAY())&lt;=366,transactions[[#This Row],[FQ]],"Out-year")</f>
        <v>Out-year</v>
      </c>
      <c r="N288" s="55">
        <f>transactions[[#This Row],[UnWeighted]]/1000</f>
        <v>70.152533333333338</v>
      </c>
      <c r="O288" s="55">
        <f>transactions[[#This Row],[Weighted]]/1000</f>
        <v>35.076266666666669</v>
      </c>
      <c r="P288" s="55">
        <f>transactions[[#This Row],[$K Unweighted]]/1000</f>
        <v>7.0152533333333336E-2</v>
      </c>
      <c r="Q288" s="55" t="b">
        <f ca="1">transactions[[#This Row],[TransactionDate]]&gt;TODAY()</f>
        <v>1</v>
      </c>
    </row>
    <row r="289" spans="1:17" x14ac:dyDescent="0.25">
      <c r="A289">
        <v>17</v>
      </c>
      <c r="B289">
        <v>19</v>
      </c>
      <c r="C289" s="31">
        <v>46882</v>
      </c>
      <c r="D28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9" s="51" t="str">
        <f>"CY"&amp;RIGHT(YEAR(transactions[[#This Row],[TransactionDate]]),2)&amp;"-Q"&amp;ROUNDUP(MONTH(transactions[[#This Row],[TransactionDate]])/3, 0)</f>
        <v>CY28-Q2</v>
      </c>
      <c r="F289" s="52">
        <f>transactions[[#This Row],[UnWeighted]]*_xlfn.XLOOKUP(transactions[[#This Row],[OpportunityID]],Opportunities[ID],Opportunities[WinProbabilityValue])</f>
        <v>9267.2333333333336</v>
      </c>
      <c r="G289"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89" s="51" t="str">
        <f>_xlfn.XLOOKUP(transactions[[#This Row],[OpportunityID]],Opportunities[ID],Opportunities[Status])</f>
        <v>Active</v>
      </c>
      <c r="I289" s="51" t="str">
        <f>_xlfn.XLOOKUP(transactions[[#This Row],[OpportunityID]],Opportunities[ID],Opportunities[Stage])</f>
        <v>Negotiation</v>
      </c>
      <c r="J289" s="51" t="str">
        <f>_xlfn.XLOOKUP(transactions[[#This Row],[OpportunityID]],Opportunities[ID],Opportunities[OpportunityName])</f>
        <v>Supply Chain Optimization</v>
      </c>
      <c r="K289" s="51" t="str">
        <f>_xlfn.XLOOKUP(transactions[[#This Row],[CustomerId]],Customers[Id],Customers[Customer Name])</f>
        <v>Hotel Management Group</v>
      </c>
      <c r="L289" s="51" t="str">
        <f>_xlfn.XLOOKUP(transactions[[#This Row],[OpportunityID]],Opportunities[ID],Opportunities[OpportunityOwner])</f>
        <v>Jennifer PM</v>
      </c>
      <c r="M289" s="51" t="str">
        <f ca="1">IF((transactions[[#This Row],[TransactionDate]]-TODAY())&lt;=366,transactions[[#This Row],[FQ]],"Out-year")</f>
        <v>Out-year</v>
      </c>
      <c r="N289" s="55">
        <f>transactions[[#This Row],[UnWeighted]]/1000</f>
        <v>46.336166666666664</v>
      </c>
      <c r="O289" s="55">
        <f>transactions[[#This Row],[Weighted]]/1000</f>
        <v>9.2672333333333334</v>
      </c>
      <c r="P289" s="55">
        <f>transactions[[#This Row],[$K Unweighted]]/1000</f>
        <v>4.6336166666666664E-2</v>
      </c>
      <c r="Q289" s="55" t="b">
        <f ca="1">transactions[[#This Row],[TransactionDate]]&gt;TODAY()</f>
        <v>1</v>
      </c>
    </row>
    <row r="290" spans="1:17" x14ac:dyDescent="0.25">
      <c r="A290">
        <v>22</v>
      </c>
      <c r="B290">
        <v>11</v>
      </c>
      <c r="C290" s="31">
        <v>46884</v>
      </c>
      <c r="D29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0" s="51" t="str">
        <f>"CY"&amp;RIGHT(YEAR(transactions[[#This Row],[TransactionDate]]),2)&amp;"-Q"&amp;ROUNDUP(MONTH(transactions[[#This Row],[TransactionDate]])/3, 0)</f>
        <v>CY28-Q2</v>
      </c>
      <c r="F290" s="52">
        <f>transactions[[#This Row],[UnWeighted]]*_xlfn.XLOOKUP(transactions[[#This Row],[OpportunityID]],Opportunities[ID],Opportunities[WinProbabilityValue])</f>
        <v>26390.544230769232</v>
      </c>
      <c r="G290"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90" s="51" t="str">
        <f>_xlfn.XLOOKUP(transactions[[#This Row],[OpportunityID]],Opportunities[ID],Opportunities[Status])</f>
        <v>Active</v>
      </c>
      <c r="I290" s="51" t="str">
        <f>_xlfn.XLOOKUP(transactions[[#This Row],[OpportunityID]],Opportunities[ID],Opportunities[Stage])</f>
        <v>Nurturing</v>
      </c>
      <c r="J290" s="51" t="str">
        <f>_xlfn.XLOOKUP(transactions[[#This Row],[OpportunityID]],Opportunities[ID],Opportunities[OpportunityName])</f>
        <v>Inventory Management Solution</v>
      </c>
      <c r="K290" s="51" t="str">
        <f>_xlfn.XLOOKUP(transactions[[#This Row],[CustomerId]],Customers[Id],Customers[Customer Name])</f>
        <v>Transport Logistics</v>
      </c>
      <c r="L290" s="51" t="str">
        <f>_xlfn.XLOOKUP(transactions[[#This Row],[OpportunityID]],Opportunities[ID],Opportunities[OpportunityOwner])</f>
        <v>Sarah Director</v>
      </c>
      <c r="M290" s="51" t="str">
        <f ca="1">IF((transactions[[#This Row],[TransactionDate]]-TODAY())&lt;=366,transactions[[#This Row],[FQ]],"Out-year")</f>
        <v>Out-year</v>
      </c>
      <c r="N290" s="55">
        <f>transactions[[#This Row],[UnWeighted]]/1000</f>
        <v>29.322826923076921</v>
      </c>
      <c r="O290" s="55">
        <f>transactions[[#This Row],[Weighted]]/1000</f>
        <v>26.390544230769233</v>
      </c>
      <c r="P290" s="55">
        <f>transactions[[#This Row],[$K Unweighted]]/1000</f>
        <v>2.932282692307692E-2</v>
      </c>
      <c r="Q290" s="55" t="b">
        <f ca="1">transactions[[#This Row],[TransactionDate]]&gt;TODAY()</f>
        <v>1</v>
      </c>
    </row>
    <row r="291" spans="1:17" x14ac:dyDescent="0.25">
      <c r="A291">
        <v>28</v>
      </c>
      <c r="B291">
        <v>1</v>
      </c>
      <c r="C291" s="31">
        <v>46889</v>
      </c>
      <c r="D29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1" s="51" t="str">
        <f>"CY"&amp;RIGHT(YEAR(transactions[[#This Row],[TransactionDate]]),2)&amp;"-Q"&amp;ROUNDUP(MONTH(transactions[[#This Row],[TransactionDate]])/3, 0)</f>
        <v>CY28-Q2</v>
      </c>
      <c r="F291" s="52">
        <f>transactions[[#This Row],[UnWeighted]]*_xlfn.XLOOKUP(transactions[[#This Row],[OpportunityID]],Opportunities[ID],Opportunities[WinProbabilityValue])</f>
        <v>40447.666666666664</v>
      </c>
      <c r="G291" s="52">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291" s="51" t="str">
        <f>_xlfn.XLOOKUP(transactions[[#This Row],[OpportunityID]],Opportunities[ID],Opportunities[Status])</f>
        <v>Active</v>
      </c>
      <c r="I291" s="51" t="str">
        <f>_xlfn.XLOOKUP(transactions[[#This Row],[OpportunityID]],Opportunities[ID],Opportunities[Stage])</f>
        <v>Lead Qualification</v>
      </c>
      <c r="J291" s="51" t="str">
        <f>_xlfn.XLOOKUP(transactions[[#This Row],[OpportunityID]],Opportunities[ID],Opportunities[OpportunityName])</f>
        <v>Website Redesign Project</v>
      </c>
      <c r="K291" s="51" t="str">
        <f>_xlfn.XLOOKUP(transactions[[#This Row],[CustomerId]],Customers[Id],Customers[Customer Name])</f>
        <v>ACME Corporation</v>
      </c>
      <c r="L291" s="51" t="str">
        <f>_xlfn.XLOOKUP(transactions[[#This Row],[OpportunityID]],Opportunities[ID],Opportunities[OpportunityOwner])</f>
        <v>Lisa Engineer</v>
      </c>
      <c r="M291" s="51" t="str">
        <f ca="1">IF((transactions[[#This Row],[TransactionDate]]-TODAY())&lt;=366,transactions[[#This Row],[FQ]],"Out-year")</f>
        <v>Out-year</v>
      </c>
      <c r="N291" s="55">
        <f>transactions[[#This Row],[UnWeighted]]/1000</f>
        <v>80.895333333333326</v>
      </c>
      <c r="O291" s="55">
        <f>transactions[[#This Row],[Weighted]]/1000</f>
        <v>40.447666666666663</v>
      </c>
      <c r="P291" s="55">
        <f>transactions[[#This Row],[$K Unweighted]]/1000</f>
        <v>8.0895333333333333E-2</v>
      </c>
      <c r="Q291" s="55" t="b">
        <f ca="1">transactions[[#This Row],[TransactionDate]]&gt;TODAY()</f>
        <v>1</v>
      </c>
    </row>
    <row r="292" spans="1:17" x14ac:dyDescent="0.25">
      <c r="A292">
        <v>2</v>
      </c>
      <c r="B292">
        <v>10</v>
      </c>
      <c r="C292" s="31">
        <v>46890</v>
      </c>
      <c r="D29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2" s="51" t="str">
        <f>"CY"&amp;RIGHT(YEAR(transactions[[#This Row],[TransactionDate]]),2)&amp;"-Q"&amp;ROUNDUP(MONTH(transactions[[#This Row],[TransactionDate]])/3, 0)</f>
        <v>CY28-Q2</v>
      </c>
      <c r="F292" s="52">
        <f>transactions[[#This Row],[UnWeighted]]*_xlfn.XLOOKUP(transactions[[#This Row],[OpportunityID]],Opportunities[ID],Opportunities[WinProbabilityValue])</f>
        <v>20720.20930232558</v>
      </c>
      <c r="G292"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92" s="51" t="str">
        <f>_xlfn.XLOOKUP(transactions[[#This Row],[OpportunityID]],Opportunities[ID],Opportunities[Status])</f>
        <v>Active</v>
      </c>
      <c r="I292" s="51" t="str">
        <f>_xlfn.XLOOKUP(transactions[[#This Row],[OpportunityID]],Opportunities[ID],Opportunities[Stage])</f>
        <v>Proposal</v>
      </c>
      <c r="J292" s="51" t="str">
        <f>_xlfn.XLOOKUP(transactions[[#This Row],[OpportunityID]],Opportunities[ID],Opportunities[OpportunityName])</f>
        <v>Cloud Migration Initiative</v>
      </c>
      <c r="K292" s="51" t="str">
        <f>_xlfn.XLOOKUP(transactions[[#This Row],[CustomerId]],Customers[Id],Customers[Customer Name])</f>
        <v>Education First</v>
      </c>
      <c r="L292" s="51" t="str">
        <f>_xlfn.XLOOKUP(transactions[[#This Row],[OpportunityID]],Opportunities[ID],Opportunities[OpportunityOwner])</f>
        <v>Robert Analyst</v>
      </c>
      <c r="M292" s="51" t="str">
        <f ca="1">IF((transactions[[#This Row],[TransactionDate]]-TODAY())&lt;=366,transactions[[#This Row],[FQ]],"Out-year")</f>
        <v>Out-year</v>
      </c>
      <c r="N292" s="55">
        <f>transactions[[#This Row],[UnWeighted]]/1000</f>
        <v>41.440418604651157</v>
      </c>
      <c r="O292" s="55">
        <f>transactions[[#This Row],[Weighted]]/1000</f>
        <v>20.720209302325578</v>
      </c>
      <c r="P292" s="55">
        <f>transactions[[#This Row],[$K Unweighted]]/1000</f>
        <v>4.1440418604651155E-2</v>
      </c>
      <c r="Q292" s="55" t="b">
        <f ca="1">transactions[[#This Row],[TransactionDate]]&gt;TODAY()</f>
        <v>1</v>
      </c>
    </row>
    <row r="293" spans="1:17" x14ac:dyDescent="0.25">
      <c r="A293">
        <v>27</v>
      </c>
      <c r="B293">
        <v>2</v>
      </c>
      <c r="C293" s="31">
        <v>46890</v>
      </c>
      <c r="D29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3" s="51" t="str">
        <f>"CY"&amp;RIGHT(YEAR(transactions[[#This Row],[TransactionDate]]),2)&amp;"-Q"&amp;ROUNDUP(MONTH(transactions[[#This Row],[TransactionDate]])/3, 0)</f>
        <v>CY28-Q2</v>
      </c>
      <c r="F293" s="52">
        <f>transactions[[#This Row],[UnWeighted]]*_xlfn.XLOOKUP(transactions[[#This Row],[OpportunityID]],Opportunities[ID],Opportunities[WinProbabilityValue])</f>
        <v>46287.333333333336</v>
      </c>
      <c r="G293"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293" s="51" t="str">
        <f>_xlfn.XLOOKUP(transactions[[#This Row],[OpportunityID]],Opportunities[ID],Opportunities[Status])</f>
        <v>Active</v>
      </c>
      <c r="I293" s="51" t="str">
        <f>_xlfn.XLOOKUP(transactions[[#This Row],[OpportunityID]],Opportunities[ID],Opportunities[Stage])</f>
        <v>Lead Qualification</v>
      </c>
      <c r="J293" s="51" t="str">
        <f>_xlfn.XLOOKUP(transactions[[#This Row],[OpportunityID]],Opportunities[ID],Opportunities[OpportunityName])</f>
        <v>Backup &amp; Recovery System</v>
      </c>
      <c r="K293" s="51" t="str">
        <f>_xlfn.XLOOKUP(transactions[[#This Row],[CustomerId]],Customers[Id],Customers[Customer Name])</f>
        <v>Global Industries</v>
      </c>
      <c r="L293" s="51" t="str">
        <f>_xlfn.XLOOKUP(transactions[[#This Row],[OpportunityID]],Opportunities[ID],Opportunities[OpportunityOwner])</f>
        <v>Amanda Sales</v>
      </c>
      <c r="M293" s="51" t="str">
        <f ca="1">IF((transactions[[#This Row],[TransactionDate]]-TODAY())&lt;=366,transactions[[#This Row],[FQ]],"Out-year")</f>
        <v>Out-year</v>
      </c>
      <c r="N293" s="55">
        <f>transactions[[#This Row],[UnWeighted]]/1000</f>
        <v>92.574666666666673</v>
      </c>
      <c r="O293" s="55">
        <f>transactions[[#This Row],[Weighted]]/1000</f>
        <v>46.287333333333336</v>
      </c>
      <c r="P293" s="55">
        <f>transactions[[#This Row],[$K Unweighted]]/1000</f>
        <v>9.2574666666666666E-2</v>
      </c>
      <c r="Q293" s="55" t="b">
        <f ca="1">transactions[[#This Row],[TransactionDate]]&gt;TODAY()</f>
        <v>1</v>
      </c>
    </row>
    <row r="294" spans="1:17" x14ac:dyDescent="0.25">
      <c r="A294">
        <v>37</v>
      </c>
      <c r="B294">
        <v>20</v>
      </c>
      <c r="C294" s="31">
        <v>46891</v>
      </c>
      <c r="D29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4" s="51" t="str">
        <f>"CY"&amp;RIGHT(YEAR(transactions[[#This Row],[TransactionDate]]),2)&amp;"-Q"&amp;ROUNDUP(MONTH(transactions[[#This Row],[TransactionDate]])/3, 0)</f>
        <v>CY28-Q2</v>
      </c>
      <c r="F294" s="52">
        <f>transactions[[#This Row],[UnWeighted]]*_xlfn.XLOOKUP(transactions[[#This Row],[OpportunityID]],Opportunities[ID],Opportunities[WinProbabilityValue])</f>
        <v>103010.25</v>
      </c>
      <c r="G294" s="52">
        <f>_xlfn.XLOOKUP(transactions[[#This Row],[OpportunityID]],Opportunities[ID],Opportunities[Amount])/IF(_xlfn.XLOOKUP(transactions[[#This Row],[OpportunityID]],Opportunities[ID],Opportunities[Recurrences])=0,1,_xlfn.XLOOKUP(transactions[[#This Row],[OpportunityID]],Opportunities[ID],Opportunities[Recurrences]))</f>
        <v>206020.5</v>
      </c>
      <c r="H294" s="51" t="str">
        <f>_xlfn.XLOOKUP(transactions[[#This Row],[OpportunityID]],Opportunities[ID],Opportunities[Status])</f>
        <v>Active</v>
      </c>
      <c r="I294" s="51" t="str">
        <f>_xlfn.XLOOKUP(transactions[[#This Row],[OpportunityID]],Opportunities[ID],Opportunities[Stage])</f>
        <v>Nurturing</v>
      </c>
      <c r="J294" s="51" t="str">
        <f>_xlfn.XLOOKUP(transactions[[#This Row],[OpportunityID]],Opportunities[ID],Opportunities[OpportunityName])</f>
        <v>Database Migration Project</v>
      </c>
      <c r="K294" s="51" t="str">
        <f>_xlfn.XLOOKUP(transactions[[#This Row],[CustomerId]],Customers[Id],Customers[Customer Name])</f>
        <v>Automotive Parts Plus</v>
      </c>
      <c r="L294" s="51" t="str">
        <f>_xlfn.XLOOKUP(transactions[[#This Row],[OpportunityID]],Opportunities[ID],Opportunities[OpportunityOwner])</f>
        <v>Lisa Engineer</v>
      </c>
      <c r="M294" s="51" t="str">
        <f ca="1">IF((transactions[[#This Row],[TransactionDate]]-TODAY())&lt;=366,transactions[[#This Row],[FQ]],"Out-year")</f>
        <v>Out-year</v>
      </c>
      <c r="N294" s="55">
        <f>transactions[[#This Row],[UnWeighted]]/1000</f>
        <v>206.0205</v>
      </c>
      <c r="O294" s="55">
        <f>transactions[[#This Row],[Weighted]]/1000</f>
        <v>103.01025</v>
      </c>
      <c r="P294" s="55">
        <f>transactions[[#This Row],[$K Unweighted]]/1000</f>
        <v>0.2060205</v>
      </c>
      <c r="Q294" s="55" t="b">
        <f ca="1">transactions[[#This Row],[TransactionDate]]&gt;TODAY()</f>
        <v>1</v>
      </c>
    </row>
    <row r="295" spans="1:17" x14ac:dyDescent="0.25">
      <c r="A295">
        <v>23</v>
      </c>
      <c r="B295">
        <v>11</v>
      </c>
      <c r="C295" s="31">
        <v>46893</v>
      </c>
      <c r="D29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5" s="51" t="str">
        <f>"CY"&amp;RIGHT(YEAR(transactions[[#This Row],[TransactionDate]]),2)&amp;"-Q"&amp;ROUNDUP(MONTH(transactions[[#This Row],[TransactionDate]])/3, 0)</f>
        <v>CY28-Q2</v>
      </c>
      <c r="F295" s="52">
        <f>transactions[[#This Row],[UnWeighted]]*_xlfn.XLOOKUP(transactions[[#This Row],[OpportunityID]],Opportunities[ID],Opportunities[WinProbabilityValue])</f>
        <v>25249.37777777778</v>
      </c>
      <c r="G295" s="52">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295" s="51" t="str">
        <f>_xlfn.XLOOKUP(transactions[[#This Row],[OpportunityID]],Opportunities[ID],Opportunities[Status])</f>
        <v>Critical</v>
      </c>
      <c r="I295" s="51" t="str">
        <f>_xlfn.XLOOKUP(transactions[[#This Row],[OpportunityID]],Opportunities[ID],Opportunities[Stage])</f>
        <v>Negotiation</v>
      </c>
      <c r="J295" s="51" t="str">
        <f>_xlfn.XLOOKUP(transactions[[#This Row],[OpportunityID]],Opportunities[ID],Opportunities[OpportunityName])</f>
        <v>Point of Sale System</v>
      </c>
      <c r="K295" s="51" t="str">
        <f>_xlfn.XLOOKUP(transactions[[#This Row],[CustomerId]],Customers[Id],Customers[Customer Name])</f>
        <v>Transport Logistics</v>
      </c>
      <c r="L295" s="51" t="str">
        <f>_xlfn.XLOOKUP(transactions[[#This Row],[OpportunityID]],Opportunities[ID],Opportunities[OpportunityOwner])</f>
        <v>David Specialist</v>
      </c>
      <c r="M295" s="51" t="str">
        <f ca="1">IF((transactions[[#This Row],[TransactionDate]]-TODAY())&lt;=366,transactions[[#This Row],[FQ]],"Out-year")</f>
        <v>Out-year</v>
      </c>
      <c r="N295" s="55">
        <f>transactions[[#This Row],[UnWeighted]]/1000</f>
        <v>126.24688888888889</v>
      </c>
      <c r="O295" s="55">
        <f>transactions[[#This Row],[Weighted]]/1000</f>
        <v>25.249377777777781</v>
      </c>
      <c r="P295" s="55">
        <f>transactions[[#This Row],[$K Unweighted]]/1000</f>
        <v>0.12624688888888888</v>
      </c>
      <c r="Q295" s="55" t="b">
        <f ca="1">transactions[[#This Row],[TransactionDate]]&gt;TODAY()</f>
        <v>1</v>
      </c>
    </row>
    <row r="296" spans="1:17" x14ac:dyDescent="0.25">
      <c r="A296">
        <v>31</v>
      </c>
      <c r="B296">
        <v>15</v>
      </c>
      <c r="C296" s="31">
        <v>46895</v>
      </c>
      <c r="D29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6" s="51" t="str">
        <f>"CY"&amp;RIGHT(YEAR(transactions[[#This Row],[TransactionDate]]),2)&amp;"-Q"&amp;ROUNDUP(MONTH(transactions[[#This Row],[TransactionDate]])/3, 0)</f>
        <v>CY28-Q2</v>
      </c>
      <c r="F296" s="52">
        <f>transactions[[#This Row],[UnWeighted]]*_xlfn.XLOOKUP(transactions[[#This Row],[OpportunityID]],Opportunities[ID],Opportunities[WinProbabilityValue])</f>
        <v>19221.625</v>
      </c>
      <c r="G296" s="52">
        <f>_xlfn.XLOOKUP(transactions[[#This Row],[OpportunityID]],Opportunities[ID],Opportunities[Amount])/IF(_xlfn.XLOOKUP(transactions[[#This Row],[OpportunityID]],Opportunities[ID],Opportunities[Recurrences])=0,1,_xlfn.XLOOKUP(transactions[[#This Row],[OpportunityID]],Opportunities[ID],Opportunities[Recurrences]))</f>
        <v>96108.125</v>
      </c>
      <c r="H296" s="51" t="str">
        <f>_xlfn.XLOOKUP(transactions[[#This Row],[OpportunityID]],Opportunities[ID],Opportunities[Status])</f>
        <v>At Risk</v>
      </c>
      <c r="I296" s="51" t="str">
        <f>_xlfn.XLOOKUP(transactions[[#This Row],[OpportunityID]],Opportunities[ID],Opportunities[Stage])</f>
        <v>Negotiation</v>
      </c>
      <c r="J296" s="51" t="str">
        <f>_xlfn.XLOOKUP(transactions[[#This Row],[OpportunityID]],Opportunities[ID],Opportunities[OpportunityName])</f>
        <v>Fleet Management System</v>
      </c>
      <c r="K296" s="51" t="str">
        <f>_xlfn.XLOOKUP(transactions[[#This Row],[CustomerId]],Customers[Id],Customers[Customer Name])</f>
        <v>Pharmaceutical Research</v>
      </c>
      <c r="L296" s="51" t="str">
        <f>_xlfn.XLOOKUP(transactions[[#This Row],[OpportunityID]],Opportunities[ID],Opportunities[OpportunityOwner])</f>
        <v>Amanda Sales</v>
      </c>
      <c r="M296" s="51" t="str">
        <f ca="1">IF((transactions[[#This Row],[TransactionDate]]-TODAY())&lt;=366,transactions[[#This Row],[FQ]],"Out-year")</f>
        <v>Out-year</v>
      </c>
      <c r="N296" s="55">
        <f>transactions[[#This Row],[UnWeighted]]/1000</f>
        <v>96.108125000000001</v>
      </c>
      <c r="O296" s="55">
        <f>transactions[[#This Row],[Weighted]]/1000</f>
        <v>19.221625</v>
      </c>
      <c r="P296" s="55">
        <f>transactions[[#This Row],[$K Unweighted]]/1000</f>
        <v>9.6108125000000003E-2</v>
      </c>
      <c r="Q296" s="55" t="b">
        <f ca="1">transactions[[#This Row],[TransactionDate]]&gt;TODAY()</f>
        <v>1</v>
      </c>
    </row>
    <row r="297" spans="1:17" x14ac:dyDescent="0.25">
      <c r="A297">
        <v>13</v>
      </c>
      <c r="B297">
        <v>2</v>
      </c>
      <c r="C297" s="31">
        <v>46895</v>
      </c>
      <c r="D29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7" s="51" t="str">
        <f>"CY"&amp;RIGHT(YEAR(transactions[[#This Row],[TransactionDate]]),2)&amp;"-Q"&amp;ROUNDUP(MONTH(transactions[[#This Row],[TransactionDate]])/3, 0)</f>
        <v>CY28-Q2</v>
      </c>
      <c r="F297" s="52">
        <f>transactions[[#This Row],[UnWeighted]]*_xlfn.XLOOKUP(transactions[[#This Row],[OpportunityID]],Opportunities[ID],Opportunities[WinProbabilityValue])</f>
        <v>12618.744897959185</v>
      </c>
      <c r="G297"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97" s="51" t="str">
        <f>_xlfn.XLOOKUP(transactions[[#This Row],[OpportunityID]],Opportunities[ID],Opportunities[Status])</f>
        <v>Active</v>
      </c>
      <c r="I297" s="51" t="str">
        <f>_xlfn.XLOOKUP(transactions[[#This Row],[OpportunityID]],Opportunities[ID],Opportunities[Stage])</f>
        <v>Negotiation</v>
      </c>
      <c r="J297" s="51" t="str">
        <f>_xlfn.XLOOKUP(transactions[[#This Row],[OpportunityID]],Opportunities[ID],Opportunities[OpportunityName])</f>
        <v>E-commerce Platform</v>
      </c>
      <c r="K297" s="51" t="str">
        <f>_xlfn.XLOOKUP(transactions[[#This Row],[CustomerId]],Customers[Id],Customers[Customer Name])</f>
        <v>Global Industries</v>
      </c>
      <c r="L297" s="51" t="str">
        <f>_xlfn.XLOOKUP(transactions[[#This Row],[OpportunityID]],Opportunities[ID],Opportunities[OpportunityOwner])</f>
        <v>Lisa Engineer</v>
      </c>
      <c r="M297" s="51" t="str">
        <f ca="1">IF((transactions[[#This Row],[TransactionDate]]-TODAY())&lt;=366,transactions[[#This Row],[FQ]],"Out-year")</f>
        <v>Out-year</v>
      </c>
      <c r="N297" s="55">
        <f>transactions[[#This Row],[UnWeighted]]/1000</f>
        <v>25.237489795918368</v>
      </c>
      <c r="O297" s="55">
        <f>transactions[[#This Row],[Weighted]]/1000</f>
        <v>12.618744897959184</v>
      </c>
      <c r="P297" s="55">
        <f>transactions[[#This Row],[$K Unweighted]]/1000</f>
        <v>2.5237489795918368E-2</v>
      </c>
      <c r="Q297" s="55" t="b">
        <f ca="1">transactions[[#This Row],[TransactionDate]]&gt;TODAY()</f>
        <v>1</v>
      </c>
    </row>
    <row r="298" spans="1:17" x14ac:dyDescent="0.25">
      <c r="A298">
        <v>26</v>
      </c>
      <c r="B298">
        <v>1</v>
      </c>
      <c r="C298" s="31">
        <v>46905</v>
      </c>
      <c r="D29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8" s="51" t="str">
        <f>"CY"&amp;RIGHT(YEAR(transactions[[#This Row],[TransactionDate]]),2)&amp;"-Q"&amp;ROUNDUP(MONTH(transactions[[#This Row],[TransactionDate]])/3, 0)</f>
        <v>CY28-Q2</v>
      </c>
      <c r="F298" s="52">
        <f>transactions[[#This Row],[UnWeighted]]*_xlfn.XLOOKUP(transactions[[#This Row],[OpportunityID]],Opportunities[ID],Opportunities[WinProbabilityValue])</f>
        <v>11339.638888888889</v>
      </c>
      <c r="G298"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98" s="51" t="str">
        <f>_xlfn.XLOOKUP(transactions[[#This Row],[OpportunityID]],Opportunities[ID],Opportunities[Status])</f>
        <v>Active</v>
      </c>
      <c r="I298" s="51" t="str">
        <f>_xlfn.XLOOKUP(transactions[[#This Row],[OpportunityID]],Opportunities[ID],Opportunities[Stage])</f>
        <v>Negotiation</v>
      </c>
      <c r="J298" s="51" t="str">
        <f>_xlfn.XLOOKUP(transactions[[#This Row],[OpportunityID]],Opportunities[ID],Opportunities[OpportunityName])</f>
        <v>Video Conferencing Solution</v>
      </c>
      <c r="K298" s="51" t="str">
        <f>_xlfn.XLOOKUP(transactions[[#This Row],[CustomerId]],Customers[Id],Customers[Customer Name])</f>
        <v>ACME Corporation</v>
      </c>
      <c r="L298" s="51" t="str">
        <f>_xlfn.XLOOKUP(transactions[[#This Row],[OpportunityID]],Opportunities[ID],Opportunities[OpportunityOwner])</f>
        <v>Mike Consultant</v>
      </c>
      <c r="M298" s="51" t="str">
        <f ca="1">IF((transactions[[#This Row],[TransactionDate]]-TODAY())&lt;=366,transactions[[#This Row],[FQ]],"Out-year")</f>
        <v>Out-year</v>
      </c>
      <c r="N298" s="55">
        <f>transactions[[#This Row],[UnWeighted]]/1000</f>
        <v>22.679277777777777</v>
      </c>
      <c r="O298" s="55">
        <f>transactions[[#This Row],[Weighted]]/1000</f>
        <v>11.339638888888889</v>
      </c>
      <c r="P298" s="55">
        <f>transactions[[#This Row],[$K Unweighted]]/1000</f>
        <v>2.2679277777777777E-2</v>
      </c>
      <c r="Q298" s="55" t="b">
        <f ca="1">transactions[[#This Row],[TransactionDate]]&gt;TODAY()</f>
        <v>1</v>
      </c>
    </row>
    <row r="299" spans="1:17" x14ac:dyDescent="0.25">
      <c r="A299">
        <v>8</v>
      </c>
      <c r="B299">
        <v>13</v>
      </c>
      <c r="C299" s="31">
        <v>46906</v>
      </c>
      <c r="D29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9" s="51" t="str">
        <f>"CY"&amp;RIGHT(YEAR(transactions[[#This Row],[TransactionDate]]),2)&amp;"-Q"&amp;ROUNDUP(MONTH(transactions[[#This Row],[TransactionDate]])/3, 0)</f>
        <v>CY28-Q2</v>
      </c>
      <c r="F299" s="52">
        <f>transactions[[#This Row],[UnWeighted]]*_xlfn.XLOOKUP(transactions[[#This Row],[OpportunityID]],Opportunities[ID],Opportunities[WinProbabilityValue])</f>
        <v>62725.125</v>
      </c>
      <c r="G299" s="52">
        <f>_xlfn.XLOOKUP(transactions[[#This Row],[OpportunityID]],Opportunities[ID],Opportunities[Amount])/IF(_xlfn.XLOOKUP(transactions[[#This Row],[OpportunityID]],Opportunities[ID],Opportunities[Recurrences])=0,1,_xlfn.XLOOKUP(transactions[[#This Row],[OpportunityID]],Opportunities[ID],Opportunities[Recurrences]))</f>
        <v>125450.25</v>
      </c>
      <c r="H299" s="51" t="str">
        <f>_xlfn.XLOOKUP(transactions[[#This Row],[OpportunityID]],Opportunities[ID],Opportunities[Status])</f>
        <v>Active</v>
      </c>
      <c r="I299" s="51" t="str">
        <f>_xlfn.XLOOKUP(transactions[[#This Row],[OpportunityID]],Opportunities[ID],Opportunities[Stage])</f>
        <v>Closeout</v>
      </c>
      <c r="J299" s="51" t="str">
        <f>_xlfn.XLOOKUP(transactions[[#This Row],[OpportunityID]],Opportunities[ID],Opportunities[OpportunityName])</f>
        <v>Business Intelligence Solution</v>
      </c>
      <c r="K299" s="51" t="str">
        <f>_xlfn.XLOOKUP(transactions[[#This Row],[CustomerId]],Customers[Id],Customers[Customer Name])</f>
        <v>Professional Services Group</v>
      </c>
      <c r="L299" s="51" t="str">
        <f>_xlfn.XLOOKUP(transactions[[#This Row],[OpportunityID]],Opportunities[ID],Opportunities[OpportunityOwner])</f>
        <v>Sarah Director</v>
      </c>
      <c r="M299" s="51" t="str">
        <f ca="1">IF((transactions[[#This Row],[TransactionDate]]-TODAY())&lt;=366,transactions[[#This Row],[FQ]],"Out-year")</f>
        <v>Out-year</v>
      </c>
      <c r="N299" s="55">
        <f>transactions[[#This Row],[UnWeighted]]/1000</f>
        <v>125.45025</v>
      </c>
      <c r="O299" s="55">
        <f>transactions[[#This Row],[Weighted]]/1000</f>
        <v>62.725124999999998</v>
      </c>
      <c r="P299" s="55">
        <f>transactions[[#This Row],[$K Unweighted]]/1000</f>
        <v>0.12545024999999999</v>
      </c>
      <c r="Q299" s="55" t="b">
        <f ca="1">transactions[[#This Row],[TransactionDate]]&gt;TODAY()</f>
        <v>1</v>
      </c>
    </row>
    <row r="300" spans="1:17" x14ac:dyDescent="0.25">
      <c r="A300">
        <v>39</v>
      </c>
      <c r="B300">
        <v>3</v>
      </c>
      <c r="C300" s="31">
        <v>46907</v>
      </c>
      <c r="D30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0" s="51" t="str">
        <f>"CY"&amp;RIGHT(YEAR(transactions[[#This Row],[TransactionDate]]),2)&amp;"-Q"&amp;ROUNDUP(MONTH(transactions[[#This Row],[TransactionDate]])/3, 0)</f>
        <v>CY28-Q2</v>
      </c>
      <c r="F300" s="52">
        <f>transactions[[#This Row],[UnWeighted]]*_xlfn.XLOOKUP(transactions[[#This Row],[OpportunityID]],Opportunities[ID],Opportunities[WinProbabilityValue])</f>
        <v>20929.153846153848</v>
      </c>
      <c r="G300"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00" s="51" t="str">
        <f>_xlfn.XLOOKUP(transactions[[#This Row],[OpportunityID]],Opportunities[ID],Opportunities[Status])</f>
        <v>Active</v>
      </c>
      <c r="I300" s="51" t="str">
        <f>_xlfn.XLOOKUP(transactions[[#This Row],[OpportunityID]],Opportunities[ID],Opportunities[Stage])</f>
        <v>Project Execution</v>
      </c>
      <c r="J300" s="51" t="str">
        <f>_xlfn.XLOOKUP(transactions[[#This Row],[OpportunityID]],Opportunities[ID],Opportunities[OpportunityName])</f>
        <v>API Development Project</v>
      </c>
      <c r="K300" s="51" t="str">
        <f>_xlfn.XLOOKUP(transactions[[#This Row],[CustomerId]],Customers[Id],Customers[Customer Name])</f>
        <v>Tech Solutions Inc</v>
      </c>
      <c r="L300" s="51" t="str">
        <f>_xlfn.XLOOKUP(transactions[[#This Row],[OpportunityID]],Opportunities[ID],Opportunities[OpportunityOwner])</f>
        <v>Jennifer PM</v>
      </c>
      <c r="M300" s="51" t="str">
        <f ca="1">IF((transactions[[#This Row],[TransactionDate]]-TODAY())&lt;=366,transactions[[#This Row],[FQ]],"Out-year")</f>
        <v>Out-year</v>
      </c>
      <c r="N300" s="55">
        <f>transactions[[#This Row],[UnWeighted]]/1000</f>
        <v>41.858307692307697</v>
      </c>
      <c r="O300" s="55">
        <f>transactions[[#This Row],[Weighted]]/1000</f>
        <v>20.929153846153849</v>
      </c>
      <c r="P300" s="55">
        <f>transactions[[#This Row],[$K Unweighted]]/1000</f>
        <v>4.1858307692307695E-2</v>
      </c>
      <c r="Q300" s="55" t="b">
        <f ca="1">transactions[[#This Row],[TransactionDate]]&gt;TODAY()</f>
        <v>1</v>
      </c>
    </row>
    <row r="301" spans="1:17" x14ac:dyDescent="0.25">
      <c r="A301">
        <v>36</v>
      </c>
      <c r="B301">
        <v>1</v>
      </c>
      <c r="C301" s="31">
        <v>46910</v>
      </c>
      <c r="D30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1" s="51" t="str">
        <f>"CY"&amp;RIGHT(YEAR(transactions[[#This Row],[TransactionDate]]),2)&amp;"-Q"&amp;ROUNDUP(MONTH(transactions[[#This Row],[TransactionDate]])/3, 0)</f>
        <v>CY28-Q2</v>
      </c>
      <c r="F301" s="52">
        <f>transactions[[#This Row],[UnWeighted]]*_xlfn.XLOOKUP(transactions[[#This Row],[OpportunityID]],Opportunities[ID],Opportunities[WinProbabilityValue])</f>
        <v>24983.895833333332</v>
      </c>
      <c r="G301"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01" s="51" t="str">
        <f>_xlfn.XLOOKUP(transactions[[#This Row],[OpportunityID]],Opportunities[ID],Opportunities[Status])</f>
        <v>Active</v>
      </c>
      <c r="I301" s="51" t="str">
        <f>_xlfn.XLOOKUP(transactions[[#This Row],[OpportunityID]],Opportunities[ID],Opportunities[Stage])</f>
        <v>Lead Qualification</v>
      </c>
      <c r="J301" s="51" t="str">
        <f>_xlfn.XLOOKUP(transactions[[#This Row],[OpportunityID]],Opportunities[ID],Opportunities[OpportunityName])</f>
        <v>Integration Services Project</v>
      </c>
      <c r="K301" s="51" t="str">
        <f>_xlfn.XLOOKUP(transactions[[#This Row],[CustomerId]],Customers[Id],Customers[Customer Name])</f>
        <v>ACME Corporation</v>
      </c>
      <c r="L301" s="51" t="str">
        <f>_xlfn.XLOOKUP(transactions[[#This Row],[OpportunityID]],Opportunities[ID],Opportunities[OpportunityOwner])</f>
        <v>Amanda Sales</v>
      </c>
      <c r="M301" s="51" t="str">
        <f ca="1">IF((transactions[[#This Row],[TransactionDate]]-TODAY())&lt;=366,transactions[[#This Row],[FQ]],"Out-year")</f>
        <v>Out-year</v>
      </c>
      <c r="N301" s="55">
        <f>transactions[[#This Row],[UnWeighted]]/1000</f>
        <v>49.967791666666663</v>
      </c>
      <c r="O301" s="55">
        <f>transactions[[#This Row],[Weighted]]/1000</f>
        <v>24.983895833333332</v>
      </c>
      <c r="P301" s="55">
        <f>transactions[[#This Row],[$K Unweighted]]/1000</f>
        <v>4.9967791666666664E-2</v>
      </c>
      <c r="Q301" s="55" t="b">
        <f ca="1">transactions[[#This Row],[TransactionDate]]&gt;TODAY()</f>
        <v>1</v>
      </c>
    </row>
    <row r="302" spans="1:17" x14ac:dyDescent="0.25">
      <c r="A302">
        <v>15</v>
      </c>
      <c r="B302">
        <v>24</v>
      </c>
      <c r="C302" s="31">
        <v>46911</v>
      </c>
      <c r="D30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2" s="51" t="str">
        <f>"CY"&amp;RIGHT(YEAR(transactions[[#This Row],[TransactionDate]]),2)&amp;"-Q"&amp;ROUNDUP(MONTH(transactions[[#This Row],[TransactionDate]])/3, 0)</f>
        <v>CY28-Q2</v>
      </c>
      <c r="F302" s="52">
        <f>transactions[[#This Row],[UnWeighted]]*_xlfn.XLOOKUP(transactions[[#This Row],[OpportunityID]],Opportunities[ID],Opportunities[WinProbabilityValue])</f>
        <v>29217.197872340425</v>
      </c>
      <c r="G302"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02" s="51" t="str">
        <f>_xlfn.XLOOKUP(transactions[[#This Row],[OpportunityID]],Opportunities[ID],Opportunities[Status])</f>
        <v>Active</v>
      </c>
      <c r="I302" s="51" t="str">
        <f>_xlfn.XLOOKUP(transactions[[#This Row],[OpportunityID]],Opportunities[ID],Opportunities[Stage])</f>
        <v>Project Execution</v>
      </c>
      <c r="J302" s="51" t="str">
        <f>_xlfn.XLOOKUP(transactions[[#This Row],[OpportunityID]],Opportunities[ID],Opportunities[OpportunityName])</f>
        <v>Training &amp; Development Program</v>
      </c>
      <c r="K302" s="51" t="str">
        <f>_xlfn.XLOOKUP(transactions[[#This Row],[CustomerId]],Customers[Id],Customers[Customer Name])</f>
        <v>Security Solutions</v>
      </c>
      <c r="L302" s="51" t="str">
        <f>_xlfn.XLOOKUP(transactions[[#This Row],[OpportunityID]],Opportunities[ID],Opportunities[OpportunityOwner])</f>
        <v>Sarah Director</v>
      </c>
      <c r="M302" s="51" t="str">
        <f ca="1">IF((transactions[[#This Row],[TransactionDate]]-TODAY())&lt;=366,transactions[[#This Row],[FQ]],"Out-year")</f>
        <v>Out-year</v>
      </c>
      <c r="N302" s="55">
        <f>transactions[[#This Row],[UnWeighted]]/1000</f>
        <v>32.46355319148936</v>
      </c>
      <c r="O302" s="55">
        <f>transactions[[#This Row],[Weighted]]/1000</f>
        <v>29.217197872340424</v>
      </c>
      <c r="P302" s="55">
        <f>transactions[[#This Row],[$K Unweighted]]/1000</f>
        <v>3.2463553191489358E-2</v>
      </c>
      <c r="Q302" s="55" t="b">
        <f ca="1">transactions[[#This Row],[TransactionDate]]&gt;TODAY()</f>
        <v>1</v>
      </c>
    </row>
    <row r="303" spans="1:17" x14ac:dyDescent="0.25">
      <c r="A303">
        <v>17</v>
      </c>
      <c r="B303">
        <v>19</v>
      </c>
      <c r="C303" s="31">
        <v>46913</v>
      </c>
      <c r="D30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3" s="51" t="str">
        <f>"CY"&amp;RIGHT(YEAR(transactions[[#This Row],[TransactionDate]]),2)&amp;"-Q"&amp;ROUNDUP(MONTH(transactions[[#This Row],[TransactionDate]])/3, 0)</f>
        <v>CY28-Q2</v>
      </c>
      <c r="F303" s="52">
        <f>transactions[[#This Row],[UnWeighted]]*_xlfn.XLOOKUP(transactions[[#This Row],[OpportunityID]],Opportunities[ID],Opportunities[WinProbabilityValue])</f>
        <v>9267.2333333333336</v>
      </c>
      <c r="G303"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03" s="51" t="str">
        <f>_xlfn.XLOOKUP(transactions[[#This Row],[OpportunityID]],Opportunities[ID],Opportunities[Status])</f>
        <v>Active</v>
      </c>
      <c r="I303" s="51" t="str">
        <f>_xlfn.XLOOKUP(transactions[[#This Row],[OpportunityID]],Opportunities[ID],Opportunities[Stage])</f>
        <v>Negotiation</v>
      </c>
      <c r="J303" s="51" t="str">
        <f>_xlfn.XLOOKUP(transactions[[#This Row],[OpportunityID]],Opportunities[ID],Opportunities[OpportunityName])</f>
        <v>Supply Chain Optimization</v>
      </c>
      <c r="K303" s="51" t="str">
        <f>_xlfn.XLOOKUP(transactions[[#This Row],[CustomerId]],Customers[Id],Customers[Customer Name])</f>
        <v>Hotel Management Group</v>
      </c>
      <c r="L303" s="51" t="str">
        <f>_xlfn.XLOOKUP(transactions[[#This Row],[OpportunityID]],Opportunities[ID],Opportunities[OpportunityOwner])</f>
        <v>Jennifer PM</v>
      </c>
      <c r="M303" s="51" t="str">
        <f ca="1">IF((transactions[[#This Row],[TransactionDate]]-TODAY())&lt;=366,transactions[[#This Row],[FQ]],"Out-year")</f>
        <v>Out-year</v>
      </c>
      <c r="N303" s="55">
        <f>transactions[[#This Row],[UnWeighted]]/1000</f>
        <v>46.336166666666664</v>
      </c>
      <c r="O303" s="55">
        <f>transactions[[#This Row],[Weighted]]/1000</f>
        <v>9.2672333333333334</v>
      </c>
      <c r="P303" s="55">
        <f>transactions[[#This Row],[$K Unweighted]]/1000</f>
        <v>4.6336166666666664E-2</v>
      </c>
      <c r="Q303" s="55" t="b">
        <f ca="1">transactions[[#This Row],[TransactionDate]]&gt;TODAY()</f>
        <v>1</v>
      </c>
    </row>
    <row r="304" spans="1:17" x14ac:dyDescent="0.25">
      <c r="A304">
        <v>22</v>
      </c>
      <c r="B304">
        <v>11</v>
      </c>
      <c r="C304" s="31">
        <v>46915</v>
      </c>
      <c r="D30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4" s="51" t="str">
        <f>"CY"&amp;RIGHT(YEAR(transactions[[#This Row],[TransactionDate]]),2)&amp;"-Q"&amp;ROUNDUP(MONTH(transactions[[#This Row],[TransactionDate]])/3, 0)</f>
        <v>CY28-Q2</v>
      </c>
      <c r="F304" s="52">
        <f>transactions[[#This Row],[UnWeighted]]*_xlfn.XLOOKUP(transactions[[#This Row],[OpportunityID]],Opportunities[ID],Opportunities[WinProbabilityValue])</f>
        <v>26390.544230769232</v>
      </c>
      <c r="G304"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04" s="51" t="str">
        <f>_xlfn.XLOOKUP(transactions[[#This Row],[OpportunityID]],Opportunities[ID],Opportunities[Status])</f>
        <v>Active</v>
      </c>
      <c r="I304" s="51" t="str">
        <f>_xlfn.XLOOKUP(transactions[[#This Row],[OpportunityID]],Opportunities[ID],Opportunities[Stage])</f>
        <v>Nurturing</v>
      </c>
      <c r="J304" s="51" t="str">
        <f>_xlfn.XLOOKUP(transactions[[#This Row],[OpportunityID]],Opportunities[ID],Opportunities[OpportunityName])</f>
        <v>Inventory Management Solution</v>
      </c>
      <c r="K304" s="51" t="str">
        <f>_xlfn.XLOOKUP(transactions[[#This Row],[CustomerId]],Customers[Id],Customers[Customer Name])</f>
        <v>Transport Logistics</v>
      </c>
      <c r="L304" s="51" t="str">
        <f>_xlfn.XLOOKUP(transactions[[#This Row],[OpportunityID]],Opportunities[ID],Opportunities[OpportunityOwner])</f>
        <v>Sarah Director</v>
      </c>
      <c r="M304" s="51" t="str">
        <f ca="1">IF((transactions[[#This Row],[TransactionDate]]-TODAY())&lt;=366,transactions[[#This Row],[FQ]],"Out-year")</f>
        <v>Out-year</v>
      </c>
      <c r="N304" s="55">
        <f>transactions[[#This Row],[UnWeighted]]/1000</f>
        <v>29.322826923076921</v>
      </c>
      <c r="O304" s="55">
        <f>transactions[[#This Row],[Weighted]]/1000</f>
        <v>26.390544230769233</v>
      </c>
      <c r="P304" s="55">
        <f>transactions[[#This Row],[$K Unweighted]]/1000</f>
        <v>2.932282692307692E-2</v>
      </c>
      <c r="Q304" s="55" t="b">
        <f ca="1">transactions[[#This Row],[TransactionDate]]&gt;TODAY()</f>
        <v>1</v>
      </c>
    </row>
    <row r="305" spans="1:17" x14ac:dyDescent="0.25">
      <c r="A305">
        <v>2</v>
      </c>
      <c r="B305">
        <v>10</v>
      </c>
      <c r="C305" s="31">
        <v>46921</v>
      </c>
      <c r="D30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5" s="51" t="str">
        <f>"CY"&amp;RIGHT(YEAR(transactions[[#This Row],[TransactionDate]]),2)&amp;"-Q"&amp;ROUNDUP(MONTH(transactions[[#This Row],[TransactionDate]])/3, 0)</f>
        <v>CY28-Q2</v>
      </c>
      <c r="F305" s="52">
        <f>transactions[[#This Row],[UnWeighted]]*_xlfn.XLOOKUP(transactions[[#This Row],[OpportunityID]],Opportunities[ID],Opportunities[WinProbabilityValue])</f>
        <v>20720.20930232558</v>
      </c>
      <c r="G305"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05" s="51" t="str">
        <f>_xlfn.XLOOKUP(transactions[[#This Row],[OpportunityID]],Opportunities[ID],Opportunities[Status])</f>
        <v>Active</v>
      </c>
      <c r="I305" s="51" t="str">
        <f>_xlfn.XLOOKUP(transactions[[#This Row],[OpportunityID]],Opportunities[ID],Opportunities[Stage])</f>
        <v>Proposal</v>
      </c>
      <c r="J305" s="51" t="str">
        <f>_xlfn.XLOOKUP(transactions[[#This Row],[OpportunityID]],Opportunities[ID],Opportunities[OpportunityName])</f>
        <v>Cloud Migration Initiative</v>
      </c>
      <c r="K305" s="51" t="str">
        <f>_xlfn.XLOOKUP(transactions[[#This Row],[CustomerId]],Customers[Id],Customers[Customer Name])</f>
        <v>Education First</v>
      </c>
      <c r="L305" s="51" t="str">
        <f>_xlfn.XLOOKUP(transactions[[#This Row],[OpportunityID]],Opportunities[ID],Opportunities[OpportunityOwner])</f>
        <v>Robert Analyst</v>
      </c>
      <c r="M305" s="51" t="str">
        <f ca="1">IF((transactions[[#This Row],[TransactionDate]]-TODAY())&lt;=366,transactions[[#This Row],[FQ]],"Out-year")</f>
        <v>Out-year</v>
      </c>
      <c r="N305" s="55">
        <f>transactions[[#This Row],[UnWeighted]]/1000</f>
        <v>41.440418604651157</v>
      </c>
      <c r="O305" s="55">
        <f>transactions[[#This Row],[Weighted]]/1000</f>
        <v>20.720209302325578</v>
      </c>
      <c r="P305" s="55">
        <f>transactions[[#This Row],[$K Unweighted]]/1000</f>
        <v>4.1440418604651155E-2</v>
      </c>
      <c r="Q305" s="55" t="b">
        <f ca="1">transactions[[#This Row],[TransactionDate]]&gt;TODAY()</f>
        <v>1</v>
      </c>
    </row>
    <row r="306" spans="1:17" x14ac:dyDescent="0.25">
      <c r="A306">
        <v>1</v>
      </c>
      <c r="B306">
        <v>18</v>
      </c>
      <c r="C306" s="31">
        <v>46921</v>
      </c>
      <c r="D30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6" s="51" t="str">
        <f>"CY"&amp;RIGHT(YEAR(transactions[[#This Row],[TransactionDate]]),2)&amp;"-Q"&amp;ROUNDUP(MONTH(transactions[[#This Row],[TransactionDate]])/3, 0)</f>
        <v>CY28-Q2</v>
      </c>
      <c r="F306" s="52">
        <f>transactions[[#This Row],[UnWeighted]]*_xlfn.XLOOKUP(transactions[[#This Row],[OpportunityID]],Opportunities[ID],Opportunities[WinProbabilityValue])</f>
        <v>49601.433333333334</v>
      </c>
      <c r="G306" s="52">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306" s="51" t="str">
        <f>_xlfn.XLOOKUP(transactions[[#This Row],[OpportunityID]],Opportunities[ID],Opportunities[Status])</f>
        <v>Active</v>
      </c>
      <c r="I306" s="51" t="str">
        <f>_xlfn.XLOOKUP(transactions[[#This Row],[OpportunityID]],Opportunities[ID],Opportunities[Stage])</f>
        <v>Lead Qualification</v>
      </c>
      <c r="J306" s="51" t="str">
        <f>_xlfn.XLOOKUP(transactions[[#This Row],[OpportunityID]],Opportunities[ID],Opportunities[OpportunityName])</f>
        <v>ERP Implementation Project</v>
      </c>
      <c r="K306" s="51" t="str">
        <f>_xlfn.XLOOKUP(transactions[[#This Row],[CustomerId]],Customers[Id],Customers[Customer Name])</f>
        <v>Agricultural Systems</v>
      </c>
      <c r="L306" s="51" t="str">
        <f>_xlfn.XLOOKUP(transactions[[#This Row],[OpportunityID]],Opportunities[ID],Opportunities[OpportunityOwner])</f>
        <v>Amanda Sales</v>
      </c>
      <c r="M306" s="51" t="str">
        <f ca="1">IF((transactions[[#This Row],[TransactionDate]]-TODAY())&lt;=366,transactions[[#This Row],[FQ]],"Out-year")</f>
        <v>Out-year</v>
      </c>
      <c r="N306" s="55">
        <f>transactions[[#This Row],[UnWeighted]]/1000</f>
        <v>248.00716666666665</v>
      </c>
      <c r="O306" s="55">
        <f>transactions[[#This Row],[Weighted]]/1000</f>
        <v>49.601433333333333</v>
      </c>
      <c r="P306" s="55">
        <f>transactions[[#This Row],[$K Unweighted]]/1000</f>
        <v>0.24800716666666664</v>
      </c>
      <c r="Q306" s="55" t="b">
        <f ca="1">transactions[[#This Row],[TransactionDate]]&gt;TODAY()</f>
        <v>1</v>
      </c>
    </row>
    <row r="307" spans="1:17" x14ac:dyDescent="0.25">
      <c r="A307">
        <v>13</v>
      </c>
      <c r="B307">
        <v>2</v>
      </c>
      <c r="C307" s="31">
        <v>46926</v>
      </c>
      <c r="D30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7" s="51" t="str">
        <f>"CY"&amp;RIGHT(YEAR(transactions[[#This Row],[TransactionDate]]),2)&amp;"-Q"&amp;ROUNDUP(MONTH(transactions[[#This Row],[TransactionDate]])/3, 0)</f>
        <v>CY28-Q2</v>
      </c>
      <c r="F307" s="52">
        <f>transactions[[#This Row],[UnWeighted]]*_xlfn.XLOOKUP(transactions[[#This Row],[OpportunityID]],Opportunities[ID],Opportunities[WinProbabilityValue])</f>
        <v>12618.744897959185</v>
      </c>
      <c r="G307"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07" s="51" t="str">
        <f>_xlfn.XLOOKUP(transactions[[#This Row],[OpportunityID]],Opportunities[ID],Opportunities[Status])</f>
        <v>Active</v>
      </c>
      <c r="I307" s="51" t="str">
        <f>_xlfn.XLOOKUP(transactions[[#This Row],[OpportunityID]],Opportunities[ID],Opportunities[Stage])</f>
        <v>Negotiation</v>
      </c>
      <c r="J307" s="51" t="str">
        <f>_xlfn.XLOOKUP(transactions[[#This Row],[OpportunityID]],Opportunities[ID],Opportunities[OpportunityName])</f>
        <v>E-commerce Platform</v>
      </c>
      <c r="K307" s="51" t="str">
        <f>_xlfn.XLOOKUP(transactions[[#This Row],[CustomerId]],Customers[Id],Customers[Customer Name])</f>
        <v>Global Industries</v>
      </c>
      <c r="L307" s="51" t="str">
        <f>_xlfn.XLOOKUP(transactions[[#This Row],[OpportunityID]],Opportunities[ID],Opportunities[OpportunityOwner])</f>
        <v>Lisa Engineer</v>
      </c>
      <c r="M307" s="51" t="str">
        <f ca="1">IF((transactions[[#This Row],[TransactionDate]]-TODAY())&lt;=366,transactions[[#This Row],[FQ]],"Out-year")</f>
        <v>Out-year</v>
      </c>
      <c r="N307" s="55">
        <f>transactions[[#This Row],[UnWeighted]]/1000</f>
        <v>25.237489795918368</v>
      </c>
      <c r="O307" s="55">
        <f>transactions[[#This Row],[Weighted]]/1000</f>
        <v>12.618744897959184</v>
      </c>
      <c r="P307" s="55">
        <f>transactions[[#This Row],[$K Unweighted]]/1000</f>
        <v>2.5237489795918368E-2</v>
      </c>
      <c r="Q307" s="55" t="b">
        <f ca="1">transactions[[#This Row],[TransactionDate]]&gt;TODAY()</f>
        <v>1</v>
      </c>
    </row>
    <row r="308" spans="1:17" x14ac:dyDescent="0.25">
      <c r="A308">
        <v>6</v>
      </c>
      <c r="B308">
        <v>13</v>
      </c>
      <c r="C308" s="31">
        <v>46930</v>
      </c>
      <c r="D30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8" s="51" t="str">
        <f>"CY"&amp;RIGHT(YEAR(transactions[[#This Row],[TransactionDate]]),2)&amp;"-Q"&amp;ROUNDUP(MONTH(transactions[[#This Row],[TransactionDate]])/3, 0)</f>
        <v>CY28-Q2</v>
      </c>
      <c r="F308" s="52">
        <f>transactions[[#This Row],[UnWeighted]]*_xlfn.XLOOKUP(transactions[[#This Row],[OpportunityID]],Opportunities[ID],Opportunities[WinProbabilityValue])</f>
        <v>37550.227272727272</v>
      </c>
      <c r="G308" s="52">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308" s="51" t="str">
        <f>_xlfn.XLOOKUP(transactions[[#This Row],[OpportunityID]],Opportunities[ID],Opportunities[Status])</f>
        <v>Active</v>
      </c>
      <c r="I308" s="51" t="str">
        <f>_xlfn.XLOOKUP(transactions[[#This Row],[OpportunityID]],Opportunities[ID],Opportunities[Stage])</f>
        <v>Project Execution</v>
      </c>
      <c r="J308" s="51" t="str">
        <f>_xlfn.XLOOKUP(transactions[[#This Row],[OpportunityID]],Opportunities[ID],Opportunities[OpportunityName])</f>
        <v>Digital Transformation Project</v>
      </c>
      <c r="K308" s="51" t="str">
        <f>_xlfn.XLOOKUP(transactions[[#This Row],[CustomerId]],Customers[Id],Customers[Customer Name])</f>
        <v>Professional Services Group</v>
      </c>
      <c r="L308" s="51" t="str">
        <f>_xlfn.XLOOKUP(transactions[[#This Row],[OpportunityID]],Opportunities[ID],Opportunities[OpportunityOwner])</f>
        <v>Robert Analyst</v>
      </c>
      <c r="M308" s="51" t="str">
        <f ca="1">IF((transactions[[#This Row],[TransactionDate]]-TODAY())&lt;=366,transactions[[#This Row],[FQ]],"Out-year")</f>
        <v>Out-year</v>
      </c>
      <c r="N308" s="55">
        <f>transactions[[#This Row],[UnWeighted]]/1000</f>
        <v>75.100454545454539</v>
      </c>
      <c r="O308" s="55">
        <f>transactions[[#This Row],[Weighted]]/1000</f>
        <v>37.55022727272727</v>
      </c>
      <c r="P308" s="55">
        <f>transactions[[#This Row],[$K Unweighted]]/1000</f>
        <v>7.510045454545454E-2</v>
      </c>
      <c r="Q308" s="55" t="b">
        <f ca="1">transactions[[#This Row],[TransactionDate]]&gt;TODAY()</f>
        <v>1</v>
      </c>
    </row>
    <row r="309" spans="1:17" x14ac:dyDescent="0.25">
      <c r="A309">
        <v>38</v>
      </c>
      <c r="B309">
        <v>21</v>
      </c>
      <c r="C309" s="31">
        <v>46934</v>
      </c>
      <c r="D30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9" s="51" t="str">
        <f>"CY"&amp;RIGHT(YEAR(transactions[[#This Row],[TransactionDate]]),2)&amp;"-Q"&amp;ROUNDUP(MONTH(transactions[[#This Row],[TransactionDate]])/3, 0)</f>
        <v>CY28-Q2</v>
      </c>
      <c r="F309" s="52">
        <f>transactions[[#This Row],[UnWeighted]]*_xlfn.XLOOKUP(transactions[[#This Row],[OpportunityID]],Opportunities[ID],Opportunities[WinProbabilityValue])</f>
        <v>50822.5</v>
      </c>
      <c r="G309" s="52">
        <f>_xlfn.XLOOKUP(transactions[[#This Row],[OpportunityID]],Opportunities[ID],Opportunities[Amount])/IF(_xlfn.XLOOKUP(transactions[[#This Row],[OpportunityID]],Opportunities[ID],Opportunities[Recurrences])=0,1,_xlfn.XLOOKUP(transactions[[#This Row],[OpportunityID]],Opportunities[ID],Opportunities[Recurrences]))</f>
        <v>101645</v>
      </c>
      <c r="H309" s="51" t="str">
        <f>_xlfn.XLOOKUP(transactions[[#This Row],[OpportunityID]],Opportunities[ID],Opportunities[Status])</f>
        <v>Active</v>
      </c>
      <c r="I309" s="51" t="str">
        <f>_xlfn.XLOOKUP(transactions[[#This Row],[OpportunityID]],Opportunities[ID],Opportunities[Stage])</f>
        <v>Proposal</v>
      </c>
      <c r="J309" s="51" t="str">
        <f>_xlfn.XLOOKUP(transactions[[#This Row],[OpportunityID]],Opportunities[ID],Opportunities[OpportunityName])</f>
        <v>Legacy System Modernization</v>
      </c>
      <c r="K309" s="51" t="str">
        <f>_xlfn.XLOOKUP(transactions[[#This Row],[CustomerId]],Customers[Id],Customers[Customer Name])</f>
        <v>Textile Manufacturing</v>
      </c>
      <c r="L309" s="51" t="str">
        <f>_xlfn.XLOOKUP(transactions[[#This Row],[OpportunityID]],Opportunities[ID],Opportunities[OpportunityOwner])</f>
        <v>Lisa Engineer</v>
      </c>
      <c r="M309" s="51" t="str">
        <f ca="1">IF((transactions[[#This Row],[TransactionDate]]-TODAY())&lt;=366,transactions[[#This Row],[FQ]],"Out-year")</f>
        <v>Out-year</v>
      </c>
      <c r="N309" s="55">
        <f>transactions[[#This Row],[UnWeighted]]/1000</f>
        <v>101.645</v>
      </c>
      <c r="O309" s="55">
        <f>transactions[[#This Row],[Weighted]]/1000</f>
        <v>50.822499999999998</v>
      </c>
      <c r="P309" s="55">
        <f>transactions[[#This Row],[$K Unweighted]]/1000</f>
        <v>0.101645</v>
      </c>
      <c r="Q309" s="55" t="b">
        <f ca="1">transactions[[#This Row],[TransactionDate]]&gt;TODAY()</f>
        <v>1</v>
      </c>
    </row>
    <row r="310" spans="1:17" x14ac:dyDescent="0.25">
      <c r="A310">
        <v>26</v>
      </c>
      <c r="B310">
        <v>1</v>
      </c>
      <c r="C310" s="31">
        <v>46935</v>
      </c>
      <c r="D31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0" s="51" t="str">
        <f>"CY"&amp;RIGHT(YEAR(transactions[[#This Row],[TransactionDate]]),2)&amp;"-Q"&amp;ROUNDUP(MONTH(transactions[[#This Row],[TransactionDate]])/3, 0)</f>
        <v>CY28-Q3</v>
      </c>
      <c r="F310" s="52">
        <f>transactions[[#This Row],[UnWeighted]]*_xlfn.XLOOKUP(transactions[[#This Row],[OpportunityID]],Opportunities[ID],Opportunities[WinProbabilityValue])</f>
        <v>11339.638888888889</v>
      </c>
      <c r="G310"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10" s="51" t="str">
        <f>_xlfn.XLOOKUP(transactions[[#This Row],[OpportunityID]],Opportunities[ID],Opportunities[Status])</f>
        <v>Active</v>
      </c>
      <c r="I310" s="51" t="str">
        <f>_xlfn.XLOOKUP(transactions[[#This Row],[OpportunityID]],Opportunities[ID],Opportunities[Stage])</f>
        <v>Negotiation</v>
      </c>
      <c r="J310" s="51" t="str">
        <f>_xlfn.XLOOKUP(transactions[[#This Row],[OpportunityID]],Opportunities[ID],Opportunities[OpportunityName])</f>
        <v>Video Conferencing Solution</v>
      </c>
      <c r="K310" s="51" t="str">
        <f>_xlfn.XLOOKUP(transactions[[#This Row],[CustomerId]],Customers[Id],Customers[Customer Name])</f>
        <v>ACME Corporation</v>
      </c>
      <c r="L310" s="51" t="str">
        <f>_xlfn.XLOOKUP(transactions[[#This Row],[OpportunityID]],Opportunities[ID],Opportunities[OpportunityOwner])</f>
        <v>Mike Consultant</v>
      </c>
      <c r="M310" s="51" t="str">
        <f ca="1">IF((transactions[[#This Row],[TransactionDate]]-TODAY())&lt;=366,transactions[[#This Row],[FQ]],"Out-year")</f>
        <v>Out-year</v>
      </c>
      <c r="N310" s="55">
        <f>transactions[[#This Row],[UnWeighted]]/1000</f>
        <v>22.679277777777777</v>
      </c>
      <c r="O310" s="55">
        <f>transactions[[#This Row],[Weighted]]/1000</f>
        <v>11.339638888888889</v>
      </c>
      <c r="P310" s="55">
        <f>transactions[[#This Row],[$K Unweighted]]/1000</f>
        <v>2.2679277777777777E-2</v>
      </c>
      <c r="Q310" s="55" t="b">
        <f ca="1">transactions[[#This Row],[TransactionDate]]&gt;TODAY()</f>
        <v>1</v>
      </c>
    </row>
    <row r="311" spans="1:17" x14ac:dyDescent="0.25">
      <c r="A311">
        <v>39</v>
      </c>
      <c r="B311">
        <v>3</v>
      </c>
      <c r="C311" s="31">
        <v>46937</v>
      </c>
      <c r="D31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1" s="51" t="str">
        <f>"CY"&amp;RIGHT(YEAR(transactions[[#This Row],[TransactionDate]]),2)&amp;"-Q"&amp;ROUNDUP(MONTH(transactions[[#This Row],[TransactionDate]])/3, 0)</f>
        <v>CY28-Q3</v>
      </c>
      <c r="F311" s="52">
        <f>transactions[[#This Row],[UnWeighted]]*_xlfn.XLOOKUP(transactions[[#This Row],[OpportunityID]],Opportunities[ID],Opportunities[WinProbabilityValue])</f>
        <v>20929.153846153848</v>
      </c>
      <c r="G311"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11" s="51" t="str">
        <f>_xlfn.XLOOKUP(transactions[[#This Row],[OpportunityID]],Opportunities[ID],Opportunities[Status])</f>
        <v>Active</v>
      </c>
      <c r="I311" s="51" t="str">
        <f>_xlfn.XLOOKUP(transactions[[#This Row],[OpportunityID]],Opportunities[ID],Opportunities[Stage])</f>
        <v>Project Execution</v>
      </c>
      <c r="J311" s="51" t="str">
        <f>_xlfn.XLOOKUP(transactions[[#This Row],[OpportunityID]],Opportunities[ID],Opportunities[OpportunityName])</f>
        <v>API Development Project</v>
      </c>
      <c r="K311" s="51" t="str">
        <f>_xlfn.XLOOKUP(transactions[[#This Row],[CustomerId]],Customers[Id],Customers[Customer Name])</f>
        <v>Tech Solutions Inc</v>
      </c>
      <c r="L311" s="51" t="str">
        <f>_xlfn.XLOOKUP(transactions[[#This Row],[OpportunityID]],Opportunities[ID],Opportunities[OpportunityOwner])</f>
        <v>Jennifer PM</v>
      </c>
      <c r="M311" s="51" t="str">
        <f ca="1">IF((transactions[[#This Row],[TransactionDate]]-TODAY())&lt;=366,transactions[[#This Row],[FQ]],"Out-year")</f>
        <v>Out-year</v>
      </c>
      <c r="N311" s="55">
        <f>transactions[[#This Row],[UnWeighted]]/1000</f>
        <v>41.858307692307697</v>
      </c>
      <c r="O311" s="55">
        <f>transactions[[#This Row],[Weighted]]/1000</f>
        <v>20.929153846153849</v>
      </c>
      <c r="P311" s="55">
        <f>transactions[[#This Row],[$K Unweighted]]/1000</f>
        <v>4.1858307692307695E-2</v>
      </c>
      <c r="Q311" s="55" t="b">
        <f ca="1">transactions[[#This Row],[TransactionDate]]&gt;TODAY()</f>
        <v>1</v>
      </c>
    </row>
    <row r="312" spans="1:17" x14ac:dyDescent="0.25">
      <c r="A312">
        <v>36</v>
      </c>
      <c r="B312">
        <v>1</v>
      </c>
      <c r="C312" s="31">
        <v>46940</v>
      </c>
      <c r="D31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2" s="51" t="str">
        <f>"CY"&amp;RIGHT(YEAR(transactions[[#This Row],[TransactionDate]]),2)&amp;"-Q"&amp;ROUNDUP(MONTH(transactions[[#This Row],[TransactionDate]])/3, 0)</f>
        <v>CY28-Q3</v>
      </c>
      <c r="F312" s="52">
        <f>transactions[[#This Row],[UnWeighted]]*_xlfn.XLOOKUP(transactions[[#This Row],[OpportunityID]],Opportunities[ID],Opportunities[WinProbabilityValue])</f>
        <v>24983.895833333332</v>
      </c>
      <c r="G312"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12" s="51" t="str">
        <f>_xlfn.XLOOKUP(transactions[[#This Row],[OpportunityID]],Opportunities[ID],Opportunities[Status])</f>
        <v>Active</v>
      </c>
      <c r="I312" s="51" t="str">
        <f>_xlfn.XLOOKUP(transactions[[#This Row],[OpportunityID]],Opportunities[ID],Opportunities[Stage])</f>
        <v>Lead Qualification</v>
      </c>
      <c r="J312" s="51" t="str">
        <f>_xlfn.XLOOKUP(transactions[[#This Row],[OpportunityID]],Opportunities[ID],Opportunities[OpportunityName])</f>
        <v>Integration Services Project</v>
      </c>
      <c r="K312" s="51" t="str">
        <f>_xlfn.XLOOKUP(transactions[[#This Row],[CustomerId]],Customers[Id],Customers[Customer Name])</f>
        <v>ACME Corporation</v>
      </c>
      <c r="L312" s="51" t="str">
        <f>_xlfn.XLOOKUP(transactions[[#This Row],[OpportunityID]],Opportunities[ID],Opportunities[OpportunityOwner])</f>
        <v>Amanda Sales</v>
      </c>
      <c r="M312" s="51" t="str">
        <f ca="1">IF((transactions[[#This Row],[TransactionDate]]-TODAY())&lt;=366,transactions[[#This Row],[FQ]],"Out-year")</f>
        <v>Out-year</v>
      </c>
      <c r="N312" s="55">
        <f>transactions[[#This Row],[UnWeighted]]/1000</f>
        <v>49.967791666666663</v>
      </c>
      <c r="O312" s="55">
        <f>transactions[[#This Row],[Weighted]]/1000</f>
        <v>24.983895833333332</v>
      </c>
      <c r="P312" s="55">
        <f>transactions[[#This Row],[$K Unweighted]]/1000</f>
        <v>4.9967791666666664E-2</v>
      </c>
      <c r="Q312" s="55" t="b">
        <f ca="1">transactions[[#This Row],[TransactionDate]]&gt;TODAY()</f>
        <v>1</v>
      </c>
    </row>
    <row r="313" spans="1:17" x14ac:dyDescent="0.25">
      <c r="A313">
        <v>15</v>
      </c>
      <c r="B313">
        <v>24</v>
      </c>
      <c r="C313" s="31">
        <v>46941</v>
      </c>
      <c r="D31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3" s="51" t="str">
        <f>"CY"&amp;RIGHT(YEAR(transactions[[#This Row],[TransactionDate]]),2)&amp;"-Q"&amp;ROUNDUP(MONTH(transactions[[#This Row],[TransactionDate]])/3, 0)</f>
        <v>CY28-Q3</v>
      </c>
      <c r="F313" s="52">
        <f>transactions[[#This Row],[UnWeighted]]*_xlfn.XLOOKUP(transactions[[#This Row],[OpportunityID]],Opportunities[ID],Opportunities[WinProbabilityValue])</f>
        <v>29217.197872340425</v>
      </c>
      <c r="G313"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13" s="51" t="str">
        <f>_xlfn.XLOOKUP(transactions[[#This Row],[OpportunityID]],Opportunities[ID],Opportunities[Status])</f>
        <v>Active</v>
      </c>
      <c r="I313" s="51" t="str">
        <f>_xlfn.XLOOKUP(transactions[[#This Row],[OpportunityID]],Opportunities[ID],Opportunities[Stage])</f>
        <v>Project Execution</v>
      </c>
      <c r="J313" s="51" t="str">
        <f>_xlfn.XLOOKUP(transactions[[#This Row],[OpportunityID]],Opportunities[ID],Opportunities[OpportunityName])</f>
        <v>Training &amp; Development Program</v>
      </c>
      <c r="K313" s="51" t="str">
        <f>_xlfn.XLOOKUP(transactions[[#This Row],[CustomerId]],Customers[Id],Customers[Customer Name])</f>
        <v>Security Solutions</v>
      </c>
      <c r="L313" s="51" t="str">
        <f>_xlfn.XLOOKUP(transactions[[#This Row],[OpportunityID]],Opportunities[ID],Opportunities[OpportunityOwner])</f>
        <v>Sarah Director</v>
      </c>
      <c r="M313" s="51" t="str">
        <f ca="1">IF((transactions[[#This Row],[TransactionDate]]-TODAY())&lt;=366,transactions[[#This Row],[FQ]],"Out-year")</f>
        <v>Out-year</v>
      </c>
      <c r="N313" s="55">
        <f>transactions[[#This Row],[UnWeighted]]/1000</f>
        <v>32.46355319148936</v>
      </c>
      <c r="O313" s="55">
        <f>transactions[[#This Row],[Weighted]]/1000</f>
        <v>29.217197872340424</v>
      </c>
      <c r="P313" s="55">
        <f>transactions[[#This Row],[$K Unweighted]]/1000</f>
        <v>3.2463553191489358E-2</v>
      </c>
      <c r="Q313" s="55" t="b">
        <f ca="1">transactions[[#This Row],[TransactionDate]]&gt;TODAY()</f>
        <v>1</v>
      </c>
    </row>
    <row r="314" spans="1:17" x14ac:dyDescent="0.25">
      <c r="A314">
        <v>17</v>
      </c>
      <c r="B314">
        <v>19</v>
      </c>
      <c r="C314" s="31">
        <v>46943</v>
      </c>
      <c r="D31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4" s="51" t="str">
        <f>"CY"&amp;RIGHT(YEAR(transactions[[#This Row],[TransactionDate]]),2)&amp;"-Q"&amp;ROUNDUP(MONTH(transactions[[#This Row],[TransactionDate]])/3, 0)</f>
        <v>CY28-Q3</v>
      </c>
      <c r="F314" s="52">
        <f>transactions[[#This Row],[UnWeighted]]*_xlfn.XLOOKUP(transactions[[#This Row],[OpportunityID]],Opportunities[ID],Opportunities[WinProbabilityValue])</f>
        <v>9267.2333333333336</v>
      </c>
      <c r="G314"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14" s="51" t="str">
        <f>_xlfn.XLOOKUP(transactions[[#This Row],[OpportunityID]],Opportunities[ID],Opportunities[Status])</f>
        <v>Active</v>
      </c>
      <c r="I314" s="51" t="str">
        <f>_xlfn.XLOOKUP(transactions[[#This Row],[OpportunityID]],Opportunities[ID],Opportunities[Stage])</f>
        <v>Negotiation</v>
      </c>
      <c r="J314" s="51" t="str">
        <f>_xlfn.XLOOKUP(transactions[[#This Row],[OpportunityID]],Opportunities[ID],Opportunities[OpportunityName])</f>
        <v>Supply Chain Optimization</v>
      </c>
      <c r="K314" s="51" t="str">
        <f>_xlfn.XLOOKUP(transactions[[#This Row],[CustomerId]],Customers[Id],Customers[Customer Name])</f>
        <v>Hotel Management Group</v>
      </c>
      <c r="L314" s="51" t="str">
        <f>_xlfn.XLOOKUP(transactions[[#This Row],[OpportunityID]],Opportunities[ID],Opportunities[OpportunityOwner])</f>
        <v>Jennifer PM</v>
      </c>
      <c r="M314" s="51" t="str">
        <f ca="1">IF((transactions[[#This Row],[TransactionDate]]-TODAY())&lt;=366,transactions[[#This Row],[FQ]],"Out-year")</f>
        <v>Out-year</v>
      </c>
      <c r="N314" s="55">
        <f>transactions[[#This Row],[UnWeighted]]/1000</f>
        <v>46.336166666666664</v>
      </c>
      <c r="O314" s="55">
        <f>transactions[[#This Row],[Weighted]]/1000</f>
        <v>9.2672333333333334</v>
      </c>
      <c r="P314" s="55">
        <f>transactions[[#This Row],[$K Unweighted]]/1000</f>
        <v>4.6336166666666664E-2</v>
      </c>
      <c r="Q314" s="55" t="b">
        <f ca="1">transactions[[#This Row],[TransactionDate]]&gt;TODAY()</f>
        <v>1</v>
      </c>
    </row>
    <row r="315" spans="1:17" x14ac:dyDescent="0.25">
      <c r="A315">
        <v>22</v>
      </c>
      <c r="B315">
        <v>11</v>
      </c>
      <c r="C315" s="31">
        <v>46945</v>
      </c>
      <c r="D31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5" s="51" t="str">
        <f>"CY"&amp;RIGHT(YEAR(transactions[[#This Row],[TransactionDate]]),2)&amp;"-Q"&amp;ROUNDUP(MONTH(transactions[[#This Row],[TransactionDate]])/3, 0)</f>
        <v>CY28-Q3</v>
      </c>
      <c r="F315" s="52">
        <f>transactions[[#This Row],[UnWeighted]]*_xlfn.XLOOKUP(transactions[[#This Row],[OpportunityID]],Opportunities[ID],Opportunities[WinProbabilityValue])</f>
        <v>26390.544230769232</v>
      </c>
      <c r="G315"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15" s="51" t="str">
        <f>_xlfn.XLOOKUP(transactions[[#This Row],[OpportunityID]],Opportunities[ID],Opportunities[Status])</f>
        <v>Active</v>
      </c>
      <c r="I315" s="51" t="str">
        <f>_xlfn.XLOOKUP(transactions[[#This Row],[OpportunityID]],Opportunities[ID],Opportunities[Stage])</f>
        <v>Nurturing</v>
      </c>
      <c r="J315" s="51" t="str">
        <f>_xlfn.XLOOKUP(transactions[[#This Row],[OpportunityID]],Opportunities[ID],Opportunities[OpportunityName])</f>
        <v>Inventory Management Solution</v>
      </c>
      <c r="K315" s="51" t="str">
        <f>_xlfn.XLOOKUP(transactions[[#This Row],[CustomerId]],Customers[Id],Customers[Customer Name])</f>
        <v>Transport Logistics</v>
      </c>
      <c r="L315" s="51" t="str">
        <f>_xlfn.XLOOKUP(transactions[[#This Row],[OpportunityID]],Opportunities[ID],Opportunities[OpportunityOwner])</f>
        <v>Sarah Director</v>
      </c>
      <c r="M315" s="51" t="str">
        <f ca="1">IF((transactions[[#This Row],[TransactionDate]]-TODAY())&lt;=366,transactions[[#This Row],[FQ]],"Out-year")</f>
        <v>Out-year</v>
      </c>
      <c r="N315" s="55">
        <f>transactions[[#This Row],[UnWeighted]]/1000</f>
        <v>29.322826923076921</v>
      </c>
      <c r="O315" s="55">
        <f>transactions[[#This Row],[Weighted]]/1000</f>
        <v>26.390544230769233</v>
      </c>
      <c r="P315" s="55">
        <f>transactions[[#This Row],[$K Unweighted]]/1000</f>
        <v>2.932282692307692E-2</v>
      </c>
      <c r="Q315" s="55" t="b">
        <f ca="1">transactions[[#This Row],[TransactionDate]]&gt;TODAY()</f>
        <v>1</v>
      </c>
    </row>
    <row r="316" spans="1:17" x14ac:dyDescent="0.25">
      <c r="A316">
        <v>11</v>
      </c>
      <c r="B316">
        <v>3</v>
      </c>
      <c r="C316" s="31">
        <v>46947</v>
      </c>
      <c r="D31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6" s="51" t="str">
        <f>"CY"&amp;RIGHT(YEAR(transactions[[#This Row],[TransactionDate]]),2)&amp;"-Q"&amp;ROUNDUP(MONTH(transactions[[#This Row],[TransactionDate]])/3, 0)</f>
        <v>CY28-Q3</v>
      </c>
      <c r="F316" s="52">
        <f>transactions[[#This Row],[UnWeighted]]*_xlfn.XLOOKUP(transactions[[#This Row],[OpportunityID]],Opportunities[ID],Opportunities[WinProbabilityValue])</f>
        <v>113460.75</v>
      </c>
      <c r="G316" s="52">
        <f>_xlfn.XLOOKUP(transactions[[#This Row],[OpportunityID]],Opportunities[ID],Opportunities[Amount])/IF(_xlfn.XLOOKUP(transactions[[#This Row],[OpportunityID]],Opportunities[ID],Opportunities[Recurrences])=0,1,_xlfn.XLOOKUP(transactions[[#This Row],[OpportunityID]],Opportunities[ID],Opportunities[Recurrences]))</f>
        <v>126067.5</v>
      </c>
      <c r="H316" s="51" t="str">
        <f>_xlfn.XLOOKUP(transactions[[#This Row],[OpportunityID]],Opportunities[ID],Opportunities[Status])</f>
        <v>At Risk</v>
      </c>
      <c r="I316" s="51" t="str">
        <f>_xlfn.XLOOKUP(transactions[[#This Row],[OpportunityID]],Opportunities[ID],Opportunities[Stage])</f>
        <v>Negotiation</v>
      </c>
      <c r="J316" s="51" t="str">
        <f>_xlfn.XLOOKUP(transactions[[#This Row],[OpportunityID]],Opportunities[ID],Opportunities[OpportunityName])</f>
        <v>Data Center Consolidation</v>
      </c>
      <c r="K316" s="51" t="str">
        <f>_xlfn.XLOOKUP(transactions[[#This Row],[CustomerId]],Customers[Id],Customers[Customer Name])</f>
        <v>Tech Solutions Inc</v>
      </c>
      <c r="L316" s="51" t="str">
        <f>_xlfn.XLOOKUP(transactions[[#This Row],[OpportunityID]],Opportunities[ID],Opportunities[OpportunityOwner])</f>
        <v>David Specialist</v>
      </c>
      <c r="M316" s="51" t="str">
        <f ca="1">IF((transactions[[#This Row],[TransactionDate]]-TODAY())&lt;=366,transactions[[#This Row],[FQ]],"Out-year")</f>
        <v>Out-year</v>
      </c>
      <c r="N316" s="55">
        <f>transactions[[#This Row],[UnWeighted]]/1000</f>
        <v>126.0675</v>
      </c>
      <c r="O316" s="55">
        <f>transactions[[#This Row],[Weighted]]/1000</f>
        <v>113.46075</v>
      </c>
      <c r="P316" s="55">
        <f>transactions[[#This Row],[$K Unweighted]]/1000</f>
        <v>0.1260675</v>
      </c>
      <c r="Q316" s="55" t="b">
        <f ca="1">transactions[[#This Row],[TransactionDate]]&gt;TODAY()</f>
        <v>1</v>
      </c>
    </row>
    <row r="317" spans="1:17" x14ac:dyDescent="0.25">
      <c r="A317">
        <v>2</v>
      </c>
      <c r="B317">
        <v>10</v>
      </c>
      <c r="C317" s="31">
        <v>46951</v>
      </c>
      <c r="D31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7" s="51" t="str">
        <f>"CY"&amp;RIGHT(YEAR(transactions[[#This Row],[TransactionDate]]),2)&amp;"-Q"&amp;ROUNDUP(MONTH(transactions[[#This Row],[TransactionDate]])/3, 0)</f>
        <v>CY28-Q3</v>
      </c>
      <c r="F317" s="52">
        <f>transactions[[#This Row],[UnWeighted]]*_xlfn.XLOOKUP(transactions[[#This Row],[OpportunityID]],Opportunities[ID],Opportunities[WinProbabilityValue])</f>
        <v>20720.20930232558</v>
      </c>
      <c r="G317"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17" s="51" t="str">
        <f>_xlfn.XLOOKUP(transactions[[#This Row],[OpportunityID]],Opportunities[ID],Opportunities[Status])</f>
        <v>Active</v>
      </c>
      <c r="I317" s="51" t="str">
        <f>_xlfn.XLOOKUP(transactions[[#This Row],[OpportunityID]],Opportunities[ID],Opportunities[Stage])</f>
        <v>Proposal</v>
      </c>
      <c r="J317" s="51" t="str">
        <f>_xlfn.XLOOKUP(transactions[[#This Row],[OpportunityID]],Opportunities[ID],Opportunities[OpportunityName])</f>
        <v>Cloud Migration Initiative</v>
      </c>
      <c r="K317" s="51" t="str">
        <f>_xlfn.XLOOKUP(transactions[[#This Row],[CustomerId]],Customers[Id],Customers[Customer Name])</f>
        <v>Education First</v>
      </c>
      <c r="L317" s="51" t="str">
        <f>_xlfn.XLOOKUP(transactions[[#This Row],[OpportunityID]],Opportunities[ID],Opportunities[OpportunityOwner])</f>
        <v>Robert Analyst</v>
      </c>
      <c r="M317" s="51" t="str">
        <f ca="1">IF((transactions[[#This Row],[TransactionDate]]-TODAY())&lt;=366,transactions[[#This Row],[FQ]],"Out-year")</f>
        <v>Out-year</v>
      </c>
      <c r="N317" s="55">
        <f>transactions[[#This Row],[UnWeighted]]/1000</f>
        <v>41.440418604651157</v>
      </c>
      <c r="O317" s="55">
        <f>transactions[[#This Row],[Weighted]]/1000</f>
        <v>20.720209302325578</v>
      </c>
      <c r="P317" s="55">
        <f>transactions[[#This Row],[$K Unweighted]]/1000</f>
        <v>4.1440418604651155E-2</v>
      </c>
      <c r="Q317" s="55" t="b">
        <f ca="1">transactions[[#This Row],[TransactionDate]]&gt;TODAY()</f>
        <v>1</v>
      </c>
    </row>
    <row r="318" spans="1:17" x14ac:dyDescent="0.25">
      <c r="A318">
        <v>9</v>
      </c>
      <c r="B318">
        <v>26</v>
      </c>
      <c r="C318" s="31">
        <v>46953</v>
      </c>
      <c r="D31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8" s="51" t="str">
        <f>"CY"&amp;RIGHT(YEAR(transactions[[#This Row],[TransactionDate]]),2)&amp;"-Q"&amp;ROUNDUP(MONTH(transactions[[#This Row],[TransactionDate]])/3, 0)</f>
        <v>CY28-Q3</v>
      </c>
      <c r="F318" s="52">
        <f>transactions[[#This Row],[UnWeighted]]*_xlfn.XLOOKUP(transactions[[#This Row],[OpportunityID]],Opportunities[ID],Opportunities[WinProbabilityValue])</f>
        <v>37447.800000000003</v>
      </c>
      <c r="G318" s="52">
        <f>_xlfn.XLOOKUP(transactions[[#This Row],[OpportunityID]],Opportunities[ID],Opportunities[Amount])/IF(_xlfn.XLOOKUP(transactions[[#This Row],[OpportunityID]],Opportunities[ID],Opportunities[Recurrences])=0,1,_xlfn.XLOOKUP(transactions[[#This Row],[OpportunityID]],Opportunities[ID],Opportunities[Recurrences]))</f>
        <v>187239</v>
      </c>
      <c r="H318" s="51" t="str">
        <f>_xlfn.XLOOKUP(transactions[[#This Row],[OpportunityID]],Opportunities[ID],Opportunities[Status])</f>
        <v>At Risk</v>
      </c>
      <c r="I318" s="51" t="str">
        <f>_xlfn.XLOOKUP(transactions[[#This Row],[OpportunityID]],Opportunities[ID],Opportunities[Stage])</f>
        <v>Lead Qualification</v>
      </c>
      <c r="J318" s="51" t="str">
        <f>_xlfn.XLOOKUP(transactions[[#This Row],[OpportunityID]],Opportunities[ID],Opportunities[OpportunityName])</f>
        <v>Customer Portal Development</v>
      </c>
      <c r="K318" s="51" t="str">
        <f>_xlfn.XLOOKUP(transactions[[#This Row],[CustomerId]],Customers[Id],Customers[Customer Name])</f>
        <v>Publishing House</v>
      </c>
      <c r="L318" s="51" t="str">
        <f>_xlfn.XLOOKUP(transactions[[#This Row],[OpportunityID]],Opportunities[ID],Opportunities[OpportunityOwner])</f>
        <v>Lisa Engineer</v>
      </c>
      <c r="M318" s="51" t="str">
        <f ca="1">IF((transactions[[#This Row],[TransactionDate]]-TODAY())&lt;=366,transactions[[#This Row],[FQ]],"Out-year")</f>
        <v>Out-year</v>
      </c>
      <c r="N318" s="55">
        <f>transactions[[#This Row],[UnWeighted]]/1000</f>
        <v>187.239</v>
      </c>
      <c r="O318" s="55">
        <f>transactions[[#This Row],[Weighted]]/1000</f>
        <v>37.447800000000001</v>
      </c>
      <c r="P318" s="55">
        <f>transactions[[#This Row],[$K Unweighted]]/1000</f>
        <v>0.18723900000000002</v>
      </c>
      <c r="Q318" s="55" t="b">
        <f ca="1">transactions[[#This Row],[TransactionDate]]&gt;TODAY()</f>
        <v>1</v>
      </c>
    </row>
    <row r="319" spans="1:17" x14ac:dyDescent="0.25">
      <c r="A319">
        <v>40</v>
      </c>
      <c r="B319">
        <v>15</v>
      </c>
      <c r="C319" s="31">
        <v>46953</v>
      </c>
      <c r="D31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9" s="51" t="str">
        <f>"CY"&amp;RIGHT(YEAR(transactions[[#This Row],[TransactionDate]]),2)&amp;"-Q"&amp;ROUNDUP(MONTH(transactions[[#This Row],[TransactionDate]])/3, 0)</f>
        <v>CY28-Q3</v>
      </c>
      <c r="F319" s="52">
        <f>transactions[[#This Row],[UnWeighted]]*_xlfn.XLOOKUP(transactions[[#This Row],[OpportunityID]],Opportunities[ID],Opportunities[WinProbabilityValue])</f>
        <v>36144.450000000004</v>
      </c>
      <c r="G319" s="52">
        <f>_xlfn.XLOOKUP(transactions[[#This Row],[OpportunityID]],Opportunities[ID],Opportunities[Amount])/IF(_xlfn.XLOOKUP(transactions[[#This Row],[OpportunityID]],Opportunities[ID],Opportunities[Recurrences])=0,1,_xlfn.XLOOKUP(transactions[[#This Row],[OpportunityID]],Opportunities[ID],Opportunities[Recurrences]))</f>
        <v>40160.5</v>
      </c>
      <c r="H319" s="51" t="str">
        <f>_xlfn.XLOOKUP(transactions[[#This Row],[OpportunityID]],Opportunities[ID],Opportunities[Status])</f>
        <v>Active</v>
      </c>
      <c r="I319" s="51" t="str">
        <f>_xlfn.XLOOKUP(transactions[[#This Row],[OpportunityID]],Opportunities[ID],Opportunities[Stage])</f>
        <v>Proposal</v>
      </c>
      <c r="J319" s="51" t="str">
        <f>_xlfn.XLOOKUP(transactions[[#This Row],[OpportunityID]],Opportunities[ID],Opportunities[OpportunityName])</f>
        <v>Machine Learning Implementation</v>
      </c>
      <c r="K319" s="51" t="str">
        <f>_xlfn.XLOOKUP(transactions[[#This Row],[CustomerId]],Customers[Id],Customers[Customer Name])</f>
        <v>Pharmaceutical Research</v>
      </c>
      <c r="L319" s="51" t="str">
        <f>_xlfn.XLOOKUP(transactions[[#This Row],[OpportunityID]],Opportunities[ID],Opportunities[OpportunityOwner])</f>
        <v>Mike Consultant</v>
      </c>
      <c r="M319" s="51" t="str">
        <f ca="1">IF((transactions[[#This Row],[TransactionDate]]-TODAY())&lt;=366,transactions[[#This Row],[FQ]],"Out-year")</f>
        <v>Out-year</v>
      </c>
      <c r="N319" s="55">
        <f>transactions[[#This Row],[UnWeighted]]/1000</f>
        <v>40.160499999999999</v>
      </c>
      <c r="O319" s="55">
        <f>transactions[[#This Row],[Weighted]]/1000</f>
        <v>36.144450000000006</v>
      </c>
      <c r="P319" s="55">
        <f>transactions[[#This Row],[$K Unweighted]]/1000</f>
        <v>4.0160500000000002E-2</v>
      </c>
      <c r="Q319" s="55" t="b">
        <f ca="1">transactions[[#This Row],[TransactionDate]]&gt;TODAY()</f>
        <v>1</v>
      </c>
    </row>
    <row r="320" spans="1:17" x14ac:dyDescent="0.25">
      <c r="A320">
        <v>13</v>
      </c>
      <c r="B320">
        <v>2</v>
      </c>
      <c r="C320" s="31">
        <v>46956</v>
      </c>
      <c r="D32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20" s="51" t="str">
        <f>"CY"&amp;RIGHT(YEAR(transactions[[#This Row],[TransactionDate]]),2)&amp;"-Q"&amp;ROUNDUP(MONTH(transactions[[#This Row],[TransactionDate]])/3, 0)</f>
        <v>CY28-Q3</v>
      </c>
      <c r="F320" s="52">
        <f>transactions[[#This Row],[UnWeighted]]*_xlfn.XLOOKUP(transactions[[#This Row],[OpportunityID]],Opportunities[ID],Opportunities[WinProbabilityValue])</f>
        <v>12618.744897959185</v>
      </c>
      <c r="G320"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20" s="51" t="str">
        <f>_xlfn.XLOOKUP(transactions[[#This Row],[OpportunityID]],Opportunities[ID],Opportunities[Status])</f>
        <v>Active</v>
      </c>
      <c r="I320" s="51" t="str">
        <f>_xlfn.XLOOKUP(transactions[[#This Row],[OpportunityID]],Opportunities[ID],Opportunities[Stage])</f>
        <v>Negotiation</v>
      </c>
      <c r="J320" s="51" t="str">
        <f>_xlfn.XLOOKUP(transactions[[#This Row],[OpportunityID]],Opportunities[ID],Opportunities[OpportunityName])</f>
        <v>E-commerce Platform</v>
      </c>
      <c r="K320" s="51" t="str">
        <f>_xlfn.XLOOKUP(transactions[[#This Row],[CustomerId]],Customers[Id],Customers[Customer Name])</f>
        <v>Global Industries</v>
      </c>
      <c r="L320" s="51" t="str">
        <f>_xlfn.XLOOKUP(transactions[[#This Row],[OpportunityID]],Opportunities[ID],Opportunities[OpportunityOwner])</f>
        <v>Lisa Engineer</v>
      </c>
      <c r="M320" s="51" t="str">
        <f ca="1">IF((transactions[[#This Row],[TransactionDate]]-TODAY())&lt;=366,transactions[[#This Row],[FQ]],"Out-year")</f>
        <v>Out-year</v>
      </c>
      <c r="N320" s="55">
        <f>transactions[[#This Row],[UnWeighted]]/1000</f>
        <v>25.237489795918368</v>
      </c>
      <c r="O320" s="55">
        <f>transactions[[#This Row],[Weighted]]/1000</f>
        <v>12.618744897959184</v>
      </c>
      <c r="P320" s="55">
        <f>transactions[[#This Row],[$K Unweighted]]/1000</f>
        <v>2.5237489795918368E-2</v>
      </c>
      <c r="Q320" s="55" t="b">
        <f ca="1">transactions[[#This Row],[TransactionDate]]&gt;TODAY()</f>
        <v>1</v>
      </c>
    </row>
    <row r="321" spans="1:17" x14ac:dyDescent="0.25">
      <c r="A321">
        <v>7</v>
      </c>
      <c r="B321">
        <v>14</v>
      </c>
      <c r="C321" s="31">
        <v>46960</v>
      </c>
      <c r="D32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21" s="51" t="str">
        <f>"CY"&amp;RIGHT(YEAR(transactions[[#This Row],[TransactionDate]]),2)&amp;"-Q"&amp;ROUNDUP(MONTH(transactions[[#This Row],[TransactionDate]])/3, 0)</f>
        <v>CY28-Q3</v>
      </c>
      <c r="F321" s="52">
        <f>transactions[[#This Row],[UnWeighted]]*_xlfn.XLOOKUP(transactions[[#This Row],[OpportunityID]],Opportunities[ID],Opportunities[WinProbabilityValue])</f>
        <v>41771.416666666664</v>
      </c>
      <c r="G321" s="52">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321" s="51" t="str">
        <f>_xlfn.XLOOKUP(transactions[[#This Row],[OpportunityID]],Opportunities[ID],Opportunities[Status])</f>
        <v>Active</v>
      </c>
      <c r="I321" s="51" t="str">
        <f>_xlfn.XLOOKUP(transactions[[#This Row],[OpportunityID]],Opportunities[ID],Opportunities[Stage])</f>
        <v>Project Execution</v>
      </c>
      <c r="J321" s="51" t="str">
        <f>_xlfn.XLOOKUP(transactions[[#This Row],[OpportunityID]],Opportunities[ID],Opportunities[OpportunityName])</f>
        <v>Network Infrastructure Upgrade</v>
      </c>
      <c r="K321" s="51" t="str">
        <f>_xlfn.XLOOKUP(transactions[[#This Row],[CustomerId]],Customers[Id],Customers[Customer Name])</f>
        <v>Media Communications</v>
      </c>
      <c r="L321" s="51" t="str">
        <f>_xlfn.XLOOKUP(transactions[[#This Row],[OpportunityID]],Opportunities[ID],Opportunities[OpportunityOwner])</f>
        <v>Dr. Tech Advisor</v>
      </c>
      <c r="M321" s="51" t="str">
        <f ca="1">IF((transactions[[#This Row],[TransactionDate]]-TODAY())&lt;=366,transactions[[#This Row],[FQ]],"Out-year")</f>
        <v>Out-year</v>
      </c>
      <c r="N321" s="55">
        <f>transactions[[#This Row],[UnWeighted]]/1000</f>
        <v>83.542833333333334</v>
      </c>
      <c r="O321" s="55">
        <f>transactions[[#This Row],[Weighted]]/1000</f>
        <v>41.771416666666667</v>
      </c>
      <c r="P321" s="55">
        <f>transactions[[#This Row],[$K Unweighted]]/1000</f>
        <v>8.354283333333333E-2</v>
      </c>
      <c r="Q321" s="55" t="b">
        <f ca="1">transactions[[#This Row],[TransactionDate]]&gt;TODAY()</f>
        <v>1</v>
      </c>
    </row>
    <row r="322" spans="1:17" x14ac:dyDescent="0.25">
      <c r="A322">
        <v>18</v>
      </c>
      <c r="B322">
        <v>9</v>
      </c>
      <c r="C322" s="31">
        <v>46962</v>
      </c>
      <c r="D32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22" s="51" t="str">
        <f>"CY"&amp;RIGHT(YEAR(transactions[[#This Row],[TransactionDate]]),2)&amp;"-Q"&amp;ROUNDUP(MONTH(transactions[[#This Row],[TransactionDate]])/3, 0)</f>
        <v>CY28-Q3</v>
      </c>
      <c r="F322" s="52">
        <f>transactions[[#This Row],[UnWeighted]]*_xlfn.XLOOKUP(transactions[[#This Row],[OpportunityID]],Opportunities[ID],Opportunities[WinProbabilityValue])</f>
        <v>110906.4</v>
      </c>
      <c r="G322" s="52">
        <f>_xlfn.XLOOKUP(transactions[[#This Row],[OpportunityID]],Opportunities[ID],Opportunities[Amount])/IF(_xlfn.XLOOKUP(transactions[[#This Row],[OpportunityID]],Opportunities[ID],Opportunities[Recurrences])=0,1,_xlfn.XLOOKUP(transactions[[#This Row],[OpportunityID]],Opportunities[ID],Opportunities[Recurrences]))</f>
        <v>221812.8</v>
      </c>
      <c r="H322" s="51" t="str">
        <f>_xlfn.XLOOKUP(transactions[[#This Row],[OpportunityID]],Opportunities[ID],Opportunities[Status])</f>
        <v>Active</v>
      </c>
      <c r="I322" s="51" t="str">
        <f>_xlfn.XLOOKUP(transactions[[#This Row],[OpportunityID]],Opportunities[ID],Opportunities[Stage])</f>
        <v>Lead Qualification</v>
      </c>
      <c r="J322" s="51" t="str">
        <f>_xlfn.XLOOKUP(transactions[[#This Row],[OpportunityID]],Opportunities[ID],Opportunities[OpportunityName])</f>
        <v>Financial Planning Software</v>
      </c>
      <c r="K322" s="51" t="str">
        <f>_xlfn.XLOOKUP(transactions[[#This Row],[CustomerId]],Customers[Id],Customers[Customer Name])</f>
        <v>Construction Dynamics</v>
      </c>
      <c r="L322" s="51" t="str">
        <f>_xlfn.XLOOKUP(transactions[[#This Row],[OpportunityID]],Opportunities[ID],Opportunities[OpportunityOwner])</f>
        <v>Dr. Tech Advisor</v>
      </c>
      <c r="M322" s="51" t="str">
        <f ca="1">IF((transactions[[#This Row],[TransactionDate]]-TODAY())&lt;=366,transactions[[#This Row],[FQ]],"Out-year")</f>
        <v>Out-year</v>
      </c>
      <c r="N322" s="55">
        <f>transactions[[#This Row],[UnWeighted]]/1000</f>
        <v>221.81279999999998</v>
      </c>
      <c r="O322" s="55">
        <f>transactions[[#This Row],[Weighted]]/1000</f>
        <v>110.90639999999999</v>
      </c>
      <c r="P322" s="55">
        <f>transactions[[#This Row],[$K Unweighted]]/1000</f>
        <v>0.22181279999999998</v>
      </c>
      <c r="Q322" s="55" t="b">
        <f ca="1">transactions[[#This Row],[TransactionDate]]&gt;TODAY()</f>
        <v>1</v>
      </c>
    </row>
    <row r="323" spans="1:17" x14ac:dyDescent="0.25">
      <c r="A323">
        <v>26</v>
      </c>
      <c r="B323">
        <v>1</v>
      </c>
      <c r="C323" s="31">
        <v>46966</v>
      </c>
      <c r="D32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3" s="51" t="str">
        <f>"CY"&amp;RIGHT(YEAR(transactions[[#This Row],[TransactionDate]]),2)&amp;"-Q"&amp;ROUNDUP(MONTH(transactions[[#This Row],[TransactionDate]])/3, 0)</f>
        <v>CY28-Q3</v>
      </c>
      <c r="F323" s="52">
        <f>transactions[[#This Row],[UnWeighted]]*_xlfn.XLOOKUP(transactions[[#This Row],[OpportunityID]],Opportunities[ID],Opportunities[WinProbabilityValue])</f>
        <v>11339.638888888889</v>
      </c>
      <c r="G323"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23" s="51" t="str">
        <f>_xlfn.XLOOKUP(transactions[[#This Row],[OpportunityID]],Opportunities[ID],Opportunities[Status])</f>
        <v>Active</v>
      </c>
      <c r="I323" s="51" t="str">
        <f>_xlfn.XLOOKUP(transactions[[#This Row],[OpportunityID]],Opportunities[ID],Opportunities[Stage])</f>
        <v>Negotiation</v>
      </c>
      <c r="J323" s="51" t="str">
        <f>_xlfn.XLOOKUP(transactions[[#This Row],[OpportunityID]],Opportunities[ID],Opportunities[OpportunityName])</f>
        <v>Video Conferencing Solution</v>
      </c>
      <c r="K323" s="51" t="str">
        <f>_xlfn.XLOOKUP(transactions[[#This Row],[CustomerId]],Customers[Id],Customers[Customer Name])</f>
        <v>ACME Corporation</v>
      </c>
      <c r="L323" s="51" t="str">
        <f>_xlfn.XLOOKUP(transactions[[#This Row],[OpportunityID]],Opportunities[ID],Opportunities[OpportunityOwner])</f>
        <v>Mike Consultant</v>
      </c>
      <c r="M323" s="51" t="str">
        <f ca="1">IF((transactions[[#This Row],[TransactionDate]]-TODAY())&lt;=366,transactions[[#This Row],[FQ]],"Out-year")</f>
        <v>Out-year</v>
      </c>
      <c r="N323" s="55">
        <f>transactions[[#This Row],[UnWeighted]]/1000</f>
        <v>22.679277777777777</v>
      </c>
      <c r="O323" s="55">
        <f>transactions[[#This Row],[Weighted]]/1000</f>
        <v>11.339638888888889</v>
      </c>
      <c r="P323" s="55">
        <f>transactions[[#This Row],[$K Unweighted]]/1000</f>
        <v>2.2679277777777777E-2</v>
      </c>
      <c r="Q323" s="55" t="b">
        <f ca="1">transactions[[#This Row],[TransactionDate]]&gt;TODAY()</f>
        <v>1</v>
      </c>
    </row>
    <row r="324" spans="1:17" x14ac:dyDescent="0.25">
      <c r="A324">
        <v>14</v>
      </c>
      <c r="B324">
        <v>2</v>
      </c>
      <c r="C324" s="31">
        <v>46966</v>
      </c>
      <c r="D32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4" s="51" t="str">
        <f>"CY"&amp;RIGHT(YEAR(transactions[[#This Row],[TransactionDate]]),2)&amp;"-Q"&amp;ROUNDUP(MONTH(transactions[[#This Row],[TransactionDate]])/3, 0)</f>
        <v>CY28-Q3</v>
      </c>
      <c r="F324" s="52">
        <f>transactions[[#This Row],[UnWeighted]]*_xlfn.XLOOKUP(transactions[[#This Row],[OpportunityID]],Opportunities[ID],Opportunities[WinProbabilityValue])</f>
        <v>176887.5</v>
      </c>
      <c r="G324" s="52">
        <f>_xlfn.XLOOKUP(transactions[[#This Row],[OpportunityID]],Opportunities[ID],Opportunities[Amount])/IF(_xlfn.XLOOKUP(transactions[[#This Row],[OpportunityID]],Opportunities[ID],Opportunities[Recurrences])=0,1,_xlfn.XLOOKUP(transactions[[#This Row],[OpportunityID]],Opportunities[ID],Opportunities[Recurrences]))</f>
        <v>353775</v>
      </c>
      <c r="H324" s="51" t="str">
        <f>_xlfn.XLOOKUP(transactions[[#This Row],[OpportunityID]],Opportunities[ID],Opportunities[Status])</f>
        <v>Active</v>
      </c>
      <c r="I324" s="51" t="str">
        <f>_xlfn.XLOOKUP(transactions[[#This Row],[OpportunityID]],Opportunities[ID],Opportunities[Stage])</f>
        <v>Lead Qualification</v>
      </c>
      <c r="J324" s="51" t="str">
        <f>_xlfn.XLOOKUP(transactions[[#This Row],[OpportunityID]],Opportunities[ID],Opportunities[OpportunityName])</f>
        <v>Document Management System</v>
      </c>
      <c r="K324" s="51" t="str">
        <f>_xlfn.XLOOKUP(transactions[[#This Row],[CustomerId]],Customers[Id],Customers[Customer Name])</f>
        <v>Global Industries</v>
      </c>
      <c r="L324" s="51" t="str">
        <f>_xlfn.XLOOKUP(transactions[[#This Row],[OpportunityID]],Opportunities[ID],Opportunities[OpportunityOwner])</f>
        <v>John Manager</v>
      </c>
      <c r="M324" s="51" t="str">
        <f ca="1">IF((transactions[[#This Row],[TransactionDate]]-TODAY())&lt;=366,transactions[[#This Row],[FQ]],"Out-year")</f>
        <v>Out-year</v>
      </c>
      <c r="N324" s="55">
        <f>transactions[[#This Row],[UnWeighted]]/1000</f>
        <v>353.77499999999998</v>
      </c>
      <c r="O324" s="55">
        <f>transactions[[#This Row],[Weighted]]/1000</f>
        <v>176.88749999999999</v>
      </c>
      <c r="P324" s="55">
        <f>transactions[[#This Row],[$K Unweighted]]/1000</f>
        <v>0.35377499999999995</v>
      </c>
      <c r="Q324" s="55" t="b">
        <f ca="1">transactions[[#This Row],[TransactionDate]]&gt;TODAY()</f>
        <v>1</v>
      </c>
    </row>
    <row r="325" spans="1:17" x14ac:dyDescent="0.25">
      <c r="A325">
        <v>39</v>
      </c>
      <c r="B325">
        <v>3</v>
      </c>
      <c r="C325" s="31">
        <v>46968</v>
      </c>
      <c r="D32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5" s="51" t="str">
        <f>"CY"&amp;RIGHT(YEAR(transactions[[#This Row],[TransactionDate]]),2)&amp;"-Q"&amp;ROUNDUP(MONTH(transactions[[#This Row],[TransactionDate]])/3, 0)</f>
        <v>CY28-Q3</v>
      </c>
      <c r="F325" s="52">
        <f>transactions[[#This Row],[UnWeighted]]*_xlfn.XLOOKUP(transactions[[#This Row],[OpportunityID]],Opportunities[ID],Opportunities[WinProbabilityValue])</f>
        <v>20929.153846153848</v>
      </c>
      <c r="G325"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25" s="51" t="str">
        <f>_xlfn.XLOOKUP(transactions[[#This Row],[OpportunityID]],Opportunities[ID],Opportunities[Status])</f>
        <v>Active</v>
      </c>
      <c r="I325" s="51" t="str">
        <f>_xlfn.XLOOKUP(transactions[[#This Row],[OpportunityID]],Opportunities[ID],Opportunities[Stage])</f>
        <v>Project Execution</v>
      </c>
      <c r="J325" s="51" t="str">
        <f>_xlfn.XLOOKUP(transactions[[#This Row],[OpportunityID]],Opportunities[ID],Opportunities[OpportunityName])</f>
        <v>API Development Project</v>
      </c>
      <c r="K325" s="51" t="str">
        <f>_xlfn.XLOOKUP(transactions[[#This Row],[CustomerId]],Customers[Id],Customers[Customer Name])</f>
        <v>Tech Solutions Inc</v>
      </c>
      <c r="L325" s="51" t="str">
        <f>_xlfn.XLOOKUP(transactions[[#This Row],[OpportunityID]],Opportunities[ID],Opportunities[OpportunityOwner])</f>
        <v>Jennifer PM</v>
      </c>
      <c r="M325" s="51" t="str">
        <f ca="1">IF((transactions[[#This Row],[TransactionDate]]-TODAY())&lt;=366,transactions[[#This Row],[FQ]],"Out-year")</f>
        <v>Out-year</v>
      </c>
      <c r="N325" s="55">
        <f>transactions[[#This Row],[UnWeighted]]/1000</f>
        <v>41.858307692307697</v>
      </c>
      <c r="O325" s="55">
        <f>transactions[[#This Row],[Weighted]]/1000</f>
        <v>20.929153846153849</v>
      </c>
      <c r="P325" s="55">
        <f>transactions[[#This Row],[$K Unweighted]]/1000</f>
        <v>4.1858307692307695E-2</v>
      </c>
      <c r="Q325" s="55" t="b">
        <f ca="1">transactions[[#This Row],[TransactionDate]]&gt;TODAY()</f>
        <v>1</v>
      </c>
    </row>
    <row r="326" spans="1:17" x14ac:dyDescent="0.25">
      <c r="A326">
        <v>36</v>
      </c>
      <c r="B326">
        <v>1</v>
      </c>
      <c r="C326" s="31">
        <v>46971</v>
      </c>
      <c r="D32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6" s="51" t="str">
        <f>"CY"&amp;RIGHT(YEAR(transactions[[#This Row],[TransactionDate]]),2)&amp;"-Q"&amp;ROUNDUP(MONTH(transactions[[#This Row],[TransactionDate]])/3, 0)</f>
        <v>CY28-Q3</v>
      </c>
      <c r="F326" s="52">
        <f>transactions[[#This Row],[UnWeighted]]*_xlfn.XLOOKUP(transactions[[#This Row],[OpportunityID]],Opportunities[ID],Opportunities[WinProbabilityValue])</f>
        <v>24983.895833333332</v>
      </c>
      <c r="G326"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26" s="51" t="str">
        <f>_xlfn.XLOOKUP(transactions[[#This Row],[OpportunityID]],Opportunities[ID],Opportunities[Status])</f>
        <v>Active</v>
      </c>
      <c r="I326" s="51" t="str">
        <f>_xlfn.XLOOKUP(transactions[[#This Row],[OpportunityID]],Opportunities[ID],Opportunities[Stage])</f>
        <v>Lead Qualification</v>
      </c>
      <c r="J326" s="51" t="str">
        <f>_xlfn.XLOOKUP(transactions[[#This Row],[OpportunityID]],Opportunities[ID],Opportunities[OpportunityName])</f>
        <v>Integration Services Project</v>
      </c>
      <c r="K326" s="51" t="str">
        <f>_xlfn.XLOOKUP(transactions[[#This Row],[CustomerId]],Customers[Id],Customers[Customer Name])</f>
        <v>ACME Corporation</v>
      </c>
      <c r="L326" s="51" t="str">
        <f>_xlfn.XLOOKUP(transactions[[#This Row],[OpportunityID]],Opportunities[ID],Opportunities[OpportunityOwner])</f>
        <v>Amanda Sales</v>
      </c>
      <c r="M326" s="51" t="str">
        <f ca="1">IF((transactions[[#This Row],[TransactionDate]]-TODAY())&lt;=366,transactions[[#This Row],[FQ]],"Out-year")</f>
        <v>Out-year</v>
      </c>
      <c r="N326" s="55">
        <f>transactions[[#This Row],[UnWeighted]]/1000</f>
        <v>49.967791666666663</v>
      </c>
      <c r="O326" s="55">
        <f>transactions[[#This Row],[Weighted]]/1000</f>
        <v>24.983895833333332</v>
      </c>
      <c r="P326" s="55">
        <f>transactions[[#This Row],[$K Unweighted]]/1000</f>
        <v>4.9967791666666664E-2</v>
      </c>
      <c r="Q326" s="55" t="b">
        <f ca="1">transactions[[#This Row],[TransactionDate]]&gt;TODAY()</f>
        <v>1</v>
      </c>
    </row>
    <row r="327" spans="1:17" x14ac:dyDescent="0.25">
      <c r="A327">
        <v>15</v>
      </c>
      <c r="B327">
        <v>24</v>
      </c>
      <c r="C327" s="31">
        <v>46972</v>
      </c>
      <c r="D32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7" s="51" t="str">
        <f>"CY"&amp;RIGHT(YEAR(transactions[[#This Row],[TransactionDate]]),2)&amp;"-Q"&amp;ROUNDUP(MONTH(transactions[[#This Row],[TransactionDate]])/3, 0)</f>
        <v>CY28-Q3</v>
      </c>
      <c r="F327" s="52">
        <f>transactions[[#This Row],[UnWeighted]]*_xlfn.XLOOKUP(transactions[[#This Row],[OpportunityID]],Opportunities[ID],Opportunities[WinProbabilityValue])</f>
        <v>29217.197872340425</v>
      </c>
      <c r="G327"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27" s="51" t="str">
        <f>_xlfn.XLOOKUP(transactions[[#This Row],[OpportunityID]],Opportunities[ID],Opportunities[Status])</f>
        <v>Active</v>
      </c>
      <c r="I327" s="51" t="str">
        <f>_xlfn.XLOOKUP(transactions[[#This Row],[OpportunityID]],Opportunities[ID],Opportunities[Stage])</f>
        <v>Project Execution</v>
      </c>
      <c r="J327" s="51" t="str">
        <f>_xlfn.XLOOKUP(transactions[[#This Row],[OpportunityID]],Opportunities[ID],Opportunities[OpportunityName])</f>
        <v>Training &amp; Development Program</v>
      </c>
      <c r="K327" s="51" t="str">
        <f>_xlfn.XLOOKUP(transactions[[#This Row],[CustomerId]],Customers[Id],Customers[Customer Name])</f>
        <v>Security Solutions</v>
      </c>
      <c r="L327" s="51" t="str">
        <f>_xlfn.XLOOKUP(transactions[[#This Row],[OpportunityID]],Opportunities[ID],Opportunities[OpportunityOwner])</f>
        <v>Sarah Director</v>
      </c>
      <c r="M327" s="51" t="str">
        <f ca="1">IF((transactions[[#This Row],[TransactionDate]]-TODAY())&lt;=366,transactions[[#This Row],[FQ]],"Out-year")</f>
        <v>Out-year</v>
      </c>
      <c r="N327" s="55">
        <f>transactions[[#This Row],[UnWeighted]]/1000</f>
        <v>32.46355319148936</v>
      </c>
      <c r="O327" s="55">
        <f>transactions[[#This Row],[Weighted]]/1000</f>
        <v>29.217197872340424</v>
      </c>
      <c r="P327" s="55">
        <f>transactions[[#This Row],[$K Unweighted]]/1000</f>
        <v>3.2463553191489358E-2</v>
      </c>
      <c r="Q327" s="55" t="b">
        <f ca="1">transactions[[#This Row],[TransactionDate]]&gt;TODAY()</f>
        <v>1</v>
      </c>
    </row>
    <row r="328" spans="1:17" x14ac:dyDescent="0.25">
      <c r="A328">
        <v>25</v>
      </c>
      <c r="B328">
        <v>14</v>
      </c>
      <c r="C328" s="31">
        <v>46974</v>
      </c>
      <c r="D32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8" s="51" t="str">
        <f>"CY"&amp;RIGHT(YEAR(transactions[[#This Row],[TransactionDate]]),2)&amp;"-Q"&amp;ROUNDUP(MONTH(transactions[[#This Row],[TransactionDate]])/3, 0)</f>
        <v>CY28-Q3</v>
      </c>
      <c r="F328" s="52">
        <f>transactions[[#This Row],[UnWeighted]]*_xlfn.XLOOKUP(transactions[[#This Row],[OpportunityID]],Opportunities[ID],Opportunities[WinProbabilityValue])</f>
        <v>35076.26666666667</v>
      </c>
      <c r="G328" s="52">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328" s="51" t="str">
        <f>_xlfn.XLOOKUP(transactions[[#This Row],[OpportunityID]],Opportunities[ID],Opportunities[Status])</f>
        <v>Active</v>
      </c>
      <c r="I328" s="51" t="str">
        <f>_xlfn.XLOOKUP(transactions[[#This Row],[OpportunityID]],Opportunities[ID],Opportunities[Stage])</f>
        <v>Lead Qualification</v>
      </c>
      <c r="J328" s="51" t="str">
        <f>_xlfn.XLOOKUP(transactions[[#This Row],[OpportunityID]],Opportunities[ID],Opportunities[OpportunityName])</f>
        <v>Project Management Software</v>
      </c>
      <c r="K328" s="51" t="str">
        <f>_xlfn.XLOOKUP(transactions[[#This Row],[CustomerId]],Customers[Id],Customers[Customer Name])</f>
        <v>Media Communications</v>
      </c>
      <c r="L328" s="51" t="str">
        <f>_xlfn.XLOOKUP(transactions[[#This Row],[OpportunityID]],Opportunities[ID],Opportunities[OpportunityOwner])</f>
        <v>Amanda Sales</v>
      </c>
      <c r="M328" s="51" t="str">
        <f ca="1">IF((transactions[[#This Row],[TransactionDate]]-TODAY())&lt;=366,transactions[[#This Row],[FQ]],"Out-year")</f>
        <v>Out-year</v>
      </c>
      <c r="N328" s="55">
        <f>transactions[[#This Row],[UnWeighted]]/1000</f>
        <v>70.152533333333338</v>
      </c>
      <c r="O328" s="55">
        <f>transactions[[#This Row],[Weighted]]/1000</f>
        <v>35.076266666666669</v>
      </c>
      <c r="P328" s="55">
        <f>transactions[[#This Row],[$K Unweighted]]/1000</f>
        <v>7.0152533333333336E-2</v>
      </c>
      <c r="Q328" s="55" t="b">
        <f ca="1">transactions[[#This Row],[TransactionDate]]&gt;TODAY()</f>
        <v>1</v>
      </c>
    </row>
    <row r="329" spans="1:17" x14ac:dyDescent="0.25">
      <c r="A329">
        <v>17</v>
      </c>
      <c r="B329">
        <v>19</v>
      </c>
      <c r="C329" s="31">
        <v>46974</v>
      </c>
      <c r="D32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9" s="51" t="str">
        <f>"CY"&amp;RIGHT(YEAR(transactions[[#This Row],[TransactionDate]]),2)&amp;"-Q"&amp;ROUNDUP(MONTH(transactions[[#This Row],[TransactionDate]])/3, 0)</f>
        <v>CY28-Q3</v>
      </c>
      <c r="F329" s="52">
        <f>transactions[[#This Row],[UnWeighted]]*_xlfn.XLOOKUP(transactions[[#This Row],[OpportunityID]],Opportunities[ID],Opportunities[WinProbabilityValue])</f>
        <v>9267.2333333333336</v>
      </c>
      <c r="G329"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29" s="51" t="str">
        <f>_xlfn.XLOOKUP(transactions[[#This Row],[OpportunityID]],Opportunities[ID],Opportunities[Status])</f>
        <v>Active</v>
      </c>
      <c r="I329" s="51" t="str">
        <f>_xlfn.XLOOKUP(transactions[[#This Row],[OpportunityID]],Opportunities[ID],Opportunities[Stage])</f>
        <v>Negotiation</v>
      </c>
      <c r="J329" s="51" t="str">
        <f>_xlfn.XLOOKUP(transactions[[#This Row],[OpportunityID]],Opportunities[ID],Opportunities[OpportunityName])</f>
        <v>Supply Chain Optimization</v>
      </c>
      <c r="K329" s="51" t="str">
        <f>_xlfn.XLOOKUP(transactions[[#This Row],[CustomerId]],Customers[Id],Customers[Customer Name])</f>
        <v>Hotel Management Group</v>
      </c>
      <c r="L329" s="51" t="str">
        <f>_xlfn.XLOOKUP(transactions[[#This Row],[OpportunityID]],Opportunities[ID],Opportunities[OpportunityOwner])</f>
        <v>Jennifer PM</v>
      </c>
      <c r="M329" s="51" t="str">
        <f ca="1">IF((transactions[[#This Row],[TransactionDate]]-TODAY())&lt;=366,transactions[[#This Row],[FQ]],"Out-year")</f>
        <v>Out-year</v>
      </c>
      <c r="N329" s="55">
        <f>transactions[[#This Row],[UnWeighted]]/1000</f>
        <v>46.336166666666664</v>
      </c>
      <c r="O329" s="55">
        <f>transactions[[#This Row],[Weighted]]/1000</f>
        <v>9.2672333333333334</v>
      </c>
      <c r="P329" s="55">
        <f>transactions[[#This Row],[$K Unweighted]]/1000</f>
        <v>4.6336166666666664E-2</v>
      </c>
      <c r="Q329" s="55" t="b">
        <f ca="1">transactions[[#This Row],[TransactionDate]]&gt;TODAY()</f>
        <v>1</v>
      </c>
    </row>
    <row r="330" spans="1:17" x14ac:dyDescent="0.25">
      <c r="A330">
        <v>22</v>
      </c>
      <c r="B330">
        <v>11</v>
      </c>
      <c r="C330" s="31">
        <v>46976</v>
      </c>
      <c r="D33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0" s="51" t="str">
        <f>"CY"&amp;RIGHT(YEAR(transactions[[#This Row],[TransactionDate]]),2)&amp;"-Q"&amp;ROUNDUP(MONTH(transactions[[#This Row],[TransactionDate]])/3, 0)</f>
        <v>CY28-Q3</v>
      </c>
      <c r="F330" s="52">
        <f>transactions[[#This Row],[UnWeighted]]*_xlfn.XLOOKUP(transactions[[#This Row],[OpportunityID]],Opportunities[ID],Opportunities[WinProbabilityValue])</f>
        <v>26390.544230769232</v>
      </c>
      <c r="G330"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30" s="51" t="str">
        <f>_xlfn.XLOOKUP(transactions[[#This Row],[OpportunityID]],Opportunities[ID],Opportunities[Status])</f>
        <v>Active</v>
      </c>
      <c r="I330" s="51" t="str">
        <f>_xlfn.XLOOKUP(transactions[[#This Row],[OpportunityID]],Opportunities[ID],Opportunities[Stage])</f>
        <v>Nurturing</v>
      </c>
      <c r="J330" s="51" t="str">
        <f>_xlfn.XLOOKUP(transactions[[#This Row],[OpportunityID]],Opportunities[ID],Opportunities[OpportunityName])</f>
        <v>Inventory Management Solution</v>
      </c>
      <c r="K330" s="51" t="str">
        <f>_xlfn.XLOOKUP(transactions[[#This Row],[CustomerId]],Customers[Id],Customers[Customer Name])</f>
        <v>Transport Logistics</v>
      </c>
      <c r="L330" s="51" t="str">
        <f>_xlfn.XLOOKUP(transactions[[#This Row],[OpportunityID]],Opportunities[ID],Opportunities[OpportunityOwner])</f>
        <v>Sarah Director</v>
      </c>
      <c r="M330" s="51" t="str">
        <f ca="1">IF((transactions[[#This Row],[TransactionDate]]-TODAY())&lt;=366,transactions[[#This Row],[FQ]],"Out-year")</f>
        <v>Out-year</v>
      </c>
      <c r="N330" s="55">
        <f>transactions[[#This Row],[UnWeighted]]/1000</f>
        <v>29.322826923076921</v>
      </c>
      <c r="O330" s="55">
        <f>transactions[[#This Row],[Weighted]]/1000</f>
        <v>26.390544230769233</v>
      </c>
      <c r="P330" s="55">
        <f>transactions[[#This Row],[$K Unweighted]]/1000</f>
        <v>2.932282692307692E-2</v>
      </c>
      <c r="Q330" s="55" t="b">
        <f ca="1">transactions[[#This Row],[TransactionDate]]&gt;TODAY()</f>
        <v>1</v>
      </c>
    </row>
    <row r="331" spans="1:17" x14ac:dyDescent="0.25">
      <c r="A331">
        <v>28</v>
      </c>
      <c r="B331">
        <v>1</v>
      </c>
      <c r="C331" s="31">
        <v>46981</v>
      </c>
      <c r="D33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1" s="51" t="str">
        <f>"CY"&amp;RIGHT(YEAR(transactions[[#This Row],[TransactionDate]]),2)&amp;"-Q"&amp;ROUNDUP(MONTH(transactions[[#This Row],[TransactionDate]])/3, 0)</f>
        <v>CY28-Q3</v>
      </c>
      <c r="F331" s="52">
        <f>transactions[[#This Row],[UnWeighted]]*_xlfn.XLOOKUP(transactions[[#This Row],[OpportunityID]],Opportunities[ID],Opportunities[WinProbabilityValue])</f>
        <v>40447.666666666664</v>
      </c>
      <c r="G331" s="52">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331" s="51" t="str">
        <f>_xlfn.XLOOKUP(transactions[[#This Row],[OpportunityID]],Opportunities[ID],Opportunities[Status])</f>
        <v>Active</v>
      </c>
      <c r="I331" s="51" t="str">
        <f>_xlfn.XLOOKUP(transactions[[#This Row],[OpportunityID]],Opportunities[ID],Opportunities[Stage])</f>
        <v>Lead Qualification</v>
      </c>
      <c r="J331" s="51" t="str">
        <f>_xlfn.XLOOKUP(transactions[[#This Row],[OpportunityID]],Opportunities[ID],Opportunities[OpportunityName])</f>
        <v>Website Redesign Project</v>
      </c>
      <c r="K331" s="51" t="str">
        <f>_xlfn.XLOOKUP(transactions[[#This Row],[CustomerId]],Customers[Id],Customers[Customer Name])</f>
        <v>ACME Corporation</v>
      </c>
      <c r="L331" s="51" t="str">
        <f>_xlfn.XLOOKUP(transactions[[#This Row],[OpportunityID]],Opportunities[ID],Opportunities[OpportunityOwner])</f>
        <v>Lisa Engineer</v>
      </c>
      <c r="M331" s="51" t="str">
        <f ca="1">IF((transactions[[#This Row],[TransactionDate]]-TODAY())&lt;=366,transactions[[#This Row],[FQ]],"Out-year")</f>
        <v>Out-year</v>
      </c>
      <c r="N331" s="55">
        <f>transactions[[#This Row],[UnWeighted]]/1000</f>
        <v>80.895333333333326</v>
      </c>
      <c r="O331" s="55">
        <f>transactions[[#This Row],[Weighted]]/1000</f>
        <v>40.447666666666663</v>
      </c>
      <c r="P331" s="55">
        <f>transactions[[#This Row],[$K Unweighted]]/1000</f>
        <v>8.0895333333333333E-2</v>
      </c>
      <c r="Q331" s="55" t="b">
        <f ca="1">transactions[[#This Row],[TransactionDate]]&gt;TODAY()</f>
        <v>1</v>
      </c>
    </row>
    <row r="332" spans="1:17" x14ac:dyDescent="0.25">
      <c r="A332">
        <v>27</v>
      </c>
      <c r="B332">
        <v>2</v>
      </c>
      <c r="C332" s="31">
        <v>46982</v>
      </c>
      <c r="D33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2" s="51" t="str">
        <f>"CY"&amp;RIGHT(YEAR(transactions[[#This Row],[TransactionDate]]),2)&amp;"-Q"&amp;ROUNDUP(MONTH(transactions[[#This Row],[TransactionDate]])/3, 0)</f>
        <v>CY28-Q3</v>
      </c>
      <c r="F332" s="52">
        <f>transactions[[#This Row],[UnWeighted]]*_xlfn.XLOOKUP(transactions[[#This Row],[OpportunityID]],Opportunities[ID],Opportunities[WinProbabilityValue])</f>
        <v>46287.333333333336</v>
      </c>
      <c r="G332"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332" s="51" t="str">
        <f>_xlfn.XLOOKUP(transactions[[#This Row],[OpportunityID]],Opportunities[ID],Opportunities[Status])</f>
        <v>Active</v>
      </c>
      <c r="I332" s="51" t="str">
        <f>_xlfn.XLOOKUP(transactions[[#This Row],[OpportunityID]],Opportunities[ID],Opportunities[Stage])</f>
        <v>Lead Qualification</v>
      </c>
      <c r="J332" s="51" t="str">
        <f>_xlfn.XLOOKUP(transactions[[#This Row],[OpportunityID]],Opportunities[ID],Opportunities[OpportunityName])</f>
        <v>Backup &amp; Recovery System</v>
      </c>
      <c r="K332" s="51" t="str">
        <f>_xlfn.XLOOKUP(transactions[[#This Row],[CustomerId]],Customers[Id],Customers[Customer Name])</f>
        <v>Global Industries</v>
      </c>
      <c r="L332" s="51" t="str">
        <f>_xlfn.XLOOKUP(transactions[[#This Row],[OpportunityID]],Opportunities[ID],Opportunities[OpportunityOwner])</f>
        <v>Amanda Sales</v>
      </c>
      <c r="M332" s="51" t="str">
        <f ca="1">IF((transactions[[#This Row],[TransactionDate]]-TODAY())&lt;=366,transactions[[#This Row],[FQ]],"Out-year")</f>
        <v>Out-year</v>
      </c>
      <c r="N332" s="55">
        <f>transactions[[#This Row],[UnWeighted]]/1000</f>
        <v>92.574666666666673</v>
      </c>
      <c r="O332" s="55">
        <f>transactions[[#This Row],[Weighted]]/1000</f>
        <v>46.287333333333336</v>
      </c>
      <c r="P332" s="55">
        <f>transactions[[#This Row],[$K Unweighted]]/1000</f>
        <v>9.2574666666666666E-2</v>
      </c>
      <c r="Q332" s="55" t="b">
        <f ca="1">transactions[[#This Row],[TransactionDate]]&gt;TODAY()</f>
        <v>1</v>
      </c>
    </row>
    <row r="333" spans="1:17" x14ac:dyDescent="0.25">
      <c r="A333">
        <v>2</v>
      </c>
      <c r="B333">
        <v>10</v>
      </c>
      <c r="C333" s="31">
        <v>46982</v>
      </c>
      <c r="D33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3" s="51" t="str">
        <f>"CY"&amp;RIGHT(YEAR(transactions[[#This Row],[TransactionDate]]),2)&amp;"-Q"&amp;ROUNDUP(MONTH(transactions[[#This Row],[TransactionDate]])/3, 0)</f>
        <v>CY28-Q3</v>
      </c>
      <c r="F333" s="52">
        <f>transactions[[#This Row],[UnWeighted]]*_xlfn.XLOOKUP(transactions[[#This Row],[OpportunityID]],Opportunities[ID],Opportunities[WinProbabilityValue])</f>
        <v>20720.20930232558</v>
      </c>
      <c r="G333"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33" s="51" t="str">
        <f>_xlfn.XLOOKUP(transactions[[#This Row],[OpportunityID]],Opportunities[ID],Opportunities[Status])</f>
        <v>Active</v>
      </c>
      <c r="I333" s="51" t="str">
        <f>_xlfn.XLOOKUP(transactions[[#This Row],[OpportunityID]],Opportunities[ID],Opportunities[Stage])</f>
        <v>Proposal</v>
      </c>
      <c r="J333" s="51" t="str">
        <f>_xlfn.XLOOKUP(transactions[[#This Row],[OpportunityID]],Opportunities[ID],Opportunities[OpportunityName])</f>
        <v>Cloud Migration Initiative</v>
      </c>
      <c r="K333" s="51" t="str">
        <f>_xlfn.XLOOKUP(transactions[[#This Row],[CustomerId]],Customers[Id],Customers[Customer Name])</f>
        <v>Education First</v>
      </c>
      <c r="L333" s="51" t="str">
        <f>_xlfn.XLOOKUP(transactions[[#This Row],[OpportunityID]],Opportunities[ID],Opportunities[OpportunityOwner])</f>
        <v>Robert Analyst</v>
      </c>
      <c r="M333" s="51" t="str">
        <f ca="1">IF((transactions[[#This Row],[TransactionDate]]-TODAY())&lt;=366,transactions[[#This Row],[FQ]],"Out-year")</f>
        <v>Out-year</v>
      </c>
      <c r="N333" s="55">
        <f>transactions[[#This Row],[UnWeighted]]/1000</f>
        <v>41.440418604651157</v>
      </c>
      <c r="O333" s="55">
        <f>transactions[[#This Row],[Weighted]]/1000</f>
        <v>20.720209302325578</v>
      </c>
      <c r="P333" s="55">
        <f>transactions[[#This Row],[$K Unweighted]]/1000</f>
        <v>4.1440418604651155E-2</v>
      </c>
      <c r="Q333" s="55" t="b">
        <f ca="1">transactions[[#This Row],[TransactionDate]]&gt;TODAY()</f>
        <v>1</v>
      </c>
    </row>
    <row r="334" spans="1:17" x14ac:dyDescent="0.25">
      <c r="A334">
        <v>13</v>
      </c>
      <c r="B334">
        <v>2</v>
      </c>
      <c r="C334" s="31">
        <v>46987</v>
      </c>
      <c r="D33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4" s="51" t="str">
        <f>"CY"&amp;RIGHT(YEAR(transactions[[#This Row],[TransactionDate]]),2)&amp;"-Q"&amp;ROUNDUP(MONTH(transactions[[#This Row],[TransactionDate]])/3, 0)</f>
        <v>CY28-Q3</v>
      </c>
      <c r="F334" s="52">
        <f>transactions[[#This Row],[UnWeighted]]*_xlfn.XLOOKUP(transactions[[#This Row],[OpportunityID]],Opportunities[ID],Opportunities[WinProbabilityValue])</f>
        <v>12618.744897959185</v>
      </c>
      <c r="G334"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34" s="51" t="str">
        <f>_xlfn.XLOOKUP(transactions[[#This Row],[OpportunityID]],Opportunities[ID],Opportunities[Status])</f>
        <v>Active</v>
      </c>
      <c r="I334" s="51" t="str">
        <f>_xlfn.XLOOKUP(transactions[[#This Row],[OpportunityID]],Opportunities[ID],Opportunities[Stage])</f>
        <v>Negotiation</v>
      </c>
      <c r="J334" s="51" t="str">
        <f>_xlfn.XLOOKUP(transactions[[#This Row],[OpportunityID]],Opportunities[ID],Opportunities[OpportunityName])</f>
        <v>E-commerce Platform</v>
      </c>
      <c r="K334" s="51" t="str">
        <f>_xlfn.XLOOKUP(transactions[[#This Row],[CustomerId]],Customers[Id],Customers[Customer Name])</f>
        <v>Global Industries</v>
      </c>
      <c r="L334" s="51" t="str">
        <f>_xlfn.XLOOKUP(transactions[[#This Row],[OpportunityID]],Opportunities[ID],Opportunities[OpportunityOwner])</f>
        <v>Lisa Engineer</v>
      </c>
      <c r="M334" s="51" t="str">
        <f ca="1">IF((transactions[[#This Row],[TransactionDate]]-TODAY())&lt;=366,transactions[[#This Row],[FQ]],"Out-year")</f>
        <v>Out-year</v>
      </c>
      <c r="N334" s="55">
        <f>transactions[[#This Row],[UnWeighted]]/1000</f>
        <v>25.237489795918368</v>
      </c>
      <c r="O334" s="55">
        <f>transactions[[#This Row],[Weighted]]/1000</f>
        <v>12.618744897959184</v>
      </c>
      <c r="P334" s="55">
        <f>transactions[[#This Row],[$K Unweighted]]/1000</f>
        <v>2.5237489795918368E-2</v>
      </c>
      <c r="Q334" s="55" t="b">
        <f ca="1">transactions[[#This Row],[TransactionDate]]&gt;TODAY()</f>
        <v>1</v>
      </c>
    </row>
    <row r="335" spans="1:17" x14ac:dyDescent="0.25">
      <c r="A335">
        <v>5</v>
      </c>
      <c r="B335">
        <v>12</v>
      </c>
      <c r="C335" s="31">
        <v>46988</v>
      </c>
      <c r="D33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5" s="51" t="str">
        <f>"CY"&amp;RIGHT(YEAR(transactions[[#This Row],[TransactionDate]]),2)&amp;"-Q"&amp;ROUNDUP(MONTH(transactions[[#This Row],[TransactionDate]])/3, 0)</f>
        <v>CY28-Q3</v>
      </c>
      <c r="F335" s="52">
        <f>transactions[[#This Row],[UnWeighted]]*_xlfn.XLOOKUP(transactions[[#This Row],[OpportunityID]],Opportunities[ID],Opportunities[WinProbabilityValue])</f>
        <v>104043.5</v>
      </c>
      <c r="G335" s="52">
        <f>_xlfn.XLOOKUP(transactions[[#This Row],[OpportunityID]],Opportunities[ID],Opportunities[Amount])/IF(_xlfn.XLOOKUP(transactions[[#This Row],[OpportunityID]],Opportunities[ID],Opportunities[Recurrences])=0,1,_xlfn.XLOOKUP(transactions[[#This Row],[OpportunityID]],Opportunities[ID],Opportunities[Recurrences]))</f>
        <v>208087</v>
      </c>
      <c r="H335" s="51" t="str">
        <f>_xlfn.XLOOKUP(transactions[[#This Row],[OpportunityID]],Opportunities[ID],Opportunities[Status])</f>
        <v>Active</v>
      </c>
      <c r="I335" s="51" t="str">
        <f>_xlfn.XLOOKUP(transactions[[#This Row],[OpportunityID]],Opportunities[ID],Opportunities[Stage])</f>
        <v>Proposal</v>
      </c>
      <c r="J335" s="51" t="str">
        <f>_xlfn.XLOOKUP(transactions[[#This Row],[OpportunityID]],Opportunities[ID],Opportunities[OpportunityName])</f>
        <v>Healthcare Data Analytics Platform</v>
      </c>
      <c r="K335" s="51" t="str">
        <f>_xlfn.XLOOKUP(transactions[[#This Row],[CustomerId]],Customers[Id],Customers[Customer Name])</f>
        <v>Food Service Partners</v>
      </c>
      <c r="L335" s="51" t="str">
        <f>_xlfn.XLOOKUP(transactions[[#This Row],[OpportunityID]],Opportunities[ID],Opportunities[OpportunityOwner])</f>
        <v>Amanda Sales</v>
      </c>
      <c r="M335" s="51" t="str">
        <f ca="1">IF((transactions[[#This Row],[TransactionDate]]-TODAY())&lt;=366,transactions[[#This Row],[FQ]],"Out-year")</f>
        <v>Out-year</v>
      </c>
      <c r="N335" s="55">
        <f>transactions[[#This Row],[UnWeighted]]/1000</f>
        <v>208.08699999999999</v>
      </c>
      <c r="O335" s="55">
        <f>transactions[[#This Row],[Weighted]]/1000</f>
        <v>104.04349999999999</v>
      </c>
      <c r="P335" s="55">
        <f>transactions[[#This Row],[$K Unweighted]]/1000</f>
        <v>0.20808699999999999</v>
      </c>
      <c r="Q335" s="55" t="b">
        <f ca="1">transactions[[#This Row],[TransactionDate]]&gt;TODAY()</f>
        <v>1</v>
      </c>
    </row>
    <row r="336" spans="1:17" x14ac:dyDescent="0.25">
      <c r="A336">
        <v>26</v>
      </c>
      <c r="B336">
        <v>1</v>
      </c>
      <c r="C336" s="31">
        <v>46997</v>
      </c>
      <c r="D33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6" s="51" t="str">
        <f>"CY"&amp;RIGHT(YEAR(transactions[[#This Row],[TransactionDate]]),2)&amp;"-Q"&amp;ROUNDUP(MONTH(transactions[[#This Row],[TransactionDate]])/3, 0)</f>
        <v>CY28-Q3</v>
      </c>
      <c r="F336" s="52">
        <f>transactions[[#This Row],[UnWeighted]]*_xlfn.XLOOKUP(transactions[[#This Row],[OpportunityID]],Opportunities[ID],Opportunities[WinProbabilityValue])</f>
        <v>11339.638888888889</v>
      </c>
      <c r="G336"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36" s="51" t="str">
        <f>_xlfn.XLOOKUP(transactions[[#This Row],[OpportunityID]],Opportunities[ID],Opportunities[Status])</f>
        <v>Active</v>
      </c>
      <c r="I336" s="51" t="str">
        <f>_xlfn.XLOOKUP(transactions[[#This Row],[OpportunityID]],Opportunities[ID],Opportunities[Stage])</f>
        <v>Negotiation</v>
      </c>
      <c r="J336" s="51" t="str">
        <f>_xlfn.XLOOKUP(transactions[[#This Row],[OpportunityID]],Opportunities[ID],Opportunities[OpportunityName])</f>
        <v>Video Conferencing Solution</v>
      </c>
      <c r="K336" s="51" t="str">
        <f>_xlfn.XLOOKUP(transactions[[#This Row],[CustomerId]],Customers[Id],Customers[Customer Name])</f>
        <v>ACME Corporation</v>
      </c>
      <c r="L336" s="51" t="str">
        <f>_xlfn.XLOOKUP(transactions[[#This Row],[OpportunityID]],Opportunities[ID],Opportunities[OpportunityOwner])</f>
        <v>Mike Consultant</v>
      </c>
      <c r="M336" s="51" t="str">
        <f ca="1">IF((transactions[[#This Row],[TransactionDate]]-TODAY())&lt;=366,transactions[[#This Row],[FQ]],"Out-year")</f>
        <v>Out-year</v>
      </c>
      <c r="N336" s="55">
        <f>transactions[[#This Row],[UnWeighted]]/1000</f>
        <v>22.679277777777777</v>
      </c>
      <c r="O336" s="55">
        <f>transactions[[#This Row],[Weighted]]/1000</f>
        <v>11.339638888888889</v>
      </c>
      <c r="P336" s="55">
        <f>transactions[[#This Row],[$K Unweighted]]/1000</f>
        <v>2.2679277777777777E-2</v>
      </c>
      <c r="Q336" s="55" t="b">
        <f ca="1">transactions[[#This Row],[TransactionDate]]&gt;TODAY()</f>
        <v>1</v>
      </c>
    </row>
    <row r="337" spans="1:17" x14ac:dyDescent="0.25">
      <c r="A337">
        <v>39</v>
      </c>
      <c r="B337">
        <v>3</v>
      </c>
      <c r="C337" s="31">
        <v>46999</v>
      </c>
      <c r="D33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7" s="51" t="str">
        <f>"CY"&amp;RIGHT(YEAR(transactions[[#This Row],[TransactionDate]]),2)&amp;"-Q"&amp;ROUNDUP(MONTH(transactions[[#This Row],[TransactionDate]])/3, 0)</f>
        <v>CY28-Q3</v>
      </c>
      <c r="F337" s="52">
        <f>transactions[[#This Row],[UnWeighted]]*_xlfn.XLOOKUP(transactions[[#This Row],[OpportunityID]],Opportunities[ID],Opportunities[WinProbabilityValue])</f>
        <v>20929.153846153848</v>
      </c>
      <c r="G337"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37" s="51" t="str">
        <f>_xlfn.XLOOKUP(transactions[[#This Row],[OpportunityID]],Opportunities[ID],Opportunities[Status])</f>
        <v>Active</v>
      </c>
      <c r="I337" s="51" t="str">
        <f>_xlfn.XLOOKUP(transactions[[#This Row],[OpportunityID]],Opportunities[ID],Opportunities[Stage])</f>
        <v>Project Execution</v>
      </c>
      <c r="J337" s="51" t="str">
        <f>_xlfn.XLOOKUP(transactions[[#This Row],[OpportunityID]],Opportunities[ID],Opportunities[OpportunityName])</f>
        <v>API Development Project</v>
      </c>
      <c r="K337" s="51" t="str">
        <f>_xlfn.XLOOKUP(transactions[[#This Row],[CustomerId]],Customers[Id],Customers[Customer Name])</f>
        <v>Tech Solutions Inc</v>
      </c>
      <c r="L337" s="51" t="str">
        <f>_xlfn.XLOOKUP(transactions[[#This Row],[OpportunityID]],Opportunities[ID],Opportunities[OpportunityOwner])</f>
        <v>Jennifer PM</v>
      </c>
      <c r="M337" s="51" t="str">
        <f ca="1">IF((transactions[[#This Row],[TransactionDate]]-TODAY())&lt;=366,transactions[[#This Row],[FQ]],"Out-year")</f>
        <v>Out-year</v>
      </c>
      <c r="N337" s="55">
        <f>transactions[[#This Row],[UnWeighted]]/1000</f>
        <v>41.858307692307697</v>
      </c>
      <c r="O337" s="55">
        <f>transactions[[#This Row],[Weighted]]/1000</f>
        <v>20.929153846153849</v>
      </c>
      <c r="P337" s="55">
        <f>transactions[[#This Row],[$K Unweighted]]/1000</f>
        <v>4.1858307692307695E-2</v>
      </c>
      <c r="Q337" s="55" t="b">
        <f ca="1">transactions[[#This Row],[TransactionDate]]&gt;TODAY()</f>
        <v>1</v>
      </c>
    </row>
    <row r="338" spans="1:17" x14ac:dyDescent="0.25">
      <c r="A338">
        <v>36</v>
      </c>
      <c r="B338">
        <v>1</v>
      </c>
      <c r="C338" s="31">
        <v>47002</v>
      </c>
      <c r="D33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8" s="51" t="str">
        <f>"CY"&amp;RIGHT(YEAR(transactions[[#This Row],[TransactionDate]]),2)&amp;"-Q"&amp;ROUNDUP(MONTH(transactions[[#This Row],[TransactionDate]])/3, 0)</f>
        <v>CY28-Q3</v>
      </c>
      <c r="F338" s="52">
        <f>transactions[[#This Row],[UnWeighted]]*_xlfn.XLOOKUP(transactions[[#This Row],[OpportunityID]],Opportunities[ID],Opportunities[WinProbabilityValue])</f>
        <v>24983.895833333332</v>
      </c>
      <c r="G338"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38" s="51" t="str">
        <f>_xlfn.XLOOKUP(transactions[[#This Row],[OpportunityID]],Opportunities[ID],Opportunities[Status])</f>
        <v>Active</v>
      </c>
      <c r="I338" s="51" t="str">
        <f>_xlfn.XLOOKUP(transactions[[#This Row],[OpportunityID]],Opportunities[ID],Opportunities[Stage])</f>
        <v>Lead Qualification</v>
      </c>
      <c r="J338" s="51" t="str">
        <f>_xlfn.XLOOKUP(transactions[[#This Row],[OpportunityID]],Opportunities[ID],Opportunities[OpportunityName])</f>
        <v>Integration Services Project</v>
      </c>
      <c r="K338" s="51" t="str">
        <f>_xlfn.XLOOKUP(transactions[[#This Row],[CustomerId]],Customers[Id],Customers[Customer Name])</f>
        <v>ACME Corporation</v>
      </c>
      <c r="L338" s="51" t="str">
        <f>_xlfn.XLOOKUP(transactions[[#This Row],[OpportunityID]],Opportunities[ID],Opportunities[OpportunityOwner])</f>
        <v>Amanda Sales</v>
      </c>
      <c r="M338" s="51" t="str">
        <f ca="1">IF((transactions[[#This Row],[TransactionDate]]-TODAY())&lt;=366,transactions[[#This Row],[FQ]],"Out-year")</f>
        <v>Out-year</v>
      </c>
      <c r="N338" s="55">
        <f>transactions[[#This Row],[UnWeighted]]/1000</f>
        <v>49.967791666666663</v>
      </c>
      <c r="O338" s="55">
        <f>transactions[[#This Row],[Weighted]]/1000</f>
        <v>24.983895833333332</v>
      </c>
      <c r="P338" s="55">
        <f>transactions[[#This Row],[$K Unweighted]]/1000</f>
        <v>4.9967791666666664E-2</v>
      </c>
      <c r="Q338" s="55" t="b">
        <f ca="1">transactions[[#This Row],[TransactionDate]]&gt;TODAY()</f>
        <v>1</v>
      </c>
    </row>
    <row r="339" spans="1:17" x14ac:dyDescent="0.25">
      <c r="A339">
        <v>15</v>
      </c>
      <c r="B339">
        <v>24</v>
      </c>
      <c r="C339" s="31">
        <v>47003</v>
      </c>
      <c r="D33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9" s="51" t="str">
        <f>"CY"&amp;RIGHT(YEAR(transactions[[#This Row],[TransactionDate]]),2)&amp;"-Q"&amp;ROUNDUP(MONTH(transactions[[#This Row],[TransactionDate]])/3, 0)</f>
        <v>CY28-Q3</v>
      </c>
      <c r="F339" s="52">
        <f>transactions[[#This Row],[UnWeighted]]*_xlfn.XLOOKUP(transactions[[#This Row],[OpportunityID]],Opportunities[ID],Opportunities[WinProbabilityValue])</f>
        <v>29217.197872340425</v>
      </c>
      <c r="G339"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39" s="51" t="str">
        <f>_xlfn.XLOOKUP(transactions[[#This Row],[OpportunityID]],Opportunities[ID],Opportunities[Status])</f>
        <v>Active</v>
      </c>
      <c r="I339" s="51" t="str">
        <f>_xlfn.XLOOKUP(transactions[[#This Row],[OpportunityID]],Opportunities[ID],Opportunities[Stage])</f>
        <v>Project Execution</v>
      </c>
      <c r="J339" s="51" t="str">
        <f>_xlfn.XLOOKUP(transactions[[#This Row],[OpportunityID]],Opportunities[ID],Opportunities[OpportunityName])</f>
        <v>Training &amp; Development Program</v>
      </c>
      <c r="K339" s="51" t="str">
        <f>_xlfn.XLOOKUP(transactions[[#This Row],[CustomerId]],Customers[Id],Customers[Customer Name])</f>
        <v>Security Solutions</v>
      </c>
      <c r="L339" s="51" t="str">
        <f>_xlfn.XLOOKUP(transactions[[#This Row],[OpportunityID]],Opportunities[ID],Opportunities[OpportunityOwner])</f>
        <v>Sarah Director</v>
      </c>
      <c r="M339" s="51" t="str">
        <f ca="1">IF((transactions[[#This Row],[TransactionDate]]-TODAY())&lt;=366,transactions[[#This Row],[FQ]],"Out-year")</f>
        <v>Out-year</v>
      </c>
      <c r="N339" s="55">
        <f>transactions[[#This Row],[UnWeighted]]/1000</f>
        <v>32.46355319148936</v>
      </c>
      <c r="O339" s="55">
        <f>transactions[[#This Row],[Weighted]]/1000</f>
        <v>29.217197872340424</v>
      </c>
      <c r="P339" s="55">
        <f>transactions[[#This Row],[$K Unweighted]]/1000</f>
        <v>3.2463553191489358E-2</v>
      </c>
      <c r="Q339" s="55" t="b">
        <f ca="1">transactions[[#This Row],[TransactionDate]]&gt;TODAY()</f>
        <v>1</v>
      </c>
    </row>
    <row r="340" spans="1:17" x14ac:dyDescent="0.25">
      <c r="A340">
        <v>17</v>
      </c>
      <c r="B340">
        <v>19</v>
      </c>
      <c r="C340" s="31">
        <v>47005</v>
      </c>
      <c r="D34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0" s="51" t="str">
        <f>"CY"&amp;RIGHT(YEAR(transactions[[#This Row],[TransactionDate]]),2)&amp;"-Q"&amp;ROUNDUP(MONTH(transactions[[#This Row],[TransactionDate]])/3, 0)</f>
        <v>CY28-Q3</v>
      </c>
      <c r="F340" s="52">
        <f>transactions[[#This Row],[UnWeighted]]*_xlfn.XLOOKUP(transactions[[#This Row],[OpportunityID]],Opportunities[ID],Opportunities[WinProbabilityValue])</f>
        <v>9267.2333333333336</v>
      </c>
      <c r="G340"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40" s="51" t="str">
        <f>_xlfn.XLOOKUP(transactions[[#This Row],[OpportunityID]],Opportunities[ID],Opportunities[Status])</f>
        <v>Active</v>
      </c>
      <c r="I340" s="51" t="str">
        <f>_xlfn.XLOOKUP(transactions[[#This Row],[OpportunityID]],Opportunities[ID],Opportunities[Stage])</f>
        <v>Negotiation</v>
      </c>
      <c r="J340" s="51" t="str">
        <f>_xlfn.XLOOKUP(transactions[[#This Row],[OpportunityID]],Opportunities[ID],Opportunities[OpportunityName])</f>
        <v>Supply Chain Optimization</v>
      </c>
      <c r="K340" s="51" t="str">
        <f>_xlfn.XLOOKUP(transactions[[#This Row],[CustomerId]],Customers[Id],Customers[Customer Name])</f>
        <v>Hotel Management Group</v>
      </c>
      <c r="L340" s="51" t="str">
        <f>_xlfn.XLOOKUP(transactions[[#This Row],[OpportunityID]],Opportunities[ID],Opportunities[OpportunityOwner])</f>
        <v>Jennifer PM</v>
      </c>
      <c r="M340" s="51" t="str">
        <f ca="1">IF((transactions[[#This Row],[TransactionDate]]-TODAY())&lt;=366,transactions[[#This Row],[FQ]],"Out-year")</f>
        <v>Out-year</v>
      </c>
      <c r="N340" s="55">
        <f>transactions[[#This Row],[UnWeighted]]/1000</f>
        <v>46.336166666666664</v>
      </c>
      <c r="O340" s="55">
        <f>transactions[[#This Row],[Weighted]]/1000</f>
        <v>9.2672333333333334</v>
      </c>
      <c r="P340" s="55">
        <f>transactions[[#This Row],[$K Unweighted]]/1000</f>
        <v>4.6336166666666664E-2</v>
      </c>
      <c r="Q340" s="55" t="b">
        <f ca="1">transactions[[#This Row],[TransactionDate]]&gt;TODAY()</f>
        <v>1</v>
      </c>
    </row>
    <row r="341" spans="1:17" x14ac:dyDescent="0.25">
      <c r="A341">
        <v>22</v>
      </c>
      <c r="B341">
        <v>11</v>
      </c>
      <c r="C341" s="31">
        <v>47007</v>
      </c>
      <c r="D34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1" s="51" t="str">
        <f>"CY"&amp;RIGHT(YEAR(transactions[[#This Row],[TransactionDate]]),2)&amp;"-Q"&amp;ROUNDUP(MONTH(transactions[[#This Row],[TransactionDate]])/3, 0)</f>
        <v>CY28-Q3</v>
      </c>
      <c r="F341" s="52">
        <f>transactions[[#This Row],[UnWeighted]]*_xlfn.XLOOKUP(transactions[[#This Row],[OpportunityID]],Opportunities[ID],Opportunities[WinProbabilityValue])</f>
        <v>26390.544230769232</v>
      </c>
      <c r="G341"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41" s="51" t="str">
        <f>_xlfn.XLOOKUP(transactions[[#This Row],[OpportunityID]],Opportunities[ID],Opportunities[Status])</f>
        <v>Active</v>
      </c>
      <c r="I341" s="51" t="str">
        <f>_xlfn.XLOOKUP(transactions[[#This Row],[OpportunityID]],Opportunities[ID],Opportunities[Stage])</f>
        <v>Nurturing</v>
      </c>
      <c r="J341" s="51" t="str">
        <f>_xlfn.XLOOKUP(transactions[[#This Row],[OpportunityID]],Opportunities[ID],Opportunities[OpportunityName])</f>
        <v>Inventory Management Solution</v>
      </c>
      <c r="K341" s="51" t="str">
        <f>_xlfn.XLOOKUP(transactions[[#This Row],[CustomerId]],Customers[Id],Customers[Customer Name])</f>
        <v>Transport Logistics</v>
      </c>
      <c r="L341" s="51" t="str">
        <f>_xlfn.XLOOKUP(transactions[[#This Row],[OpportunityID]],Opportunities[ID],Opportunities[OpportunityOwner])</f>
        <v>Sarah Director</v>
      </c>
      <c r="M341" s="51" t="str">
        <f ca="1">IF((transactions[[#This Row],[TransactionDate]]-TODAY())&lt;=366,transactions[[#This Row],[FQ]],"Out-year")</f>
        <v>Out-year</v>
      </c>
      <c r="N341" s="55">
        <f>transactions[[#This Row],[UnWeighted]]/1000</f>
        <v>29.322826923076921</v>
      </c>
      <c r="O341" s="55">
        <f>transactions[[#This Row],[Weighted]]/1000</f>
        <v>26.390544230769233</v>
      </c>
      <c r="P341" s="55">
        <f>transactions[[#This Row],[$K Unweighted]]/1000</f>
        <v>2.932282692307692E-2</v>
      </c>
      <c r="Q341" s="55" t="b">
        <f ca="1">transactions[[#This Row],[TransactionDate]]&gt;TODAY()</f>
        <v>1</v>
      </c>
    </row>
    <row r="342" spans="1:17" x14ac:dyDescent="0.25">
      <c r="A342">
        <v>2</v>
      </c>
      <c r="B342">
        <v>10</v>
      </c>
      <c r="C342" s="31">
        <v>47013</v>
      </c>
      <c r="D34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2" s="51" t="str">
        <f>"CY"&amp;RIGHT(YEAR(transactions[[#This Row],[TransactionDate]]),2)&amp;"-Q"&amp;ROUNDUP(MONTH(transactions[[#This Row],[TransactionDate]])/3, 0)</f>
        <v>CY28-Q3</v>
      </c>
      <c r="F342" s="52">
        <f>transactions[[#This Row],[UnWeighted]]*_xlfn.XLOOKUP(transactions[[#This Row],[OpportunityID]],Opportunities[ID],Opportunities[WinProbabilityValue])</f>
        <v>20720.20930232558</v>
      </c>
      <c r="G342"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42" s="51" t="str">
        <f>_xlfn.XLOOKUP(transactions[[#This Row],[OpportunityID]],Opportunities[ID],Opportunities[Status])</f>
        <v>Active</v>
      </c>
      <c r="I342" s="51" t="str">
        <f>_xlfn.XLOOKUP(transactions[[#This Row],[OpportunityID]],Opportunities[ID],Opportunities[Stage])</f>
        <v>Proposal</v>
      </c>
      <c r="J342" s="51" t="str">
        <f>_xlfn.XLOOKUP(transactions[[#This Row],[OpportunityID]],Opportunities[ID],Opportunities[OpportunityName])</f>
        <v>Cloud Migration Initiative</v>
      </c>
      <c r="K342" s="51" t="str">
        <f>_xlfn.XLOOKUP(transactions[[#This Row],[CustomerId]],Customers[Id],Customers[Customer Name])</f>
        <v>Education First</v>
      </c>
      <c r="L342" s="51" t="str">
        <f>_xlfn.XLOOKUP(transactions[[#This Row],[OpportunityID]],Opportunities[ID],Opportunities[OpportunityOwner])</f>
        <v>Robert Analyst</v>
      </c>
      <c r="M342" s="51" t="str">
        <f ca="1">IF((transactions[[#This Row],[TransactionDate]]-TODAY())&lt;=366,transactions[[#This Row],[FQ]],"Out-year")</f>
        <v>Out-year</v>
      </c>
      <c r="N342" s="55">
        <f>transactions[[#This Row],[UnWeighted]]/1000</f>
        <v>41.440418604651157</v>
      </c>
      <c r="O342" s="55">
        <f>transactions[[#This Row],[Weighted]]/1000</f>
        <v>20.720209302325578</v>
      </c>
      <c r="P342" s="55">
        <f>transactions[[#This Row],[$K Unweighted]]/1000</f>
        <v>4.1440418604651155E-2</v>
      </c>
      <c r="Q342" s="55" t="b">
        <f ca="1">transactions[[#This Row],[TransactionDate]]&gt;TODAY()</f>
        <v>1</v>
      </c>
    </row>
    <row r="343" spans="1:17" x14ac:dyDescent="0.25">
      <c r="A343">
        <v>13</v>
      </c>
      <c r="B343">
        <v>2</v>
      </c>
      <c r="C343" s="31">
        <v>47018</v>
      </c>
      <c r="D34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3" s="51" t="str">
        <f>"CY"&amp;RIGHT(YEAR(transactions[[#This Row],[TransactionDate]]),2)&amp;"-Q"&amp;ROUNDUP(MONTH(transactions[[#This Row],[TransactionDate]])/3, 0)</f>
        <v>CY28-Q3</v>
      </c>
      <c r="F343" s="52">
        <f>transactions[[#This Row],[UnWeighted]]*_xlfn.XLOOKUP(transactions[[#This Row],[OpportunityID]],Opportunities[ID],Opportunities[WinProbabilityValue])</f>
        <v>12618.744897959185</v>
      </c>
      <c r="G343"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43" s="51" t="str">
        <f>_xlfn.XLOOKUP(transactions[[#This Row],[OpportunityID]],Opportunities[ID],Opportunities[Status])</f>
        <v>Active</v>
      </c>
      <c r="I343" s="51" t="str">
        <f>_xlfn.XLOOKUP(transactions[[#This Row],[OpportunityID]],Opportunities[ID],Opportunities[Stage])</f>
        <v>Negotiation</v>
      </c>
      <c r="J343" s="51" t="str">
        <f>_xlfn.XLOOKUP(transactions[[#This Row],[OpportunityID]],Opportunities[ID],Opportunities[OpportunityName])</f>
        <v>E-commerce Platform</v>
      </c>
      <c r="K343" s="51" t="str">
        <f>_xlfn.XLOOKUP(transactions[[#This Row],[CustomerId]],Customers[Id],Customers[Customer Name])</f>
        <v>Global Industries</v>
      </c>
      <c r="L343" s="51" t="str">
        <f>_xlfn.XLOOKUP(transactions[[#This Row],[OpportunityID]],Opportunities[ID],Opportunities[OpportunityOwner])</f>
        <v>Lisa Engineer</v>
      </c>
      <c r="M343" s="51" t="str">
        <f ca="1">IF((transactions[[#This Row],[TransactionDate]]-TODAY())&lt;=366,transactions[[#This Row],[FQ]],"Out-year")</f>
        <v>Out-year</v>
      </c>
      <c r="N343" s="55">
        <f>transactions[[#This Row],[UnWeighted]]/1000</f>
        <v>25.237489795918368</v>
      </c>
      <c r="O343" s="55">
        <f>transactions[[#This Row],[Weighted]]/1000</f>
        <v>12.618744897959184</v>
      </c>
      <c r="P343" s="55">
        <f>transactions[[#This Row],[$K Unweighted]]/1000</f>
        <v>2.5237489795918368E-2</v>
      </c>
      <c r="Q343" s="55" t="b">
        <f ca="1">transactions[[#This Row],[TransactionDate]]&gt;TODAY()</f>
        <v>1</v>
      </c>
    </row>
    <row r="344" spans="1:17" x14ac:dyDescent="0.25">
      <c r="A344">
        <v>4</v>
      </c>
      <c r="B344">
        <v>12</v>
      </c>
      <c r="C344" s="31">
        <v>47024</v>
      </c>
      <c r="D34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4" s="51" t="str">
        <f>"CY"&amp;RIGHT(YEAR(transactions[[#This Row],[TransactionDate]]),2)&amp;"-Q"&amp;ROUNDUP(MONTH(transactions[[#This Row],[TransactionDate]])/3, 0)</f>
        <v>CY28-Q3</v>
      </c>
      <c r="F344" s="52">
        <f>transactions[[#This Row],[UnWeighted]]*_xlfn.XLOOKUP(transactions[[#This Row],[OpportunityID]],Opportunities[ID],Opportunities[WinProbabilityValue])</f>
        <v>62066.583333333336</v>
      </c>
      <c r="G344" s="52">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344" s="51" t="str">
        <f>_xlfn.XLOOKUP(transactions[[#This Row],[OpportunityID]],Opportunities[ID],Opportunities[Status])</f>
        <v>Active</v>
      </c>
      <c r="I344" s="51" t="str">
        <f>_xlfn.XLOOKUP(transactions[[#This Row],[OpportunityID]],Opportunities[ID],Opportunities[Stage])</f>
        <v>Lead Qualification</v>
      </c>
      <c r="J344" s="51" t="str">
        <f>_xlfn.XLOOKUP(transactions[[#This Row],[OpportunityID]],Opportunities[ID],Opportunities[OpportunityName])</f>
        <v>Manufacturing Automation System</v>
      </c>
      <c r="K344" s="51" t="str">
        <f>_xlfn.XLOOKUP(transactions[[#This Row],[CustomerId]],Customers[Id],Customers[Customer Name])</f>
        <v>Food Service Partners</v>
      </c>
      <c r="L344" s="51" t="str">
        <f>_xlfn.XLOOKUP(transactions[[#This Row],[OpportunityID]],Opportunities[ID],Opportunities[OpportunityOwner])</f>
        <v>Robert Analyst</v>
      </c>
      <c r="M344" s="51" t="str">
        <f ca="1">IF((transactions[[#This Row],[TransactionDate]]-TODAY())&lt;=366,transactions[[#This Row],[FQ]],"Out-year")</f>
        <v>Out-year</v>
      </c>
      <c r="N344" s="55">
        <f>transactions[[#This Row],[UnWeighted]]/1000</f>
        <v>124.13316666666667</v>
      </c>
      <c r="O344" s="55">
        <f>transactions[[#This Row],[Weighted]]/1000</f>
        <v>62.066583333333334</v>
      </c>
      <c r="P344" s="55">
        <f>transactions[[#This Row],[$K Unweighted]]/1000</f>
        <v>0.12413316666666667</v>
      </c>
      <c r="Q344" s="55" t="b">
        <f ca="1">transactions[[#This Row],[TransactionDate]]&gt;TODAY()</f>
        <v>1</v>
      </c>
    </row>
    <row r="345" spans="1:17" x14ac:dyDescent="0.25">
      <c r="A345">
        <v>26</v>
      </c>
      <c r="B345">
        <v>1</v>
      </c>
      <c r="C345" s="31">
        <v>47027</v>
      </c>
      <c r="D34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5" s="51" t="str">
        <f>"CY"&amp;RIGHT(YEAR(transactions[[#This Row],[TransactionDate]]),2)&amp;"-Q"&amp;ROUNDUP(MONTH(transactions[[#This Row],[TransactionDate]])/3, 0)</f>
        <v>CY28-Q4</v>
      </c>
      <c r="F345" s="52">
        <f>transactions[[#This Row],[UnWeighted]]*_xlfn.XLOOKUP(transactions[[#This Row],[OpportunityID]],Opportunities[ID],Opportunities[WinProbabilityValue])</f>
        <v>11339.638888888889</v>
      </c>
      <c r="G345"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45" s="51" t="str">
        <f>_xlfn.XLOOKUP(transactions[[#This Row],[OpportunityID]],Opportunities[ID],Opportunities[Status])</f>
        <v>Active</v>
      </c>
      <c r="I345" s="51" t="str">
        <f>_xlfn.XLOOKUP(transactions[[#This Row],[OpportunityID]],Opportunities[ID],Opportunities[Stage])</f>
        <v>Negotiation</v>
      </c>
      <c r="J345" s="51" t="str">
        <f>_xlfn.XLOOKUP(transactions[[#This Row],[OpportunityID]],Opportunities[ID],Opportunities[OpportunityName])</f>
        <v>Video Conferencing Solution</v>
      </c>
      <c r="K345" s="51" t="str">
        <f>_xlfn.XLOOKUP(transactions[[#This Row],[CustomerId]],Customers[Id],Customers[Customer Name])</f>
        <v>ACME Corporation</v>
      </c>
      <c r="L345" s="51" t="str">
        <f>_xlfn.XLOOKUP(transactions[[#This Row],[OpportunityID]],Opportunities[ID],Opportunities[OpportunityOwner])</f>
        <v>Mike Consultant</v>
      </c>
      <c r="M345" s="51" t="str">
        <f ca="1">IF((transactions[[#This Row],[TransactionDate]]-TODAY())&lt;=366,transactions[[#This Row],[FQ]],"Out-year")</f>
        <v>Out-year</v>
      </c>
      <c r="N345" s="55">
        <f>transactions[[#This Row],[UnWeighted]]/1000</f>
        <v>22.679277777777777</v>
      </c>
      <c r="O345" s="55">
        <f>transactions[[#This Row],[Weighted]]/1000</f>
        <v>11.339638888888889</v>
      </c>
      <c r="P345" s="55">
        <f>transactions[[#This Row],[$K Unweighted]]/1000</f>
        <v>2.2679277777777777E-2</v>
      </c>
      <c r="Q345" s="55" t="b">
        <f ca="1">transactions[[#This Row],[TransactionDate]]&gt;TODAY()</f>
        <v>1</v>
      </c>
    </row>
    <row r="346" spans="1:17" x14ac:dyDescent="0.25">
      <c r="A346">
        <v>39</v>
      </c>
      <c r="B346">
        <v>3</v>
      </c>
      <c r="C346" s="31">
        <v>47029</v>
      </c>
      <c r="D34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6" s="51" t="str">
        <f>"CY"&amp;RIGHT(YEAR(transactions[[#This Row],[TransactionDate]]),2)&amp;"-Q"&amp;ROUNDUP(MONTH(transactions[[#This Row],[TransactionDate]])/3, 0)</f>
        <v>CY28-Q4</v>
      </c>
      <c r="F346" s="52">
        <f>transactions[[#This Row],[UnWeighted]]*_xlfn.XLOOKUP(transactions[[#This Row],[OpportunityID]],Opportunities[ID],Opportunities[WinProbabilityValue])</f>
        <v>20929.153846153848</v>
      </c>
      <c r="G346"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46" s="51" t="str">
        <f>_xlfn.XLOOKUP(transactions[[#This Row],[OpportunityID]],Opportunities[ID],Opportunities[Status])</f>
        <v>Active</v>
      </c>
      <c r="I346" s="51" t="str">
        <f>_xlfn.XLOOKUP(transactions[[#This Row],[OpportunityID]],Opportunities[ID],Opportunities[Stage])</f>
        <v>Project Execution</v>
      </c>
      <c r="J346" s="51" t="str">
        <f>_xlfn.XLOOKUP(transactions[[#This Row],[OpportunityID]],Opportunities[ID],Opportunities[OpportunityName])</f>
        <v>API Development Project</v>
      </c>
      <c r="K346" s="51" t="str">
        <f>_xlfn.XLOOKUP(transactions[[#This Row],[CustomerId]],Customers[Id],Customers[Customer Name])</f>
        <v>Tech Solutions Inc</v>
      </c>
      <c r="L346" s="51" t="str">
        <f>_xlfn.XLOOKUP(transactions[[#This Row],[OpportunityID]],Opportunities[ID],Opportunities[OpportunityOwner])</f>
        <v>Jennifer PM</v>
      </c>
      <c r="M346" s="51" t="str">
        <f ca="1">IF((transactions[[#This Row],[TransactionDate]]-TODAY())&lt;=366,transactions[[#This Row],[FQ]],"Out-year")</f>
        <v>Out-year</v>
      </c>
      <c r="N346" s="55">
        <f>transactions[[#This Row],[UnWeighted]]/1000</f>
        <v>41.858307692307697</v>
      </c>
      <c r="O346" s="55">
        <f>transactions[[#This Row],[Weighted]]/1000</f>
        <v>20.929153846153849</v>
      </c>
      <c r="P346" s="55">
        <f>transactions[[#This Row],[$K Unweighted]]/1000</f>
        <v>4.1858307692307695E-2</v>
      </c>
      <c r="Q346" s="55" t="b">
        <f ca="1">transactions[[#This Row],[TransactionDate]]&gt;TODAY()</f>
        <v>1</v>
      </c>
    </row>
    <row r="347" spans="1:17" x14ac:dyDescent="0.25">
      <c r="A347">
        <v>36</v>
      </c>
      <c r="B347">
        <v>1</v>
      </c>
      <c r="C347" s="31">
        <v>47032</v>
      </c>
      <c r="D34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7" s="51" t="str">
        <f>"CY"&amp;RIGHT(YEAR(transactions[[#This Row],[TransactionDate]]),2)&amp;"-Q"&amp;ROUNDUP(MONTH(transactions[[#This Row],[TransactionDate]])/3, 0)</f>
        <v>CY28-Q4</v>
      </c>
      <c r="F347" s="52">
        <f>transactions[[#This Row],[UnWeighted]]*_xlfn.XLOOKUP(transactions[[#This Row],[OpportunityID]],Opportunities[ID],Opportunities[WinProbabilityValue])</f>
        <v>24983.895833333332</v>
      </c>
      <c r="G347"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47" s="51" t="str">
        <f>_xlfn.XLOOKUP(transactions[[#This Row],[OpportunityID]],Opportunities[ID],Opportunities[Status])</f>
        <v>Active</v>
      </c>
      <c r="I347" s="51" t="str">
        <f>_xlfn.XLOOKUP(transactions[[#This Row],[OpportunityID]],Opportunities[ID],Opportunities[Stage])</f>
        <v>Lead Qualification</v>
      </c>
      <c r="J347" s="51" t="str">
        <f>_xlfn.XLOOKUP(transactions[[#This Row],[OpportunityID]],Opportunities[ID],Opportunities[OpportunityName])</f>
        <v>Integration Services Project</v>
      </c>
      <c r="K347" s="51" t="str">
        <f>_xlfn.XLOOKUP(transactions[[#This Row],[CustomerId]],Customers[Id],Customers[Customer Name])</f>
        <v>ACME Corporation</v>
      </c>
      <c r="L347" s="51" t="str">
        <f>_xlfn.XLOOKUP(transactions[[#This Row],[OpportunityID]],Opportunities[ID],Opportunities[OpportunityOwner])</f>
        <v>Amanda Sales</v>
      </c>
      <c r="M347" s="51" t="str">
        <f ca="1">IF((transactions[[#This Row],[TransactionDate]]-TODAY())&lt;=366,transactions[[#This Row],[FQ]],"Out-year")</f>
        <v>Out-year</v>
      </c>
      <c r="N347" s="55">
        <f>transactions[[#This Row],[UnWeighted]]/1000</f>
        <v>49.967791666666663</v>
      </c>
      <c r="O347" s="55">
        <f>transactions[[#This Row],[Weighted]]/1000</f>
        <v>24.983895833333332</v>
      </c>
      <c r="P347" s="55">
        <f>transactions[[#This Row],[$K Unweighted]]/1000</f>
        <v>4.9967791666666664E-2</v>
      </c>
      <c r="Q347" s="55" t="b">
        <f ca="1">transactions[[#This Row],[TransactionDate]]&gt;TODAY()</f>
        <v>1</v>
      </c>
    </row>
    <row r="348" spans="1:17" x14ac:dyDescent="0.25">
      <c r="A348">
        <v>15</v>
      </c>
      <c r="B348">
        <v>24</v>
      </c>
      <c r="C348" s="31">
        <v>47033</v>
      </c>
      <c r="D34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8" s="51" t="str">
        <f>"CY"&amp;RIGHT(YEAR(transactions[[#This Row],[TransactionDate]]),2)&amp;"-Q"&amp;ROUNDUP(MONTH(transactions[[#This Row],[TransactionDate]])/3, 0)</f>
        <v>CY28-Q4</v>
      </c>
      <c r="F348" s="52">
        <f>transactions[[#This Row],[UnWeighted]]*_xlfn.XLOOKUP(transactions[[#This Row],[OpportunityID]],Opportunities[ID],Opportunities[WinProbabilityValue])</f>
        <v>29217.197872340425</v>
      </c>
      <c r="G348"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48" s="51" t="str">
        <f>_xlfn.XLOOKUP(transactions[[#This Row],[OpportunityID]],Opportunities[ID],Opportunities[Status])</f>
        <v>Active</v>
      </c>
      <c r="I348" s="51" t="str">
        <f>_xlfn.XLOOKUP(transactions[[#This Row],[OpportunityID]],Opportunities[ID],Opportunities[Stage])</f>
        <v>Project Execution</v>
      </c>
      <c r="J348" s="51" t="str">
        <f>_xlfn.XLOOKUP(transactions[[#This Row],[OpportunityID]],Opportunities[ID],Opportunities[OpportunityName])</f>
        <v>Training &amp; Development Program</v>
      </c>
      <c r="K348" s="51" t="str">
        <f>_xlfn.XLOOKUP(transactions[[#This Row],[CustomerId]],Customers[Id],Customers[Customer Name])</f>
        <v>Security Solutions</v>
      </c>
      <c r="L348" s="51" t="str">
        <f>_xlfn.XLOOKUP(transactions[[#This Row],[OpportunityID]],Opportunities[ID],Opportunities[OpportunityOwner])</f>
        <v>Sarah Director</v>
      </c>
      <c r="M348" s="51" t="str">
        <f ca="1">IF((transactions[[#This Row],[TransactionDate]]-TODAY())&lt;=366,transactions[[#This Row],[FQ]],"Out-year")</f>
        <v>Out-year</v>
      </c>
      <c r="N348" s="55">
        <f>transactions[[#This Row],[UnWeighted]]/1000</f>
        <v>32.46355319148936</v>
      </c>
      <c r="O348" s="55">
        <f>transactions[[#This Row],[Weighted]]/1000</f>
        <v>29.217197872340424</v>
      </c>
      <c r="P348" s="55">
        <f>transactions[[#This Row],[$K Unweighted]]/1000</f>
        <v>3.2463553191489358E-2</v>
      </c>
      <c r="Q348" s="55" t="b">
        <f ca="1">transactions[[#This Row],[TransactionDate]]&gt;TODAY()</f>
        <v>1</v>
      </c>
    </row>
    <row r="349" spans="1:17" x14ac:dyDescent="0.25">
      <c r="A349">
        <v>17</v>
      </c>
      <c r="B349">
        <v>19</v>
      </c>
      <c r="C349" s="31">
        <v>47035</v>
      </c>
      <c r="D34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9" s="51" t="str">
        <f>"CY"&amp;RIGHT(YEAR(transactions[[#This Row],[TransactionDate]]),2)&amp;"-Q"&amp;ROUNDUP(MONTH(transactions[[#This Row],[TransactionDate]])/3, 0)</f>
        <v>CY28-Q4</v>
      </c>
      <c r="F349" s="52">
        <f>transactions[[#This Row],[UnWeighted]]*_xlfn.XLOOKUP(transactions[[#This Row],[OpportunityID]],Opportunities[ID],Opportunities[WinProbabilityValue])</f>
        <v>9267.2333333333336</v>
      </c>
      <c r="G349"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49" s="51" t="str">
        <f>_xlfn.XLOOKUP(transactions[[#This Row],[OpportunityID]],Opportunities[ID],Opportunities[Status])</f>
        <v>Active</v>
      </c>
      <c r="I349" s="51" t="str">
        <f>_xlfn.XLOOKUP(transactions[[#This Row],[OpportunityID]],Opportunities[ID],Opportunities[Stage])</f>
        <v>Negotiation</v>
      </c>
      <c r="J349" s="51" t="str">
        <f>_xlfn.XLOOKUP(transactions[[#This Row],[OpportunityID]],Opportunities[ID],Opportunities[OpportunityName])</f>
        <v>Supply Chain Optimization</v>
      </c>
      <c r="K349" s="51" t="str">
        <f>_xlfn.XLOOKUP(transactions[[#This Row],[CustomerId]],Customers[Id],Customers[Customer Name])</f>
        <v>Hotel Management Group</v>
      </c>
      <c r="L349" s="51" t="str">
        <f>_xlfn.XLOOKUP(transactions[[#This Row],[OpportunityID]],Opportunities[ID],Opportunities[OpportunityOwner])</f>
        <v>Jennifer PM</v>
      </c>
      <c r="M349" s="51" t="str">
        <f ca="1">IF((transactions[[#This Row],[TransactionDate]]-TODAY())&lt;=366,transactions[[#This Row],[FQ]],"Out-year")</f>
        <v>Out-year</v>
      </c>
      <c r="N349" s="55">
        <f>transactions[[#This Row],[UnWeighted]]/1000</f>
        <v>46.336166666666664</v>
      </c>
      <c r="O349" s="55">
        <f>transactions[[#This Row],[Weighted]]/1000</f>
        <v>9.2672333333333334</v>
      </c>
      <c r="P349" s="55">
        <f>transactions[[#This Row],[$K Unweighted]]/1000</f>
        <v>4.6336166666666664E-2</v>
      </c>
      <c r="Q349" s="55" t="b">
        <f ca="1">transactions[[#This Row],[TransactionDate]]&gt;TODAY()</f>
        <v>1</v>
      </c>
    </row>
    <row r="350" spans="1:17" x14ac:dyDescent="0.25">
      <c r="A350">
        <v>22</v>
      </c>
      <c r="B350">
        <v>11</v>
      </c>
      <c r="C350" s="31">
        <v>47037</v>
      </c>
      <c r="D35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0" s="51" t="str">
        <f>"CY"&amp;RIGHT(YEAR(transactions[[#This Row],[TransactionDate]]),2)&amp;"-Q"&amp;ROUNDUP(MONTH(transactions[[#This Row],[TransactionDate]])/3, 0)</f>
        <v>CY28-Q4</v>
      </c>
      <c r="F350" s="52">
        <f>transactions[[#This Row],[UnWeighted]]*_xlfn.XLOOKUP(transactions[[#This Row],[OpportunityID]],Opportunities[ID],Opportunities[WinProbabilityValue])</f>
        <v>26390.544230769232</v>
      </c>
      <c r="G350"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50" s="51" t="str">
        <f>_xlfn.XLOOKUP(transactions[[#This Row],[OpportunityID]],Opportunities[ID],Opportunities[Status])</f>
        <v>Active</v>
      </c>
      <c r="I350" s="51" t="str">
        <f>_xlfn.XLOOKUP(transactions[[#This Row],[OpportunityID]],Opportunities[ID],Opportunities[Stage])</f>
        <v>Nurturing</v>
      </c>
      <c r="J350" s="51" t="str">
        <f>_xlfn.XLOOKUP(transactions[[#This Row],[OpportunityID]],Opportunities[ID],Opportunities[OpportunityName])</f>
        <v>Inventory Management Solution</v>
      </c>
      <c r="K350" s="51" t="str">
        <f>_xlfn.XLOOKUP(transactions[[#This Row],[CustomerId]],Customers[Id],Customers[Customer Name])</f>
        <v>Transport Logistics</v>
      </c>
      <c r="L350" s="51" t="str">
        <f>_xlfn.XLOOKUP(transactions[[#This Row],[OpportunityID]],Opportunities[ID],Opportunities[OpportunityOwner])</f>
        <v>Sarah Director</v>
      </c>
      <c r="M350" s="51" t="str">
        <f ca="1">IF((transactions[[#This Row],[TransactionDate]]-TODAY())&lt;=366,transactions[[#This Row],[FQ]],"Out-year")</f>
        <v>Out-year</v>
      </c>
      <c r="N350" s="55">
        <f>transactions[[#This Row],[UnWeighted]]/1000</f>
        <v>29.322826923076921</v>
      </c>
      <c r="O350" s="55">
        <f>transactions[[#This Row],[Weighted]]/1000</f>
        <v>26.390544230769233</v>
      </c>
      <c r="P350" s="55">
        <f>transactions[[#This Row],[$K Unweighted]]/1000</f>
        <v>2.932282692307692E-2</v>
      </c>
      <c r="Q350" s="55" t="b">
        <f ca="1">transactions[[#This Row],[TransactionDate]]&gt;TODAY()</f>
        <v>1</v>
      </c>
    </row>
    <row r="351" spans="1:17" x14ac:dyDescent="0.25">
      <c r="A351">
        <v>11</v>
      </c>
      <c r="B351">
        <v>3</v>
      </c>
      <c r="C351" s="31">
        <v>47039</v>
      </c>
      <c r="D35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1" s="51" t="str">
        <f>"CY"&amp;RIGHT(YEAR(transactions[[#This Row],[TransactionDate]]),2)&amp;"-Q"&amp;ROUNDUP(MONTH(transactions[[#This Row],[TransactionDate]])/3, 0)</f>
        <v>CY28-Q4</v>
      </c>
      <c r="F351" s="52">
        <f>transactions[[#This Row],[UnWeighted]]*_xlfn.XLOOKUP(transactions[[#This Row],[OpportunityID]],Opportunities[ID],Opportunities[WinProbabilityValue])</f>
        <v>113460.75</v>
      </c>
      <c r="G351" s="52">
        <f>_xlfn.XLOOKUP(transactions[[#This Row],[OpportunityID]],Opportunities[ID],Opportunities[Amount])/IF(_xlfn.XLOOKUP(transactions[[#This Row],[OpportunityID]],Opportunities[ID],Opportunities[Recurrences])=0,1,_xlfn.XLOOKUP(transactions[[#This Row],[OpportunityID]],Opportunities[ID],Opportunities[Recurrences]))</f>
        <v>126067.5</v>
      </c>
      <c r="H351" s="51" t="str">
        <f>_xlfn.XLOOKUP(transactions[[#This Row],[OpportunityID]],Opportunities[ID],Opportunities[Status])</f>
        <v>At Risk</v>
      </c>
      <c r="I351" s="51" t="str">
        <f>_xlfn.XLOOKUP(transactions[[#This Row],[OpportunityID]],Opportunities[ID],Opportunities[Stage])</f>
        <v>Negotiation</v>
      </c>
      <c r="J351" s="51" t="str">
        <f>_xlfn.XLOOKUP(transactions[[#This Row],[OpportunityID]],Opportunities[ID],Opportunities[OpportunityName])</f>
        <v>Data Center Consolidation</v>
      </c>
      <c r="K351" s="51" t="str">
        <f>_xlfn.XLOOKUP(transactions[[#This Row],[CustomerId]],Customers[Id],Customers[Customer Name])</f>
        <v>Tech Solutions Inc</v>
      </c>
      <c r="L351" s="51" t="str">
        <f>_xlfn.XLOOKUP(transactions[[#This Row],[OpportunityID]],Opportunities[ID],Opportunities[OpportunityOwner])</f>
        <v>David Specialist</v>
      </c>
      <c r="M351" s="51" t="str">
        <f ca="1">IF((transactions[[#This Row],[TransactionDate]]-TODAY())&lt;=366,transactions[[#This Row],[FQ]],"Out-year")</f>
        <v>Out-year</v>
      </c>
      <c r="N351" s="55">
        <f>transactions[[#This Row],[UnWeighted]]/1000</f>
        <v>126.0675</v>
      </c>
      <c r="O351" s="55">
        <f>transactions[[#This Row],[Weighted]]/1000</f>
        <v>113.46075</v>
      </c>
      <c r="P351" s="55">
        <f>transactions[[#This Row],[$K Unweighted]]/1000</f>
        <v>0.1260675</v>
      </c>
      <c r="Q351" s="55" t="b">
        <f ca="1">transactions[[#This Row],[TransactionDate]]&gt;TODAY()</f>
        <v>1</v>
      </c>
    </row>
    <row r="352" spans="1:17" x14ac:dyDescent="0.25">
      <c r="A352">
        <v>2</v>
      </c>
      <c r="B352">
        <v>10</v>
      </c>
      <c r="C352" s="31">
        <v>47043</v>
      </c>
      <c r="D35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2" s="51" t="str">
        <f>"CY"&amp;RIGHT(YEAR(transactions[[#This Row],[TransactionDate]]),2)&amp;"-Q"&amp;ROUNDUP(MONTH(transactions[[#This Row],[TransactionDate]])/3, 0)</f>
        <v>CY28-Q4</v>
      </c>
      <c r="F352" s="52">
        <f>transactions[[#This Row],[UnWeighted]]*_xlfn.XLOOKUP(transactions[[#This Row],[OpportunityID]],Opportunities[ID],Opportunities[WinProbabilityValue])</f>
        <v>20720.20930232558</v>
      </c>
      <c r="G352"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52" s="51" t="str">
        <f>_xlfn.XLOOKUP(transactions[[#This Row],[OpportunityID]],Opportunities[ID],Opportunities[Status])</f>
        <v>Active</v>
      </c>
      <c r="I352" s="51" t="str">
        <f>_xlfn.XLOOKUP(transactions[[#This Row],[OpportunityID]],Opportunities[ID],Opportunities[Stage])</f>
        <v>Proposal</v>
      </c>
      <c r="J352" s="51" t="str">
        <f>_xlfn.XLOOKUP(transactions[[#This Row],[OpportunityID]],Opportunities[ID],Opportunities[OpportunityName])</f>
        <v>Cloud Migration Initiative</v>
      </c>
      <c r="K352" s="51" t="str">
        <f>_xlfn.XLOOKUP(transactions[[#This Row],[CustomerId]],Customers[Id],Customers[Customer Name])</f>
        <v>Education First</v>
      </c>
      <c r="L352" s="51" t="str">
        <f>_xlfn.XLOOKUP(transactions[[#This Row],[OpportunityID]],Opportunities[ID],Opportunities[OpportunityOwner])</f>
        <v>Robert Analyst</v>
      </c>
      <c r="M352" s="51" t="str">
        <f ca="1">IF((transactions[[#This Row],[TransactionDate]]-TODAY())&lt;=366,transactions[[#This Row],[FQ]],"Out-year")</f>
        <v>Out-year</v>
      </c>
      <c r="N352" s="55">
        <f>transactions[[#This Row],[UnWeighted]]/1000</f>
        <v>41.440418604651157</v>
      </c>
      <c r="O352" s="55">
        <f>transactions[[#This Row],[Weighted]]/1000</f>
        <v>20.720209302325578</v>
      </c>
      <c r="P352" s="55">
        <f>transactions[[#This Row],[$K Unweighted]]/1000</f>
        <v>4.1440418604651155E-2</v>
      </c>
      <c r="Q352" s="55" t="b">
        <f ca="1">transactions[[#This Row],[TransactionDate]]&gt;TODAY()</f>
        <v>1</v>
      </c>
    </row>
    <row r="353" spans="1:17" x14ac:dyDescent="0.25">
      <c r="A353">
        <v>12</v>
      </c>
      <c r="B353">
        <v>17</v>
      </c>
      <c r="C353" s="31">
        <v>47044</v>
      </c>
      <c r="D35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3" s="51" t="str">
        <f>"CY"&amp;RIGHT(YEAR(transactions[[#This Row],[TransactionDate]]),2)&amp;"-Q"&amp;ROUNDUP(MONTH(transactions[[#This Row],[TransactionDate]])/3, 0)</f>
        <v>CY28-Q4</v>
      </c>
      <c r="F353" s="52">
        <f>transactions[[#This Row],[UnWeighted]]*_xlfn.XLOOKUP(transactions[[#This Row],[OpportunityID]],Opportunities[ID],Opportunities[WinProbabilityValue])</f>
        <v>67945.3125</v>
      </c>
      <c r="G353" s="52">
        <f>_xlfn.XLOOKUP(transactions[[#This Row],[OpportunityID]],Opportunities[ID],Opportunities[Amount])/IF(_xlfn.XLOOKUP(transactions[[#This Row],[OpportunityID]],Opportunities[ID],Opportunities[Recurrences])=0,1,_xlfn.XLOOKUP(transactions[[#This Row],[OpportunityID]],Opportunities[ID],Opportunities[Recurrences]))</f>
        <v>135890.625</v>
      </c>
      <c r="H353" s="51" t="str">
        <f>_xlfn.XLOOKUP(transactions[[#This Row],[OpportunityID]],Opportunities[ID],Opportunities[Status])</f>
        <v>Active</v>
      </c>
      <c r="I353" s="51" t="str">
        <f>_xlfn.XLOOKUP(transactions[[#This Row],[OpportunityID]],Opportunities[ID],Opportunities[Stage])</f>
        <v>Project Execution</v>
      </c>
      <c r="J353" s="51" t="str">
        <f>_xlfn.XLOOKUP(transactions[[#This Row],[OpportunityID]],Opportunities[ID],Opportunities[OpportunityName])</f>
        <v>Cybersecurity Enhancement</v>
      </c>
      <c r="K353" s="51" t="str">
        <f>_xlfn.XLOOKUP(transactions[[#This Row],[CustomerId]],Customers[Id],Customers[Customer Name])</f>
        <v>Insurance Specialists</v>
      </c>
      <c r="L353" s="51" t="str">
        <f>_xlfn.XLOOKUP(transactions[[#This Row],[OpportunityID]],Opportunities[ID],Opportunities[OpportunityOwner])</f>
        <v>Dr. Tech Advisor</v>
      </c>
      <c r="M353" s="51" t="str">
        <f ca="1">IF((transactions[[#This Row],[TransactionDate]]-TODAY())&lt;=366,transactions[[#This Row],[FQ]],"Out-year")</f>
        <v>Out-year</v>
      </c>
      <c r="N353" s="55">
        <f>transactions[[#This Row],[UnWeighted]]/1000</f>
        <v>135.890625</v>
      </c>
      <c r="O353" s="55">
        <f>transactions[[#This Row],[Weighted]]/1000</f>
        <v>67.9453125</v>
      </c>
      <c r="P353" s="55">
        <f>transactions[[#This Row],[$K Unweighted]]/1000</f>
        <v>0.13589062499999999</v>
      </c>
      <c r="Q353" s="55" t="b">
        <f ca="1">transactions[[#This Row],[TransactionDate]]&gt;TODAY()</f>
        <v>1</v>
      </c>
    </row>
    <row r="354" spans="1:17" x14ac:dyDescent="0.25">
      <c r="A354">
        <v>30</v>
      </c>
      <c r="B354">
        <v>1</v>
      </c>
      <c r="C354" s="31">
        <v>47047</v>
      </c>
      <c r="D35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4" s="51" t="str">
        <f>"CY"&amp;RIGHT(YEAR(transactions[[#This Row],[TransactionDate]]),2)&amp;"-Q"&amp;ROUNDUP(MONTH(transactions[[#This Row],[TransactionDate]])/3, 0)</f>
        <v>CY28-Q4</v>
      </c>
      <c r="F354" s="52">
        <f>transactions[[#This Row],[UnWeighted]]*_xlfn.XLOOKUP(transactions[[#This Row],[OpportunityID]],Opportunities[ID],Opportunities[WinProbabilityValue])</f>
        <v>73260.25</v>
      </c>
      <c r="G354" s="52">
        <f>_xlfn.XLOOKUP(transactions[[#This Row],[OpportunityID]],Opportunities[ID],Opportunities[Amount])/IF(_xlfn.XLOOKUP(transactions[[#This Row],[OpportunityID]],Opportunities[ID],Opportunities[Recurrences])=0,1,_xlfn.XLOOKUP(transactions[[#This Row],[OpportunityID]],Opportunities[ID],Opportunities[Recurrences]))</f>
        <v>146520.5</v>
      </c>
      <c r="H354" s="51" t="str">
        <f>_xlfn.XLOOKUP(transactions[[#This Row],[OpportunityID]],Opportunities[ID],Opportunities[Status])</f>
        <v>Active</v>
      </c>
      <c r="I354" s="51" t="str">
        <f>_xlfn.XLOOKUP(transactions[[#This Row],[OpportunityID]],Opportunities[ID],Opportunities[Stage])</f>
        <v>Nurturing</v>
      </c>
      <c r="J354" s="51" t="str">
        <f>_xlfn.XLOOKUP(transactions[[#This Row],[OpportunityID]],Opportunities[ID],Opportunities[OpportunityName])</f>
        <v>Customer Service Platform</v>
      </c>
      <c r="K354" s="51" t="str">
        <f>_xlfn.XLOOKUP(transactions[[#This Row],[CustomerId]],Customers[Id],Customers[Customer Name])</f>
        <v>ACME Corporation</v>
      </c>
      <c r="L354" s="51" t="str">
        <f>_xlfn.XLOOKUP(transactions[[#This Row],[OpportunityID]],Opportunities[ID],Opportunities[OpportunityOwner])</f>
        <v>Maria Coordinator</v>
      </c>
      <c r="M354" s="51" t="str">
        <f ca="1">IF((transactions[[#This Row],[TransactionDate]]-TODAY())&lt;=366,transactions[[#This Row],[FQ]],"Out-year")</f>
        <v>Out-year</v>
      </c>
      <c r="N354" s="55">
        <f>transactions[[#This Row],[UnWeighted]]/1000</f>
        <v>146.5205</v>
      </c>
      <c r="O354" s="55">
        <f>transactions[[#This Row],[Weighted]]/1000</f>
        <v>73.260249999999999</v>
      </c>
      <c r="P354" s="55">
        <f>transactions[[#This Row],[$K Unweighted]]/1000</f>
        <v>0.1465205</v>
      </c>
      <c r="Q354" s="55" t="b">
        <f ca="1">transactions[[#This Row],[TransactionDate]]&gt;TODAY()</f>
        <v>1</v>
      </c>
    </row>
    <row r="355" spans="1:17" x14ac:dyDescent="0.25">
      <c r="A355">
        <v>13</v>
      </c>
      <c r="B355">
        <v>2</v>
      </c>
      <c r="C355" s="31">
        <v>47048</v>
      </c>
      <c r="D35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5" s="51" t="str">
        <f>"CY"&amp;RIGHT(YEAR(transactions[[#This Row],[TransactionDate]]),2)&amp;"-Q"&amp;ROUNDUP(MONTH(transactions[[#This Row],[TransactionDate]])/3, 0)</f>
        <v>CY28-Q4</v>
      </c>
      <c r="F355" s="52">
        <f>transactions[[#This Row],[UnWeighted]]*_xlfn.XLOOKUP(transactions[[#This Row],[OpportunityID]],Opportunities[ID],Opportunities[WinProbabilityValue])</f>
        <v>12618.744897959185</v>
      </c>
      <c r="G355"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55" s="51" t="str">
        <f>_xlfn.XLOOKUP(transactions[[#This Row],[OpportunityID]],Opportunities[ID],Opportunities[Status])</f>
        <v>Active</v>
      </c>
      <c r="I355" s="51" t="str">
        <f>_xlfn.XLOOKUP(transactions[[#This Row],[OpportunityID]],Opportunities[ID],Opportunities[Stage])</f>
        <v>Negotiation</v>
      </c>
      <c r="J355" s="51" t="str">
        <f>_xlfn.XLOOKUP(transactions[[#This Row],[OpportunityID]],Opportunities[ID],Opportunities[OpportunityName])</f>
        <v>E-commerce Platform</v>
      </c>
      <c r="K355" s="51" t="str">
        <f>_xlfn.XLOOKUP(transactions[[#This Row],[CustomerId]],Customers[Id],Customers[Customer Name])</f>
        <v>Global Industries</v>
      </c>
      <c r="L355" s="51" t="str">
        <f>_xlfn.XLOOKUP(transactions[[#This Row],[OpportunityID]],Opportunities[ID],Opportunities[OpportunityOwner])</f>
        <v>Lisa Engineer</v>
      </c>
      <c r="M355" s="51" t="str">
        <f ca="1">IF((transactions[[#This Row],[TransactionDate]]-TODAY())&lt;=366,transactions[[#This Row],[FQ]],"Out-year")</f>
        <v>Out-year</v>
      </c>
      <c r="N355" s="55">
        <f>transactions[[#This Row],[UnWeighted]]/1000</f>
        <v>25.237489795918368</v>
      </c>
      <c r="O355" s="55">
        <f>transactions[[#This Row],[Weighted]]/1000</f>
        <v>12.618744897959184</v>
      </c>
      <c r="P355" s="55">
        <f>transactions[[#This Row],[$K Unweighted]]/1000</f>
        <v>2.5237489795918368E-2</v>
      </c>
      <c r="Q355" s="55" t="b">
        <f ca="1">transactions[[#This Row],[TransactionDate]]&gt;TODAY()</f>
        <v>1</v>
      </c>
    </row>
    <row r="356" spans="1:17" x14ac:dyDescent="0.25">
      <c r="A356">
        <v>32</v>
      </c>
      <c r="B356">
        <v>29</v>
      </c>
      <c r="C356" s="31">
        <v>47049</v>
      </c>
      <c r="D35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6" s="51" t="str">
        <f>"CY"&amp;RIGHT(YEAR(transactions[[#This Row],[TransactionDate]]),2)&amp;"-Q"&amp;ROUNDUP(MONTH(transactions[[#This Row],[TransactionDate]])/3, 0)</f>
        <v>CY28-Q4</v>
      </c>
      <c r="F356" s="52">
        <f>transactions[[#This Row],[UnWeighted]]*_xlfn.XLOOKUP(transactions[[#This Row],[OpportunityID]],Opportunities[ID],Opportunities[WinProbabilityValue])</f>
        <v>19870.314285714288</v>
      </c>
      <c r="G356" s="52">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356" s="51" t="str">
        <f>_xlfn.XLOOKUP(transactions[[#This Row],[OpportunityID]],Opportunities[ID],Opportunities[Status])</f>
        <v>Active</v>
      </c>
      <c r="I356" s="51" t="str">
        <f>_xlfn.XLOOKUP(transactions[[#This Row],[OpportunityID]],Opportunities[ID],Opportunities[Stage])</f>
        <v>Proposal</v>
      </c>
      <c r="J356" s="51" t="str">
        <f>_xlfn.XLOOKUP(transactions[[#This Row],[OpportunityID]],Opportunities[ID],Opportunities[OpportunityName])</f>
        <v>Environmental Monitoring Solution</v>
      </c>
      <c r="K356" s="51" t="str">
        <f>_xlfn.XLOOKUP(transactions[[#This Row],[CustomerId]],Customers[Id],Customers[Customer Name])</f>
        <v>Waste Management Co</v>
      </c>
      <c r="L356" s="51" t="str">
        <f>_xlfn.XLOOKUP(transactions[[#This Row],[OpportunityID]],Opportunities[ID],Opportunities[OpportunityOwner])</f>
        <v>Jennifer PM</v>
      </c>
      <c r="M356" s="51" t="str">
        <f ca="1">IF((transactions[[#This Row],[TransactionDate]]-TODAY())&lt;=366,transactions[[#This Row],[FQ]],"Out-year")</f>
        <v>Out-year</v>
      </c>
      <c r="N356" s="55">
        <f>transactions[[#This Row],[UnWeighted]]/1000</f>
        <v>99.351571428571432</v>
      </c>
      <c r="O356" s="55">
        <f>transactions[[#This Row],[Weighted]]/1000</f>
        <v>19.87031428571429</v>
      </c>
      <c r="P356" s="55">
        <f>transactions[[#This Row],[$K Unweighted]]/1000</f>
        <v>9.9351571428571428E-2</v>
      </c>
      <c r="Q356" s="55" t="b">
        <f ca="1">transactions[[#This Row],[TransactionDate]]&gt;TODAY()</f>
        <v>1</v>
      </c>
    </row>
    <row r="357" spans="1:17" x14ac:dyDescent="0.25">
      <c r="A357">
        <v>7</v>
      </c>
      <c r="B357">
        <v>14</v>
      </c>
      <c r="C357" s="31">
        <v>47052</v>
      </c>
      <c r="D35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7" s="51" t="str">
        <f>"CY"&amp;RIGHT(YEAR(transactions[[#This Row],[TransactionDate]]),2)&amp;"-Q"&amp;ROUNDUP(MONTH(transactions[[#This Row],[TransactionDate]])/3, 0)</f>
        <v>CY28-Q4</v>
      </c>
      <c r="F357" s="52">
        <f>transactions[[#This Row],[UnWeighted]]*_xlfn.XLOOKUP(transactions[[#This Row],[OpportunityID]],Opportunities[ID],Opportunities[WinProbabilityValue])</f>
        <v>41771.416666666664</v>
      </c>
      <c r="G357" s="52">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357" s="51" t="str">
        <f>_xlfn.XLOOKUP(transactions[[#This Row],[OpportunityID]],Opportunities[ID],Opportunities[Status])</f>
        <v>Active</v>
      </c>
      <c r="I357" s="51" t="str">
        <f>_xlfn.XLOOKUP(transactions[[#This Row],[OpportunityID]],Opportunities[ID],Opportunities[Stage])</f>
        <v>Project Execution</v>
      </c>
      <c r="J357" s="51" t="str">
        <f>_xlfn.XLOOKUP(transactions[[#This Row],[OpportunityID]],Opportunities[ID],Opportunities[OpportunityName])</f>
        <v>Network Infrastructure Upgrade</v>
      </c>
      <c r="K357" s="51" t="str">
        <f>_xlfn.XLOOKUP(transactions[[#This Row],[CustomerId]],Customers[Id],Customers[Customer Name])</f>
        <v>Media Communications</v>
      </c>
      <c r="L357" s="51" t="str">
        <f>_xlfn.XLOOKUP(transactions[[#This Row],[OpportunityID]],Opportunities[ID],Opportunities[OpportunityOwner])</f>
        <v>Dr. Tech Advisor</v>
      </c>
      <c r="M357" s="51" t="str">
        <f ca="1">IF((transactions[[#This Row],[TransactionDate]]-TODAY())&lt;=366,transactions[[#This Row],[FQ]],"Out-year")</f>
        <v>Out-year</v>
      </c>
      <c r="N357" s="55">
        <f>transactions[[#This Row],[UnWeighted]]/1000</f>
        <v>83.542833333333334</v>
      </c>
      <c r="O357" s="55">
        <f>transactions[[#This Row],[Weighted]]/1000</f>
        <v>41.771416666666667</v>
      </c>
      <c r="P357" s="55">
        <f>transactions[[#This Row],[$K Unweighted]]/1000</f>
        <v>8.354283333333333E-2</v>
      </c>
      <c r="Q357" s="55" t="b">
        <f ca="1">transactions[[#This Row],[TransactionDate]]&gt;TODAY()</f>
        <v>1</v>
      </c>
    </row>
    <row r="358" spans="1:17" x14ac:dyDescent="0.25">
      <c r="A358">
        <v>26</v>
      </c>
      <c r="B358">
        <v>1</v>
      </c>
      <c r="C358" s="31">
        <v>47058</v>
      </c>
      <c r="D35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58" s="51" t="str">
        <f>"CY"&amp;RIGHT(YEAR(transactions[[#This Row],[TransactionDate]]),2)&amp;"-Q"&amp;ROUNDUP(MONTH(transactions[[#This Row],[TransactionDate]])/3, 0)</f>
        <v>CY28-Q4</v>
      </c>
      <c r="F358" s="52">
        <f>transactions[[#This Row],[UnWeighted]]*_xlfn.XLOOKUP(transactions[[#This Row],[OpportunityID]],Opportunities[ID],Opportunities[WinProbabilityValue])</f>
        <v>11339.638888888889</v>
      </c>
      <c r="G358"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58" s="51" t="str">
        <f>_xlfn.XLOOKUP(transactions[[#This Row],[OpportunityID]],Opportunities[ID],Opportunities[Status])</f>
        <v>Active</v>
      </c>
      <c r="I358" s="51" t="str">
        <f>_xlfn.XLOOKUP(transactions[[#This Row],[OpportunityID]],Opportunities[ID],Opportunities[Stage])</f>
        <v>Negotiation</v>
      </c>
      <c r="J358" s="51" t="str">
        <f>_xlfn.XLOOKUP(transactions[[#This Row],[OpportunityID]],Opportunities[ID],Opportunities[OpportunityName])</f>
        <v>Video Conferencing Solution</v>
      </c>
      <c r="K358" s="51" t="str">
        <f>_xlfn.XLOOKUP(transactions[[#This Row],[CustomerId]],Customers[Id],Customers[Customer Name])</f>
        <v>ACME Corporation</v>
      </c>
      <c r="L358" s="51" t="str">
        <f>_xlfn.XLOOKUP(transactions[[#This Row],[OpportunityID]],Opportunities[ID],Opportunities[OpportunityOwner])</f>
        <v>Mike Consultant</v>
      </c>
      <c r="M358" s="51" t="str">
        <f ca="1">IF((transactions[[#This Row],[TransactionDate]]-TODAY())&lt;=366,transactions[[#This Row],[FQ]],"Out-year")</f>
        <v>Out-year</v>
      </c>
      <c r="N358" s="55">
        <f>transactions[[#This Row],[UnWeighted]]/1000</f>
        <v>22.679277777777777</v>
      </c>
      <c r="O358" s="55">
        <f>transactions[[#This Row],[Weighted]]/1000</f>
        <v>11.339638888888889</v>
      </c>
      <c r="P358" s="55">
        <f>transactions[[#This Row],[$K Unweighted]]/1000</f>
        <v>2.2679277777777777E-2</v>
      </c>
      <c r="Q358" s="55" t="b">
        <f ca="1">transactions[[#This Row],[TransactionDate]]&gt;TODAY()</f>
        <v>1</v>
      </c>
    </row>
    <row r="359" spans="1:17" x14ac:dyDescent="0.25">
      <c r="A359">
        <v>39</v>
      </c>
      <c r="B359">
        <v>3</v>
      </c>
      <c r="C359" s="31">
        <v>47060</v>
      </c>
      <c r="D35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59" s="51" t="str">
        <f>"CY"&amp;RIGHT(YEAR(transactions[[#This Row],[TransactionDate]]),2)&amp;"-Q"&amp;ROUNDUP(MONTH(transactions[[#This Row],[TransactionDate]])/3, 0)</f>
        <v>CY28-Q4</v>
      </c>
      <c r="F359" s="52">
        <f>transactions[[#This Row],[UnWeighted]]*_xlfn.XLOOKUP(transactions[[#This Row],[OpportunityID]],Opportunities[ID],Opportunities[WinProbabilityValue])</f>
        <v>20929.153846153848</v>
      </c>
      <c r="G359"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59" s="51" t="str">
        <f>_xlfn.XLOOKUP(transactions[[#This Row],[OpportunityID]],Opportunities[ID],Opportunities[Status])</f>
        <v>Active</v>
      </c>
      <c r="I359" s="51" t="str">
        <f>_xlfn.XLOOKUP(transactions[[#This Row],[OpportunityID]],Opportunities[ID],Opportunities[Stage])</f>
        <v>Project Execution</v>
      </c>
      <c r="J359" s="51" t="str">
        <f>_xlfn.XLOOKUP(transactions[[#This Row],[OpportunityID]],Opportunities[ID],Opportunities[OpportunityName])</f>
        <v>API Development Project</v>
      </c>
      <c r="K359" s="51" t="str">
        <f>_xlfn.XLOOKUP(transactions[[#This Row],[CustomerId]],Customers[Id],Customers[Customer Name])</f>
        <v>Tech Solutions Inc</v>
      </c>
      <c r="L359" s="51" t="str">
        <f>_xlfn.XLOOKUP(transactions[[#This Row],[OpportunityID]],Opportunities[ID],Opportunities[OpportunityOwner])</f>
        <v>Jennifer PM</v>
      </c>
      <c r="M359" s="51" t="str">
        <f ca="1">IF((transactions[[#This Row],[TransactionDate]]-TODAY())&lt;=366,transactions[[#This Row],[FQ]],"Out-year")</f>
        <v>Out-year</v>
      </c>
      <c r="N359" s="55">
        <f>transactions[[#This Row],[UnWeighted]]/1000</f>
        <v>41.858307692307697</v>
      </c>
      <c r="O359" s="55">
        <f>transactions[[#This Row],[Weighted]]/1000</f>
        <v>20.929153846153849</v>
      </c>
      <c r="P359" s="55">
        <f>transactions[[#This Row],[$K Unweighted]]/1000</f>
        <v>4.1858307692307695E-2</v>
      </c>
      <c r="Q359" s="55" t="b">
        <f ca="1">transactions[[#This Row],[TransactionDate]]&gt;TODAY()</f>
        <v>1</v>
      </c>
    </row>
    <row r="360" spans="1:17" x14ac:dyDescent="0.25">
      <c r="A360">
        <v>36</v>
      </c>
      <c r="B360">
        <v>1</v>
      </c>
      <c r="C360" s="31">
        <v>47063</v>
      </c>
      <c r="D36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0" s="51" t="str">
        <f>"CY"&amp;RIGHT(YEAR(transactions[[#This Row],[TransactionDate]]),2)&amp;"-Q"&amp;ROUNDUP(MONTH(transactions[[#This Row],[TransactionDate]])/3, 0)</f>
        <v>CY28-Q4</v>
      </c>
      <c r="F360" s="52">
        <f>transactions[[#This Row],[UnWeighted]]*_xlfn.XLOOKUP(transactions[[#This Row],[OpportunityID]],Opportunities[ID],Opportunities[WinProbabilityValue])</f>
        <v>24983.895833333332</v>
      </c>
      <c r="G360"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60" s="51" t="str">
        <f>_xlfn.XLOOKUP(transactions[[#This Row],[OpportunityID]],Opportunities[ID],Opportunities[Status])</f>
        <v>Active</v>
      </c>
      <c r="I360" s="51" t="str">
        <f>_xlfn.XLOOKUP(transactions[[#This Row],[OpportunityID]],Opportunities[ID],Opportunities[Stage])</f>
        <v>Lead Qualification</v>
      </c>
      <c r="J360" s="51" t="str">
        <f>_xlfn.XLOOKUP(transactions[[#This Row],[OpportunityID]],Opportunities[ID],Opportunities[OpportunityName])</f>
        <v>Integration Services Project</v>
      </c>
      <c r="K360" s="51" t="str">
        <f>_xlfn.XLOOKUP(transactions[[#This Row],[CustomerId]],Customers[Id],Customers[Customer Name])</f>
        <v>ACME Corporation</v>
      </c>
      <c r="L360" s="51" t="str">
        <f>_xlfn.XLOOKUP(transactions[[#This Row],[OpportunityID]],Opportunities[ID],Opportunities[OpportunityOwner])</f>
        <v>Amanda Sales</v>
      </c>
      <c r="M360" s="51" t="str">
        <f ca="1">IF((transactions[[#This Row],[TransactionDate]]-TODAY())&lt;=366,transactions[[#This Row],[FQ]],"Out-year")</f>
        <v>Out-year</v>
      </c>
      <c r="N360" s="55">
        <f>transactions[[#This Row],[UnWeighted]]/1000</f>
        <v>49.967791666666663</v>
      </c>
      <c r="O360" s="55">
        <f>transactions[[#This Row],[Weighted]]/1000</f>
        <v>24.983895833333332</v>
      </c>
      <c r="P360" s="55">
        <f>transactions[[#This Row],[$K Unweighted]]/1000</f>
        <v>4.9967791666666664E-2</v>
      </c>
      <c r="Q360" s="55" t="b">
        <f ca="1">transactions[[#This Row],[TransactionDate]]&gt;TODAY()</f>
        <v>1</v>
      </c>
    </row>
    <row r="361" spans="1:17" x14ac:dyDescent="0.25">
      <c r="A361">
        <v>15</v>
      </c>
      <c r="B361">
        <v>24</v>
      </c>
      <c r="C361" s="31">
        <v>47064</v>
      </c>
      <c r="D36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1" s="51" t="str">
        <f>"CY"&amp;RIGHT(YEAR(transactions[[#This Row],[TransactionDate]]),2)&amp;"-Q"&amp;ROUNDUP(MONTH(transactions[[#This Row],[TransactionDate]])/3, 0)</f>
        <v>CY28-Q4</v>
      </c>
      <c r="F361" s="52">
        <f>transactions[[#This Row],[UnWeighted]]*_xlfn.XLOOKUP(transactions[[#This Row],[OpportunityID]],Opportunities[ID],Opportunities[WinProbabilityValue])</f>
        <v>29217.197872340425</v>
      </c>
      <c r="G361"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61" s="51" t="str">
        <f>_xlfn.XLOOKUP(transactions[[#This Row],[OpportunityID]],Opportunities[ID],Opportunities[Status])</f>
        <v>Active</v>
      </c>
      <c r="I361" s="51" t="str">
        <f>_xlfn.XLOOKUP(transactions[[#This Row],[OpportunityID]],Opportunities[ID],Opportunities[Stage])</f>
        <v>Project Execution</v>
      </c>
      <c r="J361" s="51" t="str">
        <f>_xlfn.XLOOKUP(transactions[[#This Row],[OpportunityID]],Opportunities[ID],Opportunities[OpportunityName])</f>
        <v>Training &amp; Development Program</v>
      </c>
      <c r="K361" s="51" t="str">
        <f>_xlfn.XLOOKUP(transactions[[#This Row],[CustomerId]],Customers[Id],Customers[Customer Name])</f>
        <v>Security Solutions</v>
      </c>
      <c r="L361" s="51" t="str">
        <f>_xlfn.XLOOKUP(transactions[[#This Row],[OpportunityID]],Opportunities[ID],Opportunities[OpportunityOwner])</f>
        <v>Sarah Director</v>
      </c>
      <c r="M361" s="51" t="str">
        <f ca="1">IF((transactions[[#This Row],[TransactionDate]]-TODAY())&lt;=366,transactions[[#This Row],[FQ]],"Out-year")</f>
        <v>Out-year</v>
      </c>
      <c r="N361" s="55">
        <f>transactions[[#This Row],[UnWeighted]]/1000</f>
        <v>32.46355319148936</v>
      </c>
      <c r="O361" s="55">
        <f>transactions[[#This Row],[Weighted]]/1000</f>
        <v>29.217197872340424</v>
      </c>
      <c r="P361" s="55">
        <f>transactions[[#This Row],[$K Unweighted]]/1000</f>
        <v>3.2463553191489358E-2</v>
      </c>
      <c r="Q361" s="55" t="b">
        <f ca="1">transactions[[#This Row],[TransactionDate]]&gt;TODAY()</f>
        <v>1</v>
      </c>
    </row>
    <row r="362" spans="1:17" x14ac:dyDescent="0.25">
      <c r="A362">
        <v>25</v>
      </c>
      <c r="B362">
        <v>14</v>
      </c>
      <c r="C362" s="31">
        <v>47066</v>
      </c>
      <c r="D36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2" s="51" t="str">
        <f>"CY"&amp;RIGHT(YEAR(transactions[[#This Row],[TransactionDate]]),2)&amp;"-Q"&amp;ROUNDUP(MONTH(transactions[[#This Row],[TransactionDate]])/3, 0)</f>
        <v>CY28-Q4</v>
      </c>
      <c r="F362" s="52">
        <f>transactions[[#This Row],[UnWeighted]]*_xlfn.XLOOKUP(transactions[[#This Row],[OpportunityID]],Opportunities[ID],Opportunities[WinProbabilityValue])</f>
        <v>35076.26666666667</v>
      </c>
      <c r="G362" s="52">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362" s="51" t="str">
        <f>_xlfn.XLOOKUP(transactions[[#This Row],[OpportunityID]],Opportunities[ID],Opportunities[Status])</f>
        <v>Active</v>
      </c>
      <c r="I362" s="51" t="str">
        <f>_xlfn.XLOOKUP(transactions[[#This Row],[OpportunityID]],Opportunities[ID],Opportunities[Stage])</f>
        <v>Lead Qualification</v>
      </c>
      <c r="J362" s="51" t="str">
        <f>_xlfn.XLOOKUP(transactions[[#This Row],[OpportunityID]],Opportunities[ID],Opportunities[OpportunityName])</f>
        <v>Project Management Software</v>
      </c>
      <c r="K362" s="51" t="str">
        <f>_xlfn.XLOOKUP(transactions[[#This Row],[CustomerId]],Customers[Id],Customers[Customer Name])</f>
        <v>Media Communications</v>
      </c>
      <c r="L362" s="51" t="str">
        <f>_xlfn.XLOOKUP(transactions[[#This Row],[OpportunityID]],Opportunities[ID],Opportunities[OpportunityOwner])</f>
        <v>Amanda Sales</v>
      </c>
      <c r="M362" s="51" t="str">
        <f ca="1">IF((transactions[[#This Row],[TransactionDate]]-TODAY())&lt;=366,transactions[[#This Row],[FQ]],"Out-year")</f>
        <v>Out-year</v>
      </c>
      <c r="N362" s="55">
        <f>transactions[[#This Row],[UnWeighted]]/1000</f>
        <v>70.152533333333338</v>
      </c>
      <c r="O362" s="55">
        <f>transactions[[#This Row],[Weighted]]/1000</f>
        <v>35.076266666666669</v>
      </c>
      <c r="P362" s="55">
        <f>transactions[[#This Row],[$K Unweighted]]/1000</f>
        <v>7.0152533333333336E-2</v>
      </c>
      <c r="Q362" s="55" t="b">
        <f ca="1">transactions[[#This Row],[TransactionDate]]&gt;TODAY()</f>
        <v>1</v>
      </c>
    </row>
    <row r="363" spans="1:17" x14ac:dyDescent="0.25">
      <c r="A363">
        <v>17</v>
      </c>
      <c r="B363">
        <v>19</v>
      </c>
      <c r="C363" s="31">
        <v>47066</v>
      </c>
      <c r="D36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3" s="51" t="str">
        <f>"CY"&amp;RIGHT(YEAR(transactions[[#This Row],[TransactionDate]]),2)&amp;"-Q"&amp;ROUNDUP(MONTH(transactions[[#This Row],[TransactionDate]])/3, 0)</f>
        <v>CY28-Q4</v>
      </c>
      <c r="F363" s="52">
        <f>transactions[[#This Row],[UnWeighted]]*_xlfn.XLOOKUP(transactions[[#This Row],[OpportunityID]],Opportunities[ID],Opportunities[WinProbabilityValue])</f>
        <v>9267.2333333333336</v>
      </c>
      <c r="G363" s="52">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63" s="51" t="str">
        <f>_xlfn.XLOOKUP(transactions[[#This Row],[OpportunityID]],Opportunities[ID],Opportunities[Status])</f>
        <v>Active</v>
      </c>
      <c r="I363" s="51" t="str">
        <f>_xlfn.XLOOKUP(transactions[[#This Row],[OpportunityID]],Opportunities[ID],Opportunities[Stage])</f>
        <v>Negotiation</v>
      </c>
      <c r="J363" s="51" t="str">
        <f>_xlfn.XLOOKUP(transactions[[#This Row],[OpportunityID]],Opportunities[ID],Opportunities[OpportunityName])</f>
        <v>Supply Chain Optimization</v>
      </c>
      <c r="K363" s="51" t="str">
        <f>_xlfn.XLOOKUP(transactions[[#This Row],[CustomerId]],Customers[Id],Customers[Customer Name])</f>
        <v>Hotel Management Group</v>
      </c>
      <c r="L363" s="51" t="str">
        <f>_xlfn.XLOOKUP(transactions[[#This Row],[OpportunityID]],Opportunities[ID],Opportunities[OpportunityOwner])</f>
        <v>Jennifer PM</v>
      </c>
      <c r="M363" s="51" t="str">
        <f ca="1">IF((transactions[[#This Row],[TransactionDate]]-TODAY())&lt;=366,transactions[[#This Row],[FQ]],"Out-year")</f>
        <v>Out-year</v>
      </c>
      <c r="N363" s="55">
        <f>transactions[[#This Row],[UnWeighted]]/1000</f>
        <v>46.336166666666664</v>
      </c>
      <c r="O363" s="55">
        <f>transactions[[#This Row],[Weighted]]/1000</f>
        <v>9.2672333333333334</v>
      </c>
      <c r="P363" s="55">
        <f>transactions[[#This Row],[$K Unweighted]]/1000</f>
        <v>4.6336166666666664E-2</v>
      </c>
      <c r="Q363" s="55" t="b">
        <f ca="1">transactions[[#This Row],[TransactionDate]]&gt;TODAY()</f>
        <v>1</v>
      </c>
    </row>
    <row r="364" spans="1:17" x14ac:dyDescent="0.25">
      <c r="A364">
        <v>22</v>
      </c>
      <c r="B364">
        <v>11</v>
      </c>
      <c r="C364" s="31">
        <v>47068</v>
      </c>
      <c r="D36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4" s="51" t="str">
        <f>"CY"&amp;RIGHT(YEAR(transactions[[#This Row],[TransactionDate]]),2)&amp;"-Q"&amp;ROUNDUP(MONTH(transactions[[#This Row],[TransactionDate]])/3, 0)</f>
        <v>CY28-Q4</v>
      </c>
      <c r="F364" s="52">
        <f>transactions[[#This Row],[UnWeighted]]*_xlfn.XLOOKUP(transactions[[#This Row],[OpportunityID]],Opportunities[ID],Opportunities[WinProbabilityValue])</f>
        <v>26390.544230769232</v>
      </c>
      <c r="G364"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64" s="51" t="str">
        <f>_xlfn.XLOOKUP(transactions[[#This Row],[OpportunityID]],Opportunities[ID],Opportunities[Status])</f>
        <v>Active</v>
      </c>
      <c r="I364" s="51" t="str">
        <f>_xlfn.XLOOKUP(transactions[[#This Row],[OpportunityID]],Opportunities[ID],Opportunities[Stage])</f>
        <v>Nurturing</v>
      </c>
      <c r="J364" s="51" t="str">
        <f>_xlfn.XLOOKUP(transactions[[#This Row],[OpportunityID]],Opportunities[ID],Opportunities[OpportunityName])</f>
        <v>Inventory Management Solution</v>
      </c>
      <c r="K364" s="51" t="str">
        <f>_xlfn.XLOOKUP(transactions[[#This Row],[CustomerId]],Customers[Id],Customers[Customer Name])</f>
        <v>Transport Logistics</v>
      </c>
      <c r="L364" s="51" t="str">
        <f>_xlfn.XLOOKUP(transactions[[#This Row],[OpportunityID]],Opportunities[ID],Opportunities[OpportunityOwner])</f>
        <v>Sarah Director</v>
      </c>
      <c r="M364" s="51" t="str">
        <f ca="1">IF((transactions[[#This Row],[TransactionDate]]-TODAY())&lt;=366,transactions[[#This Row],[FQ]],"Out-year")</f>
        <v>Out-year</v>
      </c>
      <c r="N364" s="55">
        <f>transactions[[#This Row],[UnWeighted]]/1000</f>
        <v>29.322826923076921</v>
      </c>
      <c r="O364" s="55">
        <f>transactions[[#This Row],[Weighted]]/1000</f>
        <v>26.390544230769233</v>
      </c>
      <c r="P364" s="55">
        <f>transactions[[#This Row],[$K Unweighted]]/1000</f>
        <v>2.932282692307692E-2</v>
      </c>
      <c r="Q364" s="55" t="b">
        <f ca="1">transactions[[#This Row],[TransactionDate]]&gt;TODAY()</f>
        <v>1</v>
      </c>
    </row>
    <row r="365" spans="1:17" x14ac:dyDescent="0.25">
      <c r="A365">
        <v>28</v>
      </c>
      <c r="B365">
        <v>1</v>
      </c>
      <c r="C365" s="31">
        <v>47073</v>
      </c>
      <c r="D36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5" s="51" t="str">
        <f>"CY"&amp;RIGHT(YEAR(transactions[[#This Row],[TransactionDate]]),2)&amp;"-Q"&amp;ROUNDUP(MONTH(transactions[[#This Row],[TransactionDate]])/3, 0)</f>
        <v>CY28-Q4</v>
      </c>
      <c r="F365" s="52">
        <f>transactions[[#This Row],[UnWeighted]]*_xlfn.XLOOKUP(transactions[[#This Row],[OpportunityID]],Opportunities[ID],Opportunities[WinProbabilityValue])</f>
        <v>40447.666666666664</v>
      </c>
      <c r="G365" s="52">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365" s="51" t="str">
        <f>_xlfn.XLOOKUP(transactions[[#This Row],[OpportunityID]],Opportunities[ID],Opportunities[Status])</f>
        <v>Active</v>
      </c>
      <c r="I365" s="51" t="str">
        <f>_xlfn.XLOOKUP(transactions[[#This Row],[OpportunityID]],Opportunities[ID],Opportunities[Stage])</f>
        <v>Lead Qualification</v>
      </c>
      <c r="J365" s="51" t="str">
        <f>_xlfn.XLOOKUP(transactions[[#This Row],[OpportunityID]],Opportunities[ID],Opportunities[OpportunityName])</f>
        <v>Website Redesign Project</v>
      </c>
      <c r="K365" s="51" t="str">
        <f>_xlfn.XLOOKUP(transactions[[#This Row],[CustomerId]],Customers[Id],Customers[Customer Name])</f>
        <v>ACME Corporation</v>
      </c>
      <c r="L365" s="51" t="str">
        <f>_xlfn.XLOOKUP(transactions[[#This Row],[OpportunityID]],Opportunities[ID],Opportunities[OpportunityOwner])</f>
        <v>Lisa Engineer</v>
      </c>
      <c r="M365" s="51" t="str">
        <f ca="1">IF((transactions[[#This Row],[TransactionDate]]-TODAY())&lt;=366,transactions[[#This Row],[FQ]],"Out-year")</f>
        <v>Out-year</v>
      </c>
      <c r="N365" s="55">
        <f>transactions[[#This Row],[UnWeighted]]/1000</f>
        <v>80.895333333333326</v>
      </c>
      <c r="O365" s="55">
        <f>transactions[[#This Row],[Weighted]]/1000</f>
        <v>40.447666666666663</v>
      </c>
      <c r="P365" s="55">
        <f>transactions[[#This Row],[$K Unweighted]]/1000</f>
        <v>8.0895333333333333E-2</v>
      </c>
      <c r="Q365" s="55" t="b">
        <f ca="1">transactions[[#This Row],[TransactionDate]]&gt;TODAY()</f>
        <v>1</v>
      </c>
    </row>
    <row r="366" spans="1:17" x14ac:dyDescent="0.25">
      <c r="A366">
        <v>2</v>
      </c>
      <c r="B366">
        <v>10</v>
      </c>
      <c r="C366" s="31">
        <v>47074</v>
      </c>
      <c r="D36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6" s="51" t="str">
        <f>"CY"&amp;RIGHT(YEAR(transactions[[#This Row],[TransactionDate]]),2)&amp;"-Q"&amp;ROUNDUP(MONTH(transactions[[#This Row],[TransactionDate]])/3, 0)</f>
        <v>CY28-Q4</v>
      </c>
      <c r="F366" s="52">
        <f>transactions[[#This Row],[UnWeighted]]*_xlfn.XLOOKUP(transactions[[#This Row],[OpportunityID]],Opportunities[ID],Opportunities[WinProbabilityValue])</f>
        <v>20720.20930232558</v>
      </c>
      <c r="G366"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66" s="51" t="str">
        <f>_xlfn.XLOOKUP(transactions[[#This Row],[OpportunityID]],Opportunities[ID],Opportunities[Status])</f>
        <v>Active</v>
      </c>
      <c r="I366" s="51" t="str">
        <f>_xlfn.XLOOKUP(transactions[[#This Row],[OpportunityID]],Opportunities[ID],Opportunities[Stage])</f>
        <v>Proposal</v>
      </c>
      <c r="J366" s="51" t="str">
        <f>_xlfn.XLOOKUP(transactions[[#This Row],[OpportunityID]],Opportunities[ID],Opportunities[OpportunityName])</f>
        <v>Cloud Migration Initiative</v>
      </c>
      <c r="K366" s="51" t="str">
        <f>_xlfn.XLOOKUP(transactions[[#This Row],[CustomerId]],Customers[Id],Customers[Customer Name])</f>
        <v>Education First</v>
      </c>
      <c r="L366" s="51" t="str">
        <f>_xlfn.XLOOKUP(transactions[[#This Row],[OpportunityID]],Opportunities[ID],Opportunities[OpportunityOwner])</f>
        <v>Robert Analyst</v>
      </c>
      <c r="M366" s="51" t="str">
        <f ca="1">IF((transactions[[#This Row],[TransactionDate]]-TODAY())&lt;=366,transactions[[#This Row],[FQ]],"Out-year")</f>
        <v>Out-year</v>
      </c>
      <c r="N366" s="55">
        <f>transactions[[#This Row],[UnWeighted]]/1000</f>
        <v>41.440418604651157</v>
      </c>
      <c r="O366" s="55">
        <f>transactions[[#This Row],[Weighted]]/1000</f>
        <v>20.720209302325578</v>
      </c>
      <c r="P366" s="55">
        <f>transactions[[#This Row],[$K Unweighted]]/1000</f>
        <v>4.1440418604651155E-2</v>
      </c>
      <c r="Q366" s="55" t="b">
        <f ca="1">transactions[[#This Row],[TransactionDate]]&gt;TODAY()</f>
        <v>1</v>
      </c>
    </row>
    <row r="367" spans="1:17" x14ac:dyDescent="0.25">
      <c r="A367">
        <v>27</v>
      </c>
      <c r="B367">
        <v>2</v>
      </c>
      <c r="C367" s="31">
        <v>47074</v>
      </c>
      <c r="D36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7" s="51" t="str">
        <f>"CY"&amp;RIGHT(YEAR(transactions[[#This Row],[TransactionDate]]),2)&amp;"-Q"&amp;ROUNDUP(MONTH(transactions[[#This Row],[TransactionDate]])/3, 0)</f>
        <v>CY28-Q4</v>
      </c>
      <c r="F367" s="52">
        <f>transactions[[#This Row],[UnWeighted]]*_xlfn.XLOOKUP(transactions[[#This Row],[OpportunityID]],Opportunities[ID],Opportunities[WinProbabilityValue])</f>
        <v>46287.333333333336</v>
      </c>
      <c r="G367"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367" s="51" t="str">
        <f>_xlfn.XLOOKUP(transactions[[#This Row],[OpportunityID]],Opportunities[ID],Opportunities[Status])</f>
        <v>Active</v>
      </c>
      <c r="I367" s="51" t="str">
        <f>_xlfn.XLOOKUP(transactions[[#This Row],[OpportunityID]],Opportunities[ID],Opportunities[Stage])</f>
        <v>Lead Qualification</v>
      </c>
      <c r="J367" s="51" t="str">
        <f>_xlfn.XLOOKUP(transactions[[#This Row],[OpportunityID]],Opportunities[ID],Opportunities[OpportunityName])</f>
        <v>Backup &amp; Recovery System</v>
      </c>
      <c r="K367" s="51" t="str">
        <f>_xlfn.XLOOKUP(transactions[[#This Row],[CustomerId]],Customers[Id],Customers[Customer Name])</f>
        <v>Global Industries</v>
      </c>
      <c r="L367" s="51" t="str">
        <f>_xlfn.XLOOKUP(transactions[[#This Row],[OpportunityID]],Opportunities[ID],Opportunities[OpportunityOwner])</f>
        <v>Amanda Sales</v>
      </c>
      <c r="M367" s="51" t="str">
        <f ca="1">IF((transactions[[#This Row],[TransactionDate]]-TODAY())&lt;=366,transactions[[#This Row],[FQ]],"Out-year")</f>
        <v>Out-year</v>
      </c>
      <c r="N367" s="55">
        <f>transactions[[#This Row],[UnWeighted]]/1000</f>
        <v>92.574666666666673</v>
      </c>
      <c r="O367" s="55">
        <f>transactions[[#This Row],[Weighted]]/1000</f>
        <v>46.287333333333336</v>
      </c>
      <c r="P367" s="55">
        <f>transactions[[#This Row],[$K Unweighted]]/1000</f>
        <v>9.2574666666666666E-2</v>
      </c>
      <c r="Q367" s="55" t="b">
        <f ca="1">transactions[[#This Row],[TransactionDate]]&gt;TODAY()</f>
        <v>1</v>
      </c>
    </row>
    <row r="368" spans="1:17" x14ac:dyDescent="0.25">
      <c r="A368">
        <v>23</v>
      </c>
      <c r="B368">
        <v>11</v>
      </c>
      <c r="C368" s="31">
        <v>47077</v>
      </c>
      <c r="D36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8" s="51" t="str">
        <f>"CY"&amp;RIGHT(YEAR(transactions[[#This Row],[TransactionDate]]),2)&amp;"-Q"&amp;ROUNDUP(MONTH(transactions[[#This Row],[TransactionDate]])/3, 0)</f>
        <v>CY28-Q4</v>
      </c>
      <c r="F368" s="52">
        <f>transactions[[#This Row],[UnWeighted]]*_xlfn.XLOOKUP(transactions[[#This Row],[OpportunityID]],Opportunities[ID],Opportunities[WinProbabilityValue])</f>
        <v>25249.37777777778</v>
      </c>
      <c r="G368" s="52">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368" s="51" t="str">
        <f>_xlfn.XLOOKUP(transactions[[#This Row],[OpportunityID]],Opportunities[ID],Opportunities[Status])</f>
        <v>Critical</v>
      </c>
      <c r="I368" s="51" t="str">
        <f>_xlfn.XLOOKUP(transactions[[#This Row],[OpportunityID]],Opportunities[ID],Opportunities[Stage])</f>
        <v>Negotiation</v>
      </c>
      <c r="J368" s="51" t="str">
        <f>_xlfn.XLOOKUP(transactions[[#This Row],[OpportunityID]],Opportunities[ID],Opportunities[OpportunityName])</f>
        <v>Point of Sale System</v>
      </c>
      <c r="K368" s="51" t="str">
        <f>_xlfn.XLOOKUP(transactions[[#This Row],[CustomerId]],Customers[Id],Customers[Customer Name])</f>
        <v>Transport Logistics</v>
      </c>
      <c r="L368" s="51" t="str">
        <f>_xlfn.XLOOKUP(transactions[[#This Row],[OpportunityID]],Opportunities[ID],Opportunities[OpportunityOwner])</f>
        <v>David Specialist</v>
      </c>
      <c r="M368" s="51" t="str">
        <f ca="1">IF((transactions[[#This Row],[TransactionDate]]-TODAY())&lt;=366,transactions[[#This Row],[FQ]],"Out-year")</f>
        <v>Out-year</v>
      </c>
      <c r="N368" s="55">
        <f>transactions[[#This Row],[UnWeighted]]/1000</f>
        <v>126.24688888888889</v>
      </c>
      <c r="O368" s="55">
        <f>transactions[[#This Row],[Weighted]]/1000</f>
        <v>25.249377777777781</v>
      </c>
      <c r="P368" s="55">
        <f>transactions[[#This Row],[$K Unweighted]]/1000</f>
        <v>0.12624688888888888</v>
      </c>
      <c r="Q368" s="55" t="b">
        <f ca="1">transactions[[#This Row],[TransactionDate]]&gt;TODAY()</f>
        <v>1</v>
      </c>
    </row>
    <row r="369" spans="1:17" x14ac:dyDescent="0.25">
      <c r="A369">
        <v>31</v>
      </c>
      <c r="B369">
        <v>15</v>
      </c>
      <c r="C369" s="31">
        <v>47079</v>
      </c>
      <c r="D36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9" s="51" t="str">
        <f>"CY"&amp;RIGHT(YEAR(transactions[[#This Row],[TransactionDate]]),2)&amp;"-Q"&amp;ROUNDUP(MONTH(transactions[[#This Row],[TransactionDate]])/3, 0)</f>
        <v>CY28-Q4</v>
      </c>
      <c r="F369" s="52">
        <f>transactions[[#This Row],[UnWeighted]]*_xlfn.XLOOKUP(transactions[[#This Row],[OpportunityID]],Opportunities[ID],Opportunities[WinProbabilityValue])</f>
        <v>19221.625</v>
      </c>
      <c r="G369" s="52">
        <f>_xlfn.XLOOKUP(transactions[[#This Row],[OpportunityID]],Opportunities[ID],Opportunities[Amount])/IF(_xlfn.XLOOKUP(transactions[[#This Row],[OpportunityID]],Opportunities[ID],Opportunities[Recurrences])=0,1,_xlfn.XLOOKUP(transactions[[#This Row],[OpportunityID]],Opportunities[ID],Opportunities[Recurrences]))</f>
        <v>96108.125</v>
      </c>
      <c r="H369" s="51" t="str">
        <f>_xlfn.XLOOKUP(transactions[[#This Row],[OpportunityID]],Opportunities[ID],Opportunities[Status])</f>
        <v>At Risk</v>
      </c>
      <c r="I369" s="51" t="str">
        <f>_xlfn.XLOOKUP(transactions[[#This Row],[OpportunityID]],Opportunities[ID],Opportunities[Stage])</f>
        <v>Negotiation</v>
      </c>
      <c r="J369" s="51" t="str">
        <f>_xlfn.XLOOKUP(transactions[[#This Row],[OpportunityID]],Opportunities[ID],Opportunities[OpportunityName])</f>
        <v>Fleet Management System</v>
      </c>
      <c r="K369" s="51" t="str">
        <f>_xlfn.XLOOKUP(transactions[[#This Row],[CustomerId]],Customers[Id],Customers[Customer Name])</f>
        <v>Pharmaceutical Research</v>
      </c>
      <c r="L369" s="51" t="str">
        <f>_xlfn.XLOOKUP(transactions[[#This Row],[OpportunityID]],Opportunities[ID],Opportunities[OpportunityOwner])</f>
        <v>Amanda Sales</v>
      </c>
      <c r="M369" s="51" t="str">
        <f ca="1">IF((transactions[[#This Row],[TransactionDate]]-TODAY())&lt;=366,transactions[[#This Row],[FQ]],"Out-year")</f>
        <v>Out-year</v>
      </c>
      <c r="N369" s="55">
        <f>transactions[[#This Row],[UnWeighted]]/1000</f>
        <v>96.108125000000001</v>
      </c>
      <c r="O369" s="55">
        <f>transactions[[#This Row],[Weighted]]/1000</f>
        <v>19.221625</v>
      </c>
      <c r="P369" s="55">
        <f>transactions[[#This Row],[$K Unweighted]]/1000</f>
        <v>9.6108125000000003E-2</v>
      </c>
      <c r="Q369" s="55" t="b">
        <f ca="1">transactions[[#This Row],[TransactionDate]]&gt;TODAY()</f>
        <v>1</v>
      </c>
    </row>
    <row r="370" spans="1:17" x14ac:dyDescent="0.25">
      <c r="A370">
        <v>13</v>
      </c>
      <c r="B370">
        <v>2</v>
      </c>
      <c r="C370" s="31">
        <v>47079</v>
      </c>
      <c r="D37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0" s="51" t="str">
        <f>"CY"&amp;RIGHT(YEAR(transactions[[#This Row],[TransactionDate]]),2)&amp;"-Q"&amp;ROUNDUP(MONTH(transactions[[#This Row],[TransactionDate]])/3, 0)</f>
        <v>CY28-Q4</v>
      </c>
      <c r="F370" s="52">
        <f>transactions[[#This Row],[UnWeighted]]*_xlfn.XLOOKUP(transactions[[#This Row],[OpportunityID]],Opportunities[ID],Opportunities[WinProbabilityValue])</f>
        <v>12618.744897959185</v>
      </c>
      <c r="G370"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70" s="51" t="str">
        <f>_xlfn.XLOOKUP(transactions[[#This Row],[OpportunityID]],Opportunities[ID],Opportunities[Status])</f>
        <v>Active</v>
      </c>
      <c r="I370" s="51" t="str">
        <f>_xlfn.XLOOKUP(transactions[[#This Row],[OpportunityID]],Opportunities[ID],Opportunities[Stage])</f>
        <v>Negotiation</v>
      </c>
      <c r="J370" s="51" t="str">
        <f>_xlfn.XLOOKUP(transactions[[#This Row],[OpportunityID]],Opportunities[ID],Opportunities[OpportunityName])</f>
        <v>E-commerce Platform</v>
      </c>
      <c r="K370" s="51" t="str">
        <f>_xlfn.XLOOKUP(transactions[[#This Row],[CustomerId]],Customers[Id],Customers[Customer Name])</f>
        <v>Global Industries</v>
      </c>
      <c r="L370" s="51" t="str">
        <f>_xlfn.XLOOKUP(transactions[[#This Row],[OpportunityID]],Opportunities[ID],Opportunities[OpportunityOwner])</f>
        <v>Lisa Engineer</v>
      </c>
      <c r="M370" s="51" t="str">
        <f ca="1">IF((transactions[[#This Row],[TransactionDate]]-TODAY())&lt;=366,transactions[[#This Row],[FQ]],"Out-year")</f>
        <v>Out-year</v>
      </c>
      <c r="N370" s="55">
        <f>transactions[[#This Row],[UnWeighted]]/1000</f>
        <v>25.237489795918368</v>
      </c>
      <c r="O370" s="55">
        <f>transactions[[#This Row],[Weighted]]/1000</f>
        <v>12.618744897959184</v>
      </c>
      <c r="P370" s="55">
        <f>transactions[[#This Row],[$K Unweighted]]/1000</f>
        <v>2.5237489795918368E-2</v>
      </c>
      <c r="Q370" s="55" t="b">
        <f ca="1">transactions[[#This Row],[TransactionDate]]&gt;TODAY()</f>
        <v>1</v>
      </c>
    </row>
    <row r="371" spans="1:17" x14ac:dyDescent="0.25">
      <c r="A371">
        <v>26</v>
      </c>
      <c r="B371">
        <v>1</v>
      </c>
      <c r="C371" s="31">
        <v>47088</v>
      </c>
      <c r="D37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1" s="51" t="str">
        <f>"CY"&amp;RIGHT(YEAR(transactions[[#This Row],[TransactionDate]]),2)&amp;"-Q"&amp;ROUNDUP(MONTH(transactions[[#This Row],[TransactionDate]])/3, 0)</f>
        <v>CY28-Q4</v>
      </c>
      <c r="F371" s="52">
        <f>transactions[[#This Row],[UnWeighted]]*_xlfn.XLOOKUP(transactions[[#This Row],[OpportunityID]],Opportunities[ID],Opportunities[WinProbabilityValue])</f>
        <v>11339.638888888889</v>
      </c>
      <c r="G371"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71" s="51" t="str">
        <f>_xlfn.XLOOKUP(transactions[[#This Row],[OpportunityID]],Opportunities[ID],Opportunities[Status])</f>
        <v>Active</v>
      </c>
      <c r="I371" s="51" t="str">
        <f>_xlfn.XLOOKUP(transactions[[#This Row],[OpportunityID]],Opportunities[ID],Opportunities[Stage])</f>
        <v>Negotiation</v>
      </c>
      <c r="J371" s="51" t="str">
        <f>_xlfn.XLOOKUP(transactions[[#This Row],[OpportunityID]],Opportunities[ID],Opportunities[OpportunityName])</f>
        <v>Video Conferencing Solution</v>
      </c>
      <c r="K371" s="51" t="str">
        <f>_xlfn.XLOOKUP(transactions[[#This Row],[CustomerId]],Customers[Id],Customers[Customer Name])</f>
        <v>ACME Corporation</v>
      </c>
      <c r="L371" s="51" t="str">
        <f>_xlfn.XLOOKUP(transactions[[#This Row],[OpportunityID]],Opportunities[ID],Opportunities[OpportunityOwner])</f>
        <v>Mike Consultant</v>
      </c>
      <c r="M371" s="51" t="str">
        <f ca="1">IF((transactions[[#This Row],[TransactionDate]]-TODAY())&lt;=366,transactions[[#This Row],[FQ]],"Out-year")</f>
        <v>Out-year</v>
      </c>
      <c r="N371" s="55">
        <f>transactions[[#This Row],[UnWeighted]]/1000</f>
        <v>22.679277777777777</v>
      </c>
      <c r="O371" s="55">
        <f>transactions[[#This Row],[Weighted]]/1000</f>
        <v>11.339638888888889</v>
      </c>
      <c r="P371" s="55">
        <f>transactions[[#This Row],[$K Unweighted]]/1000</f>
        <v>2.2679277777777777E-2</v>
      </c>
      <c r="Q371" s="55" t="b">
        <f ca="1">transactions[[#This Row],[TransactionDate]]&gt;TODAY()</f>
        <v>1</v>
      </c>
    </row>
    <row r="372" spans="1:17" x14ac:dyDescent="0.25">
      <c r="A372">
        <v>39</v>
      </c>
      <c r="B372">
        <v>3</v>
      </c>
      <c r="C372" s="31">
        <v>47090</v>
      </c>
      <c r="D37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2" s="51" t="str">
        <f>"CY"&amp;RIGHT(YEAR(transactions[[#This Row],[TransactionDate]]),2)&amp;"-Q"&amp;ROUNDUP(MONTH(transactions[[#This Row],[TransactionDate]])/3, 0)</f>
        <v>CY28-Q4</v>
      </c>
      <c r="F372" s="52">
        <f>transactions[[#This Row],[UnWeighted]]*_xlfn.XLOOKUP(transactions[[#This Row],[OpportunityID]],Opportunities[ID],Opportunities[WinProbabilityValue])</f>
        <v>20929.153846153848</v>
      </c>
      <c r="G372"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72" s="51" t="str">
        <f>_xlfn.XLOOKUP(transactions[[#This Row],[OpportunityID]],Opportunities[ID],Opportunities[Status])</f>
        <v>Active</v>
      </c>
      <c r="I372" s="51" t="str">
        <f>_xlfn.XLOOKUP(transactions[[#This Row],[OpportunityID]],Opportunities[ID],Opportunities[Stage])</f>
        <v>Project Execution</v>
      </c>
      <c r="J372" s="51" t="str">
        <f>_xlfn.XLOOKUP(transactions[[#This Row],[OpportunityID]],Opportunities[ID],Opportunities[OpportunityName])</f>
        <v>API Development Project</v>
      </c>
      <c r="K372" s="51" t="str">
        <f>_xlfn.XLOOKUP(transactions[[#This Row],[CustomerId]],Customers[Id],Customers[Customer Name])</f>
        <v>Tech Solutions Inc</v>
      </c>
      <c r="L372" s="51" t="str">
        <f>_xlfn.XLOOKUP(transactions[[#This Row],[OpportunityID]],Opportunities[ID],Opportunities[OpportunityOwner])</f>
        <v>Jennifer PM</v>
      </c>
      <c r="M372" s="51" t="str">
        <f ca="1">IF((transactions[[#This Row],[TransactionDate]]-TODAY())&lt;=366,transactions[[#This Row],[FQ]],"Out-year")</f>
        <v>Out-year</v>
      </c>
      <c r="N372" s="55">
        <f>transactions[[#This Row],[UnWeighted]]/1000</f>
        <v>41.858307692307697</v>
      </c>
      <c r="O372" s="55">
        <f>transactions[[#This Row],[Weighted]]/1000</f>
        <v>20.929153846153849</v>
      </c>
      <c r="P372" s="55">
        <f>transactions[[#This Row],[$K Unweighted]]/1000</f>
        <v>4.1858307692307695E-2</v>
      </c>
      <c r="Q372" s="55" t="b">
        <f ca="1">transactions[[#This Row],[TransactionDate]]&gt;TODAY()</f>
        <v>1</v>
      </c>
    </row>
    <row r="373" spans="1:17" x14ac:dyDescent="0.25">
      <c r="A373">
        <v>36</v>
      </c>
      <c r="B373">
        <v>1</v>
      </c>
      <c r="C373" s="31">
        <v>47093</v>
      </c>
      <c r="D37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3" s="51" t="str">
        <f>"CY"&amp;RIGHT(YEAR(transactions[[#This Row],[TransactionDate]]),2)&amp;"-Q"&amp;ROUNDUP(MONTH(transactions[[#This Row],[TransactionDate]])/3, 0)</f>
        <v>CY28-Q4</v>
      </c>
      <c r="F373" s="52">
        <f>transactions[[#This Row],[UnWeighted]]*_xlfn.XLOOKUP(transactions[[#This Row],[OpportunityID]],Opportunities[ID],Opportunities[WinProbabilityValue])</f>
        <v>24983.895833333332</v>
      </c>
      <c r="G373"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73" s="51" t="str">
        <f>_xlfn.XLOOKUP(transactions[[#This Row],[OpportunityID]],Opportunities[ID],Opportunities[Status])</f>
        <v>Active</v>
      </c>
      <c r="I373" s="51" t="str">
        <f>_xlfn.XLOOKUP(transactions[[#This Row],[OpportunityID]],Opportunities[ID],Opportunities[Stage])</f>
        <v>Lead Qualification</v>
      </c>
      <c r="J373" s="51" t="str">
        <f>_xlfn.XLOOKUP(transactions[[#This Row],[OpportunityID]],Opportunities[ID],Opportunities[OpportunityName])</f>
        <v>Integration Services Project</v>
      </c>
      <c r="K373" s="51" t="str">
        <f>_xlfn.XLOOKUP(transactions[[#This Row],[CustomerId]],Customers[Id],Customers[Customer Name])</f>
        <v>ACME Corporation</v>
      </c>
      <c r="L373" s="51" t="str">
        <f>_xlfn.XLOOKUP(transactions[[#This Row],[OpportunityID]],Opportunities[ID],Opportunities[OpportunityOwner])</f>
        <v>Amanda Sales</v>
      </c>
      <c r="M373" s="51" t="str">
        <f ca="1">IF((transactions[[#This Row],[TransactionDate]]-TODAY())&lt;=366,transactions[[#This Row],[FQ]],"Out-year")</f>
        <v>Out-year</v>
      </c>
      <c r="N373" s="55">
        <f>transactions[[#This Row],[UnWeighted]]/1000</f>
        <v>49.967791666666663</v>
      </c>
      <c r="O373" s="55">
        <f>transactions[[#This Row],[Weighted]]/1000</f>
        <v>24.983895833333332</v>
      </c>
      <c r="P373" s="55">
        <f>transactions[[#This Row],[$K Unweighted]]/1000</f>
        <v>4.9967791666666664E-2</v>
      </c>
      <c r="Q373" s="55" t="b">
        <f ca="1">transactions[[#This Row],[TransactionDate]]&gt;TODAY()</f>
        <v>1</v>
      </c>
    </row>
    <row r="374" spans="1:17" x14ac:dyDescent="0.25">
      <c r="A374">
        <v>15</v>
      </c>
      <c r="B374">
        <v>24</v>
      </c>
      <c r="C374" s="31">
        <v>47094</v>
      </c>
      <c r="D37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4" s="51" t="str">
        <f>"CY"&amp;RIGHT(YEAR(transactions[[#This Row],[TransactionDate]]),2)&amp;"-Q"&amp;ROUNDUP(MONTH(transactions[[#This Row],[TransactionDate]])/3, 0)</f>
        <v>CY28-Q4</v>
      </c>
      <c r="F374" s="52">
        <f>transactions[[#This Row],[UnWeighted]]*_xlfn.XLOOKUP(transactions[[#This Row],[OpportunityID]],Opportunities[ID],Opportunities[WinProbabilityValue])</f>
        <v>29217.197872340425</v>
      </c>
      <c r="G374"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74" s="51" t="str">
        <f>_xlfn.XLOOKUP(transactions[[#This Row],[OpportunityID]],Opportunities[ID],Opportunities[Status])</f>
        <v>Active</v>
      </c>
      <c r="I374" s="51" t="str">
        <f>_xlfn.XLOOKUP(transactions[[#This Row],[OpportunityID]],Opportunities[ID],Opportunities[Stage])</f>
        <v>Project Execution</v>
      </c>
      <c r="J374" s="51" t="str">
        <f>_xlfn.XLOOKUP(transactions[[#This Row],[OpportunityID]],Opportunities[ID],Opportunities[OpportunityName])</f>
        <v>Training &amp; Development Program</v>
      </c>
      <c r="K374" s="51" t="str">
        <f>_xlfn.XLOOKUP(transactions[[#This Row],[CustomerId]],Customers[Id],Customers[Customer Name])</f>
        <v>Security Solutions</v>
      </c>
      <c r="L374" s="51" t="str">
        <f>_xlfn.XLOOKUP(transactions[[#This Row],[OpportunityID]],Opportunities[ID],Opportunities[OpportunityOwner])</f>
        <v>Sarah Director</v>
      </c>
      <c r="M374" s="51" t="str">
        <f ca="1">IF((transactions[[#This Row],[TransactionDate]]-TODAY())&lt;=366,transactions[[#This Row],[FQ]],"Out-year")</f>
        <v>Out-year</v>
      </c>
      <c r="N374" s="55">
        <f>transactions[[#This Row],[UnWeighted]]/1000</f>
        <v>32.46355319148936</v>
      </c>
      <c r="O374" s="55">
        <f>transactions[[#This Row],[Weighted]]/1000</f>
        <v>29.217197872340424</v>
      </c>
      <c r="P374" s="55">
        <f>transactions[[#This Row],[$K Unweighted]]/1000</f>
        <v>3.2463553191489358E-2</v>
      </c>
      <c r="Q374" s="55" t="b">
        <f ca="1">transactions[[#This Row],[TransactionDate]]&gt;TODAY()</f>
        <v>1</v>
      </c>
    </row>
    <row r="375" spans="1:17" x14ac:dyDescent="0.25">
      <c r="A375">
        <v>22</v>
      </c>
      <c r="B375">
        <v>11</v>
      </c>
      <c r="C375" s="31">
        <v>47098</v>
      </c>
      <c r="D37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5" s="51" t="str">
        <f>"CY"&amp;RIGHT(YEAR(transactions[[#This Row],[TransactionDate]]),2)&amp;"-Q"&amp;ROUNDUP(MONTH(transactions[[#This Row],[TransactionDate]])/3, 0)</f>
        <v>CY28-Q4</v>
      </c>
      <c r="F375" s="52">
        <f>transactions[[#This Row],[UnWeighted]]*_xlfn.XLOOKUP(transactions[[#This Row],[OpportunityID]],Opportunities[ID],Opportunities[WinProbabilityValue])</f>
        <v>26390.544230769232</v>
      </c>
      <c r="G375"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75" s="51" t="str">
        <f>_xlfn.XLOOKUP(transactions[[#This Row],[OpportunityID]],Opportunities[ID],Opportunities[Status])</f>
        <v>Active</v>
      </c>
      <c r="I375" s="51" t="str">
        <f>_xlfn.XLOOKUP(transactions[[#This Row],[OpportunityID]],Opportunities[ID],Opportunities[Stage])</f>
        <v>Nurturing</v>
      </c>
      <c r="J375" s="51" t="str">
        <f>_xlfn.XLOOKUP(transactions[[#This Row],[OpportunityID]],Opportunities[ID],Opportunities[OpportunityName])</f>
        <v>Inventory Management Solution</v>
      </c>
      <c r="K375" s="51" t="str">
        <f>_xlfn.XLOOKUP(transactions[[#This Row],[CustomerId]],Customers[Id],Customers[Customer Name])</f>
        <v>Transport Logistics</v>
      </c>
      <c r="L375" s="51" t="str">
        <f>_xlfn.XLOOKUP(transactions[[#This Row],[OpportunityID]],Opportunities[ID],Opportunities[OpportunityOwner])</f>
        <v>Sarah Director</v>
      </c>
      <c r="M375" s="51" t="str">
        <f ca="1">IF((transactions[[#This Row],[TransactionDate]]-TODAY())&lt;=366,transactions[[#This Row],[FQ]],"Out-year")</f>
        <v>Out-year</v>
      </c>
      <c r="N375" s="55">
        <f>transactions[[#This Row],[UnWeighted]]/1000</f>
        <v>29.322826923076921</v>
      </c>
      <c r="O375" s="55">
        <f>transactions[[#This Row],[Weighted]]/1000</f>
        <v>26.390544230769233</v>
      </c>
      <c r="P375" s="55">
        <f>transactions[[#This Row],[$K Unweighted]]/1000</f>
        <v>2.932282692307692E-2</v>
      </c>
      <c r="Q375" s="55" t="b">
        <f ca="1">transactions[[#This Row],[TransactionDate]]&gt;TODAY()</f>
        <v>1</v>
      </c>
    </row>
    <row r="376" spans="1:17" x14ac:dyDescent="0.25">
      <c r="A376">
        <v>2</v>
      </c>
      <c r="B376">
        <v>10</v>
      </c>
      <c r="C376" s="31">
        <v>47104</v>
      </c>
      <c r="D37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6" s="51" t="str">
        <f>"CY"&amp;RIGHT(YEAR(transactions[[#This Row],[TransactionDate]]),2)&amp;"-Q"&amp;ROUNDUP(MONTH(transactions[[#This Row],[TransactionDate]])/3, 0)</f>
        <v>CY28-Q4</v>
      </c>
      <c r="F376" s="52">
        <f>transactions[[#This Row],[UnWeighted]]*_xlfn.XLOOKUP(transactions[[#This Row],[OpportunityID]],Opportunities[ID],Opportunities[WinProbabilityValue])</f>
        <v>20720.20930232558</v>
      </c>
      <c r="G376"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76" s="51" t="str">
        <f>_xlfn.XLOOKUP(transactions[[#This Row],[OpportunityID]],Opportunities[ID],Opportunities[Status])</f>
        <v>Active</v>
      </c>
      <c r="I376" s="51" t="str">
        <f>_xlfn.XLOOKUP(transactions[[#This Row],[OpportunityID]],Opportunities[ID],Opportunities[Stage])</f>
        <v>Proposal</v>
      </c>
      <c r="J376" s="51" t="str">
        <f>_xlfn.XLOOKUP(transactions[[#This Row],[OpportunityID]],Opportunities[ID],Opportunities[OpportunityName])</f>
        <v>Cloud Migration Initiative</v>
      </c>
      <c r="K376" s="51" t="str">
        <f>_xlfn.XLOOKUP(transactions[[#This Row],[CustomerId]],Customers[Id],Customers[Customer Name])</f>
        <v>Education First</v>
      </c>
      <c r="L376" s="51" t="str">
        <f>_xlfn.XLOOKUP(transactions[[#This Row],[OpportunityID]],Opportunities[ID],Opportunities[OpportunityOwner])</f>
        <v>Robert Analyst</v>
      </c>
      <c r="M376" s="51" t="str">
        <f ca="1">IF((transactions[[#This Row],[TransactionDate]]-TODAY())&lt;=366,transactions[[#This Row],[FQ]],"Out-year")</f>
        <v>Out-year</v>
      </c>
      <c r="N376" s="55">
        <f>transactions[[#This Row],[UnWeighted]]/1000</f>
        <v>41.440418604651157</v>
      </c>
      <c r="O376" s="55">
        <f>transactions[[#This Row],[Weighted]]/1000</f>
        <v>20.720209302325578</v>
      </c>
      <c r="P376" s="55">
        <f>transactions[[#This Row],[$K Unweighted]]/1000</f>
        <v>4.1440418604651155E-2</v>
      </c>
      <c r="Q376" s="55" t="b">
        <f ca="1">transactions[[#This Row],[TransactionDate]]&gt;TODAY()</f>
        <v>1</v>
      </c>
    </row>
    <row r="377" spans="1:17" x14ac:dyDescent="0.25">
      <c r="A377">
        <v>13</v>
      </c>
      <c r="B377">
        <v>2</v>
      </c>
      <c r="C377" s="31">
        <v>47109</v>
      </c>
      <c r="D37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7" s="51" t="str">
        <f>"CY"&amp;RIGHT(YEAR(transactions[[#This Row],[TransactionDate]]),2)&amp;"-Q"&amp;ROUNDUP(MONTH(transactions[[#This Row],[TransactionDate]])/3, 0)</f>
        <v>CY28-Q4</v>
      </c>
      <c r="F377" s="52">
        <f>transactions[[#This Row],[UnWeighted]]*_xlfn.XLOOKUP(transactions[[#This Row],[OpportunityID]],Opportunities[ID],Opportunities[WinProbabilityValue])</f>
        <v>12618.744897959185</v>
      </c>
      <c r="G377"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77" s="51" t="str">
        <f>_xlfn.XLOOKUP(transactions[[#This Row],[OpportunityID]],Opportunities[ID],Opportunities[Status])</f>
        <v>Active</v>
      </c>
      <c r="I377" s="51" t="str">
        <f>_xlfn.XLOOKUP(transactions[[#This Row],[OpportunityID]],Opportunities[ID],Opportunities[Stage])</f>
        <v>Negotiation</v>
      </c>
      <c r="J377" s="51" t="str">
        <f>_xlfn.XLOOKUP(transactions[[#This Row],[OpportunityID]],Opportunities[ID],Opportunities[OpportunityName])</f>
        <v>E-commerce Platform</v>
      </c>
      <c r="K377" s="51" t="str">
        <f>_xlfn.XLOOKUP(transactions[[#This Row],[CustomerId]],Customers[Id],Customers[Customer Name])</f>
        <v>Global Industries</v>
      </c>
      <c r="L377" s="51" t="str">
        <f>_xlfn.XLOOKUP(transactions[[#This Row],[OpportunityID]],Opportunities[ID],Opportunities[OpportunityOwner])</f>
        <v>Lisa Engineer</v>
      </c>
      <c r="M377" s="51" t="str">
        <f ca="1">IF((transactions[[#This Row],[TransactionDate]]-TODAY())&lt;=366,transactions[[#This Row],[FQ]],"Out-year")</f>
        <v>Out-year</v>
      </c>
      <c r="N377" s="55">
        <f>transactions[[#This Row],[UnWeighted]]/1000</f>
        <v>25.237489795918368</v>
      </c>
      <c r="O377" s="55">
        <f>transactions[[#This Row],[Weighted]]/1000</f>
        <v>12.618744897959184</v>
      </c>
      <c r="P377" s="55">
        <f>transactions[[#This Row],[$K Unweighted]]/1000</f>
        <v>2.5237489795918368E-2</v>
      </c>
      <c r="Q377" s="55" t="b">
        <f ca="1">transactions[[#This Row],[TransactionDate]]&gt;TODAY()</f>
        <v>1</v>
      </c>
    </row>
    <row r="378" spans="1:17" x14ac:dyDescent="0.25">
      <c r="A378">
        <v>6</v>
      </c>
      <c r="B378">
        <v>13</v>
      </c>
      <c r="C378" s="31">
        <v>47113</v>
      </c>
      <c r="D37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8" s="51" t="str">
        <f>"CY"&amp;RIGHT(YEAR(transactions[[#This Row],[TransactionDate]]),2)&amp;"-Q"&amp;ROUNDUP(MONTH(transactions[[#This Row],[TransactionDate]])/3, 0)</f>
        <v>CY28-Q4</v>
      </c>
      <c r="F378" s="52">
        <f>transactions[[#This Row],[UnWeighted]]*_xlfn.XLOOKUP(transactions[[#This Row],[OpportunityID]],Opportunities[ID],Opportunities[WinProbabilityValue])</f>
        <v>37550.227272727272</v>
      </c>
      <c r="G378" s="52">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378" s="51" t="str">
        <f>_xlfn.XLOOKUP(transactions[[#This Row],[OpportunityID]],Opportunities[ID],Opportunities[Status])</f>
        <v>Active</v>
      </c>
      <c r="I378" s="51" t="str">
        <f>_xlfn.XLOOKUP(transactions[[#This Row],[OpportunityID]],Opportunities[ID],Opportunities[Stage])</f>
        <v>Project Execution</v>
      </c>
      <c r="J378" s="51" t="str">
        <f>_xlfn.XLOOKUP(transactions[[#This Row],[OpportunityID]],Opportunities[ID],Opportunities[OpportunityName])</f>
        <v>Digital Transformation Project</v>
      </c>
      <c r="K378" s="51" t="str">
        <f>_xlfn.XLOOKUP(transactions[[#This Row],[CustomerId]],Customers[Id],Customers[Customer Name])</f>
        <v>Professional Services Group</v>
      </c>
      <c r="L378" s="51" t="str">
        <f>_xlfn.XLOOKUP(transactions[[#This Row],[OpportunityID]],Opportunities[ID],Opportunities[OpportunityOwner])</f>
        <v>Robert Analyst</v>
      </c>
      <c r="M378" s="51" t="str">
        <f ca="1">IF((transactions[[#This Row],[TransactionDate]]-TODAY())&lt;=366,transactions[[#This Row],[FQ]],"Out-year")</f>
        <v>Out-year</v>
      </c>
      <c r="N378" s="55">
        <f>transactions[[#This Row],[UnWeighted]]/1000</f>
        <v>75.100454545454539</v>
      </c>
      <c r="O378" s="55">
        <f>transactions[[#This Row],[Weighted]]/1000</f>
        <v>37.55022727272727</v>
      </c>
      <c r="P378" s="55">
        <f>transactions[[#This Row],[$K Unweighted]]/1000</f>
        <v>7.510045454545454E-2</v>
      </c>
      <c r="Q378" s="55" t="b">
        <f ca="1">transactions[[#This Row],[TransactionDate]]&gt;TODAY()</f>
        <v>1</v>
      </c>
    </row>
    <row r="379" spans="1:17" x14ac:dyDescent="0.25">
      <c r="A379">
        <v>38</v>
      </c>
      <c r="B379">
        <v>21</v>
      </c>
      <c r="C379" s="31">
        <v>47117</v>
      </c>
      <c r="D37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9" s="51" t="str">
        <f>"CY"&amp;RIGHT(YEAR(transactions[[#This Row],[TransactionDate]]),2)&amp;"-Q"&amp;ROUNDUP(MONTH(transactions[[#This Row],[TransactionDate]])/3, 0)</f>
        <v>CY28-Q4</v>
      </c>
      <c r="F379" s="52">
        <f>transactions[[#This Row],[UnWeighted]]*_xlfn.XLOOKUP(transactions[[#This Row],[OpportunityID]],Opportunities[ID],Opportunities[WinProbabilityValue])</f>
        <v>50822.5</v>
      </c>
      <c r="G379" s="52">
        <f>_xlfn.XLOOKUP(transactions[[#This Row],[OpportunityID]],Opportunities[ID],Opportunities[Amount])/IF(_xlfn.XLOOKUP(transactions[[#This Row],[OpportunityID]],Opportunities[ID],Opportunities[Recurrences])=0,1,_xlfn.XLOOKUP(transactions[[#This Row],[OpportunityID]],Opportunities[ID],Opportunities[Recurrences]))</f>
        <v>101645</v>
      </c>
      <c r="H379" s="51" t="str">
        <f>_xlfn.XLOOKUP(transactions[[#This Row],[OpportunityID]],Opportunities[ID],Opportunities[Status])</f>
        <v>Active</v>
      </c>
      <c r="I379" s="51" t="str">
        <f>_xlfn.XLOOKUP(transactions[[#This Row],[OpportunityID]],Opportunities[ID],Opportunities[Stage])</f>
        <v>Proposal</v>
      </c>
      <c r="J379" s="51" t="str">
        <f>_xlfn.XLOOKUP(transactions[[#This Row],[OpportunityID]],Opportunities[ID],Opportunities[OpportunityName])</f>
        <v>Legacy System Modernization</v>
      </c>
      <c r="K379" s="51" t="str">
        <f>_xlfn.XLOOKUP(transactions[[#This Row],[CustomerId]],Customers[Id],Customers[Customer Name])</f>
        <v>Textile Manufacturing</v>
      </c>
      <c r="L379" s="51" t="str">
        <f>_xlfn.XLOOKUP(transactions[[#This Row],[OpportunityID]],Opportunities[ID],Opportunities[OpportunityOwner])</f>
        <v>Lisa Engineer</v>
      </c>
      <c r="M379" s="51" t="str">
        <f ca="1">IF((transactions[[#This Row],[TransactionDate]]-TODAY())&lt;=366,transactions[[#This Row],[FQ]],"Out-year")</f>
        <v>Out-year</v>
      </c>
      <c r="N379" s="55">
        <f>transactions[[#This Row],[UnWeighted]]/1000</f>
        <v>101.645</v>
      </c>
      <c r="O379" s="55">
        <f>transactions[[#This Row],[Weighted]]/1000</f>
        <v>50.822499999999998</v>
      </c>
      <c r="P379" s="55">
        <f>transactions[[#This Row],[$K Unweighted]]/1000</f>
        <v>0.101645</v>
      </c>
      <c r="Q379" s="55" t="b">
        <f ca="1">transactions[[#This Row],[TransactionDate]]&gt;TODAY()</f>
        <v>1</v>
      </c>
    </row>
    <row r="380" spans="1:17" x14ac:dyDescent="0.25">
      <c r="A380">
        <v>26</v>
      </c>
      <c r="B380">
        <v>1</v>
      </c>
      <c r="C380" s="31">
        <v>47119</v>
      </c>
      <c r="D38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0" s="51" t="str">
        <f>"CY"&amp;RIGHT(YEAR(transactions[[#This Row],[TransactionDate]]),2)&amp;"-Q"&amp;ROUNDUP(MONTH(transactions[[#This Row],[TransactionDate]])/3, 0)</f>
        <v>CY29-Q1</v>
      </c>
      <c r="F380" s="52">
        <f>transactions[[#This Row],[UnWeighted]]*_xlfn.XLOOKUP(transactions[[#This Row],[OpportunityID]],Opportunities[ID],Opportunities[WinProbabilityValue])</f>
        <v>11339.638888888889</v>
      </c>
      <c r="G380"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80" s="51" t="str">
        <f>_xlfn.XLOOKUP(transactions[[#This Row],[OpportunityID]],Opportunities[ID],Opportunities[Status])</f>
        <v>Active</v>
      </c>
      <c r="I380" s="51" t="str">
        <f>_xlfn.XLOOKUP(transactions[[#This Row],[OpportunityID]],Opportunities[ID],Opportunities[Stage])</f>
        <v>Negotiation</v>
      </c>
      <c r="J380" s="51" t="str">
        <f>_xlfn.XLOOKUP(transactions[[#This Row],[OpportunityID]],Opportunities[ID],Opportunities[OpportunityName])</f>
        <v>Video Conferencing Solution</v>
      </c>
      <c r="K380" s="51" t="str">
        <f>_xlfn.XLOOKUP(transactions[[#This Row],[CustomerId]],Customers[Id],Customers[Customer Name])</f>
        <v>ACME Corporation</v>
      </c>
      <c r="L380" s="51" t="str">
        <f>_xlfn.XLOOKUP(transactions[[#This Row],[OpportunityID]],Opportunities[ID],Opportunities[OpportunityOwner])</f>
        <v>Mike Consultant</v>
      </c>
      <c r="M380" s="51" t="str">
        <f ca="1">IF((transactions[[#This Row],[TransactionDate]]-TODAY())&lt;=366,transactions[[#This Row],[FQ]],"Out-year")</f>
        <v>Out-year</v>
      </c>
      <c r="N380" s="55">
        <f>transactions[[#This Row],[UnWeighted]]/1000</f>
        <v>22.679277777777777</v>
      </c>
      <c r="O380" s="55">
        <f>transactions[[#This Row],[Weighted]]/1000</f>
        <v>11.339638888888889</v>
      </c>
      <c r="P380" s="55">
        <f>transactions[[#This Row],[$K Unweighted]]/1000</f>
        <v>2.2679277777777777E-2</v>
      </c>
      <c r="Q380" s="55" t="b">
        <f ca="1">transactions[[#This Row],[TransactionDate]]&gt;TODAY()</f>
        <v>1</v>
      </c>
    </row>
    <row r="381" spans="1:17" x14ac:dyDescent="0.25">
      <c r="A381">
        <v>39</v>
      </c>
      <c r="B381">
        <v>3</v>
      </c>
      <c r="C381" s="31">
        <v>47121</v>
      </c>
      <c r="D38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1" s="51" t="str">
        <f>"CY"&amp;RIGHT(YEAR(transactions[[#This Row],[TransactionDate]]),2)&amp;"-Q"&amp;ROUNDUP(MONTH(transactions[[#This Row],[TransactionDate]])/3, 0)</f>
        <v>CY29-Q1</v>
      </c>
      <c r="F381" s="52">
        <f>transactions[[#This Row],[UnWeighted]]*_xlfn.XLOOKUP(transactions[[#This Row],[OpportunityID]],Opportunities[ID],Opportunities[WinProbabilityValue])</f>
        <v>20929.153846153848</v>
      </c>
      <c r="G381"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81" s="51" t="str">
        <f>_xlfn.XLOOKUP(transactions[[#This Row],[OpportunityID]],Opportunities[ID],Opportunities[Status])</f>
        <v>Active</v>
      </c>
      <c r="I381" s="51" t="str">
        <f>_xlfn.XLOOKUP(transactions[[#This Row],[OpportunityID]],Opportunities[ID],Opportunities[Stage])</f>
        <v>Project Execution</v>
      </c>
      <c r="J381" s="51" t="str">
        <f>_xlfn.XLOOKUP(transactions[[#This Row],[OpportunityID]],Opportunities[ID],Opportunities[OpportunityName])</f>
        <v>API Development Project</v>
      </c>
      <c r="K381" s="51" t="str">
        <f>_xlfn.XLOOKUP(transactions[[#This Row],[CustomerId]],Customers[Id],Customers[Customer Name])</f>
        <v>Tech Solutions Inc</v>
      </c>
      <c r="L381" s="51" t="str">
        <f>_xlfn.XLOOKUP(transactions[[#This Row],[OpportunityID]],Opportunities[ID],Opportunities[OpportunityOwner])</f>
        <v>Jennifer PM</v>
      </c>
      <c r="M381" s="51" t="str">
        <f ca="1">IF((transactions[[#This Row],[TransactionDate]]-TODAY())&lt;=366,transactions[[#This Row],[FQ]],"Out-year")</f>
        <v>Out-year</v>
      </c>
      <c r="N381" s="55">
        <f>transactions[[#This Row],[UnWeighted]]/1000</f>
        <v>41.858307692307697</v>
      </c>
      <c r="O381" s="55">
        <f>transactions[[#This Row],[Weighted]]/1000</f>
        <v>20.929153846153849</v>
      </c>
      <c r="P381" s="55">
        <f>transactions[[#This Row],[$K Unweighted]]/1000</f>
        <v>4.1858307692307695E-2</v>
      </c>
      <c r="Q381" s="55" t="b">
        <f ca="1">transactions[[#This Row],[TransactionDate]]&gt;TODAY()</f>
        <v>1</v>
      </c>
    </row>
    <row r="382" spans="1:17" x14ac:dyDescent="0.25">
      <c r="A382">
        <v>36</v>
      </c>
      <c r="B382">
        <v>1</v>
      </c>
      <c r="C382" s="31">
        <v>47124</v>
      </c>
      <c r="D38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2" s="51" t="str">
        <f>"CY"&amp;RIGHT(YEAR(transactions[[#This Row],[TransactionDate]]),2)&amp;"-Q"&amp;ROUNDUP(MONTH(transactions[[#This Row],[TransactionDate]])/3, 0)</f>
        <v>CY29-Q1</v>
      </c>
      <c r="F382" s="52">
        <f>transactions[[#This Row],[UnWeighted]]*_xlfn.XLOOKUP(transactions[[#This Row],[OpportunityID]],Opportunities[ID],Opportunities[WinProbabilityValue])</f>
        <v>24983.895833333332</v>
      </c>
      <c r="G382"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82" s="51" t="str">
        <f>_xlfn.XLOOKUP(transactions[[#This Row],[OpportunityID]],Opportunities[ID],Opportunities[Status])</f>
        <v>Active</v>
      </c>
      <c r="I382" s="51" t="str">
        <f>_xlfn.XLOOKUP(transactions[[#This Row],[OpportunityID]],Opportunities[ID],Opportunities[Stage])</f>
        <v>Lead Qualification</v>
      </c>
      <c r="J382" s="51" t="str">
        <f>_xlfn.XLOOKUP(transactions[[#This Row],[OpportunityID]],Opportunities[ID],Opportunities[OpportunityName])</f>
        <v>Integration Services Project</v>
      </c>
      <c r="K382" s="51" t="str">
        <f>_xlfn.XLOOKUP(transactions[[#This Row],[CustomerId]],Customers[Id],Customers[Customer Name])</f>
        <v>ACME Corporation</v>
      </c>
      <c r="L382" s="51" t="str">
        <f>_xlfn.XLOOKUP(transactions[[#This Row],[OpportunityID]],Opportunities[ID],Opportunities[OpportunityOwner])</f>
        <v>Amanda Sales</v>
      </c>
      <c r="M382" s="51" t="str">
        <f ca="1">IF((transactions[[#This Row],[TransactionDate]]-TODAY())&lt;=366,transactions[[#This Row],[FQ]],"Out-year")</f>
        <v>Out-year</v>
      </c>
      <c r="N382" s="55">
        <f>transactions[[#This Row],[UnWeighted]]/1000</f>
        <v>49.967791666666663</v>
      </c>
      <c r="O382" s="55">
        <f>transactions[[#This Row],[Weighted]]/1000</f>
        <v>24.983895833333332</v>
      </c>
      <c r="P382" s="55">
        <f>transactions[[#This Row],[$K Unweighted]]/1000</f>
        <v>4.9967791666666664E-2</v>
      </c>
      <c r="Q382" s="55" t="b">
        <f ca="1">transactions[[#This Row],[TransactionDate]]&gt;TODAY()</f>
        <v>1</v>
      </c>
    </row>
    <row r="383" spans="1:17" x14ac:dyDescent="0.25">
      <c r="A383">
        <v>15</v>
      </c>
      <c r="B383">
        <v>24</v>
      </c>
      <c r="C383" s="31">
        <v>47125</v>
      </c>
      <c r="D38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3" s="51" t="str">
        <f>"CY"&amp;RIGHT(YEAR(transactions[[#This Row],[TransactionDate]]),2)&amp;"-Q"&amp;ROUNDUP(MONTH(transactions[[#This Row],[TransactionDate]])/3, 0)</f>
        <v>CY29-Q1</v>
      </c>
      <c r="F383" s="52">
        <f>transactions[[#This Row],[UnWeighted]]*_xlfn.XLOOKUP(transactions[[#This Row],[OpportunityID]],Opportunities[ID],Opportunities[WinProbabilityValue])</f>
        <v>29217.197872340425</v>
      </c>
      <c r="G383"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83" s="51" t="str">
        <f>_xlfn.XLOOKUP(transactions[[#This Row],[OpportunityID]],Opportunities[ID],Opportunities[Status])</f>
        <v>Active</v>
      </c>
      <c r="I383" s="51" t="str">
        <f>_xlfn.XLOOKUP(transactions[[#This Row],[OpportunityID]],Opportunities[ID],Opportunities[Stage])</f>
        <v>Project Execution</v>
      </c>
      <c r="J383" s="51" t="str">
        <f>_xlfn.XLOOKUP(transactions[[#This Row],[OpportunityID]],Opportunities[ID],Opportunities[OpportunityName])</f>
        <v>Training &amp; Development Program</v>
      </c>
      <c r="K383" s="51" t="str">
        <f>_xlfn.XLOOKUP(transactions[[#This Row],[CustomerId]],Customers[Id],Customers[Customer Name])</f>
        <v>Security Solutions</v>
      </c>
      <c r="L383" s="51" t="str">
        <f>_xlfn.XLOOKUP(transactions[[#This Row],[OpportunityID]],Opportunities[ID],Opportunities[OpportunityOwner])</f>
        <v>Sarah Director</v>
      </c>
      <c r="M383" s="51" t="str">
        <f ca="1">IF((transactions[[#This Row],[TransactionDate]]-TODAY())&lt;=366,transactions[[#This Row],[FQ]],"Out-year")</f>
        <v>Out-year</v>
      </c>
      <c r="N383" s="55">
        <f>transactions[[#This Row],[UnWeighted]]/1000</f>
        <v>32.46355319148936</v>
      </c>
      <c r="O383" s="55">
        <f>transactions[[#This Row],[Weighted]]/1000</f>
        <v>29.217197872340424</v>
      </c>
      <c r="P383" s="55">
        <f>transactions[[#This Row],[$K Unweighted]]/1000</f>
        <v>3.2463553191489358E-2</v>
      </c>
      <c r="Q383" s="55" t="b">
        <f ca="1">transactions[[#This Row],[TransactionDate]]&gt;TODAY()</f>
        <v>1</v>
      </c>
    </row>
    <row r="384" spans="1:17" x14ac:dyDescent="0.25">
      <c r="A384">
        <v>22</v>
      </c>
      <c r="B384">
        <v>11</v>
      </c>
      <c r="C384" s="31">
        <v>47129</v>
      </c>
      <c r="D38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4" s="51" t="str">
        <f>"CY"&amp;RIGHT(YEAR(transactions[[#This Row],[TransactionDate]]),2)&amp;"-Q"&amp;ROUNDUP(MONTH(transactions[[#This Row],[TransactionDate]])/3, 0)</f>
        <v>CY29-Q1</v>
      </c>
      <c r="F384" s="52">
        <f>transactions[[#This Row],[UnWeighted]]*_xlfn.XLOOKUP(transactions[[#This Row],[OpportunityID]],Opportunities[ID],Opportunities[WinProbabilityValue])</f>
        <v>26390.544230769232</v>
      </c>
      <c r="G384"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84" s="51" t="str">
        <f>_xlfn.XLOOKUP(transactions[[#This Row],[OpportunityID]],Opportunities[ID],Opportunities[Status])</f>
        <v>Active</v>
      </c>
      <c r="I384" s="51" t="str">
        <f>_xlfn.XLOOKUP(transactions[[#This Row],[OpportunityID]],Opportunities[ID],Opportunities[Stage])</f>
        <v>Nurturing</v>
      </c>
      <c r="J384" s="51" t="str">
        <f>_xlfn.XLOOKUP(transactions[[#This Row],[OpportunityID]],Opportunities[ID],Opportunities[OpportunityName])</f>
        <v>Inventory Management Solution</v>
      </c>
      <c r="K384" s="51" t="str">
        <f>_xlfn.XLOOKUP(transactions[[#This Row],[CustomerId]],Customers[Id],Customers[Customer Name])</f>
        <v>Transport Logistics</v>
      </c>
      <c r="L384" s="51" t="str">
        <f>_xlfn.XLOOKUP(transactions[[#This Row],[OpportunityID]],Opportunities[ID],Opportunities[OpportunityOwner])</f>
        <v>Sarah Director</v>
      </c>
      <c r="M384" s="51" t="str">
        <f ca="1">IF((transactions[[#This Row],[TransactionDate]]-TODAY())&lt;=366,transactions[[#This Row],[FQ]],"Out-year")</f>
        <v>Out-year</v>
      </c>
      <c r="N384" s="55">
        <f>transactions[[#This Row],[UnWeighted]]/1000</f>
        <v>29.322826923076921</v>
      </c>
      <c r="O384" s="55">
        <f>transactions[[#This Row],[Weighted]]/1000</f>
        <v>26.390544230769233</v>
      </c>
      <c r="P384" s="55">
        <f>transactions[[#This Row],[$K Unweighted]]/1000</f>
        <v>2.932282692307692E-2</v>
      </c>
      <c r="Q384" s="55" t="b">
        <f ca="1">transactions[[#This Row],[TransactionDate]]&gt;TODAY()</f>
        <v>1</v>
      </c>
    </row>
    <row r="385" spans="1:17" x14ac:dyDescent="0.25">
      <c r="A385">
        <v>11</v>
      </c>
      <c r="B385">
        <v>3</v>
      </c>
      <c r="C385" s="31">
        <v>47131</v>
      </c>
      <c r="D38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5" s="51" t="str">
        <f>"CY"&amp;RIGHT(YEAR(transactions[[#This Row],[TransactionDate]]),2)&amp;"-Q"&amp;ROUNDUP(MONTH(transactions[[#This Row],[TransactionDate]])/3, 0)</f>
        <v>CY29-Q1</v>
      </c>
      <c r="F385" s="52">
        <f>transactions[[#This Row],[UnWeighted]]*_xlfn.XLOOKUP(transactions[[#This Row],[OpportunityID]],Opportunities[ID],Opportunities[WinProbabilityValue])</f>
        <v>113460.75</v>
      </c>
      <c r="G385" s="52">
        <f>_xlfn.XLOOKUP(transactions[[#This Row],[OpportunityID]],Opportunities[ID],Opportunities[Amount])/IF(_xlfn.XLOOKUP(transactions[[#This Row],[OpportunityID]],Opportunities[ID],Opportunities[Recurrences])=0,1,_xlfn.XLOOKUP(transactions[[#This Row],[OpportunityID]],Opportunities[ID],Opportunities[Recurrences]))</f>
        <v>126067.5</v>
      </c>
      <c r="H385" s="51" t="str">
        <f>_xlfn.XLOOKUP(transactions[[#This Row],[OpportunityID]],Opportunities[ID],Opportunities[Status])</f>
        <v>At Risk</v>
      </c>
      <c r="I385" s="51" t="str">
        <f>_xlfn.XLOOKUP(transactions[[#This Row],[OpportunityID]],Opportunities[ID],Opportunities[Stage])</f>
        <v>Negotiation</v>
      </c>
      <c r="J385" s="51" t="str">
        <f>_xlfn.XLOOKUP(transactions[[#This Row],[OpportunityID]],Opportunities[ID],Opportunities[OpportunityName])</f>
        <v>Data Center Consolidation</v>
      </c>
      <c r="K385" s="51" t="str">
        <f>_xlfn.XLOOKUP(transactions[[#This Row],[CustomerId]],Customers[Id],Customers[Customer Name])</f>
        <v>Tech Solutions Inc</v>
      </c>
      <c r="L385" s="51" t="str">
        <f>_xlfn.XLOOKUP(transactions[[#This Row],[OpportunityID]],Opportunities[ID],Opportunities[OpportunityOwner])</f>
        <v>David Specialist</v>
      </c>
      <c r="M385" s="51" t="str">
        <f ca="1">IF((transactions[[#This Row],[TransactionDate]]-TODAY())&lt;=366,transactions[[#This Row],[FQ]],"Out-year")</f>
        <v>Out-year</v>
      </c>
      <c r="N385" s="55">
        <f>transactions[[#This Row],[UnWeighted]]/1000</f>
        <v>126.0675</v>
      </c>
      <c r="O385" s="55">
        <f>transactions[[#This Row],[Weighted]]/1000</f>
        <v>113.46075</v>
      </c>
      <c r="P385" s="55">
        <f>transactions[[#This Row],[$K Unweighted]]/1000</f>
        <v>0.1260675</v>
      </c>
      <c r="Q385" s="55" t="b">
        <f ca="1">transactions[[#This Row],[TransactionDate]]&gt;TODAY()</f>
        <v>1</v>
      </c>
    </row>
    <row r="386" spans="1:17" x14ac:dyDescent="0.25">
      <c r="A386">
        <v>2</v>
      </c>
      <c r="B386">
        <v>10</v>
      </c>
      <c r="C386" s="31">
        <v>47135</v>
      </c>
      <c r="D38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6" s="51" t="str">
        <f>"CY"&amp;RIGHT(YEAR(transactions[[#This Row],[TransactionDate]]),2)&amp;"-Q"&amp;ROUNDUP(MONTH(transactions[[#This Row],[TransactionDate]])/3, 0)</f>
        <v>CY29-Q1</v>
      </c>
      <c r="F386" s="52">
        <f>transactions[[#This Row],[UnWeighted]]*_xlfn.XLOOKUP(transactions[[#This Row],[OpportunityID]],Opportunities[ID],Opportunities[WinProbabilityValue])</f>
        <v>20720.20930232558</v>
      </c>
      <c r="G386"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86" s="51" t="str">
        <f>_xlfn.XLOOKUP(transactions[[#This Row],[OpportunityID]],Opportunities[ID],Opportunities[Status])</f>
        <v>Active</v>
      </c>
      <c r="I386" s="51" t="str">
        <f>_xlfn.XLOOKUP(transactions[[#This Row],[OpportunityID]],Opportunities[ID],Opportunities[Stage])</f>
        <v>Proposal</v>
      </c>
      <c r="J386" s="51" t="str">
        <f>_xlfn.XLOOKUP(transactions[[#This Row],[OpportunityID]],Opportunities[ID],Opportunities[OpportunityName])</f>
        <v>Cloud Migration Initiative</v>
      </c>
      <c r="K386" s="51" t="str">
        <f>_xlfn.XLOOKUP(transactions[[#This Row],[CustomerId]],Customers[Id],Customers[Customer Name])</f>
        <v>Education First</v>
      </c>
      <c r="L386" s="51" t="str">
        <f>_xlfn.XLOOKUP(transactions[[#This Row],[OpportunityID]],Opportunities[ID],Opportunities[OpportunityOwner])</f>
        <v>Robert Analyst</v>
      </c>
      <c r="M386" s="51" t="str">
        <f ca="1">IF((transactions[[#This Row],[TransactionDate]]-TODAY())&lt;=366,transactions[[#This Row],[FQ]],"Out-year")</f>
        <v>Out-year</v>
      </c>
      <c r="N386" s="55">
        <f>transactions[[#This Row],[UnWeighted]]/1000</f>
        <v>41.440418604651157</v>
      </c>
      <c r="O386" s="55">
        <f>transactions[[#This Row],[Weighted]]/1000</f>
        <v>20.720209302325578</v>
      </c>
      <c r="P386" s="55">
        <f>transactions[[#This Row],[$K Unweighted]]/1000</f>
        <v>4.1440418604651155E-2</v>
      </c>
      <c r="Q386" s="55" t="b">
        <f ca="1">transactions[[#This Row],[TransactionDate]]&gt;TODAY()</f>
        <v>1</v>
      </c>
    </row>
    <row r="387" spans="1:17" x14ac:dyDescent="0.25">
      <c r="A387">
        <v>40</v>
      </c>
      <c r="B387">
        <v>15</v>
      </c>
      <c r="C387" s="31">
        <v>47137</v>
      </c>
      <c r="D38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7" s="51" t="str">
        <f>"CY"&amp;RIGHT(YEAR(transactions[[#This Row],[TransactionDate]]),2)&amp;"-Q"&amp;ROUNDUP(MONTH(transactions[[#This Row],[TransactionDate]])/3, 0)</f>
        <v>CY29-Q1</v>
      </c>
      <c r="F387" s="52">
        <f>transactions[[#This Row],[UnWeighted]]*_xlfn.XLOOKUP(transactions[[#This Row],[OpportunityID]],Opportunities[ID],Opportunities[WinProbabilityValue])</f>
        <v>36144.450000000004</v>
      </c>
      <c r="G387" s="52">
        <f>_xlfn.XLOOKUP(transactions[[#This Row],[OpportunityID]],Opportunities[ID],Opportunities[Amount])/IF(_xlfn.XLOOKUP(transactions[[#This Row],[OpportunityID]],Opportunities[ID],Opportunities[Recurrences])=0,1,_xlfn.XLOOKUP(transactions[[#This Row],[OpportunityID]],Opportunities[ID],Opportunities[Recurrences]))</f>
        <v>40160.5</v>
      </c>
      <c r="H387" s="51" t="str">
        <f>_xlfn.XLOOKUP(transactions[[#This Row],[OpportunityID]],Opportunities[ID],Opportunities[Status])</f>
        <v>Active</v>
      </c>
      <c r="I387" s="51" t="str">
        <f>_xlfn.XLOOKUP(transactions[[#This Row],[OpportunityID]],Opportunities[ID],Opportunities[Stage])</f>
        <v>Proposal</v>
      </c>
      <c r="J387" s="51" t="str">
        <f>_xlfn.XLOOKUP(transactions[[#This Row],[OpportunityID]],Opportunities[ID],Opportunities[OpportunityName])</f>
        <v>Machine Learning Implementation</v>
      </c>
      <c r="K387" s="51" t="str">
        <f>_xlfn.XLOOKUP(transactions[[#This Row],[CustomerId]],Customers[Id],Customers[Customer Name])</f>
        <v>Pharmaceutical Research</v>
      </c>
      <c r="L387" s="51" t="str">
        <f>_xlfn.XLOOKUP(transactions[[#This Row],[OpportunityID]],Opportunities[ID],Opportunities[OpportunityOwner])</f>
        <v>Mike Consultant</v>
      </c>
      <c r="M387" s="51" t="str">
        <f ca="1">IF((transactions[[#This Row],[TransactionDate]]-TODAY())&lt;=366,transactions[[#This Row],[FQ]],"Out-year")</f>
        <v>Out-year</v>
      </c>
      <c r="N387" s="55">
        <f>transactions[[#This Row],[UnWeighted]]/1000</f>
        <v>40.160499999999999</v>
      </c>
      <c r="O387" s="55">
        <f>transactions[[#This Row],[Weighted]]/1000</f>
        <v>36.144450000000006</v>
      </c>
      <c r="P387" s="55">
        <f>transactions[[#This Row],[$K Unweighted]]/1000</f>
        <v>4.0160500000000002E-2</v>
      </c>
      <c r="Q387" s="55" t="b">
        <f ca="1">transactions[[#This Row],[TransactionDate]]&gt;TODAY()</f>
        <v>1</v>
      </c>
    </row>
    <row r="388" spans="1:17" x14ac:dyDescent="0.25">
      <c r="A388">
        <v>13</v>
      </c>
      <c r="B388">
        <v>2</v>
      </c>
      <c r="C388" s="31">
        <v>47140</v>
      </c>
      <c r="D38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8" s="51" t="str">
        <f>"CY"&amp;RIGHT(YEAR(transactions[[#This Row],[TransactionDate]]),2)&amp;"-Q"&amp;ROUNDUP(MONTH(transactions[[#This Row],[TransactionDate]])/3, 0)</f>
        <v>CY29-Q1</v>
      </c>
      <c r="F388" s="52">
        <f>transactions[[#This Row],[UnWeighted]]*_xlfn.XLOOKUP(transactions[[#This Row],[OpportunityID]],Opportunities[ID],Opportunities[WinProbabilityValue])</f>
        <v>12618.744897959185</v>
      </c>
      <c r="G388"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88" s="51" t="str">
        <f>_xlfn.XLOOKUP(transactions[[#This Row],[OpportunityID]],Opportunities[ID],Opportunities[Status])</f>
        <v>Active</v>
      </c>
      <c r="I388" s="51" t="str">
        <f>_xlfn.XLOOKUP(transactions[[#This Row],[OpportunityID]],Opportunities[ID],Opportunities[Stage])</f>
        <v>Negotiation</v>
      </c>
      <c r="J388" s="51" t="str">
        <f>_xlfn.XLOOKUP(transactions[[#This Row],[OpportunityID]],Opportunities[ID],Opportunities[OpportunityName])</f>
        <v>E-commerce Platform</v>
      </c>
      <c r="K388" s="51" t="str">
        <f>_xlfn.XLOOKUP(transactions[[#This Row],[CustomerId]],Customers[Id],Customers[Customer Name])</f>
        <v>Global Industries</v>
      </c>
      <c r="L388" s="51" t="str">
        <f>_xlfn.XLOOKUP(transactions[[#This Row],[OpportunityID]],Opportunities[ID],Opportunities[OpportunityOwner])</f>
        <v>Lisa Engineer</v>
      </c>
      <c r="M388" s="51" t="str">
        <f ca="1">IF((transactions[[#This Row],[TransactionDate]]-TODAY())&lt;=366,transactions[[#This Row],[FQ]],"Out-year")</f>
        <v>Out-year</v>
      </c>
      <c r="N388" s="55">
        <f>transactions[[#This Row],[UnWeighted]]/1000</f>
        <v>25.237489795918368</v>
      </c>
      <c r="O388" s="55">
        <f>transactions[[#This Row],[Weighted]]/1000</f>
        <v>12.618744897959184</v>
      </c>
      <c r="P388" s="55">
        <f>transactions[[#This Row],[$K Unweighted]]/1000</f>
        <v>2.5237489795918368E-2</v>
      </c>
      <c r="Q388" s="55" t="b">
        <f ca="1">transactions[[#This Row],[TransactionDate]]&gt;TODAY()</f>
        <v>1</v>
      </c>
    </row>
    <row r="389" spans="1:17" x14ac:dyDescent="0.25">
      <c r="A389">
        <v>7</v>
      </c>
      <c r="B389">
        <v>14</v>
      </c>
      <c r="C389" s="31">
        <v>47144</v>
      </c>
      <c r="D38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9" s="51" t="str">
        <f>"CY"&amp;RIGHT(YEAR(transactions[[#This Row],[TransactionDate]]),2)&amp;"-Q"&amp;ROUNDUP(MONTH(transactions[[#This Row],[TransactionDate]])/3, 0)</f>
        <v>CY29-Q1</v>
      </c>
      <c r="F389" s="52">
        <f>transactions[[#This Row],[UnWeighted]]*_xlfn.XLOOKUP(transactions[[#This Row],[OpportunityID]],Opportunities[ID],Opportunities[WinProbabilityValue])</f>
        <v>41771.416666666664</v>
      </c>
      <c r="G389" s="52">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389" s="51" t="str">
        <f>_xlfn.XLOOKUP(transactions[[#This Row],[OpportunityID]],Opportunities[ID],Opportunities[Status])</f>
        <v>Active</v>
      </c>
      <c r="I389" s="51" t="str">
        <f>_xlfn.XLOOKUP(transactions[[#This Row],[OpportunityID]],Opportunities[ID],Opportunities[Stage])</f>
        <v>Project Execution</v>
      </c>
      <c r="J389" s="51" t="str">
        <f>_xlfn.XLOOKUP(transactions[[#This Row],[OpportunityID]],Opportunities[ID],Opportunities[OpportunityName])</f>
        <v>Network Infrastructure Upgrade</v>
      </c>
      <c r="K389" s="51" t="str">
        <f>_xlfn.XLOOKUP(transactions[[#This Row],[CustomerId]],Customers[Id],Customers[Customer Name])</f>
        <v>Media Communications</v>
      </c>
      <c r="L389" s="51" t="str">
        <f>_xlfn.XLOOKUP(transactions[[#This Row],[OpportunityID]],Opportunities[ID],Opportunities[OpportunityOwner])</f>
        <v>Dr. Tech Advisor</v>
      </c>
      <c r="M389" s="51" t="str">
        <f ca="1">IF((transactions[[#This Row],[TransactionDate]]-TODAY())&lt;=366,transactions[[#This Row],[FQ]],"Out-year")</f>
        <v>Out-year</v>
      </c>
      <c r="N389" s="55">
        <f>transactions[[#This Row],[UnWeighted]]/1000</f>
        <v>83.542833333333334</v>
      </c>
      <c r="O389" s="55">
        <f>transactions[[#This Row],[Weighted]]/1000</f>
        <v>41.771416666666667</v>
      </c>
      <c r="P389" s="55">
        <f>transactions[[#This Row],[$K Unweighted]]/1000</f>
        <v>8.354283333333333E-2</v>
      </c>
      <c r="Q389" s="55" t="b">
        <f ca="1">transactions[[#This Row],[TransactionDate]]&gt;TODAY()</f>
        <v>1</v>
      </c>
    </row>
    <row r="390" spans="1:17" x14ac:dyDescent="0.25">
      <c r="A390">
        <v>18</v>
      </c>
      <c r="B390">
        <v>9</v>
      </c>
      <c r="C390" s="31">
        <v>47146</v>
      </c>
      <c r="D39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90" s="51" t="str">
        <f>"CY"&amp;RIGHT(YEAR(transactions[[#This Row],[TransactionDate]]),2)&amp;"-Q"&amp;ROUNDUP(MONTH(transactions[[#This Row],[TransactionDate]])/3, 0)</f>
        <v>CY29-Q1</v>
      </c>
      <c r="F390" s="52">
        <f>transactions[[#This Row],[UnWeighted]]*_xlfn.XLOOKUP(transactions[[#This Row],[OpportunityID]],Opportunities[ID],Opportunities[WinProbabilityValue])</f>
        <v>110906.4</v>
      </c>
      <c r="G390" s="52">
        <f>_xlfn.XLOOKUP(transactions[[#This Row],[OpportunityID]],Opportunities[ID],Opportunities[Amount])/IF(_xlfn.XLOOKUP(transactions[[#This Row],[OpportunityID]],Opportunities[ID],Opportunities[Recurrences])=0,1,_xlfn.XLOOKUP(transactions[[#This Row],[OpportunityID]],Opportunities[ID],Opportunities[Recurrences]))</f>
        <v>221812.8</v>
      </c>
      <c r="H390" s="51" t="str">
        <f>_xlfn.XLOOKUP(transactions[[#This Row],[OpportunityID]],Opportunities[ID],Opportunities[Status])</f>
        <v>Active</v>
      </c>
      <c r="I390" s="51" t="str">
        <f>_xlfn.XLOOKUP(transactions[[#This Row],[OpportunityID]],Opportunities[ID],Opportunities[Stage])</f>
        <v>Lead Qualification</v>
      </c>
      <c r="J390" s="51" t="str">
        <f>_xlfn.XLOOKUP(transactions[[#This Row],[OpportunityID]],Opportunities[ID],Opportunities[OpportunityName])</f>
        <v>Financial Planning Software</v>
      </c>
      <c r="K390" s="51" t="str">
        <f>_xlfn.XLOOKUP(transactions[[#This Row],[CustomerId]],Customers[Id],Customers[Customer Name])</f>
        <v>Construction Dynamics</v>
      </c>
      <c r="L390" s="51" t="str">
        <f>_xlfn.XLOOKUP(transactions[[#This Row],[OpportunityID]],Opportunities[ID],Opportunities[OpportunityOwner])</f>
        <v>Dr. Tech Advisor</v>
      </c>
      <c r="M390" s="51" t="str">
        <f ca="1">IF((transactions[[#This Row],[TransactionDate]]-TODAY())&lt;=366,transactions[[#This Row],[FQ]],"Out-year")</f>
        <v>Out-year</v>
      </c>
      <c r="N390" s="55">
        <f>transactions[[#This Row],[UnWeighted]]/1000</f>
        <v>221.81279999999998</v>
      </c>
      <c r="O390" s="55">
        <f>transactions[[#This Row],[Weighted]]/1000</f>
        <v>110.90639999999999</v>
      </c>
      <c r="P390" s="55">
        <f>transactions[[#This Row],[$K Unweighted]]/1000</f>
        <v>0.22181279999999998</v>
      </c>
      <c r="Q390" s="55" t="b">
        <f ca="1">transactions[[#This Row],[TransactionDate]]&gt;TODAY()</f>
        <v>1</v>
      </c>
    </row>
    <row r="391" spans="1:17" x14ac:dyDescent="0.25">
      <c r="A391">
        <v>26</v>
      </c>
      <c r="B391">
        <v>1</v>
      </c>
      <c r="C391" s="31">
        <v>47150</v>
      </c>
      <c r="D39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1" s="51" t="str">
        <f>"CY"&amp;RIGHT(YEAR(transactions[[#This Row],[TransactionDate]]),2)&amp;"-Q"&amp;ROUNDUP(MONTH(transactions[[#This Row],[TransactionDate]])/3, 0)</f>
        <v>CY29-Q1</v>
      </c>
      <c r="F391" s="52">
        <f>transactions[[#This Row],[UnWeighted]]*_xlfn.XLOOKUP(transactions[[#This Row],[OpportunityID]],Opportunities[ID],Opportunities[WinProbabilityValue])</f>
        <v>11339.638888888889</v>
      </c>
      <c r="G391"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91" s="51" t="str">
        <f>_xlfn.XLOOKUP(transactions[[#This Row],[OpportunityID]],Opportunities[ID],Opportunities[Status])</f>
        <v>Active</v>
      </c>
      <c r="I391" s="51" t="str">
        <f>_xlfn.XLOOKUP(transactions[[#This Row],[OpportunityID]],Opportunities[ID],Opportunities[Stage])</f>
        <v>Negotiation</v>
      </c>
      <c r="J391" s="51" t="str">
        <f>_xlfn.XLOOKUP(transactions[[#This Row],[OpportunityID]],Opportunities[ID],Opportunities[OpportunityName])</f>
        <v>Video Conferencing Solution</v>
      </c>
      <c r="K391" s="51" t="str">
        <f>_xlfn.XLOOKUP(transactions[[#This Row],[CustomerId]],Customers[Id],Customers[Customer Name])</f>
        <v>ACME Corporation</v>
      </c>
      <c r="L391" s="51" t="str">
        <f>_xlfn.XLOOKUP(transactions[[#This Row],[OpportunityID]],Opportunities[ID],Opportunities[OpportunityOwner])</f>
        <v>Mike Consultant</v>
      </c>
      <c r="M391" s="51" t="str">
        <f ca="1">IF((transactions[[#This Row],[TransactionDate]]-TODAY())&lt;=366,transactions[[#This Row],[FQ]],"Out-year")</f>
        <v>Out-year</v>
      </c>
      <c r="N391" s="55">
        <f>transactions[[#This Row],[UnWeighted]]/1000</f>
        <v>22.679277777777777</v>
      </c>
      <c r="O391" s="55">
        <f>transactions[[#This Row],[Weighted]]/1000</f>
        <v>11.339638888888889</v>
      </c>
      <c r="P391" s="55">
        <f>transactions[[#This Row],[$K Unweighted]]/1000</f>
        <v>2.2679277777777777E-2</v>
      </c>
      <c r="Q391" s="55" t="b">
        <f ca="1">transactions[[#This Row],[TransactionDate]]&gt;TODAY()</f>
        <v>1</v>
      </c>
    </row>
    <row r="392" spans="1:17" x14ac:dyDescent="0.25">
      <c r="A392">
        <v>39</v>
      </c>
      <c r="B392">
        <v>3</v>
      </c>
      <c r="C392" s="31">
        <v>47152</v>
      </c>
      <c r="D39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2" s="51" t="str">
        <f>"CY"&amp;RIGHT(YEAR(transactions[[#This Row],[TransactionDate]]),2)&amp;"-Q"&amp;ROUNDUP(MONTH(transactions[[#This Row],[TransactionDate]])/3, 0)</f>
        <v>CY29-Q1</v>
      </c>
      <c r="F392" s="52">
        <f>transactions[[#This Row],[UnWeighted]]*_xlfn.XLOOKUP(transactions[[#This Row],[OpportunityID]],Opportunities[ID],Opportunities[WinProbabilityValue])</f>
        <v>20929.153846153848</v>
      </c>
      <c r="G392"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92" s="51" t="str">
        <f>_xlfn.XLOOKUP(transactions[[#This Row],[OpportunityID]],Opportunities[ID],Opportunities[Status])</f>
        <v>Active</v>
      </c>
      <c r="I392" s="51" t="str">
        <f>_xlfn.XLOOKUP(transactions[[#This Row],[OpportunityID]],Opportunities[ID],Opportunities[Stage])</f>
        <v>Project Execution</v>
      </c>
      <c r="J392" s="51" t="str">
        <f>_xlfn.XLOOKUP(transactions[[#This Row],[OpportunityID]],Opportunities[ID],Opportunities[OpportunityName])</f>
        <v>API Development Project</v>
      </c>
      <c r="K392" s="51" t="str">
        <f>_xlfn.XLOOKUP(transactions[[#This Row],[CustomerId]],Customers[Id],Customers[Customer Name])</f>
        <v>Tech Solutions Inc</v>
      </c>
      <c r="L392" s="51" t="str">
        <f>_xlfn.XLOOKUP(transactions[[#This Row],[OpportunityID]],Opportunities[ID],Opportunities[OpportunityOwner])</f>
        <v>Jennifer PM</v>
      </c>
      <c r="M392" s="51" t="str">
        <f ca="1">IF((transactions[[#This Row],[TransactionDate]]-TODAY())&lt;=366,transactions[[#This Row],[FQ]],"Out-year")</f>
        <v>Out-year</v>
      </c>
      <c r="N392" s="55">
        <f>transactions[[#This Row],[UnWeighted]]/1000</f>
        <v>41.858307692307697</v>
      </c>
      <c r="O392" s="55">
        <f>transactions[[#This Row],[Weighted]]/1000</f>
        <v>20.929153846153849</v>
      </c>
      <c r="P392" s="55">
        <f>transactions[[#This Row],[$K Unweighted]]/1000</f>
        <v>4.1858307692307695E-2</v>
      </c>
      <c r="Q392" s="55" t="b">
        <f ca="1">transactions[[#This Row],[TransactionDate]]&gt;TODAY()</f>
        <v>1</v>
      </c>
    </row>
    <row r="393" spans="1:17" x14ac:dyDescent="0.25">
      <c r="A393">
        <v>36</v>
      </c>
      <c r="B393">
        <v>1</v>
      </c>
      <c r="C393" s="31">
        <v>47155</v>
      </c>
      <c r="D39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3" s="51" t="str">
        <f>"CY"&amp;RIGHT(YEAR(transactions[[#This Row],[TransactionDate]]),2)&amp;"-Q"&amp;ROUNDUP(MONTH(transactions[[#This Row],[TransactionDate]])/3, 0)</f>
        <v>CY29-Q1</v>
      </c>
      <c r="F393" s="52">
        <f>transactions[[#This Row],[UnWeighted]]*_xlfn.XLOOKUP(transactions[[#This Row],[OpportunityID]],Opportunities[ID],Opportunities[WinProbabilityValue])</f>
        <v>24983.895833333332</v>
      </c>
      <c r="G393" s="52">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93" s="51" t="str">
        <f>_xlfn.XLOOKUP(transactions[[#This Row],[OpportunityID]],Opportunities[ID],Opportunities[Status])</f>
        <v>Active</v>
      </c>
      <c r="I393" s="51" t="str">
        <f>_xlfn.XLOOKUP(transactions[[#This Row],[OpportunityID]],Opportunities[ID],Opportunities[Stage])</f>
        <v>Lead Qualification</v>
      </c>
      <c r="J393" s="51" t="str">
        <f>_xlfn.XLOOKUP(transactions[[#This Row],[OpportunityID]],Opportunities[ID],Opportunities[OpportunityName])</f>
        <v>Integration Services Project</v>
      </c>
      <c r="K393" s="51" t="str">
        <f>_xlfn.XLOOKUP(transactions[[#This Row],[CustomerId]],Customers[Id],Customers[Customer Name])</f>
        <v>ACME Corporation</v>
      </c>
      <c r="L393" s="51" t="str">
        <f>_xlfn.XLOOKUP(transactions[[#This Row],[OpportunityID]],Opportunities[ID],Opportunities[OpportunityOwner])</f>
        <v>Amanda Sales</v>
      </c>
      <c r="M393" s="51" t="str">
        <f ca="1">IF((transactions[[#This Row],[TransactionDate]]-TODAY())&lt;=366,transactions[[#This Row],[FQ]],"Out-year")</f>
        <v>Out-year</v>
      </c>
      <c r="N393" s="55">
        <f>transactions[[#This Row],[UnWeighted]]/1000</f>
        <v>49.967791666666663</v>
      </c>
      <c r="O393" s="55">
        <f>transactions[[#This Row],[Weighted]]/1000</f>
        <v>24.983895833333332</v>
      </c>
      <c r="P393" s="55">
        <f>transactions[[#This Row],[$K Unweighted]]/1000</f>
        <v>4.9967791666666664E-2</v>
      </c>
      <c r="Q393" s="55" t="b">
        <f ca="1">transactions[[#This Row],[TransactionDate]]&gt;TODAY()</f>
        <v>1</v>
      </c>
    </row>
    <row r="394" spans="1:17" x14ac:dyDescent="0.25">
      <c r="A394">
        <v>15</v>
      </c>
      <c r="B394">
        <v>24</v>
      </c>
      <c r="C394" s="31">
        <v>47156</v>
      </c>
      <c r="D39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4" s="51" t="str">
        <f>"CY"&amp;RIGHT(YEAR(transactions[[#This Row],[TransactionDate]]),2)&amp;"-Q"&amp;ROUNDUP(MONTH(transactions[[#This Row],[TransactionDate]])/3, 0)</f>
        <v>CY29-Q1</v>
      </c>
      <c r="F394" s="52">
        <f>transactions[[#This Row],[UnWeighted]]*_xlfn.XLOOKUP(transactions[[#This Row],[OpportunityID]],Opportunities[ID],Opportunities[WinProbabilityValue])</f>
        <v>29217.197872340425</v>
      </c>
      <c r="G394"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94" s="51" t="str">
        <f>_xlfn.XLOOKUP(transactions[[#This Row],[OpportunityID]],Opportunities[ID],Opportunities[Status])</f>
        <v>Active</v>
      </c>
      <c r="I394" s="51" t="str">
        <f>_xlfn.XLOOKUP(transactions[[#This Row],[OpportunityID]],Opportunities[ID],Opportunities[Stage])</f>
        <v>Project Execution</v>
      </c>
      <c r="J394" s="51" t="str">
        <f>_xlfn.XLOOKUP(transactions[[#This Row],[OpportunityID]],Opportunities[ID],Opportunities[OpportunityName])</f>
        <v>Training &amp; Development Program</v>
      </c>
      <c r="K394" s="51" t="str">
        <f>_xlfn.XLOOKUP(transactions[[#This Row],[CustomerId]],Customers[Id],Customers[Customer Name])</f>
        <v>Security Solutions</v>
      </c>
      <c r="L394" s="51" t="str">
        <f>_xlfn.XLOOKUP(transactions[[#This Row],[OpportunityID]],Opportunities[ID],Opportunities[OpportunityOwner])</f>
        <v>Sarah Director</v>
      </c>
      <c r="M394" s="51" t="str">
        <f ca="1">IF((transactions[[#This Row],[TransactionDate]]-TODAY())&lt;=366,transactions[[#This Row],[FQ]],"Out-year")</f>
        <v>Out-year</v>
      </c>
      <c r="N394" s="55">
        <f>transactions[[#This Row],[UnWeighted]]/1000</f>
        <v>32.46355319148936</v>
      </c>
      <c r="O394" s="55">
        <f>transactions[[#This Row],[Weighted]]/1000</f>
        <v>29.217197872340424</v>
      </c>
      <c r="P394" s="55">
        <f>transactions[[#This Row],[$K Unweighted]]/1000</f>
        <v>3.2463553191489358E-2</v>
      </c>
      <c r="Q394" s="55" t="b">
        <f ca="1">transactions[[#This Row],[TransactionDate]]&gt;TODAY()</f>
        <v>1</v>
      </c>
    </row>
    <row r="395" spans="1:17" x14ac:dyDescent="0.25">
      <c r="A395">
        <v>25</v>
      </c>
      <c r="B395">
        <v>14</v>
      </c>
      <c r="C395" s="31">
        <v>47158</v>
      </c>
      <c r="D39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5" s="51" t="str">
        <f>"CY"&amp;RIGHT(YEAR(transactions[[#This Row],[TransactionDate]]),2)&amp;"-Q"&amp;ROUNDUP(MONTH(transactions[[#This Row],[TransactionDate]])/3, 0)</f>
        <v>CY29-Q1</v>
      </c>
      <c r="F395" s="52">
        <f>transactions[[#This Row],[UnWeighted]]*_xlfn.XLOOKUP(transactions[[#This Row],[OpportunityID]],Opportunities[ID],Opportunities[WinProbabilityValue])</f>
        <v>35076.26666666667</v>
      </c>
      <c r="G395" s="52">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395" s="51" t="str">
        <f>_xlfn.XLOOKUP(transactions[[#This Row],[OpportunityID]],Opportunities[ID],Opportunities[Status])</f>
        <v>Active</v>
      </c>
      <c r="I395" s="51" t="str">
        <f>_xlfn.XLOOKUP(transactions[[#This Row],[OpportunityID]],Opportunities[ID],Opportunities[Stage])</f>
        <v>Lead Qualification</v>
      </c>
      <c r="J395" s="51" t="str">
        <f>_xlfn.XLOOKUP(transactions[[#This Row],[OpportunityID]],Opportunities[ID],Opportunities[OpportunityName])</f>
        <v>Project Management Software</v>
      </c>
      <c r="K395" s="51" t="str">
        <f>_xlfn.XLOOKUP(transactions[[#This Row],[CustomerId]],Customers[Id],Customers[Customer Name])</f>
        <v>Media Communications</v>
      </c>
      <c r="L395" s="51" t="str">
        <f>_xlfn.XLOOKUP(transactions[[#This Row],[OpportunityID]],Opportunities[ID],Opportunities[OpportunityOwner])</f>
        <v>Amanda Sales</v>
      </c>
      <c r="M395" s="51" t="str">
        <f ca="1">IF((transactions[[#This Row],[TransactionDate]]-TODAY())&lt;=366,transactions[[#This Row],[FQ]],"Out-year")</f>
        <v>Out-year</v>
      </c>
      <c r="N395" s="55">
        <f>transactions[[#This Row],[UnWeighted]]/1000</f>
        <v>70.152533333333338</v>
      </c>
      <c r="O395" s="55">
        <f>transactions[[#This Row],[Weighted]]/1000</f>
        <v>35.076266666666669</v>
      </c>
      <c r="P395" s="55">
        <f>transactions[[#This Row],[$K Unweighted]]/1000</f>
        <v>7.0152533333333336E-2</v>
      </c>
      <c r="Q395" s="55" t="b">
        <f ca="1">transactions[[#This Row],[TransactionDate]]&gt;TODAY()</f>
        <v>1</v>
      </c>
    </row>
    <row r="396" spans="1:17" x14ac:dyDescent="0.25">
      <c r="A396">
        <v>22</v>
      </c>
      <c r="B396">
        <v>11</v>
      </c>
      <c r="C396" s="31">
        <v>47160</v>
      </c>
      <c r="D39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6" s="51" t="str">
        <f>"CY"&amp;RIGHT(YEAR(transactions[[#This Row],[TransactionDate]]),2)&amp;"-Q"&amp;ROUNDUP(MONTH(transactions[[#This Row],[TransactionDate]])/3, 0)</f>
        <v>CY29-Q1</v>
      </c>
      <c r="F396" s="52">
        <f>transactions[[#This Row],[UnWeighted]]*_xlfn.XLOOKUP(transactions[[#This Row],[OpportunityID]],Opportunities[ID],Opportunities[WinProbabilityValue])</f>
        <v>26390.544230769232</v>
      </c>
      <c r="G396"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96" s="51" t="str">
        <f>_xlfn.XLOOKUP(transactions[[#This Row],[OpportunityID]],Opportunities[ID],Opportunities[Status])</f>
        <v>Active</v>
      </c>
      <c r="I396" s="51" t="str">
        <f>_xlfn.XLOOKUP(transactions[[#This Row],[OpportunityID]],Opportunities[ID],Opportunities[Stage])</f>
        <v>Nurturing</v>
      </c>
      <c r="J396" s="51" t="str">
        <f>_xlfn.XLOOKUP(transactions[[#This Row],[OpportunityID]],Opportunities[ID],Opportunities[OpportunityName])</f>
        <v>Inventory Management Solution</v>
      </c>
      <c r="K396" s="51" t="str">
        <f>_xlfn.XLOOKUP(transactions[[#This Row],[CustomerId]],Customers[Id],Customers[Customer Name])</f>
        <v>Transport Logistics</v>
      </c>
      <c r="L396" s="51" t="str">
        <f>_xlfn.XLOOKUP(transactions[[#This Row],[OpportunityID]],Opportunities[ID],Opportunities[OpportunityOwner])</f>
        <v>Sarah Director</v>
      </c>
      <c r="M396" s="51" t="str">
        <f ca="1">IF((transactions[[#This Row],[TransactionDate]]-TODAY())&lt;=366,transactions[[#This Row],[FQ]],"Out-year")</f>
        <v>Out-year</v>
      </c>
      <c r="N396" s="55">
        <f>transactions[[#This Row],[UnWeighted]]/1000</f>
        <v>29.322826923076921</v>
      </c>
      <c r="O396" s="55">
        <f>transactions[[#This Row],[Weighted]]/1000</f>
        <v>26.390544230769233</v>
      </c>
      <c r="P396" s="55">
        <f>transactions[[#This Row],[$K Unweighted]]/1000</f>
        <v>2.932282692307692E-2</v>
      </c>
      <c r="Q396" s="55" t="b">
        <f ca="1">transactions[[#This Row],[TransactionDate]]&gt;TODAY()</f>
        <v>1</v>
      </c>
    </row>
    <row r="397" spans="1:17" x14ac:dyDescent="0.25">
      <c r="A397">
        <v>28</v>
      </c>
      <c r="B397">
        <v>1</v>
      </c>
      <c r="C397" s="31">
        <v>47165</v>
      </c>
      <c r="D39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7" s="51" t="str">
        <f>"CY"&amp;RIGHT(YEAR(transactions[[#This Row],[TransactionDate]]),2)&amp;"-Q"&amp;ROUNDUP(MONTH(transactions[[#This Row],[TransactionDate]])/3, 0)</f>
        <v>CY29-Q1</v>
      </c>
      <c r="F397" s="52">
        <f>transactions[[#This Row],[UnWeighted]]*_xlfn.XLOOKUP(transactions[[#This Row],[OpportunityID]],Opportunities[ID],Opportunities[WinProbabilityValue])</f>
        <v>40447.666666666664</v>
      </c>
      <c r="G397" s="52">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397" s="51" t="str">
        <f>_xlfn.XLOOKUP(transactions[[#This Row],[OpportunityID]],Opportunities[ID],Opportunities[Status])</f>
        <v>Active</v>
      </c>
      <c r="I397" s="51" t="str">
        <f>_xlfn.XLOOKUP(transactions[[#This Row],[OpportunityID]],Opportunities[ID],Opportunities[Stage])</f>
        <v>Lead Qualification</v>
      </c>
      <c r="J397" s="51" t="str">
        <f>_xlfn.XLOOKUP(transactions[[#This Row],[OpportunityID]],Opportunities[ID],Opportunities[OpportunityName])</f>
        <v>Website Redesign Project</v>
      </c>
      <c r="K397" s="51" t="str">
        <f>_xlfn.XLOOKUP(transactions[[#This Row],[CustomerId]],Customers[Id],Customers[Customer Name])</f>
        <v>ACME Corporation</v>
      </c>
      <c r="L397" s="51" t="str">
        <f>_xlfn.XLOOKUP(transactions[[#This Row],[OpportunityID]],Opportunities[ID],Opportunities[OpportunityOwner])</f>
        <v>Lisa Engineer</v>
      </c>
      <c r="M397" s="51" t="str">
        <f ca="1">IF((transactions[[#This Row],[TransactionDate]]-TODAY())&lt;=366,transactions[[#This Row],[FQ]],"Out-year")</f>
        <v>Out-year</v>
      </c>
      <c r="N397" s="55">
        <f>transactions[[#This Row],[UnWeighted]]/1000</f>
        <v>80.895333333333326</v>
      </c>
      <c r="O397" s="55">
        <f>transactions[[#This Row],[Weighted]]/1000</f>
        <v>40.447666666666663</v>
      </c>
      <c r="P397" s="55">
        <f>transactions[[#This Row],[$K Unweighted]]/1000</f>
        <v>8.0895333333333333E-2</v>
      </c>
      <c r="Q397" s="55" t="b">
        <f ca="1">transactions[[#This Row],[TransactionDate]]&gt;TODAY()</f>
        <v>1</v>
      </c>
    </row>
    <row r="398" spans="1:17" x14ac:dyDescent="0.25">
      <c r="A398">
        <v>2</v>
      </c>
      <c r="B398">
        <v>10</v>
      </c>
      <c r="C398" s="31">
        <v>47166</v>
      </c>
      <c r="D39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8" s="51" t="str">
        <f>"CY"&amp;RIGHT(YEAR(transactions[[#This Row],[TransactionDate]]),2)&amp;"-Q"&amp;ROUNDUP(MONTH(transactions[[#This Row],[TransactionDate]])/3, 0)</f>
        <v>CY29-Q1</v>
      </c>
      <c r="F398" s="52">
        <f>transactions[[#This Row],[UnWeighted]]*_xlfn.XLOOKUP(transactions[[#This Row],[OpportunityID]],Opportunities[ID],Opportunities[WinProbabilityValue])</f>
        <v>20720.20930232558</v>
      </c>
      <c r="G398"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98" s="51" t="str">
        <f>_xlfn.XLOOKUP(transactions[[#This Row],[OpportunityID]],Opportunities[ID],Opportunities[Status])</f>
        <v>Active</v>
      </c>
      <c r="I398" s="51" t="str">
        <f>_xlfn.XLOOKUP(transactions[[#This Row],[OpportunityID]],Opportunities[ID],Opportunities[Stage])</f>
        <v>Proposal</v>
      </c>
      <c r="J398" s="51" t="str">
        <f>_xlfn.XLOOKUP(transactions[[#This Row],[OpportunityID]],Opportunities[ID],Opportunities[OpportunityName])</f>
        <v>Cloud Migration Initiative</v>
      </c>
      <c r="K398" s="51" t="str">
        <f>_xlfn.XLOOKUP(transactions[[#This Row],[CustomerId]],Customers[Id],Customers[Customer Name])</f>
        <v>Education First</v>
      </c>
      <c r="L398" s="51" t="str">
        <f>_xlfn.XLOOKUP(transactions[[#This Row],[OpportunityID]],Opportunities[ID],Opportunities[OpportunityOwner])</f>
        <v>Robert Analyst</v>
      </c>
      <c r="M398" s="51" t="str">
        <f ca="1">IF((transactions[[#This Row],[TransactionDate]]-TODAY())&lt;=366,transactions[[#This Row],[FQ]],"Out-year")</f>
        <v>Out-year</v>
      </c>
      <c r="N398" s="55">
        <f>transactions[[#This Row],[UnWeighted]]/1000</f>
        <v>41.440418604651157</v>
      </c>
      <c r="O398" s="55">
        <f>transactions[[#This Row],[Weighted]]/1000</f>
        <v>20.720209302325578</v>
      </c>
      <c r="P398" s="55">
        <f>transactions[[#This Row],[$K Unweighted]]/1000</f>
        <v>4.1440418604651155E-2</v>
      </c>
      <c r="Q398" s="55" t="b">
        <f ca="1">transactions[[#This Row],[TransactionDate]]&gt;TODAY()</f>
        <v>1</v>
      </c>
    </row>
    <row r="399" spans="1:17" x14ac:dyDescent="0.25">
      <c r="A399">
        <v>27</v>
      </c>
      <c r="B399">
        <v>2</v>
      </c>
      <c r="C399" s="31">
        <v>47166</v>
      </c>
      <c r="D39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9" s="51" t="str">
        <f>"CY"&amp;RIGHT(YEAR(transactions[[#This Row],[TransactionDate]]),2)&amp;"-Q"&amp;ROUNDUP(MONTH(transactions[[#This Row],[TransactionDate]])/3, 0)</f>
        <v>CY29-Q1</v>
      </c>
      <c r="F399" s="52">
        <f>transactions[[#This Row],[UnWeighted]]*_xlfn.XLOOKUP(transactions[[#This Row],[OpportunityID]],Opportunities[ID],Opportunities[WinProbabilityValue])</f>
        <v>46287.333333333336</v>
      </c>
      <c r="G399"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399" s="51" t="str">
        <f>_xlfn.XLOOKUP(transactions[[#This Row],[OpportunityID]],Opportunities[ID],Opportunities[Status])</f>
        <v>Active</v>
      </c>
      <c r="I399" s="51" t="str">
        <f>_xlfn.XLOOKUP(transactions[[#This Row],[OpportunityID]],Opportunities[ID],Opportunities[Stage])</f>
        <v>Lead Qualification</v>
      </c>
      <c r="J399" s="51" t="str">
        <f>_xlfn.XLOOKUP(transactions[[#This Row],[OpportunityID]],Opportunities[ID],Opportunities[OpportunityName])</f>
        <v>Backup &amp; Recovery System</v>
      </c>
      <c r="K399" s="51" t="str">
        <f>_xlfn.XLOOKUP(transactions[[#This Row],[CustomerId]],Customers[Id],Customers[Customer Name])</f>
        <v>Global Industries</v>
      </c>
      <c r="L399" s="51" t="str">
        <f>_xlfn.XLOOKUP(transactions[[#This Row],[OpportunityID]],Opportunities[ID],Opportunities[OpportunityOwner])</f>
        <v>Amanda Sales</v>
      </c>
      <c r="M399" s="51" t="str">
        <f ca="1">IF((transactions[[#This Row],[TransactionDate]]-TODAY())&lt;=366,transactions[[#This Row],[FQ]],"Out-year")</f>
        <v>Out-year</v>
      </c>
      <c r="N399" s="55">
        <f>transactions[[#This Row],[UnWeighted]]/1000</f>
        <v>92.574666666666673</v>
      </c>
      <c r="O399" s="55">
        <f>transactions[[#This Row],[Weighted]]/1000</f>
        <v>46.287333333333336</v>
      </c>
      <c r="P399" s="55">
        <f>transactions[[#This Row],[$K Unweighted]]/1000</f>
        <v>9.2574666666666666E-2</v>
      </c>
      <c r="Q399" s="55" t="b">
        <f ca="1">transactions[[#This Row],[TransactionDate]]&gt;TODAY()</f>
        <v>1</v>
      </c>
    </row>
    <row r="400" spans="1:17" x14ac:dyDescent="0.25">
      <c r="A400">
        <v>13</v>
      </c>
      <c r="B400">
        <v>2</v>
      </c>
      <c r="C400" s="31">
        <v>47171</v>
      </c>
      <c r="D40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0" s="51" t="str">
        <f>"CY"&amp;RIGHT(YEAR(transactions[[#This Row],[TransactionDate]]),2)&amp;"-Q"&amp;ROUNDUP(MONTH(transactions[[#This Row],[TransactionDate]])/3, 0)</f>
        <v>CY29-Q1</v>
      </c>
      <c r="F400" s="52">
        <f>transactions[[#This Row],[UnWeighted]]*_xlfn.XLOOKUP(transactions[[#This Row],[OpportunityID]],Opportunities[ID],Opportunities[WinProbabilityValue])</f>
        <v>12618.744897959185</v>
      </c>
      <c r="G400"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00" s="51" t="str">
        <f>_xlfn.XLOOKUP(transactions[[#This Row],[OpportunityID]],Opportunities[ID],Opportunities[Status])</f>
        <v>Active</v>
      </c>
      <c r="I400" s="51" t="str">
        <f>_xlfn.XLOOKUP(transactions[[#This Row],[OpportunityID]],Opportunities[ID],Opportunities[Stage])</f>
        <v>Negotiation</v>
      </c>
      <c r="J400" s="51" t="str">
        <f>_xlfn.XLOOKUP(transactions[[#This Row],[OpportunityID]],Opportunities[ID],Opportunities[OpportunityName])</f>
        <v>E-commerce Platform</v>
      </c>
      <c r="K400" s="51" t="str">
        <f>_xlfn.XLOOKUP(transactions[[#This Row],[CustomerId]],Customers[Id],Customers[Customer Name])</f>
        <v>Global Industries</v>
      </c>
      <c r="L400" s="51" t="str">
        <f>_xlfn.XLOOKUP(transactions[[#This Row],[OpportunityID]],Opportunities[ID],Opportunities[OpportunityOwner])</f>
        <v>Lisa Engineer</v>
      </c>
      <c r="M400" s="51" t="str">
        <f ca="1">IF((transactions[[#This Row],[TransactionDate]]-TODAY())&lt;=366,transactions[[#This Row],[FQ]],"Out-year")</f>
        <v>Out-year</v>
      </c>
      <c r="N400" s="55">
        <f>transactions[[#This Row],[UnWeighted]]/1000</f>
        <v>25.237489795918368</v>
      </c>
      <c r="O400" s="55">
        <f>transactions[[#This Row],[Weighted]]/1000</f>
        <v>12.618744897959184</v>
      </c>
      <c r="P400" s="55">
        <f>transactions[[#This Row],[$K Unweighted]]/1000</f>
        <v>2.5237489795918368E-2</v>
      </c>
      <c r="Q400" s="55" t="b">
        <f ca="1">transactions[[#This Row],[TransactionDate]]&gt;TODAY()</f>
        <v>1</v>
      </c>
    </row>
    <row r="401" spans="1:17" x14ac:dyDescent="0.25">
      <c r="A401">
        <v>5</v>
      </c>
      <c r="B401">
        <v>12</v>
      </c>
      <c r="C401" s="31">
        <v>47172</v>
      </c>
      <c r="D40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1" s="51" t="str">
        <f>"CY"&amp;RIGHT(YEAR(transactions[[#This Row],[TransactionDate]]),2)&amp;"-Q"&amp;ROUNDUP(MONTH(transactions[[#This Row],[TransactionDate]])/3, 0)</f>
        <v>CY29-Q1</v>
      </c>
      <c r="F401" s="52">
        <f>transactions[[#This Row],[UnWeighted]]*_xlfn.XLOOKUP(transactions[[#This Row],[OpportunityID]],Opportunities[ID],Opportunities[WinProbabilityValue])</f>
        <v>104043.5</v>
      </c>
      <c r="G401" s="52">
        <f>_xlfn.XLOOKUP(transactions[[#This Row],[OpportunityID]],Opportunities[ID],Opportunities[Amount])/IF(_xlfn.XLOOKUP(transactions[[#This Row],[OpportunityID]],Opportunities[ID],Opportunities[Recurrences])=0,1,_xlfn.XLOOKUP(transactions[[#This Row],[OpportunityID]],Opportunities[ID],Opportunities[Recurrences]))</f>
        <v>208087</v>
      </c>
      <c r="H401" s="51" t="str">
        <f>_xlfn.XLOOKUP(transactions[[#This Row],[OpportunityID]],Opportunities[ID],Opportunities[Status])</f>
        <v>Active</v>
      </c>
      <c r="I401" s="51" t="str">
        <f>_xlfn.XLOOKUP(transactions[[#This Row],[OpportunityID]],Opportunities[ID],Opportunities[Stage])</f>
        <v>Proposal</v>
      </c>
      <c r="J401" s="51" t="str">
        <f>_xlfn.XLOOKUP(transactions[[#This Row],[OpportunityID]],Opportunities[ID],Opportunities[OpportunityName])</f>
        <v>Healthcare Data Analytics Platform</v>
      </c>
      <c r="K401" s="51" t="str">
        <f>_xlfn.XLOOKUP(transactions[[#This Row],[CustomerId]],Customers[Id],Customers[Customer Name])</f>
        <v>Food Service Partners</v>
      </c>
      <c r="L401" s="51" t="str">
        <f>_xlfn.XLOOKUP(transactions[[#This Row],[OpportunityID]],Opportunities[ID],Opportunities[OpportunityOwner])</f>
        <v>Amanda Sales</v>
      </c>
      <c r="M401" s="51" t="str">
        <f ca="1">IF((transactions[[#This Row],[TransactionDate]]-TODAY())&lt;=366,transactions[[#This Row],[FQ]],"Out-year")</f>
        <v>Out-year</v>
      </c>
      <c r="N401" s="55">
        <f>transactions[[#This Row],[UnWeighted]]/1000</f>
        <v>208.08699999999999</v>
      </c>
      <c r="O401" s="55">
        <f>transactions[[#This Row],[Weighted]]/1000</f>
        <v>104.04349999999999</v>
      </c>
      <c r="P401" s="55">
        <f>transactions[[#This Row],[$K Unweighted]]/1000</f>
        <v>0.20808699999999999</v>
      </c>
      <c r="Q401" s="55" t="b">
        <f ca="1">transactions[[#This Row],[TransactionDate]]&gt;TODAY()</f>
        <v>1</v>
      </c>
    </row>
    <row r="402" spans="1:17" x14ac:dyDescent="0.25">
      <c r="A402">
        <v>26</v>
      </c>
      <c r="B402">
        <v>1</v>
      </c>
      <c r="C402" s="31">
        <v>47178</v>
      </c>
      <c r="D40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2" s="51" t="str">
        <f>"CY"&amp;RIGHT(YEAR(transactions[[#This Row],[TransactionDate]]),2)&amp;"-Q"&amp;ROUNDUP(MONTH(transactions[[#This Row],[TransactionDate]])/3, 0)</f>
        <v>CY29-Q1</v>
      </c>
      <c r="F402" s="52">
        <f>transactions[[#This Row],[UnWeighted]]*_xlfn.XLOOKUP(transactions[[#This Row],[OpportunityID]],Opportunities[ID],Opportunities[WinProbabilityValue])</f>
        <v>11339.638888888889</v>
      </c>
      <c r="G402"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02" s="51" t="str">
        <f>_xlfn.XLOOKUP(transactions[[#This Row],[OpportunityID]],Opportunities[ID],Opportunities[Status])</f>
        <v>Active</v>
      </c>
      <c r="I402" s="51" t="str">
        <f>_xlfn.XLOOKUP(transactions[[#This Row],[OpportunityID]],Opportunities[ID],Opportunities[Stage])</f>
        <v>Negotiation</v>
      </c>
      <c r="J402" s="51" t="str">
        <f>_xlfn.XLOOKUP(transactions[[#This Row],[OpportunityID]],Opportunities[ID],Opportunities[OpportunityName])</f>
        <v>Video Conferencing Solution</v>
      </c>
      <c r="K402" s="51" t="str">
        <f>_xlfn.XLOOKUP(transactions[[#This Row],[CustomerId]],Customers[Id],Customers[Customer Name])</f>
        <v>ACME Corporation</v>
      </c>
      <c r="L402" s="51" t="str">
        <f>_xlfn.XLOOKUP(transactions[[#This Row],[OpportunityID]],Opportunities[ID],Opportunities[OpportunityOwner])</f>
        <v>Mike Consultant</v>
      </c>
      <c r="M402" s="51" t="str">
        <f ca="1">IF((transactions[[#This Row],[TransactionDate]]-TODAY())&lt;=366,transactions[[#This Row],[FQ]],"Out-year")</f>
        <v>Out-year</v>
      </c>
      <c r="N402" s="55">
        <f>transactions[[#This Row],[UnWeighted]]/1000</f>
        <v>22.679277777777777</v>
      </c>
      <c r="O402" s="55">
        <f>transactions[[#This Row],[Weighted]]/1000</f>
        <v>11.339638888888889</v>
      </c>
      <c r="P402" s="55">
        <f>transactions[[#This Row],[$K Unweighted]]/1000</f>
        <v>2.2679277777777777E-2</v>
      </c>
      <c r="Q402" s="55" t="b">
        <f ca="1">transactions[[#This Row],[TransactionDate]]&gt;TODAY()</f>
        <v>1</v>
      </c>
    </row>
    <row r="403" spans="1:17" x14ac:dyDescent="0.25">
      <c r="A403">
        <v>39</v>
      </c>
      <c r="B403">
        <v>3</v>
      </c>
      <c r="C403" s="31">
        <v>47180</v>
      </c>
      <c r="D40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3" s="51" t="str">
        <f>"CY"&amp;RIGHT(YEAR(transactions[[#This Row],[TransactionDate]]),2)&amp;"-Q"&amp;ROUNDUP(MONTH(transactions[[#This Row],[TransactionDate]])/3, 0)</f>
        <v>CY29-Q1</v>
      </c>
      <c r="F403" s="52">
        <f>transactions[[#This Row],[UnWeighted]]*_xlfn.XLOOKUP(transactions[[#This Row],[OpportunityID]],Opportunities[ID],Opportunities[WinProbabilityValue])</f>
        <v>20929.153846153848</v>
      </c>
      <c r="G403"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03" s="51" t="str">
        <f>_xlfn.XLOOKUP(transactions[[#This Row],[OpportunityID]],Opportunities[ID],Opportunities[Status])</f>
        <v>Active</v>
      </c>
      <c r="I403" s="51" t="str">
        <f>_xlfn.XLOOKUP(transactions[[#This Row],[OpportunityID]],Opportunities[ID],Opportunities[Stage])</f>
        <v>Project Execution</v>
      </c>
      <c r="J403" s="51" t="str">
        <f>_xlfn.XLOOKUP(transactions[[#This Row],[OpportunityID]],Opportunities[ID],Opportunities[OpportunityName])</f>
        <v>API Development Project</v>
      </c>
      <c r="K403" s="51" t="str">
        <f>_xlfn.XLOOKUP(transactions[[#This Row],[CustomerId]],Customers[Id],Customers[Customer Name])</f>
        <v>Tech Solutions Inc</v>
      </c>
      <c r="L403" s="51" t="str">
        <f>_xlfn.XLOOKUP(transactions[[#This Row],[OpportunityID]],Opportunities[ID],Opportunities[OpportunityOwner])</f>
        <v>Jennifer PM</v>
      </c>
      <c r="M403" s="51" t="str">
        <f ca="1">IF((transactions[[#This Row],[TransactionDate]]-TODAY())&lt;=366,transactions[[#This Row],[FQ]],"Out-year")</f>
        <v>Out-year</v>
      </c>
      <c r="N403" s="55">
        <f>transactions[[#This Row],[UnWeighted]]/1000</f>
        <v>41.858307692307697</v>
      </c>
      <c r="O403" s="55">
        <f>transactions[[#This Row],[Weighted]]/1000</f>
        <v>20.929153846153849</v>
      </c>
      <c r="P403" s="55">
        <f>transactions[[#This Row],[$K Unweighted]]/1000</f>
        <v>4.1858307692307695E-2</v>
      </c>
      <c r="Q403" s="55" t="b">
        <f ca="1">transactions[[#This Row],[TransactionDate]]&gt;TODAY()</f>
        <v>1</v>
      </c>
    </row>
    <row r="404" spans="1:17" x14ac:dyDescent="0.25">
      <c r="A404">
        <v>24</v>
      </c>
      <c r="B404">
        <v>27</v>
      </c>
      <c r="C404" s="31">
        <v>47183</v>
      </c>
      <c r="D40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4" s="51" t="str">
        <f>"CY"&amp;RIGHT(YEAR(transactions[[#This Row],[TransactionDate]]),2)&amp;"-Q"&amp;ROUNDUP(MONTH(transactions[[#This Row],[TransactionDate]])/3, 0)</f>
        <v>CY29-Q1</v>
      </c>
      <c r="F404" s="52">
        <f>transactions[[#This Row],[UnWeighted]]*_xlfn.XLOOKUP(transactions[[#This Row],[OpportunityID]],Opportunities[ID],Opportunities[WinProbabilityValue])</f>
        <v>33162.73333333333</v>
      </c>
      <c r="G404" s="52">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404" s="51" t="str">
        <f>_xlfn.XLOOKUP(transactions[[#This Row],[OpportunityID]],Opportunities[ID],Opportunities[Status])</f>
        <v>Active</v>
      </c>
      <c r="I404" s="51" t="str">
        <f>_xlfn.XLOOKUP(transactions[[#This Row],[OpportunityID]],Opportunities[ID],Opportunities[Stage])</f>
        <v>Nurturing</v>
      </c>
      <c r="J404" s="51" t="str">
        <f>_xlfn.XLOOKUP(transactions[[#This Row],[OpportunityID]],Opportunities[ID],Opportunities[OpportunityName])</f>
        <v>Compliance Management Tool</v>
      </c>
      <c r="K404" s="51" t="str">
        <f>_xlfn.XLOOKUP(transactions[[#This Row],[CustomerId]],Customers[Id],Customers[Customer Name])</f>
        <v>Mining Operations</v>
      </c>
      <c r="L404" s="51" t="str">
        <f>_xlfn.XLOOKUP(transactions[[#This Row],[OpportunityID]],Opportunities[ID],Opportunities[OpportunityOwner])</f>
        <v>Dr. Tech Advisor</v>
      </c>
      <c r="M404" s="51" t="str">
        <f ca="1">IF((transactions[[#This Row],[TransactionDate]]-TODAY())&lt;=366,transactions[[#This Row],[FQ]],"Out-year")</f>
        <v>Out-year</v>
      </c>
      <c r="N404" s="55">
        <f>transactions[[#This Row],[UnWeighted]]/1000</f>
        <v>165.81366666666665</v>
      </c>
      <c r="O404" s="55">
        <f>transactions[[#This Row],[Weighted]]/1000</f>
        <v>33.162733333333328</v>
      </c>
      <c r="P404" s="55">
        <f>transactions[[#This Row],[$K Unweighted]]/1000</f>
        <v>0.16581366666666664</v>
      </c>
      <c r="Q404" s="55" t="b">
        <f ca="1">transactions[[#This Row],[TransactionDate]]&gt;TODAY()</f>
        <v>1</v>
      </c>
    </row>
    <row r="405" spans="1:17" x14ac:dyDescent="0.25">
      <c r="A405">
        <v>15</v>
      </c>
      <c r="B405">
        <v>24</v>
      </c>
      <c r="C405" s="31">
        <v>47184</v>
      </c>
      <c r="D40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5" s="51" t="str">
        <f>"CY"&amp;RIGHT(YEAR(transactions[[#This Row],[TransactionDate]]),2)&amp;"-Q"&amp;ROUNDUP(MONTH(transactions[[#This Row],[TransactionDate]])/3, 0)</f>
        <v>CY29-Q1</v>
      </c>
      <c r="F405" s="52">
        <f>transactions[[#This Row],[UnWeighted]]*_xlfn.XLOOKUP(transactions[[#This Row],[OpportunityID]],Opportunities[ID],Opportunities[WinProbabilityValue])</f>
        <v>29217.197872340425</v>
      </c>
      <c r="G405"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05" s="51" t="str">
        <f>_xlfn.XLOOKUP(transactions[[#This Row],[OpportunityID]],Opportunities[ID],Opportunities[Status])</f>
        <v>Active</v>
      </c>
      <c r="I405" s="51" t="str">
        <f>_xlfn.XLOOKUP(transactions[[#This Row],[OpportunityID]],Opportunities[ID],Opportunities[Stage])</f>
        <v>Project Execution</v>
      </c>
      <c r="J405" s="51" t="str">
        <f>_xlfn.XLOOKUP(transactions[[#This Row],[OpportunityID]],Opportunities[ID],Opportunities[OpportunityName])</f>
        <v>Training &amp; Development Program</v>
      </c>
      <c r="K405" s="51" t="str">
        <f>_xlfn.XLOOKUP(transactions[[#This Row],[CustomerId]],Customers[Id],Customers[Customer Name])</f>
        <v>Security Solutions</v>
      </c>
      <c r="L405" s="51" t="str">
        <f>_xlfn.XLOOKUP(transactions[[#This Row],[OpportunityID]],Opportunities[ID],Opportunities[OpportunityOwner])</f>
        <v>Sarah Director</v>
      </c>
      <c r="M405" s="51" t="str">
        <f ca="1">IF((transactions[[#This Row],[TransactionDate]]-TODAY())&lt;=366,transactions[[#This Row],[FQ]],"Out-year")</f>
        <v>Out-year</v>
      </c>
      <c r="N405" s="55">
        <f>transactions[[#This Row],[UnWeighted]]/1000</f>
        <v>32.46355319148936</v>
      </c>
      <c r="O405" s="55">
        <f>transactions[[#This Row],[Weighted]]/1000</f>
        <v>29.217197872340424</v>
      </c>
      <c r="P405" s="55">
        <f>transactions[[#This Row],[$K Unweighted]]/1000</f>
        <v>3.2463553191489358E-2</v>
      </c>
      <c r="Q405" s="55" t="b">
        <f ca="1">transactions[[#This Row],[TransactionDate]]&gt;TODAY()</f>
        <v>1</v>
      </c>
    </row>
    <row r="406" spans="1:17" x14ac:dyDescent="0.25">
      <c r="A406">
        <v>22</v>
      </c>
      <c r="B406">
        <v>11</v>
      </c>
      <c r="C406" s="31">
        <v>47188</v>
      </c>
      <c r="D40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6" s="51" t="str">
        <f>"CY"&amp;RIGHT(YEAR(transactions[[#This Row],[TransactionDate]]),2)&amp;"-Q"&amp;ROUNDUP(MONTH(transactions[[#This Row],[TransactionDate]])/3, 0)</f>
        <v>CY29-Q1</v>
      </c>
      <c r="F406" s="52">
        <f>transactions[[#This Row],[UnWeighted]]*_xlfn.XLOOKUP(transactions[[#This Row],[OpportunityID]],Opportunities[ID],Opportunities[WinProbabilityValue])</f>
        <v>26390.544230769232</v>
      </c>
      <c r="G406"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06" s="51" t="str">
        <f>_xlfn.XLOOKUP(transactions[[#This Row],[OpportunityID]],Opportunities[ID],Opportunities[Status])</f>
        <v>Active</v>
      </c>
      <c r="I406" s="51" t="str">
        <f>_xlfn.XLOOKUP(transactions[[#This Row],[OpportunityID]],Opportunities[ID],Opportunities[Stage])</f>
        <v>Nurturing</v>
      </c>
      <c r="J406" s="51" t="str">
        <f>_xlfn.XLOOKUP(transactions[[#This Row],[OpportunityID]],Opportunities[ID],Opportunities[OpportunityName])</f>
        <v>Inventory Management Solution</v>
      </c>
      <c r="K406" s="51" t="str">
        <f>_xlfn.XLOOKUP(transactions[[#This Row],[CustomerId]],Customers[Id],Customers[Customer Name])</f>
        <v>Transport Logistics</v>
      </c>
      <c r="L406" s="51" t="str">
        <f>_xlfn.XLOOKUP(transactions[[#This Row],[OpportunityID]],Opportunities[ID],Opportunities[OpportunityOwner])</f>
        <v>Sarah Director</v>
      </c>
      <c r="M406" s="51" t="str">
        <f ca="1">IF((transactions[[#This Row],[TransactionDate]]-TODAY())&lt;=366,transactions[[#This Row],[FQ]],"Out-year")</f>
        <v>Out-year</v>
      </c>
      <c r="N406" s="55">
        <f>transactions[[#This Row],[UnWeighted]]/1000</f>
        <v>29.322826923076921</v>
      </c>
      <c r="O406" s="55">
        <f>transactions[[#This Row],[Weighted]]/1000</f>
        <v>26.390544230769233</v>
      </c>
      <c r="P406" s="55">
        <f>transactions[[#This Row],[$K Unweighted]]/1000</f>
        <v>2.932282692307692E-2</v>
      </c>
      <c r="Q406" s="55" t="b">
        <f ca="1">transactions[[#This Row],[TransactionDate]]&gt;TODAY()</f>
        <v>1</v>
      </c>
    </row>
    <row r="407" spans="1:17" x14ac:dyDescent="0.25">
      <c r="A407">
        <v>2</v>
      </c>
      <c r="B407">
        <v>10</v>
      </c>
      <c r="C407" s="31">
        <v>47194</v>
      </c>
      <c r="D40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7" s="51" t="str">
        <f>"CY"&amp;RIGHT(YEAR(transactions[[#This Row],[TransactionDate]]),2)&amp;"-Q"&amp;ROUNDUP(MONTH(transactions[[#This Row],[TransactionDate]])/3, 0)</f>
        <v>CY29-Q1</v>
      </c>
      <c r="F407" s="52">
        <f>transactions[[#This Row],[UnWeighted]]*_xlfn.XLOOKUP(transactions[[#This Row],[OpportunityID]],Opportunities[ID],Opportunities[WinProbabilityValue])</f>
        <v>20720.20930232558</v>
      </c>
      <c r="G407"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07" s="51" t="str">
        <f>_xlfn.XLOOKUP(transactions[[#This Row],[OpportunityID]],Opportunities[ID],Opportunities[Status])</f>
        <v>Active</v>
      </c>
      <c r="I407" s="51" t="str">
        <f>_xlfn.XLOOKUP(transactions[[#This Row],[OpportunityID]],Opportunities[ID],Opportunities[Stage])</f>
        <v>Proposal</v>
      </c>
      <c r="J407" s="51" t="str">
        <f>_xlfn.XLOOKUP(transactions[[#This Row],[OpportunityID]],Opportunities[ID],Opportunities[OpportunityName])</f>
        <v>Cloud Migration Initiative</v>
      </c>
      <c r="K407" s="51" t="str">
        <f>_xlfn.XLOOKUP(transactions[[#This Row],[CustomerId]],Customers[Id],Customers[Customer Name])</f>
        <v>Education First</v>
      </c>
      <c r="L407" s="51" t="str">
        <f>_xlfn.XLOOKUP(transactions[[#This Row],[OpportunityID]],Opportunities[ID],Opportunities[OpportunityOwner])</f>
        <v>Robert Analyst</v>
      </c>
      <c r="M407" s="51" t="str">
        <f ca="1">IF((transactions[[#This Row],[TransactionDate]]-TODAY())&lt;=366,transactions[[#This Row],[FQ]],"Out-year")</f>
        <v>Out-year</v>
      </c>
      <c r="N407" s="55">
        <f>transactions[[#This Row],[UnWeighted]]/1000</f>
        <v>41.440418604651157</v>
      </c>
      <c r="O407" s="55">
        <f>transactions[[#This Row],[Weighted]]/1000</f>
        <v>20.720209302325578</v>
      </c>
      <c r="P407" s="55">
        <f>transactions[[#This Row],[$K Unweighted]]/1000</f>
        <v>4.1440418604651155E-2</v>
      </c>
      <c r="Q407" s="55" t="b">
        <f ca="1">transactions[[#This Row],[TransactionDate]]&gt;TODAY()</f>
        <v>1</v>
      </c>
    </row>
    <row r="408" spans="1:17" x14ac:dyDescent="0.25">
      <c r="A408">
        <v>13</v>
      </c>
      <c r="B408">
        <v>2</v>
      </c>
      <c r="C408" s="31">
        <v>47199</v>
      </c>
      <c r="D40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8" s="51" t="str">
        <f>"CY"&amp;RIGHT(YEAR(transactions[[#This Row],[TransactionDate]]),2)&amp;"-Q"&amp;ROUNDUP(MONTH(transactions[[#This Row],[TransactionDate]])/3, 0)</f>
        <v>CY29-Q1</v>
      </c>
      <c r="F408" s="52">
        <f>transactions[[#This Row],[UnWeighted]]*_xlfn.XLOOKUP(transactions[[#This Row],[OpportunityID]],Opportunities[ID],Opportunities[WinProbabilityValue])</f>
        <v>12618.744897959185</v>
      </c>
      <c r="G408"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08" s="51" t="str">
        <f>_xlfn.XLOOKUP(transactions[[#This Row],[OpportunityID]],Opportunities[ID],Opportunities[Status])</f>
        <v>Active</v>
      </c>
      <c r="I408" s="51" t="str">
        <f>_xlfn.XLOOKUP(transactions[[#This Row],[OpportunityID]],Opportunities[ID],Opportunities[Stage])</f>
        <v>Negotiation</v>
      </c>
      <c r="J408" s="51" t="str">
        <f>_xlfn.XLOOKUP(transactions[[#This Row],[OpportunityID]],Opportunities[ID],Opportunities[OpportunityName])</f>
        <v>E-commerce Platform</v>
      </c>
      <c r="K408" s="51" t="str">
        <f>_xlfn.XLOOKUP(transactions[[#This Row],[CustomerId]],Customers[Id],Customers[Customer Name])</f>
        <v>Global Industries</v>
      </c>
      <c r="L408" s="51" t="str">
        <f>_xlfn.XLOOKUP(transactions[[#This Row],[OpportunityID]],Opportunities[ID],Opportunities[OpportunityOwner])</f>
        <v>Lisa Engineer</v>
      </c>
      <c r="M408" s="51" t="str">
        <f ca="1">IF((transactions[[#This Row],[TransactionDate]]-TODAY())&lt;=366,transactions[[#This Row],[FQ]],"Out-year")</f>
        <v>Out-year</v>
      </c>
      <c r="N408" s="55">
        <f>transactions[[#This Row],[UnWeighted]]/1000</f>
        <v>25.237489795918368</v>
      </c>
      <c r="O408" s="55">
        <f>transactions[[#This Row],[Weighted]]/1000</f>
        <v>12.618744897959184</v>
      </c>
      <c r="P408" s="55">
        <f>transactions[[#This Row],[$K Unweighted]]/1000</f>
        <v>2.5237489795918368E-2</v>
      </c>
      <c r="Q408" s="55" t="b">
        <f ca="1">transactions[[#This Row],[TransactionDate]]&gt;TODAY()</f>
        <v>1</v>
      </c>
    </row>
    <row r="409" spans="1:17" x14ac:dyDescent="0.25">
      <c r="A409">
        <v>20</v>
      </c>
      <c r="B409">
        <v>28</v>
      </c>
      <c r="C409" s="31">
        <v>47202</v>
      </c>
      <c r="D40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9" s="51" t="str">
        <f>"CY"&amp;RIGHT(YEAR(transactions[[#This Row],[TransactionDate]]),2)&amp;"-Q"&amp;ROUNDUP(MONTH(transactions[[#This Row],[TransactionDate]])/3, 0)</f>
        <v>CY29-Q1</v>
      </c>
      <c r="F409" s="52">
        <f>transactions[[#This Row],[UnWeighted]]*_xlfn.XLOOKUP(transactions[[#This Row],[OpportunityID]],Opportunities[ID],Opportunities[WinProbabilityValue])</f>
        <v>46457.040000000008</v>
      </c>
      <c r="G409" s="52">
        <f>_xlfn.XLOOKUP(transactions[[#This Row],[OpportunityID]],Opportunities[ID],Opportunities[Amount])/IF(_xlfn.XLOOKUP(transactions[[#This Row],[OpportunityID]],Opportunities[ID],Opportunities[Recurrences])=0,1,_xlfn.XLOOKUP(transactions[[#This Row],[OpportunityID]],Opportunities[ID],Opportunities[Recurrences]))</f>
        <v>232285.2</v>
      </c>
      <c r="H409" s="51" t="str">
        <f>_xlfn.XLOOKUP(transactions[[#This Row],[OpportunityID]],Opportunities[ID],Opportunities[Status])</f>
        <v>Critical</v>
      </c>
      <c r="I409" s="51" t="str">
        <f>_xlfn.XLOOKUP(transactions[[#This Row],[OpportunityID]],Opportunities[ID],Opportunities[Stage])</f>
        <v>Proposal</v>
      </c>
      <c r="J409" s="51" t="str">
        <f>_xlfn.XLOOKUP(transactions[[#This Row],[OpportunityID]],Opportunities[ID],Opportunities[OpportunityName])</f>
        <v>Marketing Automation Platform</v>
      </c>
      <c r="K409" s="51" t="str">
        <f>_xlfn.XLOOKUP(transactions[[#This Row],[CustomerId]],Customers[Id],Customers[Customer Name])</f>
        <v>Telecommunications Inc</v>
      </c>
      <c r="L409" s="51" t="str">
        <f>_xlfn.XLOOKUP(transactions[[#This Row],[OpportunityID]],Opportunities[ID],Opportunities[OpportunityOwner])</f>
        <v>Amanda Sales</v>
      </c>
      <c r="M409" s="51" t="str">
        <f ca="1">IF((transactions[[#This Row],[TransactionDate]]-TODAY())&lt;=366,transactions[[#This Row],[FQ]],"Out-year")</f>
        <v>Out-year</v>
      </c>
      <c r="N409" s="55">
        <f>transactions[[#This Row],[UnWeighted]]/1000</f>
        <v>232.2852</v>
      </c>
      <c r="O409" s="55">
        <f>transactions[[#This Row],[Weighted]]/1000</f>
        <v>46.457040000000006</v>
      </c>
      <c r="P409" s="55">
        <f>transactions[[#This Row],[$K Unweighted]]/1000</f>
        <v>0.2322852</v>
      </c>
      <c r="Q409" s="55" t="b">
        <f ca="1">transactions[[#This Row],[TransactionDate]]&gt;TODAY()</f>
        <v>1</v>
      </c>
    </row>
    <row r="410" spans="1:17" x14ac:dyDescent="0.25">
      <c r="A410">
        <v>26</v>
      </c>
      <c r="B410">
        <v>1</v>
      </c>
      <c r="C410" s="31">
        <v>47209</v>
      </c>
      <c r="D41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0" s="51" t="str">
        <f>"CY"&amp;RIGHT(YEAR(transactions[[#This Row],[TransactionDate]]),2)&amp;"-Q"&amp;ROUNDUP(MONTH(transactions[[#This Row],[TransactionDate]])/3, 0)</f>
        <v>CY29-Q2</v>
      </c>
      <c r="F410" s="52">
        <f>transactions[[#This Row],[UnWeighted]]*_xlfn.XLOOKUP(transactions[[#This Row],[OpportunityID]],Opportunities[ID],Opportunities[WinProbabilityValue])</f>
        <v>11339.638888888889</v>
      </c>
      <c r="G410"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10" s="51" t="str">
        <f>_xlfn.XLOOKUP(transactions[[#This Row],[OpportunityID]],Opportunities[ID],Opportunities[Status])</f>
        <v>Active</v>
      </c>
      <c r="I410" s="51" t="str">
        <f>_xlfn.XLOOKUP(transactions[[#This Row],[OpportunityID]],Opportunities[ID],Opportunities[Stage])</f>
        <v>Negotiation</v>
      </c>
      <c r="J410" s="51" t="str">
        <f>_xlfn.XLOOKUP(transactions[[#This Row],[OpportunityID]],Opportunities[ID],Opportunities[OpportunityName])</f>
        <v>Video Conferencing Solution</v>
      </c>
      <c r="K410" s="51" t="str">
        <f>_xlfn.XLOOKUP(transactions[[#This Row],[CustomerId]],Customers[Id],Customers[Customer Name])</f>
        <v>ACME Corporation</v>
      </c>
      <c r="L410" s="51" t="str">
        <f>_xlfn.XLOOKUP(transactions[[#This Row],[OpportunityID]],Opportunities[ID],Opportunities[OpportunityOwner])</f>
        <v>Mike Consultant</v>
      </c>
      <c r="M410" s="51" t="str">
        <f ca="1">IF((transactions[[#This Row],[TransactionDate]]-TODAY())&lt;=366,transactions[[#This Row],[FQ]],"Out-year")</f>
        <v>Out-year</v>
      </c>
      <c r="N410" s="55">
        <f>transactions[[#This Row],[UnWeighted]]/1000</f>
        <v>22.679277777777777</v>
      </c>
      <c r="O410" s="55">
        <f>transactions[[#This Row],[Weighted]]/1000</f>
        <v>11.339638888888889</v>
      </c>
      <c r="P410" s="55">
        <f>transactions[[#This Row],[$K Unweighted]]/1000</f>
        <v>2.2679277777777777E-2</v>
      </c>
      <c r="Q410" s="55" t="b">
        <f ca="1">transactions[[#This Row],[TransactionDate]]&gt;TODAY()</f>
        <v>1</v>
      </c>
    </row>
    <row r="411" spans="1:17" x14ac:dyDescent="0.25">
      <c r="A411">
        <v>39</v>
      </c>
      <c r="B411">
        <v>3</v>
      </c>
      <c r="C411" s="31">
        <v>47211</v>
      </c>
      <c r="D41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1" s="51" t="str">
        <f>"CY"&amp;RIGHT(YEAR(transactions[[#This Row],[TransactionDate]]),2)&amp;"-Q"&amp;ROUNDUP(MONTH(transactions[[#This Row],[TransactionDate]])/3, 0)</f>
        <v>CY29-Q2</v>
      </c>
      <c r="F411" s="52">
        <f>transactions[[#This Row],[UnWeighted]]*_xlfn.XLOOKUP(transactions[[#This Row],[OpportunityID]],Opportunities[ID],Opportunities[WinProbabilityValue])</f>
        <v>20929.153846153848</v>
      </c>
      <c r="G411"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11" s="51" t="str">
        <f>_xlfn.XLOOKUP(transactions[[#This Row],[OpportunityID]],Opportunities[ID],Opportunities[Status])</f>
        <v>Active</v>
      </c>
      <c r="I411" s="51" t="str">
        <f>_xlfn.XLOOKUP(transactions[[#This Row],[OpportunityID]],Opportunities[ID],Opportunities[Stage])</f>
        <v>Project Execution</v>
      </c>
      <c r="J411" s="51" t="str">
        <f>_xlfn.XLOOKUP(transactions[[#This Row],[OpportunityID]],Opportunities[ID],Opportunities[OpportunityName])</f>
        <v>API Development Project</v>
      </c>
      <c r="K411" s="51" t="str">
        <f>_xlfn.XLOOKUP(transactions[[#This Row],[CustomerId]],Customers[Id],Customers[Customer Name])</f>
        <v>Tech Solutions Inc</v>
      </c>
      <c r="L411" s="51" t="str">
        <f>_xlfn.XLOOKUP(transactions[[#This Row],[OpportunityID]],Opportunities[ID],Opportunities[OpportunityOwner])</f>
        <v>Jennifer PM</v>
      </c>
      <c r="M411" s="51" t="str">
        <f ca="1">IF((transactions[[#This Row],[TransactionDate]]-TODAY())&lt;=366,transactions[[#This Row],[FQ]],"Out-year")</f>
        <v>Out-year</v>
      </c>
      <c r="N411" s="55">
        <f>transactions[[#This Row],[UnWeighted]]/1000</f>
        <v>41.858307692307697</v>
      </c>
      <c r="O411" s="55">
        <f>transactions[[#This Row],[Weighted]]/1000</f>
        <v>20.929153846153849</v>
      </c>
      <c r="P411" s="55">
        <f>transactions[[#This Row],[$K Unweighted]]/1000</f>
        <v>4.1858307692307695E-2</v>
      </c>
      <c r="Q411" s="55" t="b">
        <f ca="1">transactions[[#This Row],[TransactionDate]]&gt;TODAY()</f>
        <v>1</v>
      </c>
    </row>
    <row r="412" spans="1:17" x14ac:dyDescent="0.25">
      <c r="A412">
        <v>15</v>
      </c>
      <c r="B412">
        <v>24</v>
      </c>
      <c r="C412" s="31">
        <v>47215</v>
      </c>
      <c r="D41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2" s="51" t="str">
        <f>"CY"&amp;RIGHT(YEAR(transactions[[#This Row],[TransactionDate]]),2)&amp;"-Q"&amp;ROUNDUP(MONTH(transactions[[#This Row],[TransactionDate]])/3, 0)</f>
        <v>CY29-Q2</v>
      </c>
      <c r="F412" s="52">
        <f>transactions[[#This Row],[UnWeighted]]*_xlfn.XLOOKUP(transactions[[#This Row],[OpportunityID]],Opportunities[ID],Opportunities[WinProbabilityValue])</f>
        <v>29217.197872340425</v>
      </c>
      <c r="G412"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12" s="51" t="str">
        <f>_xlfn.XLOOKUP(transactions[[#This Row],[OpportunityID]],Opportunities[ID],Opportunities[Status])</f>
        <v>Active</v>
      </c>
      <c r="I412" s="51" t="str">
        <f>_xlfn.XLOOKUP(transactions[[#This Row],[OpportunityID]],Opportunities[ID],Opportunities[Stage])</f>
        <v>Project Execution</v>
      </c>
      <c r="J412" s="51" t="str">
        <f>_xlfn.XLOOKUP(transactions[[#This Row],[OpportunityID]],Opportunities[ID],Opportunities[OpportunityName])</f>
        <v>Training &amp; Development Program</v>
      </c>
      <c r="K412" s="51" t="str">
        <f>_xlfn.XLOOKUP(transactions[[#This Row],[CustomerId]],Customers[Id],Customers[Customer Name])</f>
        <v>Security Solutions</v>
      </c>
      <c r="L412" s="51" t="str">
        <f>_xlfn.XLOOKUP(transactions[[#This Row],[OpportunityID]],Opportunities[ID],Opportunities[OpportunityOwner])</f>
        <v>Sarah Director</v>
      </c>
      <c r="M412" s="51" t="str">
        <f ca="1">IF((transactions[[#This Row],[TransactionDate]]-TODAY())&lt;=366,transactions[[#This Row],[FQ]],"Out-year")</f>
        <v>Out-year</v>
      </c>
      <c r="N412" s="55">
        <f>transactions[[#This Row],[UnWeighted]]/1000</f>
        <v>32.46355319148936</v>
      </c>
      <c r="O412" s="55">
        <f>transactions[[#This Row],[Weighted]]/1000</f>
        <v>29.217197872340424</v>
      </c>
      <c r="P412" s="55">
        <f>transactions[[#This Row],[$K Unweighted]]/1000</f>
        <v>3.2463553191489358E-2</v>
      </c>
      <c r="Q412" s="55" t="b">
        <f ca="1">transactions[[#This Row],[TransactionDate]]&gt;TODAY()</f>
        <v>1</v>
      </c>
    </row>
    <row r="413" spans="1:17" x14ac:dyDescent="0.25">
      <c r="A413">
        <v>22</v>
      </c>
      <c r="B413">
        <v>11</v>
      </c>
      <c r="C413" s="31">
        <v>47219</v>
      </c>
      <c r="D41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3" s="51" t="str">
        <f>"CY"&amp;RIGHT(YEAR(transactions[[#This Row],[TransactionDate]]),2)&amp;"-Q"&amp;ROUNDUP(MONTH(transactions[[#This Row],[TransactionDate]])/3, 0)</f>
        <v>CY29-Q2</v>
      </c>
      <c r="F413" s="52">
        <f>transactions[[#This Row],[UnWeighted]]*_xlfn.XLOOKUP(transactions[[#This Row],[OpportunityID]],Opportunities[ID],Opportunities[WinProbabilityValue])</f>
        <v>26390.544230769232</v>
      </c>
      <c r="G413"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13" s="51" t="str">
        <f>_xlfn.XLOOKUP(transactions[[#This Row],[OpportunityID]],Opportunities[ID],Opportunities[Status])</f>
        <v>Active</v>
      </c>
      <c r="I413" s="51" t="str">
        <f>_xlfn.XLOOKUP(transactions[[#This Row],[OpportunityID]],Opportunities[ID],Opportunities[Stage])</f>
        <v>Nurturing</v>
      </c>
      <c r="J413" s="51" t="str">
        <f>_xlfn.XLOOKUP(transactions[[#This Row],[OpportunityID]],Opportunities[ID],Opportunities[OpportunityName])</f>
        <v>Inventory Management Solution</v>
      </c>
      <c r="K413" s="51" t="str">
        <f>_xlfn.XLOOKUP(transactions[[#This Row],[CustomerId]],Customers[Id],Customers[Customer Name])</f>
        <v>Transport Logistics</v>
      </c>
      <c r="L413" s="51" t="str">
        <f>_xlfn.XLOOKUP(transactions[[#This Row],[OpportunityID]],Opportunities[ID],Opportunities[OpportunityOwner])</f>
        <v>Sarah Director</v>
      </c>
      <c r="M413" s="51" t="str">
        <f ca="1">IF((transactions[[#This Row],[TransactionDate]]-TODAY())&lt;=366,transactions[[#This Row],[FQ]],"Out-year")</f>
        <v>Out-year</v>
      </c>
      <c r="N413" s="55">
        <f>transactions[[#This Row],[UnWeighted]]/1000</f>
        <v>29.322826923076921</v>
      </c>
      <c r="O413" s="55">
        <f>transactions[[#This Row],[Weighted]]/1000</f>
        <v>26.390544230769233</v>
      </c>
      <c r="P413" s="55">
        <f>transactions[[#This Row],[$K Unweighted]]/1000</f>
        <v>2.932282692307692E-2</v>
      </c>
      <c r="Q413" s="55" t="b">
        <f ca="1">transactions[[#This Row],[TransactionDate]]&gt;TODAY()</f>
        <v>1</v>
      </c>
    </row>
    <row r="414" spans="1:17" x14ac:dyDescent="0.25">
      <c r="A414">
        <v>11</v>
      </c>
      <c r="B414">
        <v>3</v>
      </c>
      <c r="C414" s="31">
        <v>47221</v>
      </c>
      <c r="D41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4" s="51" t="str">
        <f>"CY"&amp;RIGHT(YEAR(transactions[[#This Row],[TransactionDate]]),2)&amp;"-Q"&amp;ROUNDUP(MONTH(transactions[[#This Row],[TransactionDate]])/3, 0)</f>
        <v>CY29-Q2</v>
      </c>
      <c r="F414" s="52">
        <f>transactions[[#This Row],[UnWeighted]]*_xlfn.XLOOKUP(transactions[[#This Row],[OpportunityID]],Opportunities[ID],Opportunities[WinProbabilityValue])</f>
        <v>113460.75</v>
      </c>
      <c r="G414" s="52">
        <f>_xlfn.XLOOKUP(transactions[[#This Row],[OpportunityID]],Opportunities[ID],Opportunities[Amount])/IF(_xlfn.XLOOKUP(transactions[[#This Row],[OpportunityID]],Opportunities[ID],Opportunities[Recurrences])=0,1,_xlfn.XLOOKUP(transactions[[#This Row],[OpportunityID]],Opportunities[ID],Opportunities[Recurrences]))</f>
        <v>126067.5</v>
      </c>
      <c r="H414" s="51" t="str">
        <f>_xlfn.XLOOKUP(transactions[[#This Row],[OpportunityID]],Opportunities[ID],Opportunities[Status])</f>
        <v>At Risk</v>
      </c>
      <c r="I414" s="51" t="str">
        <f>_xlfn.XLOOKUP(transactions[[#This Row],[OpportunityID]],Opportunities[ID],Opportunities[Stage])</f>
        <v>Negotiation</v>
      </c>
      <c r="J414" s="51" t="str">
        <f>_xlfn.XLOOKUP(transactions[[#This Row],[OpportunityID]],Opportunities[ID],Opportunities[OpportunityName])</f>
        <v>Data Center Consolidation</v>
      </c>
      <c r="K414" s="51" t="str">
        <f>_xlfn.XLOOKUP(transactions[[#This Row],[CustomerId]],Customers[Id],Customers[Customer Name])</f>
        <v>Tech Solutions Inc</v>
      </c>
      <c r="L414" s="51" t="str">
        <f>_xlfn.XLOOKUP(transactions[[#This Row],[OpportunityID]],Opportunities[ID],Opportunities[OpportunityOwner])</f>
        <v>David Specialist</v>
      </c>
      <c r="M414" s="51" t="str">
        <f ca="1">IF((transactions[[#This Row],[TransactionDate]]-TODAY())&lt;=366,transactions[[#This Row],[FQ]],"Out-year")</f>
        <v>Out-year</v>
      </c>
      <c r="N414" s="55">
        <f>transactions[[#This Row],[UnWeighted]]/1000</f>
        <v>126.0675</v>
      </c>
      <c r="O414" s="55">
        <f>transactions[[#This Row],[Weighted]]/1000</f>
        <v>113.46075</v>
      </c>
      <c r="P414" s="55">
        <f>transactions[[#This Row],[$K Unweighted]]/1000</f>
        <v>0.1260675</v>
      </c>
      <c r="Q414" s="55" t="b">
        <f ca="1">transactions[[#This Row],[TransactionDate]]&gt;TODAY()</f>
        <v>1</v>
      </c>
    </row>
    <row r="415" spans="1:17" x14ac:dyDescent="0.25">
      <c r="A415">
        <v>2</v>
      </c>
      <c r="B415">
        <v>10</v>
      </c>
      <c r="C415" s="31">
        <v>47225</v>
      </c>
      <c r="D41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5" s="51" t="str">
        <f>"CY"&amp;RIGHT(YEAR(transactions[[#This Row],[TransactionDate]]),2)&amp;"-Q"&amp;ROUNDUP(MONTH(transactions[[#This Row],[TransactionDate]])/3, 0)</f>
        <v>CY29-Q2</v>
      </c>
      <c r="F415" s="52">
        <f>transactions[[#This Row],[UnWeighted]]*_xlfn.XLOOKUP(transactions[[#This Row],[OpportunityID]],Opportunities[ID],Opportunities[WinProbabilityValue])</f>
        <v>20720.20930232558</v>
      </c>
      <c r="G415"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15" s="51" t="str">
        <f>_xlfn.XLOOKUP(transactions[[#This Row],[OpportunityID]],Opportunities[ID],Opportunities[Status])</f>
        <v>Active</v>
      </c>
      <c r="I415" s="51" t="str">
        <f>_xlfn.XLOOKUP(transactions[[#This Row],[OpportunityID]],Opportunities[ID],Opportunities[Stage])</f>
        <v>Proposal</v>
      </c>
      <c r="J415" s="51" t="str">
        <f>_xlfn.XLOOKUP(transactions[[#This Row],[OpportunityID]],Opportunities[ID],Opportunities[OpportunityName])</f>
        <v>Cloud Migration Initiative</v>
      </c>
      <c r="K415" s="51" t="str">
        <f>_xlfn.XLOOKUP(transactions[[#This Row],[CustomerId]],Customers[Id],Customers[Customer Name])</f>
        <v>Education First</v>
      </c>
      <c r="L415" s="51" t="str">
        <f>_xlfn.XLOOKUP(transactions[[#This Row],[OpportunityID]],Opportunities[ID],Opportunities[OpportunityOwner])</f>
        <v>Robert Analyst</v>
      </c>
      <c r="M415" s="51" t="str">
        <f ca="1">IF((transactions[[#This Row],[TransactionDate]]-TODAY())&lt;=366,transactions[[#This Row],[FQ]],"Out-year")</f>
        <v>Out-year</v>
      </c>
      <c r="N415" s="55">
        <f>transactions[[#This Row],[UnWeighted]]/1000</f>
        <v>41.440418604651157</v>
      </c>
      <c r="O415" s="55">
        <f>transactions[[#This Row],[Weighted]]/1000</f>
        <v>20.720209302325578</v>
      </c>
      <c r="P415" s="55">
        <f>transactions[[#This Row],[$K Unweighted]]/1000</f>
        <v>4.1440418604651155E-2</v>
      </c>
      <c r="Q415" s="55" t="b">
        <f ca="1">transactions[[#This Row],[TransactionDate]]&gt;TODAY()</f>
        <v>1</v>
      </c>
    </row>
    <row r="416" spans="1:17" x14ac:dyDescent="0.25">
      <c r="A416">
        <v>13</v>
      </c>
      <c r="B416">
        <v>2</v>
      </c>
      <c r="C416" s="31">
        <v>47230</v>
      </c>
      <c r="D41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6" s="51" t="str">
        <f>"CY"&amp;RIGHT(YEAR(transactions[[#This Row],[TransactionDate]]),2)&amp;"-Q"&amp;ROUNDUP(MONTH(transactions[[#This Row],[TransactionDate]])/3, 0)</f>
        <v>CY29-Q2</v>
      </c>
      <c r="F416" s="52">
        <f>transactions[[#This Row],[UnWeighted]]*_xlfn.XLOOKUP(transactions[[#This Row],[OpportunityID]],Opportunities[ID],Opportunities[WinProbabilityValue])</f>
        <v>12618.744897959185</v>
      </c>
      <c r="G416"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16" s="51" t="str">
        <f>_xlfn.XLOOKUP(transactions[[#This Row],[OpportunityID]],Opportunities[ID],Opportunities[Status])</f>
        <v>Active</v>
      </c>
      <c r="I416" s="51" t="str">
        <f>_xlfn.XLOOKUP(transactions[[#This Row],[OpportunityID]],Opportunities[ID],Opportunities[Stage])</f>
        <v>Negotiation</v>
      </c>
      <c r="J416" s="51" t="str">
        <f>_xlfn.XLOOKUP(transactions[[#This Row],[OpportunityID]],Opportunities[ID],Opportunities[OpportunityName])</f>
        <v>E-commerce Platform</v>
      </c>
      <c r="K416" s="51" t="str">
        <f>_xlfn.XLOOKUP(transactions[[#This Row],[CustomerId]],Customers[Id],Customers[Customer Name])</f>
        <v>Global Industries</v>
      </c>
      <c r="L416" s="51" t="str">
        <f>_xlfn.XLOOKUP(transactions[[#This Row],[OpportunityID]],Opportunities[ID],Opportunities[OpportunityOwner])</f>
        <v>Lisa Engineer</v>
      </c>
      <c r="M416" s="51" t="str">
        <f ca="1">IF((transactions[[#This Row],[TransactionDate]]-TODAY())&lt;=366,transactions[[#This Row],[FQ]],"Out-year")</f>
        <v>Out-year</v>
      </c>
      <c r="N416" s="55">
        <f>transactions[[#This Row],[UnWeighted]]/1000</f>
        <v>25.237489795918368</v>
      </c>
      <c r="O416" s="55">
        <f>transactions[[#This Row],[Weighted]]/1000</f>
        <v>12.618744897959184</v>
      </c>
      <c r="P416" s="55">
        <f>transactions[[#This Row],[$K Unweighted]]/1000</f>
        <v>2.5237489795918368E-2</v>
      </c>
      <c r="Q416" s="55" t="b">
        <f ca="1">transactions[[#This Row],[TransactionDate]]&gt;TODAY()</f>
        <v>1</v>
      </c>
    </row>
    <row r="417" spans="1:17" x14ac:dyDescent="0.25">
      <c r="A417">
        <v>7</v>
      </c>
      <c r="B417">
        <v>14</v>
      </c>
      <c r="C417" s="31">
        <v>47234</v>
      </c>
      <c r="D41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7" s="51" t="str">
        <f>"CY"&amp;RIGHT(YEAR(transactions[[#This Row],[TransactionDate]]),2)&amp;"-Q"&amp;ROUNDUP(MONTH(transactions[[#This Row],[TransactionDate]])/3, 0)</f>
        <v>CY29-Q2</v>
      </c>
      <c r="F417" s="52">
        <f>transactions[[#This Row],[UnWeighted]]*_xlfn.XLOOKUP(transactions[[#This Row],[OpportunityID]],Opportunities[ID],Opportunities[WinProbabilityValue])</f>
        <v>41771.416666666664</v>
      </c>
      <c r="G417" s="52">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417" s="51" t="str">
        <f>_xlfn.XLOOKUP(transactions[[#This Row],[OpportunityID]],Opportunities[ID],Opportunities[Status])</f>
        <v>Active</v>
      </c>
      <c r="I417" s="51" t="str">
        <f>_xlfn.XLOOKUP(transactions[[#This Row],[OpportunityID]],Opportunities[ID],Opportunities[Stage])</f>
        <v>Project Execution</v>
      </c>
      <c r="J417" s="51" t="str">
        <f>_xlfn.XLOOKUP(transactions[[#This Row],[OpportunityID]],Opportunities[ID],Opportunities[OpportunityName])</f>
        <v>Network Infrastructure Upgrade</v>
      </c>
      <c r="K417" s="51" t="str">
        <f>_xlfn.XLOOKUP(transactions[[#This Row],[CustomerId]],Customers[Id],Customers[Customer Name])</f>
        <v>Media Communications</v>
      </c>
      <c r="L417" s="51" t="str">
        <f>_xlfn.XLOOKUP(transactions[[#This Row],[OpportunityID]],Opportunities[ID],Opportunities[OpportunityOwner])</f>
        <v>Dr. Tech Advisor</v>
      </c>
      <c r="M417" s="51" t="str">
        <f ca="1">IF((transactions[[#This Row],[TransactionDate]]-TODAY())&lt;=366,transactions[[#This Row],[FQ]],"Out-year")</f>
        <v>Out-year</v>
      </c>
      <c r="N417" s="55">
        <f>transactions[[#This Row],[UnWeighted]]/1000</f>
        <v>83.542833333333334</v>
      </c>
      <c r="O417" s="55">
        <f>transactions[[#This Row],[Weighted]]/1000</f>
        <v>41.771416666666667</v>
      </c>
      <c r="P417" s="55">
        <f>transactions[[#This Row],[$K Unweighted]]/1000</f>
        <v>8.354283333333333E-2</v>
      </c>
      <c r="Q417" s="55" t="b">
        <f ca="1">transactions[[#This Row],[TransactionDate]]&gt;TODAY()</f>
        <v>1</v>
      </c>
    </row>
    <row r="418" spans="1:17" x14ac:dyDescent="0.25">
      <c r="A418">
        <v>26</v>
      </c>
      <c r="B418">
        <v>1</v>
      </c>
      <c r="C418" s="31">
        <v>47239</v>
      </c>
      <c r="D41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18" s="51" t="str">
        <f>"CY"&amp;RIGHT(YEAR(transactions[[#This Row],[TransactionDate]]),2)&amp;"-Q"&amp;ROUNDUP(MONTH(transactions[[#This Row],[TransactionDate]])/3, 0)</f>
        <v>CY29-Q2</v>
      </c>
      <c r="F418" s="52">
        <f>transactions[[#This Row],[UnWeighted]]*_xlfn.XLOOKUP(transactions[[#This Row],[OpportunityID]],Opportunities[ID],Opportunities[WinProbabilityValue])</f>
        <v>11339.638888888889</v>
      </c>
      <c r="G418"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18" s="51" t="str">
        <f>_xlfn.XLOOKUP(transactions[[#This Row],[OpportunityID]],Opportunities[ID],Opportunities[Status])</f>
        <v>Active</v>
      </c>
      <c r="I418" s="51" t="str">
        <f>_xlfn.XLOOKUP(transactions[[#This Row],[OpportunityID]],Opportunities[ID],Opportunities[Stage])</f>
        <v>Negotiation</v>
      </c>
      <c r="J418" s="51" t="str">
        <f>_xlfn.XLOOKUP(transactions[[#This Row],[OpportunityID]],Opportunities[ID],Opportunities[OpportunityName])</f>
        <v>Video Conferencing Solution</v>
      </c>
      <c r="K418" s="51" t="str">
        <f>_xlfn.XLOOKUP(transactions[[#This Row],[CustomerId]],Customers[Id],Customers[Customer Name])</f>
        <v>ACME Corporation</v>
      </c>
      <c r="L418" s="51" t="str">
        <f>_xlfn.XLOOKUP(transactions[[#This Row],[OpportunityID]],Opportunities[ID],Opportunities[OpportunityOwner])</f>
        <v>Mike Consultant</v>
      </c>
      <c r="M418" s="51" t="str">
        <f ca="1">IF((transactions[[#This Row],[TransactionDate]]-TODAY())&lt;=366,transactions[[#This Row],[FQ]],"Out-year")</f>
        <v>Out-year</v>
      </c>
      <c r="N418" s="55">
        <f>transactions[[#This Row],[UnWeighted]]/1000</f>
        <v>22.679277777777777</v>
      </c>
      <c r="O418" s="55">
        <f>transactions[[#This Row],[Weighted]]/1000</f>
        <v>11.339638888888889</v>
      </c>
      <c r="P418" s="55">
        <f>transactions[[#This Row],[$K Unweighted]]/1000</f>
        <v>2.2679277777777777E-2</v>
      </c>
      <c r="Q418" s="55" t="b">
        <f ca="1">transactions[[#This Row],[TransactionDate]]&gt;TODAY()</f>
        <v>1</v>
      </c>
    </row>
    <row r="419" spans="1:17" x14ac:dyDescent="0.25">
      <c r="A419">
        <v>39</v>
      </c>
      <c r="B419">
        <v>3</v>
      </c>
      <c r="C419" s="31">
        <v>47241</v>
      </c>
      <c r="D41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19" s="51" t="str">
        <f>"CY"&amp;RIGHT(YEAR(transactions[[#This Row],[TransactionDate]]),2)&amp;"-Q"&amp;ROUNDUP(MONTH(transactions[[#This Row],[TransactionDate]])/3, 0)</f>
        <v>CY29-Q2</v>
      </c>
      <c r="F419" s="52">
        <f>transactions[[#This Row],[UnWeighted]]*_xlfn.XLOOKUP(transactions[[#This Row],[OpportunityID]],Opportunities[ID],Opportunities[WinProbabilityValue])</f>
        <v>20929.153846153848</v>
      </c>
      <c r="G419"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19" s="51" t="str">
        <f>_xlfn.XLOOKUP(transactions[[#This Row],[OpportunityID]],Opportunities[ID],Opportunities[Status])</f>
        <v>Active</v>
      </c>
      <c r="I419" s="51" t="str">
        <f>_xlfn.XLOOKUP(transactions[[#This Row],[OpportunityID]],Opportunities[ID],Opportunities[Stage])</f>
        <v>Project Execution</v>
      </c>
      <c r="J419" s="51" t="str">
        <f>_xlfn.XLOOKUP(transactions[[#This Row],[OpportunityID]],Opportunities[ID],Opportunities[OpportunityName])</f>
        <v>API Development Project</v>
      </c>
      <c r="K419" s="51" t="str">
        <f>_xlfn.XLOOKUP(transactions[[#This Row],[CustomerId]],Customers[Id],Customers[Customer Name])</f>
        <v>Tech Solutions Inc</v>
      </c>
      <c r="L419" s="51" t="str">
        <f>_xlfn.XLOOKUP(transactions[[#This Row],[OpportunityID]],Opportunities[ID],Opportunities[OpportunityOwner])</f>
        <v>Jennifer PM</v>
      </c>
      <c r="M419" s="51" t="str">
        <f ca="1">IF((transactions[[#This Row],[TransactionDate]]-TODAY())&lt;=366,transactions[[#This Row],[FQ]],"Out-year")</f>
        <v>Out-year</v>
      </c>
      <c r="N419" s="55">
        <f>transactions[[#This Row],[UnWeighted]]/1000</f>
        <v>41.858307692307697</v>
      </c>
      <c r="O419" s="55">
        <f>transactions[[#This Row],[Weighted]]/1000</f>
        <v>20.929153846153849</v>
      </c>
      <c r="P419" s="55">
        <f>transactions[[#This Row],[$K Unweighted]]/1000</f>
        <v>4.1858307692307695E-2</v>
      </c>
      <c r="Q419" s="55" t="b">
        <f ca="1">transactions[[#This Row],[TransactionDate]]&gt;TODAY()</f>
        <v>1</v>
      </c>
    </row>
    <row r="420" spans="1:17" x14ac:dyDescent="0.25">
      <c r="A420">
        <v>15</v>
      </c>
      <c r="B420">
        <v>24</v>
      </c>
      <c r="C420" s="31">
        <v>47245</v>
      </c>
      <c r="D42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0" s="51" t="str">
        <f>"CY"&amp;RIGHT(YEAR(transactions[[#This Row],[TransactionDate]]),2)&amp;"-Q"&amp;ROUNDUP(MONTH(transactions[[#This Row],[TransactionDate]])/3, 0)</f>
        <v>CY29-Q2</v>
      </c>
      <c r="F420" s="52">
        <f>transactions[[#This Row],[UnWeighted]]*_xlfn.XLOOKUP(transactions[[#This Row],[OpportunityID]],Opportunities[ID],Opportunities[WinProbabilityValue])</f>
        <v>29217.197872340425</v>
      </c>
      <c r="G420"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20" s="51" t="str">
        <f>_xlfn.XLOOKUP(transactions[[#This Row],[OpportunityID]],Opportunities[ID],Opportunities[Status])</f>
        <v>Active</v>
      </c>
      <c r="I420" s="51" t="str">
        <f>_xlfn.XLOOKUP(transactions[[#This Row],[OpportunityID]],Opportunities[ID],Opportunities[Stage])</f>
        <v>Project Execution</v>
      </c>
      <c r="J420" s="51" t="str">
        <f>_xlfn.XLOOKUP(transactions[[#This Row],[OpportunityID]],Opportunities[ID],Opportunities[OpportunityName])</f>
        <v>Training &amp; Development Program</v>
      </c>
      <c r="K420" s="51" t="str">
        <f>_xlfn.XLOOKUP(transactions[[#This Row],[CustomerId]],Customers[Id],Customers[Customer Name])</f>
        <v>Security Solutions</v>
      </c>
      <c r="L420" s="51" t="str">
        <f>_xlfn.XLOOKUP(transactions[[#This Row],[OpportunityID]],Opportunities[ID],Opportunities[OpportunityOwner])</f>
        <v>Sarah Director</v>
      </c>
      <c r="M420" s="51" t="str">
        <f ca="1">IF((transactions[[#This Row],[TransactionDate]]-TODAY())&lt;=366,transactions[[#This Row],[FQ]],"Out-year")</f>
        <v>Out-year</v>
      </c>
      <c r="N420" s="55">
        <f>transactions[[#This Row],[UnWeighted]]/1000</f>
        <v>32.46355319148936</v>
      </c>
      <c r="O420" s="55">
        <f>transactions[[#This Row],[Weighted]]/1000</f>
        <v>29.217197872340424</v>
      </c>
      <c r="P420" s="55">
        <f>transactions[[#This Row],[$K Unweighted]]/1000</f>
        <v>3.2463553191489358E-2</v>
      </c>
      <c r="Q420" s="55" t="b">
        <f ca="1">transactions[[#This Row],[TransactionDate]]&gt;TODAY()</f>
        <v>1</v>
      </c>
    </row>
    <row r="421" spans="1:17" x14ac:dyDescent="0.25">
      <c r="A421">
        <v>29</v>
      </c>
      <c r="B421">
        <v>10</v>
      </c>
      <c r="C421" s="31">
        <v>47246</v>
      </c>
      <c r="D42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1" s="51" t="str">
        <f>"CY"&amp;RIGHT(YEAR(transactions[[#This Row],[TransactionDate]]),2)&amp;"-Q"&amp;ROUNDUP(MONTH(transactions[[#This Row],[TransactionDate]])/3, 0)</f>
        <v>CY29-Q2</v>
      </c>
      <c r="F421" s="52">
        <f>transactions[[#This Row],[UnWeighted]]*_xlfn.XLOOKUP(transactions[[#This Row],[OpportunityID]],Opportunities[ID],Opportunities[WinProbabilityValue])</f>
        <v>150480.08333333334</v>
      </c>
      <c r="G421" s="52">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421" s="51" t="str">
        <f>_xlfn.XLOOKUP(transactions[[#This Row],[OpportunityID]],Opportunities[ID],Opportunities[Status])</f>
        <v>Active</v>
      </c>
      <c r="I421" s="51" t="str">
        <f>_xlfn.XLOOKUP(transactions[[#This Row],[OpportunityID]],Opportunities[ID],Opportunities[Stage])</f>
        <v>Project Execution</v>
      </c>
      <c r="J421" s="51" t="str">
        <f>_xlfn.XLOOKUP(transactions[[#This Row],[OpportunityID]],Opportunities[ID],Opportunities[OpportunityName])</f>
        <v>Social Media Management Tool</v>
      </c>
      <c r="K421" s="51" t="str">
        <f>_xlfn.XLOOKUP(transactions[[#This Row],[CustomerId]],Customers[Id],Customers[Customer Name])</f>
        <v>Education First</v>
      </c>
      <c r="L421" s="51" t="str">
        <f>_xlfn.XLOOKUP(transactions[[#This Row],[OpportunityID]],Opportunities[ID],Opportunities[OpportunityOwner])</f>
        <v>Maria Coordinator</v>
      </c>
      <c r="M421" s="51" t="str">
        <f ca="1">IF((transactions[[#This Row],[TransactionDate]]-TODAY())&lt;=366,transactions[[#This Row],[FQ]],"Out-year")</f>
        <v>Out-year</v>
      </c>
      <c r="N421" s="55">
        <f>transactions[[#This Row],[UnWeighted]]/1000</f>
        <v>300.96016666666668</v>
      </c>
      <c r="O421" s="55">
        <f>transactions[[#This Row],[Weighted]]/1000</f>
        <v>150.48008333333334</v>
      </c>
      <c r="P421" s="55">
        <f>transactions[[#This Row],[$K Unweighted]]/1000</f>
        <v>0.3009601666666667</v>
      </c>
      <c r="Q421" s="55" t="b">
        <f ca="1">transactions[[#This Row],[TransactionDate]]&gt;TODAY()</f>
        <v>1</v>
      </c>
    </row>
    <row r="422" spans="1:17" x14ac:dyDescent="0.25">
      <c r="A422">
        <v>25</v>
      </c>
      <c r="B422">
        <v>14</v>
      </c>
      <c r="C422" s="31">
        <v>47247</v>
      </c>
      <c r="D42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2" s="51" t="str">
        <f>"CY"&amp;RIGHT(YEAR(transactions[[#This Row],[TransactionDate]]),2)&amp;"-Q"&amp;ROUNDUP(MONTH(transactions[[#This Row],[TransactionDate]])/3, 0)</f>
        <v>CY29-Q2</v>
      </c>
      <c r="F422" s="52">
        <f>transactions[[#This Row],[UnWeighted]]*_xlfn.XLOOKUP(transactions[[#This Row],[OpportunityID]],Opportunities[ID],Opportunities[WinProbabilityValue])</f>
        <v>35076.26666666667</v>
      </c>
      <c r="G422" s="52">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422" s="51" t="str">
        <f>_xlfn.XLOOKUP(transactions[[#This Row],[OpportunityID]],Opportunities[ID],Opportunities[Status])</f>
        <v>Active</v>
      </c>
      <c r="I422" s="51" t="str">
        <f>_xlfn.XLOOKUP(transactions[[#This Row],[OpportunityID]],Opportunities[ID],Opportunities[Stage])</f>
        <v>Lead Qualification</v>
      </c>
      <c r="J422" s="51" t="str">
        <f>_xlfn.XLOOKUP(transactions[[#This Row],[OpportunityID]],Opportunities[ID],Opportunities[OpportunityName])</f>
        <v>Project Management Software</v>
      </c>
      <c r="K422" s="51" t="str">
        <f>_xlfn.XLOOKUP(transactions[[#This Row],[CustomerId]],Customers[Id],Customers[Customer Name])</f>
        <v>Media Communications</v>
      </c>
      <c r="L422" s="51" t="str">
        <f>_xlfn.XLOOKUP(transactions[[#This Row],[OpportunityID]],Opportunities[ID],Opportunities[OpportunityOwner])</f>
        <v>Amanda Sales</v>
      </c>
      <c r="M422" s="51" t="str">
        <f ca="1">IF((transactions[[#This Row],[TransactionDate]]-TODAY())&lt;=366,transactions[[#This Row],[FQ]],"Out-year")</f>
        <v>Out-year</v>
      </c>
      <c r="N422" s="55">
        <f>transactions[[#This Row],[UnWeighted]]/1000</f>
        <v>70.152533333333338</v>
      </c>
      <c r="O422" s="55">
        <f>transactions[[#This Row],[Weighted]]/1000</f>
        <v>35.076266666666669</v>
      </c>
      <c r="P422" s="55">
        <f>transactions[[#This Row],[$K Unweighted]]/1000</f>
        <v>7.0152533333333336E-2</v>
      </c>
      <c r="Q422" s="55" t="b">
        <f ca="1">transactions[[#This Row],[TransactionDate]]&gt;TODAY()</f>
        <v>1</v>
      </c>
    </row>
    <row r="423" spans="1:17" x14ac:dyDescent="0.25">
      <c r="A423">
        <v>22</v>
      </c>
      <c r="B423">
        <v>11</v>
      </c>
      <c r="C423" s="31">
        <v>47249</v>
      </c>
      <c r="D42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3" s="51" t="str">
        <f>"CY"&amp;RIGHT(YEAR(transactions[[#This Row],[TransactionDate]]),2)&amp;"-Q"&amp;ROUNDUP(MONTH(transactions[[#This Row],[TransactionDate]])/3, 0)</f>
        <v>CY29-Q2</v>
      </c>
      <c r="F423" s="52">
        <f>transactions[[#This Row],[UnWeighted]]*_xlfn.XLOOKUP(transactions[[#This Row],[OpportunityID]],Opportunities[ID],Opportunities[WinProbabilityValue])</f>
        <v>26390.544230769232</v>
      </c>
      <c r="G423"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23" s="51" t="str">
        <f>_xlfn.XLOOKUP(transactions[[#This Row],[OpportunityID]],Opportunities[ID],Opportunities[Status])</f>
        <v>Active</v>
      </c>
      <c r="I423" s="51" t="str">
        <f>_xlfn.XLOOKUP(transactions[[#This Row],[OpportunityID]],Opportunities[ID],Opportunities[Stage])</f>
        <v>Nurturing</v>
      </c>
      <c r="J423" s="51" t="str">
        <f>_xlfn.XLOOKUP(transactions[[#This Row],[OpportunityID]],Opportunities[ID],Opportunities[OpportunityName])</f>
        <v>Inventory Management Solution</v>
      </c>
      <c r="K423" s="51" t="str">
        <f>_xlfn.XLOOKUP(transactions[[#This Row],[CustomerId]],Customers[Id],Customers[Customer Name])</f>
        <v>Transport Logistics</v>
      </c>
      <c r="L423" s="51" t="str">
        <f>_xlfn.XLOOKUP(transactions[[#This Row],[OpportunityID]],Opportunities[ID],Opportunities[OpportunityOwner])</f>
        <v>Sarah Director</v>
      </c>
      <c r="M423" s="51" t="str">
        <f ca="1">IF((transactions[[#This Row],[TransactionDate]]-TODAY())&lt;=366,transactions[[#This Row],[FQ]],"Out-year")</f>
        <v>Out-year</v>
      </c>
      <c r="N423" s="55">
        <f>transactions[[#This Row],[UnWeighted]]/1000</f>
        <v>29.322826923076921</v>
      </c>
      <c r="O423" s="55">
        <f>transactions[[#This Row],[Weighted]]/1000</f>
        <v>26.390544230769233</v>
      </c>
      <c r="P423" s="55">
        <f>transactions[[#This Row],[$K Unweighted]]/1000</f>
        <v>2.932282692307692E-2</v>
      </c>
      <c r="Q423" s="55" t="b">
        <f ca="1">transactions[[#This Row],[TransactionDate]]&gt;TODAY()</f>
        <v>1</v>
      </c>
    </row>
    <row r="424" spans="1:17" x14ac:dyDescent="0.25">
      <c r="A424">
        <v>28</v>
      </c>
      <c r="B424">
        <v>1</v>
      </c>
      <c r="C424" s="31">
        <v>47254</v>
      </c>
      <c r="D42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4" s="51" t="str">
        <f>"CY"&amp;RIGHT(YEAR(transactions[[#This Row],[TransactionDate]]),2)&amp;"-Q"&amp;ROUNDUP(MONTH(transactions[[#This Row],[TransactionDate]])/3, 0)</f>
        <v>CY29-Q2</v>
      </c>
      <c r="F424" s="52">
        <f>transactions[[#This Row],[UnWeighted]]*_xlfn.XLOOKUP(transactions[[#This Row],[OpportunityID]],Opportunities[ID],Opportunities[WinProbabilityValue])</f>
        <v>40447.666666666664</v>
      </c>
      <c r="G424" s="52">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424" s="51" t="str">
        <f>_xlfn.XLOOKUP(transactions[[#This Row],[OpportunityID]],Opportunities[ID],Opportunities[Status])</f>
        <v>Active</v>
      </c>
      <c r="I424" s="51" t="str">
        <f>_xlfn.XLOOKUP(transactions[[#This Row],[OpportunityID]],Opportunities[ID],Opportunities[Stage])</f>
        <v>Lead Qualification</v>
      </c>
      <c r="J424" s="51" t="str">
        <f>_xlfn.XLOOKUP(transactions[[#This Row],[OpportunityID]],Opportunities[ID],Opportunities[OpportunityName])</f>
        <v>Website Redesign Project</v>
      </c>
      <c r="K424" s="51" t="str">
        <f>_xlfn.XLOOKUP(transactions[[#This Row],[CustomerId]],Customers[Id],Customers[Customer Name])</f>
        <v>ACME Corporation</v>
      </c>
      <c r="L424" s="51" t="str">
        <f>_xlfn.XLOOKUP(transactions[[#This Row],[OpportunityID]],Opportunities[ID],Opportunities[OpportunityOwner])</f>
        <v>Lisa Engineer</v>
      </c>
      <c r="M424" s="51" t="str">
        <f ca="1">IF((transactions[[#This Row],[TransactionDate]]-TODAY())&lt;=366,transactions[[#This Row],[FQ]],"Out-year")</f>
        <v>Out-year</v>
      </c>
      <c r="N424" s="55">
        <f>transactions[[#This Row],[UnWeighted]]/1000</f>
        <v>80.895333333333326</v>
      </c>
      <c r="O424" s="55">
        <f>transactions[[#This Row],[Weighted]]/1000</f>
        <v>40.447666666666663</v>
      </c>
      <c r="P424" s="55">
        <f>transactions[[#This Row],[$K Unweighted]]/1000</f>
        <v>8.0895333333333333E-2</v>
      </c>
      <c r="Q424" s="55" t="b">
        <f ca="1">transactions[[#This Row],[TransactionDate]]&gt;TODAY()</f>
        <v>1</v>
      </c>
    </row>
    <row r="425" spans="1:17" x14ac:dyDescent="0.25">
      <c r="A425">
        <v>2</v>
      </c>
      <c r="B425">
        <v>10</v>
      </c>
      <c r="C425" s="31">
        <v>47255</v>
      </c>
      <c r="D42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5" s="51" t="str">
        <f>"CY"&amp;RIGHT(YEAR(transactions[[#This Row],[TransactionDate]]),2)&amp;"-Q"&amp;ROUNDUP(MONTH(transactions[[#This Row],[TransactionDate]])/3, 0)</f>
        <v>CY29-Q2</v>
      </c>
      <c r="F425" s="52">
        <f>transactions[[#This Row],[UnWeighted]]*_xlfn.XLOOKUP(transactions[[#This Row],[OpportunityID]],Opportunities[ID],Opportunities[WinProbabilityValue])</f>
        <v>20720.20930232558</v>
      </c>
      <c r="G425"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25" s="51" t="str">
        <f>_xlfn.XLOOKUP(transactions[[#This Row],[OpportunityID]],Opportunities[ID],Opportunities[Status])</f>
        <v>Active</v>
      </c>
      <c r="I425" s="51" t="str">
        <f>_xlfn.XLOOKUP(transactions[[#This Row],[OpportunityID]],Opportunities[ID],Opportunities[Stage])</f>
        <v>Proposal</v>
      </c>
      <c r="J425" s="51" t="str">
        <f>_xlfn.XLOOKUP(transactions[[#This Row],[OpportunityID]],Opportunities[ID],Opportunities[OpportunityName])</f>
        <v>Cloud Migration Initiative</v>
      </c>
      <c r="K425" s="51" t="str">
        <f>_xlfn.XLOOKUP(transactions[[#This Row],[CustomerId]],Customers[Id],Customers[Customer Name])</f>
        <v>Education First</v>
      </c>
      <c r="L425" s="51" t="str">
        <f>_xlfn.XLOOKUP(transactions[[#This Row],[OpportunityID]],Opportunities[ID],Opportunities[OpportunityOwner])</f>
        <v>Robert Analyst</v>
      </c>
      <c r="M425" s="51" t="str">
        <f ca="1">IF((transactions[[#This Row],[TransactionDate]]-TODAY())&lt;=366,transactions[[#This Row],[FQ]],"Out-year")</f>
        <v>Out-year</v>
      </c>
      <c r="N425" s="55">
        <f>transactions[[#This Row],[UnWeighted]]/1000</f>
        <v>41.440418604651157</v>
      </c>
      <c r="O425" s="55">
        <f>transactions[[#This Row],[Weighted]]/1000</f>
        <v>20.720209302325578</v>
      </c>
      <c r="P425" s="55">
        <f>transactions[[#This Row],[$K Unweighted]]/1000</f>
        <v>4.1440418604651155E-2</v>
      </c>
      <c r="Q425" s="55" t="b">
        <f ca="1">transactions[[#This Row],[TransactionDate]]&gt;TODAY()</f>
        <v>1</v>
      </c>
    </row>
    <row r="426" spans="1:17" x14ac:dyDescent="0.25">
      <c r="A426">
        <v>27</v>
      </c>
      <c r="B426">
        <v>2</v>
      </c>
      <c r="C426" s="31">
        <v>47255</v>
      </c>
      <c r="D42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6" s="51" t="str">
        <f>"CY"&amp;RIGHT(YEAR(transactions[[#This Row],[TransactionDate]]),2)&amp;"-Q"&amp;ROUNDUP(MONTH(transactions[[#This Row],[TransactionDate]])/3, 0)</f>
        <v>CY29-Q2</v>
      </c>
      <c r="F426" s="52">
        <f>transactions[[#This Row],[UnWeighted]]*_xlfn.XLOOKUP(transactions[[#This Row],[OpportunityID]],Opportunities[ID],Opportunities[WinProbabilityValue])</f>
        <v>46287.333333333336</v>
      </c>
      <c r="G426"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426" s="51" t="str">
        <f>_xlfn.XLOOKUP(transactions[[#This Row],[OpportunityID]],Opportunities[ID],Opportunities[Status])</f>
        <v>Active</v>
      </c>
      <c r="I426" s="51" t="str">
        <f>_xlfn.XLOOKUP(transactions[[#This Row],[OpportunityID]],Opportunities[ID],Opportunities[Stage])</f>
        <v>Lead Qualification</v>
      </c>
      <c r="J426" s="51" t="str">
        <f>_xlfn.XLOOKUP(transactions[[#This Row],[OpportunityID]],Opportunities[ID],Opportunities[OpportunityName])</f>
        <v>Backup &amp; Recovery System</v>
      </c>
      <c r="K426" s="51" t="str">
        <f>_xlfn.XLOOKUP(transactions[[#This Row],[CustomerId]],Customers[Id],Customers[Customer Name])</f>
        <v>Global Industries</v>
      </c>
      <c r="L426" s="51" t="str">
        <f>_xlfn.XLOOKUP(transactions[[#This Row],[OpportunityID]],Opportunities[ID],Opportunities[OpportunityOwner])</f>
        <v>Amanda Sales</v>
      </c>
      <c r="M426" s="51" t="str">
        <f ca="1">IF((transactions[[#This Row],[TransactionDate]]-TODAY())&lt;=366,transactions[[#This Row],[FQ]],"Out-year")</f>
        <v>Out-year</v>
      </c>
      <c r="N426" s="55">
        <f>transactions[[#This Row],[UnWeighted]]/1000</f>
        <v>92.574666666666673</v>
      </c>
      <c r="O426" s="55">
        <f>transactions[[#This Row],[Weighted]]/1000</f>
        <v>46.287333333333336</v>
      </c>
      <c r="P426" s="55">
        <f>transactions[[#This Row],[$K Unweighted]]/1000</f>
        <v>9.2574666666666666E-2</v>
      </c>
      <c r="Q426" s="55" t="b">
        <f ca="1">transactions[[#This Row],[TransactionDate]]&gt;TODAY()</f>
        <v>1</v>
      </c>
    </row>
    <row r="427" spans="1:17" x14ac:dyDescent="0.25">
      <c r="A427">
        <v>23</v>
      </c>
      <c r="B427">
        <v>11</v>
      </c>
      <c r="C427" s="31">
        <v>47258</v>
      </c>
      <c r="D42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7" s="51" t="str">
        <f>"CY"&amp;RIGHT(YEAR(transactions[[#This Row],[TransactionDate]]),2)&amp;"-Q"&amp;ROUNDUP(MONTH(transactions[[#This Row],[TransactionDate]])/3, 0)</f>
        <v>CY29-Q2</v>
      </c>
      <c r="F427" s="52">
        <f>transactions[[#This Row],[UnWeighted]]*_xlfn.XLOOKUP(transactions[[#This Row],[OpportunityID]],Opportunities[ID],Opportunities[WinProbabilityValue])</f>
        <v>25249.37777777778</v>
      </c>
      <c r="G427" s="52">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427" s="51" t="str">
        <f>_xlfn.XLOOKUP(transactions[[#This Row],[OpportunityID]],Opportunities[ID],Opportunities[Status])</f>
        <v>Critical</v>
      </c>
      <c r="I427" s="51" t="str">
        <f>_xlfn.XLOOKUP(transactions[[#This Row],[OpportunityID]],Opportunities[ID],Opportunities[Stage])</f>
        <v>Negotiation</v>
      </c>
      <c r="J427" s="51" t="str">
        <f>_xlfn.XLOOKUP(transactions[[#This Row],[OpportunityID]],Opportunities[ID],Opportunities[OpportunityName])</f>
        <v>Point of Sale System</v>
      </c>
      <c r="K427" s="51" t="str">
        <f>_xlfn.XLOOKUP(transactions[[#This Row],[CustomerId]],Customers[Id],Customers[Customer Name])</f>
        <v>Transport Logistics</v>
      </c>
      <c r="L427" s="51" t="str">
        <f>_xlfn.XLOOKUP(transactions[[#This Row],[OpportunityID]],Opportunities[ID],Opportunities[OpportunityOwner])</f>
        <v>David Specialist</v>
      </c>
      <c r="M427" s="51" t="str">
        <f ca="1">IF((transactions[[#This Row],[TransactionDate]]-TODAY())&lt;=366,transactions[[#This Row],[FQ]],"Out-year")</f>
        <v>Out-year</v>
      </c>
      <c r="N427" s="55">
        <f>transactions[[#This Row],[UnWeighted]]/1000</f>
        <v>126.24688888888889</v>
      </c>
      <c r="O427" s="55">
        <f>transactions[[#This Row],[Weighted]]/1000</f>
        <v>25.249377777777781</v>
      </c>
      <c r="P427" s="55">
        <f>transactions[[#This Row],[$K Unweighted]]/1000</f>
        <v>0.12624688888888888</v>
      </c>
      <c r="Q427" s="55" t="b">
        <f ca="1">transactions[[#This Row],[TransactionDate]]&gt;TODAY()</f>
        <v>1</v>
      </c>
    </row>
    <row r="428" spans="1:17" x14ac:dyDescent="0.25">
      <c r="A428">
        <v>31</v>
      </c>
      <c r="B428">
        <v>15</v>
      </c>
      <c r="C428" s="31">
        <v>47260</v>
      </c>
      <c r="D42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8" s="51" t="str">
        <f>"CY"&amp;RIGHT(YEAR(transactions[[#This Row],[TransactionDate]]),2)&amp;"-Q"&amp;ROUNDUP(MONTH(transactions[[#This Row],[TransactionDate]])/3, 0)</f>
        <v>CY29-Q2</v>
      </c>
      <c r="F428" s="52">
        <f>transactions[[#This Row],[UnWeighted]]*_xlfn.XLOOKUP(transactions[[#This Row],[OpportunityID]],Opportunities[ID],Opportunities[WinProbabilityValue])</f>
        <v>19221.625</v>
      </c>
      <c r="G428" s="52">
        <f>_xlfn.XLOOKUP(transactions[[#This Row],[OpportunityID]],Opportunities[ID],Opportunities[Amount])/IF(_xlfn.XLOOKUP(transactions[[#This Row],[OpportunityID]],Opportunities[ID],Opportunities[Recurrences])=0,1,_xlfn.XLOOKUP(transactions[[#This Row],[OpportunityID]],Opportunities[ID],Opportunities[Recurrences]))</f>
        <v>96108.125</v>
      </c>
      <c r="H428" s="51" t="str">
        <f>_xlfn.XLOOKUP(transactions[[#This Row],[OpportunityID]],Opportunities[ID],Opportunities[Status])</f>
        <v>At Risk</v>
      </c>
      <c r="I428" s="51" t="str">
        <f>_xlfn.XLOOKUP(transactions[[#This Row],[OpportunityID]],Opportunities[ID],Opportunities[Stage])</f>
        <v>Negotiation</v>
      </c>
      <c r="J428" s="51" t="str">
        <f>_xlfn.XLOOKUP(transactions[[#This Row],[OpportunityID]],Opportunities[ID],Opportunities[OpportunityName])</f>
        <v>Fleet Management System</v>
      </c>
      <c r="K428" s="51" t="str">
        <f>_xlfn.XLOOKUP(transactions[[#This Row],[CustomerId]],Customers[Id],Customers[Customer Name])</f>
        <v>Pharmaceutical Research</v>
      </c>
      <c r="L428" s="51" t="str">
        <f>_xlfn.XLOOKUP(transactions[[#This Row],[OpportunityID]],Opportunities[ID],Opportunities[OpportunityOwner])</f>
        <v>Amanda Sales</v>
      </c>
      <c r="M428" s="51" t="str">
        <f ca="1">IF((transactions[[#This Row],[TransactionDate]]-TODAY())&lt;=366,transactions[[#This Row],[FQ]],"Out-year")</f>
        <v>Out-year</v>
      </c>
      <c r="N428" s="55">
        <f>transactions[[#This Row],[UnWeighted]]/1000</f>
        <v>96.108125000000001</v>
      </c>
      <c r="O428" s="55">
        <f>transactions[[#This Row],[Weighted]]/1000</f>
        <v>19.221625</v>
      </c>
      <c r="P428" s="55">
        <f>transactions[[#This Row],[$K Unweighted]]/1000</f>
        <v>9.6108125000000003E-2</v>
      </c>
      <c r="Q428" s="55" t="b">
        <f ca="1">transactions[[#This Row],[TransactionDate]]&gt;TODAY()</f>
        <v>1</v>
      </c>
    </row>
    <row r="429" spans="1:17" x14ac:dyDescent="0.25">
      <c r="A429">
        <v>13</v>
      </c>
      <c r="B429">
        <v>2</v>
      </c>
      <c r="C429" s="31">
        <v>47260</v>
      </c>
      <c r="D42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9" s="51" t="str">
        <f>"CY"&amp;RIGHT(YEAR(transactions[[#This Row],[TransactionDate]]),2)&amp;"-Q"&amp;ROUNDUP(MONTH(transactions[[#This Row],[TransactionDate]])/3, 0)</f>
        <v>CY29-Q2</v>
      </c>
      <c r="F429" s="52">
        <f>transactions[[#This Row],[UnWeighted]]*_xlfn.XLOOKUP(transactions[[#This Row],[OpportunityID]],Opportunities[ID],Opportunities[WinProbabilityValue])</f>
        <v>12618.744897959185</v>
      </c>
      <c r="G429"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29" s="51" t="str">
        <f>_xlfn.XLOOKUP(transactions[[#This Row],[OpportunityID]],Opportunities[ID],Opportunities[Status])</f>
        <v>Active</v>
      </c>
      <c r="I429" s="51" t="str">
        <f>_xlfn.XLOOKUP(transactions[[#This Row],[OpportunityID]],Opportunities[ID],Opportunities[Stage])</f>
        <v>Negotiation</v>
      </c>
      <c r="J429" s="51" t="str">
        <f>_xlfn.XLOOKUP(transactions[[#This Row],[OpportunityID]],Opportunities[ID],Opportunities[OpportunityName])</f>
        <v>E-commerce Platform</v>
      </c>
      <c r="K429" s="51" t="str">
        <f>_xlfn.XLOOKUP(transactions[[#This Row],[CustomerId]],Customers[Id],Customers[Customer Name])</f>
        <v>Global Industries</v>
      </c>
      <c r="L429" s="51" t="str">
        <f>_xlfn.XLOOKUP(transactions[[#This Row],[OpportunityID]],Opportunities[ID],Opportunities[OpportunityOwner])</f>
        <v>Lisa Engineer</v>
      </c>
      <c r="M429" s="51" t="str">
        <f ca="1">IF((transactions[[#This Row],[TransactionDate]]-TODAY())&lt;=366,transactions[[#This Row],[FQ]],"Out-year")</f>
        <v>Out-year</v>
      </c>
      <c r="N429" s="55">
        <f>transactions[[#This Row],[UnWeighted]]/1000</f>
        <v>25.237489795918368</v>
      </c>
      <c r="O429" s="55">
        <f>transactions[[#This Row],[Weighted]]/1000</f>
        <v>12.618744897959184</v>
      </c>
      <c r="P429" s="55">
        <f>transactions[[#This Row],[$K Unweighted]]/1000</f>
        <v>2.5237489795918368E-2</v>
      </c>
      <c r="Q429" s="55" t="b">
        <f ca="1">transactions[[#This Row],[TransactionDate]]&gt;TODAY()</f>
        <v>1</v>
      </c>
    </row>
    <row r="430" spans="1:17" x14ac:dyDescent="0.25">
      <c r="A430">
        <v>26</v>
      </c>
      <c r="B430">
        <v>1</v>
      </c>
      <c r="C430" s="31">
        <v>47270</v>
      </c>
      <c r="D43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0" s="51" t="str">
        <f>"CY"&amp;RIGHT(YEAR(transactions[[#This Row],[TransactionDate]]),2)&amp;"-Q"&amp;ROUNDUP(MONTH(transactions[[#This Row],[TransactionDate]])/3, 0)</f>
        <v>CY29-Q2</v>
      </c>
      <c r="F430" s="52">
        <f>transactions[[#This Row],[UnWeighted]]*_xlfn.XLOOKUP(transactions[[#This Row],[OpportunityID]],Opportunities[ID],Opportunities[WinProbabilityValue])</f>
        <v>11339.638888888889</v>
      </c>
      <c r="G430"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30" s="51" t="str">
        <f>_xlfn.XLOOKUP(transactions[[#This Row],[OpportunityID]],Opportunities[ID],Opportunities[Status])</f>
        <v>Active</v>
      </c>
      <c r="I430" s="51" t="str">
        <f>_xlfn.XLOOKUP(transactions[[#This Row],[OpportunityID]],Opportunities[ID],Opportunities[Stage])</f>
        <v>Negotiation</v>
      </c>
      <c r="J430" s="51" t="str">
        <f>_xlfn.XLOOKUP(transactions[[#This Row],[OpportunityID]],Opportunities[ID],Opportunities[OpportunityName])</f>
        <v>Video Conferencing Solution</v>
      </c>
      <c r="K430" s="51" t="str">
        <f>_xlfn.XLOOKUP(transactions[[#This Row],[CustomerId]],Customers[Id],Customers[Customer Name])</f>
        <v>ACME Corporation</v>
      </c>
      <c r="L430" s="51" t="str">
        <f>_xlfn.XLOOKUP(transactions[[#This Row],[OpportunityID]],Opportunities[ID],Opportunities[OpportunityOwner])</f>
        <v>Mike Consultant</v>
      </c>
      <c r="M430" s="51" t="str">
        <f ca="1">IF((transactions[[#This Row],[TransactionDate]]-TODAY())&lt;=366,transactions[[#This Row],[FQ]],"Out-year")</f>
        <v>Out-year</v>
      </c>
      <c r="N430" s="55">
        <f>transactions[[#This Row],[UnWeighted]]/1000</f>
        <v>22.679277777777777</v>
      </c>
      <c r="O430" s="55">
        <f>transactions[[#This Row],[Weighted]]/1000</f>
        <v>11.339638888888889</v>
      </c>
      <c r="P430" s="55">
        <f>transactions[[#This Row],[$K Unweighted]]/1000</f>
        <v>2.2679277777777777E-2</v>
      </c>
      <c r="Q430" s="55" t="b">
        <f ca="1">transactions[[#This Row],[TransactionDate]]&gt;TODAY()</f>
        <v>1</v>
      </c>
    </row>
    <row r="431" spans="1:17" x14ac:dyDescent="0.25">
      <c r="A431">
        <v>39</v>
      </c>
      <c r="B431">
        <v>3</v>
      </c>
      <c r="C431" s="31">
        <v>47272</v>
      </c>
      <c r="D43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1" s="51" t="str">
        <f>"CY"&amp;RIGHT(YEAR(transactions[[#This Row],[TransactionDate]]),2)&amp;"-Q"&amp;ROUNDUP(MONTH(transactions[[#This Row],[TransactionDate]])/3, 0)</f>
        <v>CY29-Q2</v>
      </c>
      <c r="F431" s="52">
        <f>transactions[[#This Row],[UnWeighted]]*_xlfn.XLOOKUP(transactions[[#This Row],[OpportunityID]],Opportunities[ID],Opportunities[WinProbabilityValue])</f>
        <v>20929.153846153848</v>
      </c>
      <c r="G431"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31" s="51" t="str">
        <f>_xlfn.XLOOKUP(transactions[[#This Row],[OpportunityID]],Opportunities[ID],Opportunities[Status])</f>
        <v>Active</v>
      </c>
      <c r="I431" s="51" t="str">
        <f>_xlfn.XLOOKUP(transactions[[#This Row],[OpportunityID]],Opportunities[ID],Opportunities[Stage])</f>
        <v>Project Execution</v>
      </c>
      <c r="J431" s="51" t="str">
        <f>_xlfn.XLOOKUP(transactions[[#This Row],[OpportunityID]],Opportunities[ID],Opportunities[OpportunityName])</f>
        <v>API Development Project</v>
      </c>
      <c r="K431" s="51" t="str">
        <f>_xlfn.XLOOKUP(transactions[[#This Row],[CustomerId]],Customers[Id],Customers[Customer Name])</f>
        <v>Tech Solutions Inc</v>
      </c>
      <c r="L431" s="51" t="str">
        <f>_xlfn.XLOOKUP(transactions[[#This Row],[OpportunityID]],Opportunities[ID],Opportunities[OpportunityOwner])</f>
        <v>Jennifer PM</v>
      </c>
      <c r="M431" s="51" t="str">
        <f ca="1">IF((transactions[[#This Row],[TransactionDate]]-TODAY())&lt;=366,transactions[[#This Row],[FQ]],"Out-year")</f>
        <v>Out-year</v>
      </c>
      <c r="N431" s="55">
        <f>transactions[[#This Row],[UnWeighted]]/1000</f>
        <v>41.858307692307697</v>
      </c>
      <c r="O431" s="55">
        <f>transactions[[#This Row],[Weighted]]/1000</f>
        <v>20.929153846153849</v>
      </c>
      <c r="P431" s="55">
        <f>transactions[[#This Row],[$K Unweighted]]/1000</f>
        <v>4.1858307692307695E-2</v>
      </c>
      <c r="Q431" s="55" t="b">
        <f ca="1">transactions[[#This Row],[TransactionDate]]&gt;TODAY()</f>
        <v>1</v>
      </c>
    </row>
    <row r="432" spans="1:17" x14ac:dyDescent="0.25">
      <c r="A432">
        <v>15</v>
      </c>
      <c r="B432">
        <v>24</v>
      </c>
      <c r="C432" s="31">
        <v>47276</v>
      </c>
      <c r="D43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2" s="51" t="str">
        <f>"CY"&amp;RIGHT(YEAR(transactions[[#This Row],[TransactionDate]]),2)&amp;"-Q"&amp;ROUNDUP(MONTH(transactions[[#This Row],[TransactionDate]])/3, 0)</f>
        <v>CY29-Q2</v>
      </c>
      <c r="F432" s="52">
        <f>transactions[[#This Row],[UnWeighted]]*_xlfn.XLOOKUP(transactions[[#This Row],[OpportunityID]],Opportunities[ID],Opportunities[WinProbabilityValue])</f>
        <v>29217.197872340425</v>
      </c>
      <c r="G432"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32" s="51" t="str">
        <f>_xlfn.XLOOKUP(transactions[[#This Row],[OpportunityID]],Opportunities[ID],Opportunities[Status])</f>
        <v>Active</v>
      </c>
      <c r="I432" s="51" t="str">
        <f>_xlfn.XLOOKUP(transactions[[#This Row],[OpportunityID]],Opportunities[ID],Opportunities[Stage])</f>
        <v>Project Execution</v>
      </c>
      <c r="J432" s="51" t="str">
        <f>_xlfn.XLOOKUP(transactions[[#This Row],[OpportunityID]],Opportunities[ID],Opportunities[OpportunityName])</f>
        <v>Training &amp; Development Program</v>
      </c>
      <c r="K432" s="51" t="str">
        <f>_xlfn.XLOOKUP(transactions[[#This Row],[CustomerId]],Customers[Id],Customers[Customer Name])</f>
        <v>Security Solutions</v>
      </c>
      <c r="L432" s="51" t="str">
        <f>_xlfn.XLOOKUP(transactions[[#This Row],[OpportunityID]],Opportunities[ID],Opportunities[OpportunityOwner])</f>
        <v>Sarah Director</v>
      </c>
      <c r="M432" s="51" t="str">
        <f ca="1">IF((transactions[[#This Row],[TransactionDate]]-TODAY())&lt;=366,transactions[[#This Row],[FQ]],"Out-year")</f>
        <v>Out-year</v>
      </c>
      <c r="N432" s="55">
        <f>transactions[[#This Row],[UnWeighted]]/1000</f>
        <v>32.46355319148936</v>
      </c>
      <c r="O432" s="55">
        <f>transactions[[#This Row],[Weighted]]/1000</f>
        <v>29.217197872340424</v>
      </c>
      <c r="P432" s="55">
        <f>transactions[[#This Row],[$K Unweighted]]/1000</f>
        <v>3.2463553191489358E-2</v>
      </c>
      <c r="Q432" s="55" t="b">
        <f ca="1">transactions[[#This Row],[TransactionDate]]&gt;TODAY()</f>
        <v>1</v>
      </c>
    </row>
    <row r="433" spans="1:17" x14ac:dyDescent="0.25">
      <c r="A433">
        <v>22</v>
      </c>
      <c r="B433">
        <v>11</v>
      </c>
      <c r="C433" s="31">
        <v>47280</v>
      </c>
      <c r="D43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3" s="51" t="str">
        <f>"CY"&amp;RIGHT(YEAR(transactions[[#This Row],[TransactionDate]]),2)&amp;"-Q"&amp;ROUNDUP(MONTH(transactions[[#This Row],[TransactionDate]])/3, 0)</f>
        <v>CY29-Q2</v>
      </c>
      <c r="F433" s="52">
        <f>transactions[[#This Row],[UnWeighted]]*_xlfn.XLOOKUP(transactions[[#This Row],[OpportunityID]],Opportunities[ID],Opportunities[WinProbabilityValue])</f>
        <v>26390.544230769232</v>
      </c>
      <c r="G433"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33" s="51" t="str">
        <f>_xlfn.XLOOKUP(transactions[[#This Row],[OpportunityID]],Opportunities[ID],Opportunities[Status])</f>
        <v>Active</v>
      </c>
      <c r="I433" s="51" t="str">
        <f>_xlfn.XLOOKUP(transactions[[#This Row],[OpportunityID]],Opportunities[ID],Opportunities[Stage])</f>
        <v>Nurturing</v>
      </c>
      <c r="J433" s="51" t="str">
        <f>_xlfn.XLOOKUP(transactions[[#This Row],[OpportunityID]],Opportunities[ID],Opportunities[OpportunityName])</f>
        <v>Inventory Management Solution</v>
      </c>
      <c r="K433" s="51" t="str">
        <f>_xlfn.XLOOKUP(transactions[[#This Row],[CustomerId]],Customers[Id],Customers[Customer Name])</f>
        <v>Transport Logistics</v>
      </c>
      <c r="L433" s="51" t="str">
        <f>_xlfn.XLOOKUP(transactions[[#This Row],[OpportunityID]],Opportunities[ID],Opportunities[OpportunityOwner])</f>
        <v>Sarah Director</v>
      </c>
      <c r="M433" s="51" t="str">
        <f ca="1">IF((transactions[[#This Row],[TransactionDate]]-TODAY())&lt;=366,transactions[[#This Row],[FQ]],"Out-year")</f>
        <v>Out-year</v>
      </c>
      <c r="N433" s="55">
        <f>transactions[[#This Row],[UnWeighted]]/1000</f>
        <v>29.322826923076921</v>
      </c>
      <c r="O433" s="55">
        <f>transactions[[#This Row],[Weighted]]/1000</f>
        <v>26.390544230769233</v>
      </c>
      <c r="P433" s="55">
        <f>transactions[[#This Row],[$K Unweighted]]/1000</f>
        <v>2.932282692307692E-2</v>
      </c>
      <c r="Q433" s="55" t="b">
        <f ca="1">transactions[[#This Row],[TransactionDate]]&gt;TODAY()</f>
        <v>1</v>
      </c>
    </row>
    <row r="434" spans="1:17" x14ac:dyDescent="0.25">
      <c r="A434">
        <v>2</v>
      </c>
      <c r="B434">
        <v>10</v>
      </c>
      <c r="C434" s="31">
        <v>47286</v>
      </c>
      <c r="D43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4" s="51" t="str">
        <f>"CY"&amp;RIGHT(YEAR(transactions[[#This Row],[TransactionDate]]),2)&amp;"-Q"&amp;ROUNDUP(MONTH(transactions[[#This Row],[TransactionDate]])/3, 0)</f>
        <v>CY29-Q2</v>
      </c>
      <c r="F434" s="52">
        <f>transactions[[#This Row],[UnWeighted]]*_xlfn.XLOOKUP(transactions[[#This Row],[OpportunityID]],Opportunities[ID],Opportunities[WinProbabilityValue])</f>
        <v>20720.20930232558</v>
      </c>
      <c r="G434" s="52">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34" s="51" t="str">
        <f>_xlfn.XLOOKUP(transactions[[#This Row],[OpportunityID]],Opportunities[ID],Opportunities[Status])</f>
        <v>Active</v>
      </c>
      <c r="I434" s="51" t="str">
        <f>_xlfn.XLOOKUP(transactions[[#This Row],[OpportunityID]],Opportunities[ID],Opportunities[Stage])</f>
        <v>Proposal</v>
      </c>
      <c r="J434" s="51" t="str">
        <f>_xlfn.XLOOKUP(transactions[[#This Row],[OpportunityID]],Opportunities[ID],Opportunities[OpportunityName])</f>
        <v>Cloud Migration Initiative</v>
      </c>
      <c r="K434" s="51" t="str">
        <f>_xlfn.XLOOKUP(transactions[[#This Row],[CustomerId]],Customers[Id],Customers[Customer Name])</f>
        <v>Education First</v>
      </c>
      <c r="L434" s="51" t="str">
        <f>_xlfn.XLOOKUP(transactions[[#This Row],[OpportunityID]],Opportunities[ID],Opportunities[OpportunityOwner])</f>
        <v>Robert Analyst</v>
      </c>
      <c r="M434" s="51" t="str">
        <f ca="1">IF((transactions[[#This Row],[TransactionDate]]-TODAY())&lt;=366,transactions[[#This Row],[FQ]],"Out-year")</f>
        <v>Out-year</v>
      </c>
      <c r="N434" s="55">
        <f>transactions[[#This Row],[UnWeighted]]/1000</f>
        <v>41.440418604651157</v>
      </c>
      <c r="O434" s="55">
        <f>transactions[[#This Row],[Weighted]]/1000</f>
        <v>20.720209302325578</v>
      </c>
      <c r="P434" s="55">
        <f>transactions[[#This Row],[$K Unweighted]]/1000</f>
        <v>4.1440418604651155E-2</v>
      </c>
      <c r="Q434" s="55" t="b">
        <f ca="1">transactions[[#This Row],[TransactionDate]]&gt;TODAY()</f>
        <v>1</v>
      </c>
    </row>
    <row r="435" spans="1:17" x14ac:dyDescent="0.25">
      <c r="A435">
        <v>1</v>
      </c>
      <c r="B435">
        <v>18</v>
      </c>
      <c r="C435" s="31">
        <v>47286</v>
      </c>
      <c r="D43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5" s="51" t="str">
        <f>"CY"&amp;RIGHT(YEAR(transactions[[#This Row],[TransactionDate]]),2)&amp;"-Q"&amp;ROUNDUP(MONTH(transactions[[#This Row],[TransactionDate]])/3, 0)</f>
        <v>CY29-Q2</v>
      </c>
      <c r="F435" s="52">
        <f>transactions[[#This Row],[UnWeighted]]*_xlfn.XLOOKUP(transactions[[#This Row],[OpportunityID]],Opportunities[ID],Opportunities[WinProbabilityValue])</f>
        <v>49601.433333333334</v>
      </c>
      <c r="G435" s="52">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435" s="51" t="str">
        <f>_xlfn.XLOOKUP(transactions[[#This Row],[OpportunityID]],Opportunities[ID],Opportunities[Status])</f>
        <v>Active</v>
      </c>
      <c r="I435" s="51" t="str">
        <f>_xlfn.XLOOKUP(transactions[[#This Row],[OpportunityID]],Opportunities[ID],Opportunities[Stage])</f>
        <v>Lead Qualification</v>
      </c>
      <c r="J435" s="51" t="str">
        <f>_xlfn.XLOOKUP(transactions[[#This Row],[OpportunityID]],Opportunities[ID],Opportunities[OpportunityName])</f>
        <v>ERP Implementation Project</v>
      </c>
      <c r="K435" s="51" t="str">
        <f>_xlfn.XLOOKUP(transactions[[#This Row],[CustomerId]],Customers[Id],Customers[Customer Name])</f>
        <v>Agricultural Systems</v>
      </c>
      <c r="L435" s="51" t="str">
        <f>_xlfn.XLOOKUP(transactions[[#This Row],[OpportunityID]],Opportunities[ID],Opportunities[OpportunityOwner])</f>
        <v>Amanda Sales</v>
      </c>
      <c r="M435" s="51" t="str">
        <f ca="1">IF((transactions[[#This Row],[TransactionDate]]-TODAY())&lt;=366,transactions[[#This Row],[FQ]],"Out-year")</f>
        <v>Out-year</v>
      </c>
      <c r="N435" s="55">
        <f>transactions[[#This Row],[UnWeighted]]/1000</f>
        <v>248.00716666666665</v>
      </c>
      <c r="O435" s="55">
        <f>transactions[[#This Row],[Weighted]]/1000</f>
        <v>49.601433333333333</v>
      </c>
      <c r="P435" s="55">
        <f>transactions[[#This Row],[$K Unweighted]]/1000</f>
        <v>0.24800716666666664</v>
      </c>
      <c r="Q435" s="55" t="b">
        <f ca="1">transactions[[#This Row],[TransactionDate]]&gt;TODAY()</f>
        <v>1</v>
      </c>
    </row>
    <row r="436" spans="1:17" x14ac:dyDescent="0.25">
      <c r="A436">
        <v>13</v>
      </c>
      <c r="B436">
        <v>2</v>
      </c>
      <c r="C436" s="31">
        <v>47291</v>
      </c>
      <c r="D43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6" s="51" t="str">
        <f>"CY"&amp;RIGHT(YEAR(transactions[[#This Row],[TransactionDate]]),2)&amp;"-Q"&amp;ROUNDUP(MONTH(transactions[[#This Row],[TransactionDate]])/3, 0)</f>
        <v>CY29-Q2</v>
      </c>
      <c r="F436" s="52">
        <f>transactions[[#This Row],[UnWeighted]]*_xlfn.XLOOKUP(transactions[[#This Row],[OpportunityID]],Opportunities[ID],Opportunities[WinProbabilityValue])</f>
        <v>12618.744897959185</v>
      </c>
      <c r="G436"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36" s="51" t="str">
        <f>_xlfn.XLOOKUP(transactions[[#This Row],[OpportunityID]],Opportunities[ID],Opportunities[Status])</f>
        <v>Active</v>
      </c>
      <c r="I436" s="51" t="str">
        <f>_xlfn.XLOOKUP(transactions[[#This Row],[OpportunityID]],Opportunities[ID],Opportunities[Stage])</f>
        <v>Negotiation</v>
      </c>
      <c r="J436" s="51" t="str">
        <f>_xlfn.XLOOKUP(transactions[[#This Row],[OpportunityID]],Opportunities[ID],Opportunities[OpportunityName])</f>
        <v>E-commerce Platform</v>
      </c>
      <c r="K436" s="51" t="str">
        <f>_xlfn.XLOOKUP(transactions[[#This Row],[CustomerId]],Customers[Id],Customers[Customer Name])</f>
        <v>Global Industries</v>
      </c>
      <c r="L436" s="51" t="str">
        <f>_xlfn.XLOOKUP(transactions[[#This Row],[OpportunityID]],Opportunities[ID],Opportunities[OpportunityOwner])</f>
        <v>Lisa Engineer</v>
      </c>
      <c r="M436" s="51" t="str">
        <f ca="1">IF((transactions[[#This Row],[TransactionDate]]-TODAY())&lt;=366,transactions[[#This Row],[FQ]],"Out-year")</f>
        <v>Out-year</v>
      </c>
      <c r="N436" s="55">
        <f>transactions[[#This Row],[UnWeighted]]/1000</f>
        <v>25.237489795918368</v>
      </c>
      <c r="O436" s="55">
        <f>transactions[[#This Row],[Weighted]]/1000</f>
        <v>12.618744897959184</v>
      </c>
      <c r="P436" s="55">
        <f>transactions[[#This Row],[$K Unweighted]]/1000</f>
        <v>2.5237489795918368E-2</v>
      </c>
      <c r="Q436" s="55" t="b">
        <f ca="1">transactions[[#This Row],[TransactionDate]]&gt;TODAY()</f>
        <v>1</v>
      </c>
    </row>
    <row r="437" spans="1:17" x14ac:dyDescent="0.25">
      <c r="A437">
        <v>6</v>
      </c>
      <c r="B437">
        <v>13</v>
      </c>
      <c r="C437" s="31">
        <v>47295</v>
      </c>
      <c r="D43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7" s="51" t="str">
        <f>"CY"&amp;RIGHT(YEAR(transactions[[#This Row],[TransactionDate]]),2)&amp;"-Q"&amp;ROUNDUP(MONTH(transactions[[#This Row],[TransactionDate]])/3, 0)</f>
        <v>CY29-Q2</v>
      </c>
      <c r="F437" s="52">
        <f>transactions[[#This Row],[UnWeighted]]*_xlfn.XLOOKUP(transactions[[#This Row],[OpportunityID]],Opportunities[ID],Opportunities[WinProbabilityValue])</f>
        <v>37550.227272727272</v>
      </c>
      <c r="G437" s="52">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437" s="51" t="str">
        <f>_xlfn.XLOOKUP(transactions[[#This Row],[OpportunityID]],Opportunities[ID],Opportunities[Status])</f>
        <v>Active</v>
      </c>
      <c r="I437" s="51" t="str">
        <f>_xlfn.XLOOKUP(transactions[[#This Row],[OpportunityID]],Opportunities[ID],Opportunities[Stage])</f>
        <v>Project Execution</v>
      </c>
      <c r="J437" s="51" t="str">
        <f>_xlfn.XLOOKUP(transactions[[#This Row],[OpportunityID]],Opportunities[ID],Opportunities[OpportunityName])</f>
        <v>Digital Transformation Project</v>
      </c>
      <c r="K437" s="51" t="str">
        <f>_xlfn.XLOOKUP(transactions[[#This Row],[CustomerId]],Customers[Id],Customers[Customer Name])</f>
        <v>Professional Services Group</v>
      </c>
      <c r="L437" s="51" t="str">
        <f>_xlfn.XLOOKUP(transactions[[#This Row],[OpportunityID]],Opportunities[ID],Opportunities[OpportunityOwner])</f>
        <v>Robert Analyst</v>
      </c>
      <c r="M437" s="51" t="str">
        <f ca="1">IF((transactions[[#This Row],[TransactionDate]]-TODAY())&lt;=366,transactions[[#This Row],[FQ]],"Out-year")</f>
        <v>Out-year</v>
      </c>
      <c r="N437" s="55">
        <f>transactions[[#This Row],[UnWeighted]]/1000</f>
        <v>75.100454545454539</v>
      </c>
      <c r="O437" s="55">
        <f>transactions[[#This Row],[Weighted]]/1000</f>
        <v>37.55022727272727</v>
      </c>
      <c r="P437" s="55">
        <f>transactions[[#This Row],[$K Unweighted]]/1000</f>
        <v>7.510045454545454E-2</v>
      </c>
      <c r="Q437" s="55" t="b">
        <f ca="1">transactions[[#This Row],[TransactionDate]]&gt;TODAY()</f>
        <v>1</v>
      </c>
    </row>
    <row r="438" spans="1:17" x14ac:dyDescent="0.25">
      <c r="A438">
        <v>38</v>
      </c>
      <c r="B438">
        <v>21</v>
      </c>
      <c r="C438" s="31">
        <v>47299</v>
      </c>
      <c r="D43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8" s="51" t="str">
        <f>"CY"&amp;RIGHT(YEAR(transactions[[#This Row],[TransactionDate]]),2)&amp;"-Q"&amp;ROUNDUP(MONTH(transactions[[#This Row],[TransactionDate]])/3, 0)</f>
        <v>CY29-Q2</v>
      </c>
      <c r="F438" s="52">
        <f>transactions[[#This Row],[UnWeighted]]*_xlfn.XLOOKUP(transactions[[#This Row],[OpportunityID]],Opportunities[ID],Opportunities[WinProbabilityValue])</f>
        <v>50822.5</v>
      </c>
      <c r="G438" s="52">
        <f>_xlfn.XLOOKUP(transactions[[#This Row],[OpportunityID]],Opportunities[ID],Opportunities[Amount])/IF(_xlfn.XLOOKUP(transactions[[#This Row],[OpportunityID]],Opportunities[ID],Opportunities[Recurrences])=0,1,_xlfn.XLOOKUP(transactions[[#This Row],[OpportunityID]],Opportunities[ID],Opportunities[Recurrences]))</f>
        <v>101645</v>
      </c>
      <c r="H438" s="51" t="str">
        <f>_xlfn.XLOOKUP(transactions[[#This Row],[OpportunityID]],Opportunities[ID],Opportunities[Status])</f>
        <v>Active</v>
      </c>
      <c r="I438" s="51" t="str">
        <f>_xlfn.XLOOKUP(transactions[[#This Row],[OpportunityID]],Opportunities[ID],Opportunities[Stage])</f>
        <v>Proposal</v>
      </c>
      <c r="J438" s="51" t="str">
        <f>_xlfn.XLOOKUP(transactions[[#This Row],[OpportunityID]],Opportunities[ID],Opportunities[OpportunityName])</f>
        <v>Legacy System Modernization</v>
      </c>
      <c r="K438" s="51" t="str">
        <f>_xlfn.XLOOKUP(transactions[[#This Row],[CustomerId]],Customers[Id],Customers[Customer Name])</f>
        <v>Textile Manufacturing</v>
      </c>
      <c r="L438" s="51" t="str">
        <f>_xlfn.XLOOKUP(transactions[[#This Row],[OpportunityID]],Opportunities[ID],Opportunities[OpportunityOwner])</f>
        <v>Lisa Engineer</v>
      </c>
      <c r="M438" s="51" t="str">
        <f ca="1">IF((transactions[[#This Row],[TransactionDate]]-TODAY())&lt;=366,transactions[[#This Row],[FQ]],"Out-year")</f>
        <v>Out-year</v>
      </c>
      <c r="N438" s="55">
        <f>transactions[[#This Row],[UnWeighted]]/1000</f>
        <v>101.645</v>
      </c>
      <c r="O438" s="55">
        <f>transactions[[#This Row],[Weighted]]/1000</f>
        <v>50.822499999999998</v>
      </c>
      <c r="P438" s="55">
        <f>transactions[[#This Row],[$K Unweighted]]/1000</f>
        <v>0.101645</v>
      </c>
      <c r="Q438" s="55" t="b">
        <f ca="1">transactions[[#This Row],[TransactionDate]]&gt;TODAY()</f>
        <v>1</v>
      </c>
    </row>
    <row r="439" spans="1:17" x14ac:dyDescent="0.25">
      <c r="A439">
        <v>26</v>
      </c>
      <c r="B439">
        <v>1</v>
      </c>
      <c r="C439" s="31">
        <v>47300</v>
      </c>
      <c r="D43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9" s="51" t="str">
        <f>"CY"&amp;RIGHT(YEAR(transactions[[#This Row],[TransactionDate]]),2)&amp;"-Q"&amp;ROUNDUP(MONTH(transactions[[#This Row],[TransactionDate]])/3, 0)</f>
        <v>CY29-Q3</v>
      </c>
      <c r="F439" s="52">
        <f>transactions[[#This Row],[UnWeighted]]*_xlfn.XLOOKUP(transactions[[#This Row],[OpportunityID]],Opportunities[ID],Opportunities[WinProbabilityValue])</f>
        <v>11339.638888888889</v>
      </c>
      <c r="G439"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39" s="51" t="str">
        <f>_xlfn.XLOOKUP(transactions[[#This Row],[OpportunityID]],Opportunities[ID],Opportunities[Status])</f>
        <v>Active</v>
      </c>
      <c r="I439" s="51" t="str">
        <f>_xlfn.XLOOKUP(transactions[[#This Row],[OpportunityID]],Opportunities[ID],Opportunities[Stage])</f>
        <v>Negotiation</v>
      </c>
      <c r="J439" s="51" t="str">
        <f>_xlfn.XLOOKUP(transactions[[#This Row],[OpportunityID]],Opportunities[ID],Opportunities[OpportunityName])</f>
        <v>Video Conferencing Solution</v>
      </c>
      <c r="K439" s="51" t="str">
        <f>_xlfn.XLOOKUP(transactions[[#This Row],[CustomerId]],Customers[Id],Customers[Customer Name])</f>
        <v>ACME Corporation</v>
      </c>
      <c r="L439" s="51" t="str">
        <f>_xlfn.XLOOKUP(transactions[[#This Row],[OpportunityID]],Opportunities[ID],Opportunities[OpportunityOwner])</f>
        <v>Mike Consultant</v>
      </c>
      <c r="M439" s="51" t="str">
        <f ca="1">IF((transactions[[#This Row],[TransactionDate]]-TODAY())&lt;=366,transactions[[#This Row],[FQ]],"Out-year")</f>
        <v>Out-year</v>
      </c>
      <c r="N439" s="55">
        <f>transactions[[#This Row],[UnWeighted]]/1000</f>
        <v>22.679277777777777</v>
      </c>
      <c r="O439" s="55">
        <f>transactions[[#This Row],[Weighted]]/1000</f>
        <v>11.339638888888889</v>
      </c>
      <c r="P439" s="55">
        <f>transactions[[#This Row],[$K Unweighted]]/1000</f>
        <v>2.2679277777777777E-2</v>
      </c>
      <c r="Q439" s="55" t="b">
        <f ca="1">transactions[[#This Row],[TransactionDate]]&gt;TODAY()</f>
        <v>1</v>
      </c>
    </row>
    <row r="440" spans="1:17" x14ac:dyDescent="0.25">
      <c r="A440">
        <v>39</v>
      </c>
      <c r="B440">
        <v>3</v>
      </c>
      <c r="C440" s="31">
        <v>47302</v>
      </c>
      <c r="D44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0" s="51" t="str">
        <f>"CY"&amp;RIGHT(YEAR(transactions[[#This Row],[TransactionDate]]),2)&amp;"-Q"&amp;ROUNDUP(MONTH(transactions[[#This Row],[TransactionDate]])/3, 0)</f>
        <v>CY29-Q3</v>
      </c>
      <c r="F440" s="52">
        <f>transactions[[#This Row],[UnWeighted]]*_xlfn.XLOOKUP(transactions[[#This Row],[OpportunityID]],Opportunities[ID],Opportunities[WinProbabilityValue])</f>
        <v>20929.153846153848</v>
      </c>
      <c r="G440"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40" s="51" t="str">
        <f>_xlfn.XLOOKUP(transactions[[#This Row],[OpportunityID]],Opportunities[ID],Opportunities[Status])</f>
        <v>Active</v>
      </c>
      <c r="I440" s="51" t="str">
        <f>_xlfn.XLOOKUP(transactions[[#This Row],[OpportunityID]],Opportunities[ID],Opportunities[Stage])</f>
        <v>Project Execution</v>
      </c>
      <c r="J440" s="51" t="str">
        <f>_xlfn.XLOOKUP(transactions[[#This Row],[OpportunityID]],Opportunities[ID],Opportunities[OpportunityName])</f>
        <v>API Development Project</v>
      </c>
      <c r="K440" s="51" t="str">
        <f>_xlfn.XLOOKUP(transactions[[#This Row],[CustomerId]],Customers[Id],Customers[Customer Name])</f>
        <v>Tech Solutions Inc</v>
      </c>
      <c r="L440" s="51" t="str">
        <f>_xlfn.XLOOKUP(transactions[[#This Row],[OpportunityID]],Opportunities[ID],Opportunities[OpportunityOwner])</f>
        <v>Jennifer PM</v>
      </c>
      <c r="M440" s="51" t="str">
        <f ca="1">IF((transactions[[#This Row],[TransactionDate]]-TODAY())&lt;=366,transactions[[#This Row],[FQ]],"Out-year")</f>
        <v>Out-year</v>
      </c>
      <c r="N440" s="55">
        <f>transactions[[#This Row],[UnWeighted]]/1000</f>
        <v>41.858307692307697</v>
      </c>
      <c r="O440" s="55">
        <f>transactions[[#This Row],[Weighted]]/1000</f>
        <v>20.929153846153849</v>
      </c>
      <c r="P440" s="55">
        <f>transactions[[#This Row],[$K Unweighted]]/1000</f>
        <v>4.1858307692307695E-2</v>
      </c>
      <c r="Q440" s="55" t="b">
        <f ca="1">transactions[[#This Row],[TransactionDate]]&gt;TODAY()</f>
        <v>1</v>
      </c>
    </row>
    <row r="441" spans="1:17" x14ac:dyDescent="0.25">
      <c r="A441">
        <v>15</v>
      </c>
      <c r="B441">
        <v>24</v>
      </c>
      <c r="C441" s="31">
        <v>47306</v>
      </c>
      <c r="D44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1" s="51" t="str">
        <f>"CY"&amp;RIGHT(YEAR(transactions[[#This Row],[TransactionDate]]),2)&amp;"-Q"&amp;ROUNDUP(MONTH(transactions[[#This Row],[TransactionDate]])/3, 0)</f>
        <v>CY29-Q3</v>
      </c>
      <c r="F441" s="52">
        <f>transactions[[#This Row],[UnWeighted]]*_xlfn.XLOOKUP(transactions[[#This Row],[OpportunityID]],Opportunities[ID],Opportunities[WinProbabilityValue])</f>
        <v>29217.197872340425</v>
      </c>
      <c r="G441"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41" s="51" t="str">
        <f>_xlfn.XLOOKUP(transactions[[#This Row],[OpportunityID]],Opportunities[ID],Opportunities[Status])</f>
        <v>Active</v>
      </c>
      <c r="I441" s="51" t="str">
        <f>_xlfn.XLOOKUP(transactions[[#This Row],[OpportunityID]],Opportunities[ID],Opportunities[Stage])</f>
        <v>Project Execution</v>
      </c>
      <c r="J441" s="51" t="str">
        <f>_xlfn.XLOOKUP(transactions[[#This Row],[OpportunityID]],Opportunities[ID],Opportunities[OpportunityName])</f>
        <v>Training &amp; Development Program</v>
      </c>
      <c r="K441" s="51" t="str">
        <f>_xlfn.XLOOKUP(transactions[[#This Row],[CustomerId]],Customers[Id],Customers[Customer Name])</f>
        <v>Security Solutions</v>
      </c>
      <c r="L441" s="51" t="str">
        <f>_xlfn.XLOOKUP(transactions[[#This Row],[OpportunityID]],Opportunities[ID],Opportunities[OpportunityOwner])</f>
        <v>Sarah Director</v>
      </c>
      <c r="M441" s="51" t="str">
        <f ca="1">IF((transactions[[#This Row],[TransactionDate]]-TODAY())&lt;=366,transactions[[#This Row],[FQ]],"Out-year")</f>
        <v>Out-year</v>
      </c>
      <c r="N441" s="55">
        <f>transactions[[#This Row],[UnWeighted]]/1000</f>
        <v>32.46355319148936</v>
      </c>
      <c r="O441" s="55">
        <f>transactions[[#This Row],[Weighted]]/1000</f>
        <v>29.217197872340424</v>
      </c>
      <c r="P441" s="55">
        <f>transactions[[#This Row],[$K Unweighted]]/1000</f>
        <v>3.2463553191489358E-2</v>
      </c>
      <c r="Q441" s="55" t="b">
        <f ca="1">transactions[[#This Row],[TransactionDate]]&gt;TODAY()</f>
        <v>1</v>
      </c>
    </row>
    <row r="442" spans="1:17" x14ac:dyDescent="0.25">
      <c r="A442">
        <v>22</v>
      </c>
      <c r="B442">
        <v>11</v>
      </c>
      <c r="C442" s="31">
        <v>47310</v>
      </c>
      <c r="D44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2" s="51" t="str">
        <f>"CY"&amp;RIGHT(YEAR(transactions[[#This Row],[TransactionDate]]),2)&amp;"-Q"&amp;ROUNDUP(MONTH(transactions[[#This Row],[TransactionDate]])/3, 0)</f>
        <v>CY29-Q3</v>
      </c>
      <c r="F442" s="52">
        <f>transactions[[#This Row],[UnWeighted]]*_xlfn.XLOOKUP(transactions[[#This Row],[OpportunityID]],Opportunities[ID],Opportunities[WinProbabilityValue])</f>
        <v>26390.544230769232</v>
      </c>
      <c r="G442"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42" s="51" t="str">
        <f>_xlfn.XLOOKUP(transactions[[#This Row],[OpportunityID]],Opportunities[ID],Opportunities[Status])</f>
        <v>Active</v>
      </c>
      <c r="I442" s="51" t="str">
        <f>_xlfn.XLOOKUP(transactions[[#This Row],[OpportunityID]],Opportunities[ID],Opportunities[Stage])</f>
        <v>Nurturing</v>
      </c>
      <c r="J442" s="51" t="str">
        <f>_xlfn.XLOOKUP(transactions[[#This Row],[OpportunityID]],Opportunities[ID],Opportunities[OpportunityName])</f>
        <v>Inventory Management Solution</v>
      </c>
      <c r="K442" s="51" t="str">
        <f>_xlfn.XLOOKUP(transactions[[#This Row],[CustomerId]],Customers[Id],Customers[Customer Name])</f>
        <v>Transport Logistics</v>
      </c>
      <c r="L442" s="51" t="str">
        <f>_xlfn.XLOOKUP(transactions[[#This Row],[OpportunityID]],Opportunities[ID],Opportunities[OpportunityOwner])</f>
        <v>Sarah Director</v>
      </c>
      <c r="M442" s="51" t="str">
        <f ca="1">IF((transactions[[#This Row],[TransactionDate]]-TODAY())&lt;=366,transactions[[#This Row],[FQ]],"Out-year")</f>
        <v>Out-year</v>
      </c>
      <c r="N442" s="55">
        <f>transactions[[#This Row],[UnWeighted]]/1000</f>
        <v>29.322826923076921</v>
      </c>
      <c r="O442" s="55">
        <f>transactions[[#This Row],[Weighted]]/1000</f>
        <v>26.390544230769233</v>
      </c>
      <c r="P442" s="55">
        <f>transactions[[#This Row],[$K Unweighted]]/1000</f>
        <v>2.932282692307692E-2</v>
      </c>
      <c r="Q442" s="55" t="b">
        <f ca="1">transactions[[#This Row],[TransactionDate]]&gt;TODAY()</f>
        <v>1</v>
      </c>
    </row>
    <row r="443" spans="1:17" x14ac:dyDescent="0.25">
      <c r="A443">
        <v>11</v>
      </c>
      <c r="B443">
        <v>3</v>
      </c>
      <c r="C443" s="31">
        <v>47312</v>
      </c>
      <c r="D44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3" s="51" t="str">
        <f>"CY"&amp;RIGHT(YEAR(transactions[[#This Row],[TransactionDate]]),2)&amp;"-Q"&amp;ROUNDUP(MONTH(transactions[[#This Row],[TransactionDate]])/3, 0)</f>
        <v>CY29-Q3</v>
      </c>
      <c r="F443" s="52">
        <f>transactions[[#This Row],[UnWeighted]]*_xlfn.XLOOKUP(transactions[[#This Row],[OpportunityID]],Opportunities[ID],Opportunities[WinProbabilityValue])</f>
        <v>113460.75</v>
      </c>
      <c r="G443" s="52">
        <f>_xlfn.XLOOKUP(transactions[[#This Row],[OpportunityID]],Opportunities[ID],Opportunities[Amount])/IF(_xlfn.XLOOKUP(transactions[[#This Row],[OpportunityID]],Opportunities[ID],Opportunities[Recurrences])=0,1,_xlfn.XLOOKUP(transactions[[#This Row],[OpportunityID]],Opportunities[ID],Opportunities[Recurrences]))</f>
        <v>126067.5</v>
      </c>
      <c r="H443" s="51" t="str">
        <f>_xlfn.XLOOKUP(transactions[[#This Row],[OpportunityID]],Opportunities[ID],Opportunities[Status])</f>
        <v>At Risk</v>
      </c>
      <c r="I443" s="51" t="str">
        <f>_xlfn.XLOOKUP(transactions[[#This Row],[OpportunityID]],Opportunities[ID],Opportunities[Stage])</f>
        <v>Negotiation</v>
      </c>
      <c r="J443" s="51" t="str">
        <f>_xlfn.XLOOKUP(transactions[[#This Row],[OpportunityID]],Opportunities[ID],Opportunities[OpportunityName])</f>
        <v>Data Center Consolidation</v>
      </c>
      <c r="K443" s="51" t="str">
        <f>_xlfn.XLOOKUP(transactions[[#This Row],[CustomerId]],Customers[Id],Customers[Customer Name])</f>
        <v>Tech Solutions Inc</v>
      </c>
      <c r="L443" s="51" t="str">
        <f>_xlfn.XLOOKUP(transactions[[#This Row],[OpportunityID]],Opportunities[ID],Opportunities[OpportunityOwner])</f>
        <v>David Specialist</v>
      </c>
      <c r="M443" s="51" t="str">
        <f ca="1">IF((transactions[[#This Row],[TransactionDate]]-TODAY())&lt;=366,transactions[[#This Row],[FQ]],"Out-year")</f>
        <v>Out-year</v>
      </c>
      <c r="N443" s="55">
        <f>transactions[[#This Row],[UnWeighted]]/1000</f>
        <v>126.0675</v>
      </c>
      <c r="O443" s="55">
        <f>transactions[[#This Row],[Weighted]]/1000</f>
        <v>113.46075</v>
      </c>
      <c r="P443" s="55">
        <f>transactions[[#This Row],[$K Unweighted]]/1000</f>
        <v>0.1260675</v>
      </c>
      <c r="Q443" s="55" t="b">
        <f ca="1">transactions[[#This Row],[TransactionDate]]&gt;TODAY()</f>
        <v>1</v>
      </c>
    </row>
    <row r="444" spans="1:17" x14ac:dyDescent="0.25">
      <c r="A444">
        <v>9</v>
      </c>
      <c r="B444">
        <v>26</v>
      </c>
      <c r="C444" s="31">
        <v>47318</v>
      </c>
      <c r="D44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4" s="51" t="str">
        <f>"CY"&amp;RIGHT(YEAR(transactions[[#This Row],[TransactionDate]]),2)&amp;"-Q"&amp;ROUNDUP(MONTH(transactions[[#This Row],[TransactionDate]])/3, 0)</f>
        <v>CY29-Q3</v>
      </c>
      <c r="F444" s="52">
        <f>transactions[[#This Row],[UnWeighted]]*_xlfn.XLOOKUP(transactions[[#This Row],[OpportunityID]],Opportunities[ID],Opportunities[WinProbabilityValue])</f>
        <v>37447.800000000003</v>
      </c>
      <c r="G444" s="52">
        <f>_xlfn.XLOOKUP(transactions[[#This Row],[OpportunityID]],Opportunities[ID],Opportunities[Amount])/IF(_xlfn.XLOOKUP(transactions[[#This Row],[OpportunityID]],Opportunities[ID],Opportunities[Recurrences])=0,1,_xlfn.XLOOKUP(transactions[[#This Row],[OpportunityID]],Opportunities[ID],Opportunities[Recurrences]))</f>
        <v>187239</v>
      </c>
      <c r="H444" s="51" t="str">
        <f>_xlfn.XLOOKUP(transactions[[#This Row],[OpportunityID]],Opportunities[ID],Opportunities[Status])</f>
        <v>At Risk</v>
      </c>
      <c r="I444" s="51" t="str">
        <f>_xlfn.XLOOKUP(transactions[[#This Row],[OpportunityID]],Opportunities[ID],Opportunities[Stage])</f>
        <v>Lead Qualification</v>
      </c>
      <c r="J444" s="51" t="str">
        <f>_xlfn.XLOOKUP(transactions[[#This Row],[OpportunityID]],Opportunities[ID],Opportunities[OpportunityName])</f>
        <v>Customer Portal Development</v>
      </c>
      <c r="K444" s="51" t="str">
        <f>_xlfn.XLOOKUP(transactions[[#This Row],[CustomerId]],Customers[Id],Customers[Customer Name])</f>
        <v>Publishing House</v>
      </c>
      <c r="L444" s="51" t="str">
        <f>_xlfn.XLOOKUP(transactions[[#This Row],[OpportunityID]],Opportunities[ID],Opportunities[OpportunityOwner])</f>
        <v>Lisa Engineer</v>
      </c>
      <c r="M444" s="51" t="str">
        <f ca="1">IF((transactions[[#This Row],[TransactionDate]]-TODAY())&lt;=366,transactions[[#This Row],[FQ]],"Out-year")</f>
        <v>Out-year</v>
      </c>
      <c r="N444" s="55">
        <f>transactions[[#This Row],[UnWeighted]]/1000</f>
        <v>187.239</v>
      </c>
      <c r="O444" s="55">
        <f>transactions[[#This Row],[Weighted]]/1000</f>
        <v>37.447800000000001</v>
      </c>
      <c r="P444" s="55">
        <f>transactions[[#This Row],[$K Unweighted]]/1000</f>
        <v>0.18723900000000002</v>
      </c>
      <c r="Q444" s="55" t="b">
        <f ca="1">transactions[[#This Row],[TransactionDate]]&gt;TODAY()</f>
        <v>1</v>
      </c>
    </row>
    <row r="445" spans="1:17" x14ac:dyDescent="0.25">
      <c r="A445">
        <v>40</v>
      </c>
      <c r="B445">
        <v>15</v>
      </c>
      <c r="C445" s="31">
        <v>47318</v>
      </c>
      <c r="D44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5" s="51" t="str">
        <f>"CY"&amp;RIGHT(YEAR(transactions[[#This Row],[TransactionDate]]),2)&amp;"-Q"&amp;ROUNDUP(MONTH(transactions[[#This Row],[TransactionDate]])/3, 0)</f>
        <v>CY29-Q3</v>
      </c>
      <c r="F445" s="52">
        <f>transactions[[#This Row],[UnWeighted]]*_xlfn.XLOOKUP(transactions[[#This Row],[OpportunityID]],Opportunities[ID],Opportunities[WinProbabilityValue])</f>
        <v>36144.450000000004</v>
      </c>
      <c r="G445" s="52">
        <f>_xlfn.XLOOKUP(transactions[[#This Row],[OpportunityID]],Opportunities[ID],Opportunities[Amount])/IF(_xlfn.XLOOKUP(transactions[[#This Row],[OpportunityID]],Opportunities[ID],Opportunities[Recurrences])=0,1,_xlfn.XLOOKUP(transactions[[#This Row],[OpportunityID]],Opportunities[ID],Opportunities[Recurrences]))</f>
        <v>40160.5</v>
      </c>
      <c r="H445" s="51" t="str">
        <f>_xlfn.XLOOKUP(transactions[[#This Row],[OpportunityID]],Opportunities[ID],Opportunities[Status])</f>
        <v>Active</v>
      </c>
      <c r="I445" s="51" t="str">
        <f>_xlfn.XLOOKUP(transactions[[#This Row],[OpportunityID]],Opportunities[ID],Opportunities[Stage])</f>
        <v>Proposal</v>
      </c>
      <c r="J445" s="51" t="str">
        <f>_xlfn.XLOOKUP(transactions[[#This Row],[OpportunityID]],Opportunities[ID],Opportunities[OpportunityName])</f>
        <v>Machine Learning Implementation</v>
      </c>
      <c r="K445" s="51" t="str">
        <f>_xlfn.XLOOKUP(transactions[[#This Row],[CustomerId]],Customers[Id],Customers[Customer Name])</f>
        <v>Pharmaceutical Research</v>
      </c>
      <c r="L445" s="51" t="str">
        <f>_xlfn.XLOOKUP(transactions[[#This Row],[OpportunityID]],Opportunities[ID],Opportunities[OpportunityOwner])</f>
        <v>Mike Consultant</v>
      </c>
      <c r="M445" s="51" t="str">
        <f ca="1">IF((transactions[[#This Row],[TransactionDate]]-TODAY())&lt;=366,transactions[[#This Row],[FQ]],"Out-year")</f>
        <v>Out-year</v>
      </c>
      <c r="N445" s="55">
        <f>transactions[[#This Row],[UnWeighted]]/1000</f>
        <v>40.160499999999999</v>
      </c>
      <c r="O445" s="55">
        <f>transactions[[#This Row],[Weighted]]/1000</f>
        <v>36.144450000000006</v>
      </c>
      <c r="P445" s="55">
        <f>transactions[[#This Row],[$K Unweighted]]/1000</f>
        <v>4.0160500000000002E-2</v>
      </c>
      <c r="Q445" s="55" t="b">
        <f ca="1">transactions[[#This Row],[TransactionDate]]&gt;TODAY()</f>
        <v>1</v>
      </c>
    </row>
    <row r="446" spans="1:17" x14ac:dyDescent="0.25">
      <c r="A446">
        <v>13</v>
      </c>
      <c r="B446">
        <v>2</v>
      </c>
      <c r="C446" s="31">
        <v>47321</v>
      </c>
      <c r="D44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6" s="51" t="str">
        <f>"CY"&amp;RIGHT(YEAR(transactions[[#This Row],[TransactionDate]]),2)&amp;"-Q"&amp;ROUNDUP(MONTH(transactions[[#This Row],[TransactionDate]])/3, 0)</f>
        <v>CY29-Q3</v>
      </c>
      <c r="F446" s="52">
        <f>transactions[[#This Row],[UnWeighted]]*_xlfn.XLOOKUP(transactions[[#This Row],[OpportunityID]],Opportunities[ID],Opportunities[WinProbabilityValue])</f>
        <v>12618.744897959185</v>
      </c>
      <c r="G446"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46" s="51" t="str">
        <f>_xlfn.XLOOKUP(transactions[[#This Row],[OpportunityID]],Opportunities[ID],Opportunities[Status])</f>
        <v>Active</v>
      </c>
      <c r="I446" s="51" t="str">
        <f>_xlfn.XLOOKUP(transactions[[#This Row],[OpportunityID]],Opportunities[ID],Opportunities[Stage])</f>
        <v>Negotiation</v>
      </c>
      <c r="J446" s="51" t="str">
        <f>_xlfn.XLOOKUP(transactions[[#This Row],[OpportunityID]],Opportunities[ID],Opportunities[OpportunityName])</f>
        <v>E-commerce Platform</v>
      </c>
      <c r="K446" s="51" t="str">
        <f>_xlfn.XLOOKUP(transactions[[#This Row],[CustomerId]],Customers[Id],Customers[Customer Name])</f>
        <v>Global Industries</v>
      </c>
      <c r="L446" s="51" t="str">
        <f>_xlfn.XLOOKUP(transactions[[#This Row],[OpportunityID]],Opportunities[ID],Opportunities[OpportunityOwner])</f>
        <v>Lisa Engineer</v>
      </c>
      <c r="M446" s="51" t="str">
        <f ca="1">IF((transactions[[#This Row],[TransactionDate]]-TODAY())&lt;=366,transactions[[#This Row],[FQ]],"Out-year")</f>
        <v>Out-year</v>
      </c>
      <c r="N446" s="55">
        <f>transactions[[#This Row],[UnWeighted]]/1000</f>
        <v>25.237489795918368</v>
      </c>
      <c r="O446" s="55">
        <f>transactions[[#This Row],[Weighted]]/1000</f>
        <v>12.618744897959184</v>
      </c>
      <c r="P446" s="55">
        <f>transactions[[#This Row],[$K Unweighted]]/1000</f>
        <v>2.5237489795918368E-2</v>
      </c>
      <c r="Q446" s="55" t="b">
        <f ca="1">transactions[[#This Row],[TransactionDate]]&gt;TODAY()</f>
        <v>1</v>
      </c>
    </row>
    <row r="447" spans="1:17" x14ac:dyDescent="0.25">
      <c r="A447">
        <v>7</v>
      </c>
      <c r="B447">
        <v>14</v>
      </c>
      <c r="C447" s="31">
        <v>47325</v>
      </c>
      <c r="D44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7" s="51" t="str">
        <f>"CY"&amp;RIGHT(YEAR(transactions[[#This Row],[TransactionDate]]),2)&amp;"-Q"&amp;ROUNDUP(MONTH(transactions[[#This Row],[TransactionDate]])/3, 0)</f>
        <v>CY29-Q3</v>
      </c>
      <c r="F447" s="52">
        <f>transactions[[#This Row],[UnWeighted]]*_xlfn.XLOOKUP(transactions[[#This Row],[OpportunityID]],Opportunities[ID],Opportunities[WinProbabilityValue])</f>
        <v>41771.416666666664</v>
      </c>
      <c r="G447" s="52">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447" s="51" t="str">
        <f>_xlfn.XLOOKUP(transactions[[#This Row],[OpportunityID]],Opportunities[ID],Opportunities[Status])</f>
        <v>Active</v>
      </c>
      <c r="I447" s="51" t="str">
        <f>_xlfn.XLOOKUP(transactions[[#This Row],[OpportunityID]],Opportunities[ID],Opportunities[Stage])</f>
        <v>Project Execution</v>
      </c>
      <c r="J447" s="51" t="str">
        <f>_xlfn.XLOOKUP(transactions[[#This Row],[OpportunityID]],Opportunities[ID],Opportunities[OpportunityName])</f>
        <v>Network Infrastructure Upgrade</v>
      </c>
      <c r="K447" s="51" t="str">
        <f>_xlfn.XLOOKUP(transactions[[#This Row],[CustomerId]],Customers[Id],Customers[Customer Name])</f>
        <v>Media Communications</v>
      </c>
      <c r="L447" s="51" t="str">
        <f>_xlfn.XLOOKUP(transactions[[#This Row],[OpportunityID]],Opportunities[ID],Opportunities[OpportunityOwner])</f>
        <v>Dr. Tech Advisor</v>
      </c>
      <c r="M447" s="51" t="str">
        <f ca="1">IF((transactions[[#This Row],[TransactionDate]]-TODAY())&lt;=366,transactions[[#This Row],[FQ]],"Out-year")</f>
        <v>Out-year</v>
      </c>
      <c r="N447" s="55">
        <f>transactions[[#This Row],[UnWeighted]]/1000</f>
        <v>83.542833333333334</v>
      </c>
      <c r="O447" s="55">
        <f>transactions[[#This Row],[Weighted]]/1000</f>
        <v>41.771416666666667</v>
      </c>
      <c r="P447" s="55">
        <f>transactions[[#This Row],[$K Unweighted]]/1000</f>
        <v>8.354283333333333E-2</v>
      </c>
      <c r="Q447" s="55" t="b">
        <f ca="1">transactions[[#This Row],[TransactionDate]]&gt;TODAY()</f>
        <v>1</v>
      </c>
    </row>
    <row r="448" spans="1:17" x14ac:dyDescent="0.25">
      <c r="A448">
        <v>18</v>
      </c>
      <c r="B448">
        <v>9</v>
      </c>
      <c r="C448" s="31">
        <v>47327</v>
      </c>
      <c r="D44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8" s="51" t="str">
        <f>"CY"&amp;RIGHT(YEAR(transactions[[#This Row],[TransactionDate]]),2)&amp;"-Q"&amp;ROUNDUP(MONTH(transactions[[#This Row],[TransactionDate]])/3, 0)</f>
        <v>CY29-Q3</v>
      </c>
      <c r="F448" s="52">
        <f>transactions[[#This Row],[UnWeighted]]*_xlfn.XLOOKUP(transactions[[#This Row],[OpportunityID]],Opportunities[ID],Opportunities[WinProbabilityValue])</f>
        <v>110906.4</v>
      </c>
      <c r="G448" s="52">
        <f>_xlfn.XLOOKUP(transactions[[#This Row],[OpportunityID]],Opportunities[ID],Opportunities[Amount])/IF(_xlfn.XLOOKUP(transactions[[#This Row],[OpportunityID]],Opportunities[ID],Opportunities[Recurrences])=0,1,_xlfn.XLOOKUP(transactions[[#This Row],[OpportunityID]],Opportunities[ID],Opportunities[Recurrences]))</f>
        <v>221812.8</v>
      </c>
      <c r="H448" s="51" t="str">
        <f>_xlfn.XLOOKUP(transactions[[#This Row],[OpportunityID]],Opportunities[ID],Opportunities[Status])</f>
        <v>Active</v>
      </c>
      <c r="I448" s="51" t="str">
        <f>_xlfn.XLOOKUP(transactions[[#This Row],[OpportunityID]],Opportunities[ID],Opportunities[Stage])</f>
        <v>Lead Qualification</v>
      </c>
      <c r="J448" s="51" t="str">
        <f>_xlfn.XLOOKUP(transactions[[#This Row],[OpportunityID]],Opportunities[ID],Opportunities[OpportunityName])</f>
        <v>Financial Planning Software</v>
      </c>
      <c r="K448" s="51" t="str">
        <f>_xlfn.XLOOKUP(transactions[[#This Row],[CustomerId]],Customers[Id],Customers[Customer Name])</f>
        <v>Construction Dynamics</v>
      </c>
      <c r="L448" s="51" t="str">
        <f>_xlfn.XLOOKUP(transactions[[#This Row],[OpportunityID]],Opportunities[ID],Opportunities[OpportunityOwner])</f>
        <v>Dr. Tech Advisor</v>
      </c>
      <c r="M448" s="51" t="str">
        <f ca="1">IF((transactions[[#This Row],[TransactionDate]]-TODAY())&lt;=366,transactions[[#This Row],[FQ]],"Out-year")</f>
        <v>Out-year</v>
      </c>
      <c r="N448" s="55">
        <f>transactions[[#This Row],[UnWeighted]]/1000</f>
        <v>221.81279999999998</v>
      </c>
      <c r="O448" s="55">
        <f>transactions[[#This Row],[Weighted]]/1000</f>
        <v>110.90639999999999</v>
      </c>
      <c r="P448" s="55">
        <f>transactions[[#This Row],[$K Unweighted]]/1000</f>
        <v>0.22181279999999998</v>
      </c>
      <c r="Q448" s="55" t="b">
        <f ca="1">transactions[[#This Row],[TransactionDate]]&gt;TODAY()</f>
        <v>1</v>
      </c>
    </row>
    <row r="449" spans="1:17" x14ac:dyDescent="0.25">
      <c r="A449">
        <v>26</v>
      </c>
      <c r="B449">
        <v>1</v>
      </c>
      <c r="C449" s="31">
        <v>47331</v>
      </c>
      <c r="D44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49" s="51" t="str">
        <f>"CY"&amp;RIGHT(YEAR(transactions[[#This Row],[TransactionDate]]),2)&amp;"-Q"&amp;ROUNDUP(MONTH(transactions[[#This Row],[TransactionDate]])/3, 0)</f>
        <v>CY29-Q3</v>
      </c>
      <c r="F449" s="52">
        <f>transactions[[#This Row],[UnWeighted]]*_xlfn.XLOOKUP(transactions[[#This Row],[OpportunityID]],Opportunities[ID],Opportunities[WinProbabilityValue])</f>
        <v>11339.638888888889</v>
      </c>
      <c r="G449"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49" s="51" t="str">
        <f>_xlfn.XLOOKUP(transactions[[#This Row],[OpportunityID]],Opportunities[ID],Opportunities[Status])</f>
        <v>Active</v>
      </c>
      <c r="I449" s="51" t="str">
        <f>_xlfn.XLOOKUP(transactions[[#This Row],[OpportunityID]],Opportunities[ID],Opportunities[Stage])</f>
        <v>Negotiation</v>
      </c>
      <c r="J449" s="51" t="str">
        <f>_xlfn.XLOOKUP(transactions[[#This Row],[OpportunityID]],Opportunities[ID],Opportunities[OpportunityName])</f>
        <v>Video Conferencing Solution</v>
      </c>
      <c r="K449" s="51" t="str">
        <f>_xlfn.XLOOKUP(transactions[[#This Row],[CustomerId]],Customers[Id],Customers[Customer Name])</f>
        <v>ACME Corporation</v>
      </c>
      <c r="L449" s="51" t="str">
        <f>_xlfn.XLOOKUP(transactions[[#This Row],[OpportunityID]],Opportunities[ID],Opportunities[OpportunityOwner])</f>
        <v>Mike Consultant</v>
      </c>
      <c r="M449" s="51" t="str">
        <f ca="1">IF((transactions[[#This Row],[TransactionDate]]-TODAY())&lt;=366,transactions[[#This Row],[FQ]],"Out-year")</f>
        <v>Out-year</v>
      </c>
      <c r="N449" s="55">
        <f>transactions[[#This Row],[UnWeighted]]/1000</f>
        <v>22.679277777777777</v>
      </c>
      <c r="O449" s="55">
        <f>transactions[[#This Row],[Weighted]]/1000</f>
        <v>11.339638888888889</v>
      </c>
      <c r="P449" s="55">
        <f>transactions[[#This Row],[$K Unweighted]]/1000</f>
        <v>2.2679277777777777E-2</v>
      </c>
      <c r="Q449" s="55" t="b">
        <f ca="1">transactions[[#This Row],[TransactionDate]]&gt;TODAY()</f>
        <v>1</v>
      </c>
    </row>
    <row r="450" spans="1:17" x14ac:dyDescent="0.25">
      <c r="A450">
        <v>39</v>
      </c>
      <c r="B450">
        <v>3</v>
      </c>
      <c r="C450" s="31">
        <v>47333</v>
      </c>
      <c r="D45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0" s="51" t="str">
        <f>"CY"&amp;RIGHT(YEAR(transactions[[#This Row],[TransactionDate]]),2)&amp;"-Q"&amp;ROUNDUP(MONTH(transactions[[#This Row],[TransactionDate]])/3, 0)</f>
        <v>CY29-Q3</v>
      </c>
      <c r="F450" s="52">
        <f>transactions[[#This Row],[UnWeighted]]*_xlfn.XLOOKUP(transactions[[#This Row],[OpportunityID]],Opportunities[ID],Opportunities[WinProbabilityValue])</f>
        <v>20929.153846153848</v>
      </c>
      <c r="G450"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50" s="51" t="str">
        <f>_xlfn.XLOOKUP(transactions[[#This Row],[OpportunityID]],Opportunities[ID],Opportunities[Status])</f>
        <v>Active</v>
      </c>
      <c r="I450" s="51" t="str">
        <f>_xlfn.XLOOKUP(transactions[[#This Row],[OpportunityID]],Opportunities[ID],Opportunities[Stage])</f>
        <v>Project Execution</v>
      </c>
      <c r="J450" s="51" t="str">
        <f>_xlfn.XLOOKUP(transactions[[#This Row],[OpportunityID]],Opportunities[ID],Opportunities[OpportunityName])</f>
        <v>API Development Project</v>
      </c>
      <c r="K450" s="51" t="str">
        <f>_xlfn.XLOOKUP(transactions[[#This Row],[CustomerId]],Customers[Id],Customers[Customer Name])</f>
        <v>Tech Solutions Inc</v>
      </c>
      <c r="L450" s="51" t="str">
        <f>_xlfn.XLOOKUP(transactions[[#This Row],[OpportunityID]],Opportunities[ID],Opportunities[OpportunityOwner])</f>
        <v>Jennifer PM</v>
      </c>
      <c r="M450" s="51" t="str">
        <f ca="1">IF((transactions[[#This Row],[TransactionDate]]-TODAY())&lt;=366,transactions[[#This Row],[FQ]],"Out-year")</f>
        <v>Out-year</v>
      </c>
      <c r="N450" s="55">
        <f>transactions[[#This Row],[UnWeighted]]/1000</f>
        <v>41.858307692307697</v>
      </c>
      <c r="O450" s="55">
        <f>transactions[[#This Row],[Weighted]]/1000</f>
        <v>20.929153846153849</v>
      </c>
      <c r="P450" s="55">
        <f>transactions[[#This Row],[$K Unweighted]]/1000</f>
        <v>4.1858307692307695E-2</v>
      </c>
      <c r="Q450" s="55" t="b">
        <f ca="1">transactions[[#This Row],[TransactionDate]]&gt;TODAY()</f>
        <v>1</v>
      </c>
    </row>
    <row r="451" spans="1:17" x14ac:dyDescent="0.25">
      <c r="A451">
        <v>15</v>
      </c>
      <c r="B451">
        <v>24</v>
      </c>
      <c r="C451" s="31">
        <v>47337</v>
      </c>
      <c r="D45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1" s="51" t="str">
        <f>"CY"&amp;RIGHT(YEAR(transactions[[#This Row],[TransactionDate]]),2)&amp;"-Q"&amp;ROUNDUP(MONTH(transactions[[#This Row],[TransactionDate]])/3, 0)</f>
        <v>CY29-Q3</v>
      </c>
      <c r="F451" s="52">
        <f>transactions[[#This Row],[UnWeighted]]*_xlfn.XLOOKUP(transactions[[#This Row],[OpportunityID]],Opportunities[ID],Opportunities[WinProbabilityValue])</f>
        <v>29217.197872340425</v>
      </c>
      <c r="G451"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51" s="51" t="str">
        <f>_xlfn.XLOOKUP(transactions[[#This Row],[OpportunityID]],Opportunities[ID],Opportunities[Status])</f>
        <v>Active</v>
      </c>
      <c r="I451" s="51" t="str">
        <f>_xlfn.XLOOKUP(transactions[[#This Row],[OpportunityID]],Opportunities[ID],Opportunities[Stage])</f>
        <v>Project Execution</v>
      </c>
      <c r="J451" s="51" t="str">
        <f>_xlfn.XLOOKUP(transactions[[#This Row],[OpportunityID]],Opportunities[ID],Opportunities[OpportunityName])</f>
        <v>Training &amp; Development Program</v>
      </c>
      <c r="K451" s="51" t="str">
        <f>_xlfn.XLOOKUP(transactions[[#This Row],[CustomerId]],Customers[Id],Customers[Customer Name])</f>
        <v>Security Solutions</v>
      </c>
      <c r="L451" s="51" t="str">
        <f>_xlfn.XLOOKUP(transactions[[#This Row],[OpportunityID]],Opportunities[ID],Opportunities[OpportunityOwner])</f>
        <v>Sarah Director</v>
      </c>
      <c r="M451" s="51" t="str">
        <f ca="1">IF((transactions[[#This Row],[TransactionDate]]-TODAY())&lt;=366,transactions[[#This Row],[FQ]],"Out-year")</f>
        <v>Out-year</v>
      </c>
      <c r="N451" s="55">
        <f>transactions[[#This Row],[UnWeighted]]/1000</f>
        <v>32.46355319148936</v>
      </c>
      <c r="O451" s="55">
        <f>transactions[[#This Row],[Weighted]]/1000</f>
        <v>29.217197872340424</v>
      </c>
      <c r="P451" s="55">
        <f>transactions[[#This Row],[$K Unweighted]]/1000</f>
        <v>3.2463553191489358E-2</v>
      </c>
      <c r="Q451" s="55" t="b">
        <f ca="1">transactions[[#This Row],[TransactionDate]]&gt;TODAY()</f>
        <v>1</v>
      </c>
    </row>
    <row r="452" spans="1:17" x14ac:dyDescent="0.25">
      <c r="A452">
        <v>25</v>
      </c>
      <c r="B452">
        <v>14</v>
      </c>
      <c r="C452" s="31">
        <v>47339</v>
      </c>
      <c r="D45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2" s="51" t="str">
        <f>"CY"&amp;RIGHT(YEAR(transactions[[#This Row],[TransactionDate]]),2)&amp;"-Q"&amp;ROUNDUP(MONTH(transactions[[#This Row],[TransactionDate]])/3, 0)</f>
        <v>CY29-Q3</v>
      </c>
      <c r="F452" s="52">
        <f>transactions[[#This Row],[UnWeighted]]*_xlfn.XLOOKUP(transactions[[#This Row],[OpportunityID]],Opportunities[ID],Opportunities[WinProbabilityValue])</f>
        <v>35076.26666666667</v>
      </c>
      <c r="G452" s="52">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452" s="51" t="str">
        <f>_xlfn.XLOOKUP(transactions[[#This Row],[OpportunityID]],Opportunities[ID],Opportunities[Status])</f>
        <v>Active</v>
      </c>
      <c r="I452" s="51" t="str">
        <f>_xlfn.XLOOKUP(transactions[[#This Row],[OpportunityID]],Opportunities[ID],Opportunities[Stage])</f>
        <v>Lead Qualification</v>
      </c>
      <c r="J452" s="51" t="str">
        <f>_xlfn.XLOOKUP(transactions[[#This Row],[OpportunityID]],Opportunities[ID],Opportunities[OpportunityName])</f>
        <v>Project Management Software</v>
      </c>
      <c r="K452" s="51" t="str">
        <f>_xlfn.XLOOKUP(transactions[[#This Row],[CustomerId]],Customers[Id],Customers[Customer Name])</f>
        <v>Media Communications</v>
      </c>
      <c r="L452" s="51" t="str">
        <f>_xlfn.XLOOKUP(transactions[[#This Row],[OpportunityID]],Opportunities[ID],Opportunities[OpportunityOwner])</f>
        <v>Amanda Sales</v>
      </c>
      <c r="M452" s="51" t="str">
        <f ca="1">IF((transactions[[#This Row],[TransactionDate]]-TODAY())&lt;=366,transactions[[#This Row],[FQ]],"Out-year")</f>
        <v>Out-year</v>
      </c>
      <c r="N452" s="55">
        <f>transactions[[#This Row],[UnWeighted]]/1000</f>
        <v>70.152533333333338</v>
      </c>
      <c r="O452" s="55">
        <f>transactions[[#This Row],[Weighted]]/1000</f>
        <v>35.076266666666669</v>
      </c>
      <c r="P452" s="55">
        <f>transactions[[#This Row],[$K Unweighted]]/1000</f>
        <v>7.0152533333333336E-2</v>
      </c>
      <c r="Q452" s="55" t="b">
        <f ca="1">transactions[[#This Row],[TransactionDate]]&gt;TODAY()</f>
        <v>1</v>
      </c>
    </row>
    <row r="453" spans="1:17" x14ac:dyDescent="0.25">
      <c r="A453">
        <v>22</v>
      </c>
      <c r="B453">
        <v>11</v>
      </c>
      <c r="C453" s="31">
        <v>47341</v>
      </c>
      <c r="D45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3" s="51" t="str">
        <f>"CY"&amp;RIGHT(YEAR(transactions[[#This Row],[TransactionDate]]),2)&amp;"-Q"&amp;ROUNDUP(MONTH(transactions[[#This Row],[TransactionDate]])/3, 0)</f>
        <v>CY29-Q3</v>
      </c>
      <c r="F453" s="52">
        <f>transactions[[#This Row],[UnWeighted]]*_xlfn.XLOOKUP(transactions[[#This Row],[OpportunityID]],Opportunities[ID],Opportunities[WinProbabilityValue])</f>
        <v>26390.544230769232</v>
      </c>
      <c r="G453"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53" s="51" t="str">
        <f>_xlfn.XLOOKUP(transactions[[#This Row],[OpportunityID]],Opportunities[ID],Opportunities[Status])</f>
        <v>Active</v>
      </c>
      <c r="I453" s="51" t="str">
        <f>_xlfn.XLOOKUP(transactions[[#This Row],[OpportunityID]],Opportunities[ID],Opportunities[Stage])</f>
        <v>Nurturing</v>
      </c>
      <c r="J453" s="51" t="str">
        <f>_xlfn.XLOOKUP(transactions[[#This Row],[OpportunityID]],Opportunities[ID],Opportunities[OpportunityName])</f>
        <v>Inventory Management Solution</v>
      </c>
      <c r="K453" s="51" t="str">
        <f>_xlfn.XLOOKUP(transactions[[#This Row],[CustomerId]],Customers[Id],Customers[Customer Name])</f>
        <v>Transport Logistics</v>
      </c>
      <c r="L453" s="51" t="str">
        <f>_xlfn.XLOOKUP(transactions[[#This Row],[OpportunityID]],Opportunities[ID],Opportunities[OpportunityOwner])</f>
        <v>Sarah Director</v>
      </c>
      <c r="M453" s="51" t="str">
        <f ca="1">IF((transactions[[#This Row],[TransactionDate]]-TODAY())&lt;=366,transactions[[#This Row],[FQ]],"Out-year")</f>
        <v>Out-year</v>
      </c>
      <c r="N453" s="55">
        <f>transactions[[#This Row],[UnWeighted]]/1000</f>
        <v>29.322826923076921</v>
      </c>
      <c r="O453" s="55">
        <f>transactions[[#This Row],[Weighted]]/1000</f>
        <v>26.390544230769233</v>
      </c>
      <c r="P453" s="55">
        <f>transactions[[#This Row],[$K Unweighted]]/1000</f>
        <v>2.932282692307692E-2</v>
      </c>
      <c r="Q453" s="55" t="b">
        <f ca="1">transactions[[#This Row],[TransactionDate]]&gt;TODAY()</f>
        <v>1</v>
      </c>
    </row>
    <row r="454" spans="1:17" x14ac:dyDescent="0.25">
      <c r="A454">
        <v>28</v>
      </c>
      <c r="B454">
        <v>1</v>
      </c>
      <c r="C454" s="31">
        <v>47346</v>
      </c>
      <c r="D45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4" s="51" t="str">
        <f>"CY"&amp;RIGHT(YEAR(transactions[[#This Row],[TransactionDate]]),2)&amp;"-Q"&amp;ROUNDUP(MONTH(transactions[[#This Row],[TransactionDate]])/3, 0)</f>
        <v>CY29-Q3</v>
      </c>
      <c r="F454" s="52">
        <f>transactions[[#This Row],[UnWeighted]]*_xlfn.XLOOKUP(transactions[[#This Row],[OpportunityID]],Opportunities[ID],Opportunities[WinProbabilityValue])</f>
        <v>40447.666666666664</v>
      </c>
      <c r="G454" s="52">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454" s="51" t="str">
        <f>_xlfn.XLOOKUP(transactions[[#This Row],[OpportunityID]],Opportunities[ID],Opportunities[Status])</f>
        <v>Active</v>
      </c>
      <c r="I454" s="51" t="str">
        <f>_xlfn.XLOOKUP(transactions[[#This Row],[OpportunityID]],Opportunities[ID],Opportunities[Stage])</f>
        <v>Lead Qualification</v>
      </c>
      <c r="J454" s="51" t="str">
        <f>_xlfn.XLOOKUP(transactions[[#This Row],[OpportunityID]],Opportunities[ID],Opportunities[OpportunityName])</f>
        <v>Website Redesign Project</v>
      </c>
      <c r="K454" s="51" t="str">
        <f>_xlfn.XLOOKUP(transactions[[#This Row],[CustomerId]],Customers[Id],Customers[Customer Name])</f>
        <v>ACME Corporation</v>
      </c>
      <c r="L454" s="51" t="str">
        <f>_xlfn.XLOOKUP(transactions[[#This Row],[OpportunityID]],Opportunities[ID],Opportunities[OpportunityOwner])</f>
        <v>Lisa Engineer</v>
      </c>
      <c r="M454" s="51" t="str">
        <f ca="1">IF((transactions[[#This Row],[TransactionDate]]-TODAY())&lt;=366,transactions[[#This Row],[FQ]],"Out-year")</f>
        <v>Out-year</v>
      </c>
      <c r="N454" s="55">
        <f>transactions[[#This Row],[UnWeighted]]/1000</f>
        <v>80.895333333333326</v>
      </c>
      <c r="O454" s="55">
        <f>transactions[[#This Row],[Weighted]]/1000</f>
        <v>40.447666666666663</v>
      </c>
      <c r="P454" s="55">
        <f>transactions[[#This Row],[$K Unweighted]]/1000</f>
        <v>8.0895333333333333E-2</v>
      </c>
      <c r="Q454" s="55" t="b">
        <f ca="1">transactions[[#This Row],[TransactionDate]]&gt;TODAY()</f>
        <v>1</v>
      </c>
    </row>
    <row r="455" spans="1:17" x14ac:dyDescent="0.25">
      <c r="A455">
        <v>27</v>
      </c>
      <c r="B455">
        <v>2</v>
      </c>
      <c r="C455" s="31">
        <v>47347</v>
      </c>
      <c r="D45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5" s="51" t="str">
        <f>"CY"&amp;RIGHT(YEAR(transactions[[#This Row],[TransactionDate]]),2)&amp;"-Q"&amp;ROUNDUP(MONTH(transactions[[#This Row],[TransactionDate]])/3, 0)</f>
        <v>CY29-Q3</v>
      </c>
      <c r="F455" s="52">
        <f>transactions[[#This Row],[UnWeighted]]*_xlfn.XLOOKUP(transactions[[#This Row],[OpportunityID]],Opportunities[ID],Opportunities[WinProbabilityValue])</f>
        <v>46287.333333333336</v>
      </c>
      <c r="G455"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455" s="51" t="str">
        <f>_xlfn.XLOOKUP(transactions[[#This Row],[OpportunityID]],Opportunities[ID],Opportunities[Status])</f>
        <v>Active</v>
      </c>
      <c r="I455" s="51" t="str">
        <f>_xlfn.XLOOKUP(transactions[[#This Row],[OpportunityID]],Opportunities[ID],Opportunities[Stage])</f>
        <v>Lead Qualification</v>
      </c>
      <c r="J455" s="51" t="str">
        <f>_xlfn.XLOOKUP(transactions[[#This Row],[OpportunityID]],Opportunities[ID],Opportunities[OpportunityName])</f>
        <v>Backup &amp; Recovery System</v>
      </c>
      <c r="K455" s="51" t="str">
        <f>_xlfn.XLOOKUP(transactions[[#This Row],[CustomerId]],Customers[Id],Customers[Customer Name])</f>
        <v>Global Industries</v>
      </c>
      <c r="L455" s="51" t="str">
        <f>_xlfn.XLOOKUP(transactions[[#This Row],[OpportunityID]],Opportunities[ID],Opportunities[OpportunityOwner])</f>
        <v>Amanda Sales</v>
      </c>
      <c r="M455" s="51" t="str">
        <f ca="1">IF((transactions[[#This Row],[TransactionDate]]-TODAY())&lt;=366,transactions[[#This Row],[FQ]],"Out-year")</f>
        <v>Out-year</v>
      </c>
      <c r="N455" s="55">
        <f>transactions[[#This Row],[UnWeighted]]/1000</f>
        <v>92.574666666666673</v>
      </c>
      <c r="O455" s="55">
        <f>transactions[[#This Row],[Weighted]]/1000</f>
        <v>46.287333333333336</v>
      </c>
      <c r="P455" s="55">
        <f>transactions[[#This Row],[$K Unweighted]]/1000</f>
        <v>9.2574666666666666E-2</v>
      </c>
      <c r="Q455" s="55" t="b">
        <f ca="1">transactions[[#This Row],[TransactionDate]]&gt;TODAY()</f>
        <v>1</v>
      </c>
    </row>
    <row r="456" spans="1:17" x14ac:dyDescent="0.25">
      <c r="A456">
        <v>13</v>
      </c>
      <c r="B456">
        <v>2</v>
      </c>
      <c r="C456" s="31">
        <v>47352</v>
      </c>
      <c r="D45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6" s="51" t="str">
        <f>"CY"&amp;RIGHT(YEAR(transactions[[#This Row],[TransactionDate]]),2)&amp;"-Q"&amp;ROUNDUP(MONTH(transactions[[#This Row],[TransactionDate]])/3, 0)</f>
        <v>CY29-Q3</v>
      </c>
      <c r="F456" s="52">
        <f>transactions[[#This Row],[UnWeighted]]*_xlfn.XLOOKUP(transactions[[#This Row],[OpportunityID]],Opportunities[ID],Opportunities[WinProbabilityValue])</f>
        <v>12618.744897959185</v>
      </c>
      <c r="G456"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56" s="51" t="str">
        <f>_xlfn.XLOOKUP(transactions[[#This Row],[OpportunityID]],Opportunities[ID],Opportunities[Status])</f>
        <v>Active</v>
      </c>
      <c r="I456" s="51" t="str">
        <f>_xlfn.XLOOKUP(transactions[[#This Row],[OpportunityID]],Opportunities[ID],Opportunities[Stage])</f>
        <v>Negotiation</v>
      </c>
      <c r="J456" s="51" t="str">
        <f>_xlfn.XLOOKUP(transactions[[#This Row],[OpportunityID]],Opportunities[ID],Opportunities[OpportunityName])</f>
        <v>E-commerce Platform</v>
      </c>
      <c r="K456" s="51" t="str">
        <f>_xlfn.XLOOKUP(transactions[[#This Row],[CustomerId]],Customers[Id],Customers[Customer Name])</f>
        <v>Global Industries</v>
      </c>
      <c r="L456" s="51" t="str">
        <f>_xlfn.XLOOKUP(transactions[[#This Row],[OpportunityID]],Opportunities[ID],Opportunities[OpportunityOwner])</f>
        <v>Lisa Engineer</v>
      </c>
      <c r="M456" s="51" t="str">
        <f ca="1">IF((transactions[[#This Row],[TransactionDate]]-TODAY())&lt;=366,transactions[[#This Row],[FQ]],"Out-year")</f>
        <v>Out-year</v>
      </c>
      <c r="N456" s="55">
        <f>transactions[[#This Row],[UnWeighted]]/1000</f>
        <v>25.237489795918368</v>
      </c>
      <c r="O456" s="55">
        <f>transactions[[#This Row],[Weighted]]/1000</f>
        <v>12.618744897959184</v>
      </c>
      <c r="P456" s="55">
        <f>transactions[[#This Row],[$K Unweighted]]/1000</f>
        <v>2.5237489795918368E-2</v>
      </c>
      <c r="Q456" s="55" t="b">
        <f ca="1">transactions[[#This Row],[TransactionDate]]&gt;TODAY()</f>
        <v>1</v>
      </c>
    </row>
    <row r="457" spans="1:17" x14ac:dyDescent="0.25">
      <c r="A457">
        <v>5</v>
      </c>
      <c r="B457">
        <v>12</v>
      </c>
      <c r="C457" s="31">
        <v>47353</v>
      </c>
      <c r="D45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7" s="51" t="str">
        <f>"CY"&amp;RIGHT(YEAR(transactions[[#This Row],[TransactionDate]]),2)&amp;"-Q"&amp;ROUNDUP(MONTH(transactions[[#This Row],[TransactionDate]])/3, 0)</f>
        <v>CY29-Q3</v>
      </c>
      <c r="F457" s="52">
        <f>transactions[[#This Row],[UnWeighted]]*_xlfn.XLOOKUP(transactions[[#This Row],[OpportunityID]],Opportunities[ID],Opportunities[WinProbabilityValue])</f>
        <v>104043.5</v>
      </c>
      <c r="G457" s="52">
        <f>_xlfn.XLOOKUP(transactions[[#This Row],[OpportunityID]],Opportunities[ID],Opportunities[Amount])/IF(_xlfn.XLOOKUP(transactions[[#This Row],[OpportunityID]],Opportunities[ID],Opportunities[Recurrences])=0,1,_xlfn.XLOOKUP(transactions[[#This Row],[OpportunityID]],Opportunities[ID],Opportunities[Recurrences]))</f>
        <v>208087</v>
      </c>
      <c r="H457" s="51" t="str">
        <f>_xlfn.XLOOKUP(transactions[[#This Row],[OpportunityID]],Opportunities[ID],Opportunities[Status])</f>
        <v>Active</v>
      </c>
      <c r="I457" s="51" t="str">
        <f>_xlfn.XLOOKUP(transactions[[#This Row],[OpportunityID]],Opportunities[ID],Opportunities[Stage])</f>
        <v>Proposal</v>
      </c>
      <c r="J457" s="51" t="str">
        <f>_xlfn.XLOOKUP(transactions[[#This Row],[OpportunityID]],Opportunities[ID],Opportunities[OpportunityName])</f>
        <v>Healthcare Data Analytics Platform</v>
      </c>
      <c r="K457" s="51" t="str">
        <f>_xlfn.XLOOKUP(transactions[[#This Row],[CustomerId]],Customers[Id],Customers[Customer Name])</f>
        <v>Food Service Partners</v>
      </c>
      <c r="L457" s="51" t="str">
        <f>_xlfn.XLOOKUP(transactions[[#This Row],[OpportunityID]],Opportunities[ID],Opportunities[OpportunityOwner])</f>
        <v>Amanda Sales</v>
      </c>
      <c r="M457" s="51" t="str">
        <f ca="1">IF((transactions[[#This Row],[TransactionDate]]-TODAY())&lt;=366,transactions[[#This Row],[FQ]],"Out-year")</f>
        <v>Out-year</v>
      </c>
      <c r="N457" s="55">
        <f>transactions[[#This Row],[UnWeighted]]/1000</f>
        <v>208.08699999999999</v>
      </c>
      <c r="O457" s="55">
        <f>transactions[[#This Row],[Weighted]]/1000</f>
        <v>104.04349999999999</v>
      </c>
      <c r="P457" s="55">
        <f>transactions[[#This Row],[$K Unweighted]]/1000</f>
        <v>0.20808699999999999</v>
      </c>
      <c r="Q457" s="55" t="b">
        <f ca="1">transactions[[#This Row],[TransactionDate]]&gt;TODAY()</f>
        <v>1</v>
      </c>
    </row>
    <row r="458" spans="1:17" x14ac:dyDescent="0.25">
      <c r="A458">
        <v>26</v>
      </c>
      <c r="B458">
        <v>1</v>
      </c>
      <c r="C458" s="31">
        <v>47362</v>
      </c>
      <c r="D45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8" s="51" t="str">
        <f>"CY"&amp;RIGHT(YEAR(transactions[[#This Row],[TransactionDate]]),2)&amp;"-Q"&amp;ROUNDUP(MONTH(transactions[[#This Row],[TransactionDate]])/3, 0)</f>
        <v>CY29-Q3</v>
      </c>
      <c r="F458" s="52">
        <f>transactions[[#This Row],[UnWeighted]]*_xlfn.XLOOKUP(transactions[[#This Row],[OpportunityID]],Opportunities[ID],Opportunities[WinProbabilityValue])</f>
        <v>11339.638888888889</v>
      </c>
      <c r="G458" s="52">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58" s="51" t="str">
        <f>_xlfn.XLOOKUP(transactions[[#This Row],[OpportunityID]],Opportunities[ID],Opportunities[Status])</f>
        <v>Active</v>
      </c>
      <c r="I458" s="51" t="str">
        <f>_xlfn.XLOOKUP(transactions[[#This Row],[OpportunityID]],Opportunities[ID],Opportunities[Stage])</f>
        <v>Negotiation</v>
      </c>
      <c r="J458" s="51" t="str">
        <f>_xlfn.XLOOKUP(transactions[[#This Row],[OpportunityID]],Opportunities[ID],Opportunities[OpportunityName])</f>
        <v>Video Conferencing Solution</v>
      </c>
      <c r="K458" s="51" t="str">
        <f>_xlfn.XLOOKUP(transactions[[#This Row],[CustomerId]],Customers[Id],Customers[Customer Name])</f>
        <v>ACME Corporation</v>
      </c>
      <c r="L458" s="51" t="str">
        <f>_xlfn.XLOOKUP(transactions[[#This Row],[OpportunityID]],Opportunities[ID],Opportunities[OpportunityOwner])</f>
        <v>Mike Consultant</v>
      </c>
      <c r="M458" s="51" t="str">
        <f ca="1">IF((transactions[[#This Row],[TransactionDate]]-TODAY())&lt;=366,transactions[[#This Row],[FQ]],"Out-year")</f>
        <v>Out-year</v>
      </c>
      <c r="N458" s="55">
        <f>transactions[[#This Row],[UnWeighted]]/1000</f>
        <v>22.679277777777777</v>
      </c>
      <c r="O458" s="55">
        <f>transactions[[#This Row],[Weighted]]/1000</f>
        <v>11.339638888888889</v>
      </c>
      <c r="P458" s="55">
        <f>transactions[[#This Row],[$K Unweighted]]/1000</f>
        <v>2.2679277777777777E-2</v>
      </c>
      <c r="Q458" s="55" t="b">
        <f ca="1">transactions[[#This Row],[TransactionDate]]&gt;TODAY()</f>
        <v>1</v>
      </c>
    </row>
    <row r="459" spans="1:17" x14ac:dyDescent="0.25">
      <c r="A459">
        <v>39</v>
      </c>
      <c r="B459">
        <v>3</v>
      </c>
      <c r="C459" s="31">
        <v>47364</v>
      </c>
      <c r="D45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9" s="51" t="str">
        <f>"CY"&amp;RIGHT(YEAR(transactions[[#This Row],[TransactionDate]]),2)&amp;"-Q"&amp;ROUNDUP(MONTH(transactions[[#This Row],[TransactionDate]])/3, 0)</f>
        <v>CY29-Q3</v>
      </c>
      <c r="F459" s="52">
        <f>transactions[[#This Row],[UnWeighted]]*_xlfn.XLOOKUP(transactions[[#This Row],[OpportunityID]],Opportunities[ID],Opportunities[WinProbabilityValue])</f>
        <v>20929.153846153848</v>
      </c>
      <c r="G459"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59" s="51" t="str">
        <f>_xlfn.XLOOKUP(transactions[[#This Row],[OpportunityID]],Opportunities[ID],Opportunities[Status])</f>
        <v>Active</v>
      </c>
      <c r="I459" s="51" t="str">
        <f>_xlfn.XLOOKUP(transactions[[#This Row],[OpportunityID]],Opportunities[ID],Opportunities[Stage])</f>
        <v>Project Execution</v>
      </c>
      <c r="J459" s="51" t="str">
        <f>_xlfn.XLOOKUP(transactions[[#This Row],[OpportunityID]],Opportunities[ID],Opportunities[OpportunityName])</f>
        <v>API Development Project</v>
      </c>
      <c r="K459" s="51" t="str">
        <f>_xlfn.XLOOKUP(transactions[[#This Row],[CustomerId]],Customers[Id],Customers[Customer Name])</f>
        <v>Tech Solutions Inc</v>
      </c>
      <c r="L459" s="51" t="str">
        <f>_xlfn.XLOOKUP(transactions[[#This Row],[OpportunityID]],Opportunities[ID],Opportunities[OpportunityOwner])</f>
        <v>Jennifer PM</v>
      </c>
      <c r="M459" s="51" t="str">
        <f ca="1">IF((transactions[[#This Row],[TransactionDate]]-TODAY())&lt;=366,transactions[[#This Row],[FQ]],"Out-year")</f>
        <v>Out-year</v>
      </c>
      <c r="N459" s="55">
        <f>transactions[[#This Row],[UnWeighted]]/1000</f>
        <v>41.858307692307697</v>
      </c>
      <c r="O459" s="55">
        <f>transactions[[#This Row],[Weighted]]/1000</f>
        <v>20.929153846153849</v>
      </c>
      <c r="P459" s="55">
        <f>transactions[[#This Row],[$K Unweighted]]/1000</f>
        <v>4.1858307692307695E-2</v>
      </c>
      <c r="Q459" s="55" t="b">
        <f ca="1">transactions[[#This Row],[TransactionDate]]&gt;TODAY()</f>
        <v>1</v>
      </c>
    </row>
    <row r="460" spans="1:17" x14ac:dyDescent="0.25">
      <c r="A460">
        <v>15</v>
      </c>
      <c r="B460">
        <v>24</v>
      </c>
      <c r="C460" s="31">
        <v>47368</v>
      </c>
      <c r="D46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0" s="51" t="str">
        <f>"CY"&amp;RIGHT(YEAR(transactions[[#This Row],[TransactionDate]]),2)&amp;"-Q"&amp;ROUNDUP(MONTH(transactions[[#This Row],[TransactionDate]])/3, 0)</f>
        <v>CY29-Q3</v>
      </c>
      <c r="F460" s="52">
        <f>transactions[[#This Row],[UnWeighted]]*_xlfn.XLOOKUP(transactions[[#This Row],[OpportunityID]],Opportunities[ID],Opportunities[WinProbabilityValue])</f>
        <v>29217.197872340425</v>
      </c>
      <c r="G460"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60" s="51" t="str">
        <f>_xlfn.XLOOKUP(transactions[[#This Row],[OpportunityID]],Opportunities[ID],Opportunities[Status])</f>
        <v>Active</v>
      </c>
      <c r="I460" s="51" t="str">
        <f>_xlfn.XLOOKUP(transactions[[#This Row],[OpportunityID]],Opportunities[ID],Opportunities[Stage])</f>
        <v>Project Execution</v>
      </c>
      <c r="J460" s="51" t="str">
        <f>_xlfn.XLOOKUP(transactions[[#This Row],[OpportunityID]],Opportunities[ID],Opportunities[OpportunityName])</f>
        <v>Training &amp; Development Program</v>
      </c>
      <c r="K460" s="51" t="str">
        <f>_xlfn.XLOOKUP(transactions[[#This Row],[CustomerId]],Customers[Id],Customers[Customer Name])</f>
        <v>Security Solutions</v>
      </c>
      <c r="L460" s="51" t="str">
        <f>_xlfn.XLOOKUP(transactions[[#This Row],[OpportunityID]],Opportunities[ID],Opportunities[OpportunityOwner])</f>
        <v>Sarah Director</v>
      </c>
      <c r="M460" s="51" t="str">
        <f ca="1">IF((transactions[[#This Row],[TransactionDate]]-TODAY())&lt;=366,transactions[[#This Row],[FQ]],"Out-year")</f>
        <v>Out-year</v>
      </c>
      <c r="N460" s="55">
        <f>transactions[[#This Row],[UnWeighted]]/1000</f>
        <v>32.46355319148936</v>
      </c>
      <c r="O460" s="55">
        <f>transactions[[#This Row],[Weighted]]/1000</f>
        <v>29.217197872340424</v>
      </c>
      <c r="P460" s="55">
        <f>transactions[[#This Row],[$K Unweighted]]/1000</f>
        <v>3.2463553191489358E-2</v>
      </c>
      <c r="Q460" s="55" t="b">
        <f ca="1">transactions[[#This Row],[TransactionDate]]&gt;TODAY()</f>
        <v>1</v>
      </c>
    </row>
    <row r="461" spans="1:17" x14ac:dyDescent="0.25">
      <c r="A461">
        <v>22</v>
      </c>
      <c r="B461">
        <v>11</v>
      </c>
      <c r="C461" s="31">
        <v>47372</v>
      </c>
      <c r="D46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1" s="51" t="str">
        <f>"CY"&amp;RIGHT(YEAR(transactions[[#This Row],[TransactionDate]]),2)&amp;"-Q"&amp;ROUNDUP(MONTH(transactions[[#This Row],[TransactionDate]])/3, 0)</f>
        <v>CY29-Q3</v>
      </c>
      <c r="F461" s="52">
        <f>transactions[[#This Row],[UnWeighted]]*_xlfn.XLOOKUP(transactions[[#This Row],[OpportunityID]],Opportunities[ID],Opportunities[WinProbabilityValue])</f>
        <v>26390.544230769232</v>
      </c>
      <c r="G461"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61" s="51" t="str">
        <f>_xlfn.XLOOKUP(transactions[[#This Row],[OpportunityID]],Opportunities[ID],Opportunities[Status])</f>
        <v>Active</v>
      </c>
      <c r="I461" s="51" t="str">
        <f>_xlfn.XLOOKUP(transactions[[#This Row],[OpportunityID]],Opportunities[ID],Opportunities[Stage])</f>
        <v>Nurturing</v>
      </c>
      <c r="J461" s="51" t="str">
        <f>_xlfn.XLOOKUP(transactions[[#This Row],[OpportunityID]],Opportunities[ID],Opportunities[OpportunityName])</f>
        <v>Inventory Management Solution</v>
      </c>
      <c r="K461" s="51" t="str">
        <f>_xlfn.XLOOKUP(transactions[[#This Row],[CustomerId]],Customers[Id],Customers[Customer Name])</f>
        <v>Transport Logistics</v>
      </c>
      <c r="L461" s="51" t="str">
        <f>_xlfn.XLOOKUP(transactions[[#This Row],[OpportunityID]],Opportunities[ID],Opportunities[OpportunityOwner])</f>
        <v>Sarah Director</v>
      </c>
      <c r="M461" s="51" t="str">
        <f ca="1">IF((transactions[[#This Row],[TransactionDate]]-TODAY())&lt;=366,transactions[[#This Row],[FQ]],"Out-year")</f>
        <v>Out-year</v>
      </c>
      <c r="N461" s="55">
        <f>transactions[[#This Row],[UnWeighted]]/1000</f>
        <v>29.322826923076921</v>
      </c>
      <c r="O461" s="55">
        <f>transactions[[#This Row],[Weighted]]/1000</f>
        <v>26.390544230769233</v>
      </c>
      <c r="P461" s="55">
        <f>transactions[[#This Row],[$K Unweighted]]/1000</f>
        <v>2.932282692307692E-2</v>
      </c>
      <c r="Q461" s="55" t="b">
        <f ca="1">transactions[[#This Row],[TransactionDate]]&gt;TODAY()</f>
        <v>1</v>
      </c>
    </row>
    <row r="462" spans="1:17" x14ac:dyDescent="0.25">
      <c r="A462">
        <v>13</v>
      </c>
      <c r="B462">
        <v>2</v>
      </c>
      <c r="C462" s="31">
        <v>47383</v>
      </c>
      <c r="D46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2" s="51" t="str">
        <f>"CY"&amp;RIGHT(YEAR(transactions[[#This Row],[TransactionDate]]),2)&amp;"-Q"&amp;ROUNDUP(MONTH(transactions[[#This Row],[TransactionDate]])/3, 0)</f>
        <v>CY29-Q3</v>
      </c>
      <c r="F462" s="52">
        <f>transactions[[#This Row],[UnWeighted]]*_xlfn.XLOOKUP(transactions[[#This Row],[OpportunityID]],Opportunities[ID],Opportunities[WinProbabilityValue])</f>
        <v>12618.744897959185</v>
      </c>
      <c r="G462"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62" s="51" t="str">
        <f>_xlfn.XLOOKUP(transactions[[#This Row],[OpportunityID]],Opportunities[ID],Opportunities[Status])</f>
        <v>Active</v>
      </c>
      <c r="I462" s="51" t="str">
        <f>_xlfn.XLOOKUP(transactions[[#This Row],[OpportunityID]],Opportunities[ID],Opportunities[Stage])</f>
        <v>Negotiation</v>
      </c>
      <c r="J462" s="51" t="str">
        <f>_xlfn.XLOOKUP(transactions[[#This Row],[OpportunityID]],Opportunities[ID],Opportunities[OpportunityName])</f>
        <v>E-commerce Platform</v>
      </c>
      <c r="K462" s="51" t="str">
        <f>_xlfn.XLOOKUP(transactions[[#This Row],[CustomerId]],Customers[Id],Customers[Customer Name])</f>
        <v>Global Industries</v>
      </c>
      <c r="L462" s="51" t="str">
        <f>_xlfn.XLOOKUP(transactions[[#This Row],[OpportunityID]],Opportunities[ID],Opportunities[OpportunityOwner])</f>
        <v>Lisa Engineer</v>
      </c>
      <c r="M462" s="51" t="str">
        <f ca="1">IF((transactions[[#This Row],[TransactionDate]]-TODAY())&lt;=366,transactions[[#This Row],[FQ]],"Out-year")</f>
        <v>Out-year</v>
      </c>
      <c r="N462" s="55">
        <f>transactions[[#This Row],[UnWeighted]]/1000</f>
        <v>25.237489795918368</v>
      </c>
      <c r="O462" s="55">
        <f>transactions[[#This Row],[Weighted]]/1000</f>
        <v>12.618744897959184</v>
      </c>
      <c r="P462" s="55">
        <f>transactions[[#This Row],[$K Unweighted]]/1000</f>
        <v>2.5237489795918368E-2</v>
      </c>
      <c r="Q462" s="55" t="b">
        <f ca="1">transactions[[#This Row],[TransactionDate]]&gt;TODAY()</f>
        <v>1</v>
      </c>
    </row>
    <row r="463" spans="1:17" x14ac:dyDescent="0.25">
      <c r="A463">
        <v>4</v>
      </c>
      <c r="B463">
        <v>12</v>
      </c>
      <c r="C463" s="31">
        <v>47389</v>
      </c>
      <c r="D46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3" s="51" t="str">
        <f>"CY"&amp;RIGHT(YEAR(transactions[[#This Row],[TransactionDate]]),2)&amp;"-Q"&amp;ROUNDUP(MONTH(transactions[[#This Row],[TransactionDate]])/3, 0)</f>
        <v>CY29-Q3</v>
      </c>
      <c r="F463" s="52">
        <f>transactions[[#This Row],[UnWeighted]]*_xlfn.XLOOKUP(transactions[[#This Row],[OpportunityID]],Opportunities[ID],Opportunities[WinProbabilityValue])</f>
        <v>62066.583333333336</v>
      </c>
      <c r="G463" s="52">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463" s="51" t="str">
        <f>_xlfn.XLOOKUP(transactions[[#This Row],[OpportunityID]],Opportunities[ID],Opportunities[Status])</f>
        <v>Active</v>
      </c>
      <c r="I463" s="51" t="str">
        <f>_xlfn.XLOOKUP(transactions[[#This Row],[OpportunityID]],Opportunities[ID],Opportunities[Stage])</f>
        <v>Lead Qualification</v>
      </c>
      <c r="J463" s="51" t="str">
        <f>_xlfn.XLOOKUP(transactions[[#This Row],[OpportunityID]],Opportunities[ID],Opportunities[OpportunityName])</f>
        <v>Manufacturing Automation System</v>
      </c>
      <c r="K463" s="51" t="str">
        <f>_xlfn.XLOOKUP(transactions[[#This Row],[CustomerId]],Customers[Id],Customers[Customer Name])</f>
        <v>Food Service Partners</v>
      </c>
      <c r="L463" s="51" t="str">
        <f>_xlfn.XLOOKUP(transactions[[#This Row],[OpportunityID]],Opportunities[ID],Opportunities[OpportunityOwner])</f>
        <v>Robert Analyst</v>
      </c>
      <c r="M463" s="51" t="str">
        <f ca="1">IF((transactions[[#This Row],[TransactionDate]]-TODAY())&lt;=366,transactions[[#This Row],[FQ]],"Out-year")</f>
        <v>Out-year</v>
      </c>
      <c r="N463" s="55">
        <f>transactions[[#This Row],[UnWeighted]]/1000</f>
        <v>124.13316666666667</v>
      </c>
      <c r="O463" s="55">
        <f>transactions[[#This Row],[Weighted]]/1000</f>
        <v>62.066583333333334</v>
      </c>
      <c r="P463" s="55">
        <f>transactions[[#This Row],[$K Unweighted]]/1000</f>
        <v>0.12413316666666667</v>
      </c>
      <c r="Q463" s="55" t="b">
        <f ca="1">transactions[[#This Row],[TransactionDate]]&gt;TODAY()</f>
        <v>1</v>
      </c>
    </row>
    <row r="464" spans="1:17" x14ac:dyDescent="0.25">
      <c r="A464">
        <v>39</v>
      </c>
      <c r="B464">
        <v>3</v>
      </c>
      <c r="C464" s="31">
        <v>47394</v>
      </c>
      <c r="D46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4" s="51" t="str">
        <f>"CY"&amp;RIGHT(YEAR(transactions[[#This Row],[TransactionDate]]),2)&amp;"-Q"&amp;ROUNDUP(MONTH(transactions[[#This Row],[TransactionDate]])/3, 0)</f>
        <v>CY29-Q4</v>
      </c>
      <c r="F464" s="52">
        <f>transactions[[#This Row],[UnWeighted]]*_xlfn.XLOOKUP(transactions[[#This Row],[OpportunityID]],Opportunities[ID],Opportunities[WinProbabilityValue])</f>
        <v>20929.153846153848</v>
      </c>
      <c r="G464"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64" s="51" t="str">
        <f>_xlfn.XLOOKUP(transactions[[#This Row],[OpportunityID]],Opportunities[ID],Opportunities[Status])</f>
        <v>Active</v>
      </c>
      <c r="I464" s="51" t="str">
        <f>_xlfn.XLOOKUP(transactions[[#This Row],[OpportunityID]],Opportunities[ID],Opportunities[Stage])</f>
        <v>Project Execution</v>
      </c>
      <c r="J464" s="51" t="str">
        <f>_xlfn.XLOOKUP(transactions[[#This Row],[OpportunityID]],Opportunities[ID],Opportunities[OpportunityName])</f>
        <v>API Development Project</v>
      </c>
      <c r="K464" s="51" t="str">
        <f>_xlfn.XLOOKUP(transactions[[#This Row],[CustomerId]],Customers[Id],Customers[Customer Name])</f>
        <v>Tech Solutions Inc</v>
      </c>
      <c r="L464" s="51" t="str">
        <f>_xlfn.XLOOKUP(transactions[[#This Row],[OpportunityID]],Opportunities[ID],Opportunities[OpportunityOwner])</f>
        <v>Jennifer PM</v>
      </c>
      <c r="M464" s="51" t="str">
        <f ca="1">IF((transactions[[#This Row],[TransactionDate]]-TODAY())&lt;=366,transactions[[#This Row],[FQ]],"Out-year")</f>
        <v>Out-year</v>
      </c>
      <c r="N464" s="55">
        <f>transactions[[#This Row],[UnWeighted]]/1000</f>
        <v>41.858307692307697</v>
      </c>
      <c r="O464" s="55">
        <f>transactions[[#This Row],[Weighted]]/1000</f>
        <v>20.929153846153849</v>
      </c>
      <c r="P464" s="55">
        <f>transactions[[#This Row],[$K Unweighted]]/1000</f>
        <v>4.1858307692307695E-2</v>
      </c>
      <c r="Q464" s="55" t="b">
        <f ca="1">transactions[[#This Row],[TransactionDate]]&gt;TODAY()</f>
        <v>1</v>
      </c>
    </row>
    <row r="465" spans="1:17" x14ac:dyDescent="0.25">
      <c r="A465">
        <v>15</v>
      </c>
      <c r="B465">
        <v>24</v>
      </c>
      <c r="C465" s="31">
        <v>47398</v>
      </c>
      <c r="D46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5" s="51" t="str">
        <f>"CY"&amp;RIGHT(YEAR(transactions[[#This Row],[TransactionDate]]),2)&amp;"-Q"&amp;ROUNDUP(MONTH(transactions[[#This Row],[TransactionDate]])/3, 0)</f>
        <v>CY29-Q4</v>
      </c>
      <c r="F465" s="52">
        <f>transactions[[#This Row],[UnWeighted]]*_xlfn.XLOOKUP(transactions[[#This Row],[OpportunityID]],Opportunities[ID],Opportunities[WinProbabilityValue])</f>
        <v>29217.197872340425</v>
      </c>
      <c r="G465"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65" s="51" t="str">
        <f>_xlfn.XLOOKUP(transactions[[#This Row],[OpportunityID]],Opportunities[ID],Opportunities[Status])</f>
        <v>Active</v>
      </c>
      <c r="I465" s="51" t="str">
        <f>_xlfn.XLOOKUP(transactions[[#This Row],[OpportunityID]],Opportunities[ID],Opportunities[Stage])</f>
        <v>Project Execution</v>
      </c>
      <c r="J465" s="51" t="str">
        <f>_xlfn.XLOOKUP(transactions[[#This Row],[OpportunityID]],Opportunities[ID],Opportunities[OpportunityName])</f>
        <v>Training &amp; Development Program</v>
      </c>
      <c r="K465" s="51" t="str">
        <f>_xlfn.XLOOKUP(transactions[[#This Row],[CustomerId]],Customers[Id],Customers[Customer Name])</f>
        <v>Security Solutions</v>
      </c>
      <c r="L465" s="51" t="str">
        <f>_xlfn.XLOOKUP(transactions[[#This Row],[OpportunityID]],Opportunities[ID],Opportunities[OpportunityOwner])</f>
        <v>Sarah Director</v>
      </c>
      <c r="M465" s="51" t="str">
        <f ca="1">IF((transactions[[#This Row],[TransactionDate]]-TODAY())&lt;=366,transactions[[#This Row],[FQ]],"Out-year")</f>
        <v>Out-year</v>
      </c>
      <c r="N465" s="55">
        <f>transactions[[#This Row],[UnWeighted]]/1000</f>
        <v>32.46355319148936</v>
      </c>
      <c r="O465" s="55">
        <f>transactions[[#This Row],[Weighted]]/1000</f>
        <v>29.217197872340424</v>
      </c>
      <c r="P465" s="55">
        <f>transactions[[#This Row],[$K Unweighted]]/1000</f>
        <v>3.2463553191489358E-2</v>
      </c>
      <c r="Q465" s="55" t="b">
        <f ca="1">transactions[[#This Row],[TransactionDate]]&gt;TODAY()</f>
        <v>1</v>
      </c>
    </row>
    <row r="466" spans="1:17" x14ac:dyDescent="0.25">
      <c r="A466">
        <v>22</v>
      </c>
      <c r="B466">
        <v>11</v>
      </c>
      <c r="C466" s="31">
        <v>47402</v>
      </c>
      <c r="D46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6" s="51" t="str">
        <f>"CY"&amp;RIGHT(YEAR(transactions[[#This Row],[TransactionDate]]),2)&amp;"-Q"&amp;ROUNDUP(MONTH(transactions[[#This Row],[TransactionDate]])/3, 0)</f>
        <v>CY29-Q4</v>
      </c>
      <c r="F466" s="52">
        <f>transactions[[#This Row],[UnWeighted]]*_xlfn.XLOOKUP(transactions[[#This Row],[OpportunityID]],Opportunities[ID],Opportunities[WinProbabilityValue])</f>
        <v>26390.544230769232</v>
      </c>
      <c r="G466"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66" s="51" t="str">
        <f>_xlfn.XLOOKUP(transactions[[#This Row],[OpportunityID]],Opportunities[ID],Opportunities[Status])</f>
        <v>Active</v>
      </c>
      <c r="I466" s="51" t="str">
        <f>_xlfn.XLOOKUP(transactions[[#This Row],[OpportunityID]],Opportunities[ID],Opportunities[Stage])</f>
        <v>Nurturing</v>
      </c>
      <c r="J466" s="51" t="str">
        <f>_xlfn.XLOOKUP(transactions[[#This Row],[OpportunityID]],Opportunities[ID],Opportunities[OpportunityName])</f>
        <v>Inventory Management Solution</v>
      </c>
      <c r="K466" s="51" t="str">
        <f>_xlfn.XLOOKUP(transactions[[#This Row],[CustomerId]],Customers[Id],Customers[Customer Name])</f>
        <v>Transport Logistics</v>
      </c>
      <c r="L466" s="51" t="str">
        <f>_xlfn.XLOOKUP(transactions[[#This Row],[OpportunityID]],Opportunities[ID],Opportunities[OpportunityOwner])</f>
        <v>Sarah Director</v>
      </c>
      <c r="M466" s="51" t="str">
        <f ca="1">IF((transactions[[#This Row],[TransactionDate]]-TODAY())&lt;=366,transactions[[#This Row],[FQ]],"Out-year")</f>
        <v>Out-year</v>
      </c>
      <c r="N466" s="55">
        <f>transactions[[#This Row],[UnWeighted]]/1000</f>
        <v>29.322826923076921</v>
      </c>
      <c r="O466" s="55">
        <f>transactions[[#This Row],[Weighted]]/1000</f>
        <v>26.390544230769233</v>
      </c>
      <c r="P466" s="55">
        <f>transactions[[#This Row],[$K Unweighted]]/1000</f>
        <v>2.932282692307692E-2</v>
      </c>
      <c r="Q466" s="55" t="b">
        <f ca="1">transactions[[#This Row],[TransactionDate]]&gt;TODAY()</f>
        <v>1</v>
      </c>
    </row>
    <row r="467" spans="1:17" x14ac:dyDescent="0.25">
      <c r="A467">
        <v>11</v>
      </c>
      <c r="B467">
        <v>3</v>
      </c>
      <c r="C467" s="31">
        <v>47404</v>
      </c>
      <c r="D46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7" s="51" t="str">
        <f>"CY"&amp;RIGHT(YEAR(transactions[[#This Row],[TransactionDate]]),2)&amp;"-Q"&amp;ROUNDUP(MONTH(transactions[[#This Row],[TransactionDate]])/3, 0)</f>
        <v>CY29-Q4</v>
      </c>
      <c r="F467" s="52">
        <f>transactions[[#This Row],[UnWeighted]]*_xlfn.XLOOKUP(transactions[[#This Row],[OpportunityID]],Opportunities[ID],Opportunities[WinProbabilityValue])</f>
        <v>113460.75</v>
      </c>
      <c r="G467" s="52">
        <f>_xlfn.XLOOKUP(transactions[[#This Row],[OpportunityID]],Opportunities[ID],Opportunities[Amount])/IF(_xlfn.XLOOKUP(transactions[[#This Row],[OpportunityID]],Opportunities[ID],Opportunities[Recurrences])=0,1,_xlfn.XLOOKUP(transactions[[#This Row],[OpportunityID]],Opportunities[ID],Opportunities[Recurrences]))</f>
        <v>126067.5</v>
      </c>
      <c r="H467" s="51" t="str">
        <f>_xlfn.XLOOKUP(transactions[[#This Row],[OpportunityID]],Opportunities[ID],Opportunities[Status])</f>
        <v>At Risk</v>
      </c>
      <c r="I467" s="51" t="str">
        <f>_xlfn.XLOOKUP(transactions[[#This Row],[OpportunityID]],Opportunities[ID],Opportunities[Stage])</f>
        <v>Negotiation</v>
      </c>
      <c r="J467" s="51" t="str">
        <f>_xlfn.XLOOKUP(transactions[[#This Row],[OpportunityID]],Opportunities[ID],Opportunities[OpportunityName])</f>
        <v>Data Center Consolidation</v>
      </c>
      <c r="K467" s="51" t="str">
        <f>_xlfn.XLOOKUP(transactions[[#This Row],[CustomerId]],Customers[Id],Customers[Customer Name])</f>
        <v>Tech Solutions Inc</v>
      </c>
      <c r="L467" s="51" t="str">
        <f>_xlfn.XLOOKUP(transactions[[#This Row],[OpportunityID]],Opportunities[ID],Opportunities[OpportunityOwner])</f>
        <v>David Specialist</v>
      </c>
      <c r="M467" s="51" t="str">
        <f ca="1">IF((transactions[[#This Row],[TransactionDate]]-TODAY())&lt;=366,transactions[[#This Row],[FQ]],"Out-year")</f>
        <v>Out-year</v>
      </c>
      <c r="N467" s="55">
        <f>transactions[[#This Row],[UnWeighted]]/1000</f>
        <v>126.0675</v>
      </c>
      <c r="O467" s="55">
        <f>transactions[[#This Row],[Weighted]]/1000</f>
        <v>113.46075</v>
      </c>
      <c r="P467" s="55">
        <f>transactions[[#This Row],[$K Unweighted]]/1000</f>
        <v>0.1260675</v>
      </c>
      <c r="Q467" s="55" t="b">
        <f ca="1">transactions[[#This Row],[TransactionDate]]&gt;TODAY()</f>
        <v>1</v>
      </c>
    </row>
    <row r="468" spans="1:17" x14ac:dyDescent="0.25">
      <c r="A468">
        <v>12</v>
      </c>
      <c r="B468">
        <v>17</v>
      </c>
      <c r="C468" s="31">
        <v>47409</v>
      </c>
      <c r="D46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8" s="51" t="str">
        <f>"CY"&amp;RIGHT(YEAR(transactions[[#This Row],[TransactionDate]]),2)&amp;"-Q"&amp;ROUNDUP(MONTH(transactions[[#This Row],[TransactionDate]])/3, 0)</f>
        <v>CY29-Q4</v>
      </c>
      <c r="F468" s="52">
        <f>transactions[[#This Row],[UnWeighted]]*_xlfn.XLOOKUP(transactions[[#This Row],[OpportunityID]],Opportunities[ID],Opportunities[WinProbabilityValue])</f>
        <v>67945.3125</v>
      </c>
      <c r="G468" s="52">
        <f>_xlfn.XLOOKUP(transactions[[#This Row],[OpportunityID]],Opportunities[ID],Opportunities[Amount])/IF(_xlfn.XLOOKUP(transactions[[#This Row],[OpportunityID]],Opportunities[ID],Opportunities[Recurrences])=0,1,_xlfn.XLOOKUP(transactions[[#This Row],[OpportunityID]],Opportunities[ID],Opportunities[Recurrences]))</f>
        <v>135890.625</v>
      </c>
      <c r="H468" s="51" t="str">
        <f>_xlfn.XLOOKUP(transactions[[#This Row],[OpportunityID]],Opportunities[ID],Opportunities[Status])</f>
        <v>Active</v>
      </c>
      <c r="I468" s="51" t="str">
        <f>_xlfn.XLOOKUP(transactions[[#This Row],[OpportunityID]],Opportunities[ID],Opportunities[Stage])</f>
        <v>Project Execution</v>
      </c>
      <c r="J468" s="51" t="str">
        <f>_xlfn.XLOOKUP(transactions[[#This Row],[OpportunityID]],Opportunities[ID],Opportunities[OpportunityName])</f>
        <v>Cybersecurity Enhancement</v>
      </c>
      <c r="K468" s="51" t="str">
        <f>_xlfn.XLOOKUP(transactions[[#This Row],[CustomerId]],Customers[Id],Customers[Customer Name])</f>
        <v>Insurance Specialists</v>
      </c>
      <c r="L468" s="51" t="str">
        <f>_xlfn.XLOOKUP(transactions[[#This Row],[OpportunityID]],Opportunities[ID],Opportunities[OpportunityOwner])</f>
        <v>Dr. Tech Advisor</v>
      </c>
      <c r="M468" s="51" t="str">
        <f ca="1">IF((transactions[[#This Row],[TransactionDate]]-TODAY())&lt;=366,transactions[[#This Row],[FQ]],"Out-year")</f>
        <v>Out-year</v>
      </c>
      <c r="N468" s="55">
        <f>transactions[[#This Row],[UnWeighted]]/1000</f>
        <v>135.890625</v>
      </c>
      <c r="O468" s="55">
        <f>transactions[[#This Row],[Weighted]]/1000</f>
        <v>67.9453125</v>
      </c>
      <c r="P468" s="55">
        <f>transactions[[#This Row],[$K Unweighted]]/1000</f>
        <v>0.13589062499999999</v>
      </c>
      <c r="Q468" s="55" t="b">
        <f ca="1">transactions[[#This Row],[TransactionDate]]&gt;TODAY()</f>
        <v>1</v>
      </c>
    </row>
    <row r="469" spans="1:17" x14ac:dyDescent="0.25">
      <c r="A469">
        <v>30</v>
      </c>
      <c r="B469">
        <v>1</v>
      </c>
      <c r="C469" s="31">
        <v>47412</v>
      </c>
      <c r="D46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9" s="51" t="str">
        <f>"CY"&amp;RIGHT(YEAR(transactions[[#This Row],[TransactionDate]]),2)&amp;"-Q"&amp;ROUNDUP(MONTH(transactions[[#This Row],[TransactionDate]])/3, 0)</f>
        <v>CY29-Q4</v>
      </c>
      <c r="F469" s="52">
        <f>transactions[[#This Row],[UnWeighted]]*_xlfn.XLOOKUP(transactions[[#This Row],[OpportunityID]],Opportunities[ID],Opportunities[WinProbabilityValue])</f>
        <v>73260.25</v>
      </c>
      <c r="G469" s="52">
        <f>_xlfn.XLOOKUP(transactions[[#This Row],[OpportunityID]],Opportunities[ID],Opportunities[Amount])/IF(_xlfn.XLOOKUP(transactions[[#This Row],[OpportunityID]],Opportunities[ID],Opportunities[Recurrences])=0,1,_xlfn.XLOOKUP(transactions[[#This Row],[OpportunityID]],Opportunities[ID],Opportunities[Recurrences]))</f>
        <v>146520.5</v>
      </c>
      <c r="H469" s="51" t="str">
        <f>_xlfn.XLOOKUP(transactions[[#This Row],[OpportunityID]],Opportunities[ID],Opportunities[Status])</f>
        <v>Active</v>
      </c>
      <c r="I469" s="51" t="str">
        <f>_xlfn.XLOOKUP(transactions[[#This Row],[OpportunityID]],Opportunities[ID],Opportunities[Stage])</f>
        <v>Nurturing</v>
      </c>
      <c r="J469" s="51" t="str">
        <f>_xlfn.XLOOKUP(transactions[[#This Row],[OpportunityID]],Opportunities[ID],Opportunities[OpportunityName])</f>
        <v>Customer Service Platform</v>
      </c>
      <c r="K469" s="51" t="str">
        <f>_xlfn.XLOOKUP(transactions[[#This Row],[CustomerId]],Customers[Id],Customers[Customer Name])</f>
        <v>ACME Corporation</v>
      </c>
      <c r="L469" s="51" t="str">
        <f>_xlfn.XLOOKUP(transactions[[#This Row],[OpportunityID]],Opportunities[ID],Opportunities[OpportunityOwner])</f>
        <v>Maria Coordinator</v>
      </c>
      <c r="M469" s="51" t="str">
        <f ca="1">IF((transactions[[#This Row],[TransactionDate]]-TODAY())&lt;=366,transactions[[#This Row],[FQ]],"Out-year")</f>
        <v>Out-year</v>
      </c>
      <c r="N469" s="55">
        <f>transactions[[#This Row],[UnWeighted]]/1000</f>
        <v>146.5205</v>
      </c>
      <c r="O469" s="55">
        <f>transactions[[#This Row],[Weighted]]/1000</f>
        <v>73.260249999999999</v>
      </c>
      <c r="P469" s="55">
        <f>transactions[[#This Row],[$K Unweighted]]/1000</f>
        <v>0.1465205</v>
      </c>
      <c r="Q469" s="55" t="b">
        <f ca="1">transactions[[#This Row],[TransactionDate]]&gt;TODAY()</f>
        <v>1</v>
      </c>
    </row>
    <row r="470" spans="1:17" x14ac:dyDescent="0.25">
      <c r="A470">
        <v>13</v>
      </c>
      <c r="B470">
        <v>2</v>
      </c>
      <c r="C470" s="31">
        <v>47413</v>
      </c>
      <c r="D47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70" s="51" t="str">
        <f>"CY"&amp;RIGHT(YEAR(transactions[[#This Row],[TransactionDate]]),2)&amp;"-Q"&amp;ROUNDUP(MONTH(transactions[[#This Row],[TransactionDate]])/3, 0)</f>
        <v>CY29-Q4</v>
      </c>
      <c r="F470" s="52">
        <f>transactions[[#This Row],[UnWeighted]]*_xlfn.XLOOKUP(transactions[[#This Row],[OpportunityID]],Opportunities[ID],Opportunities[WinProbabilityValue])</f>
        <v>12618.744897959185</v>
      </c>
      <c r="G470"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70" s="51" t="str">
        <f>_xlfn.XLOOKUP(transactions[[#This Row],[OpportunityID]],Opportunities[ID],Opportunities[Status])</f>
        <v>Active</v>
      </c>
      <c r="I470" s="51" t="str">
        <f>_xlfn.XLOOKUP(transactions[[#This Row],[OpportunityID]],Opportunities[ID],Opportunities[Stage])</f>
        <v>Negotiation</v>
      </c>
      <c r="J470" s="51" t="str">
        <f>_xlfn.XLOOKUP(transactions[[#This Row],[OpportunityID]],Opportunities[ID],Opportunities[OpportunityName])</f>
        <v>E-commerce Platform</v>
      </c>
      <c r="K470" s="51" t="str">
        <f>_xlfn.XLOOKUP(transactions[[#This Row],[CustomerId]],Customers[Id],Customers[Customer Name])</f>
        <v>Global Industries</v>
      </c>
      <c r="L470" s="51" t="str">
        <f>_xlfn.XLOOKUP(transactions[[#This Row],[OpportunityID]],Opportunities[ID],Opportunities[OpportunityOwner])</f>
        <v>Lisa Engineer</v>
      </c>
      <c r="M470" s="51" t="str">
        <f ca="1">IF((transactions[[#This Row],[TransactionDate]]-TODAY())&lt;=366,transactions[[#This Row],[FQ]],"Out-year")</f>
        <v>Out-year</v>
      </c>
      <c r="N470" s="55">
        <f>transactions[[#This Row],[UnWeighted]]/1000</f>
        <v>25.237489795918368</v>
      </c>
      <c r="O470" s="55">
        <f>transactions[[#This Row],[Weighted]]/1000</f>
        <v>12.618744897959184</v>
      </c>
      <c r="P470" s="55">
        <f>transactions[[#This Row],[$K Unweighted]]/1000</f>
        <v>2.5237489795918368E-2</v>
      </c>
      <c r="Q470" s="55" t="b">
        <f ca="1">transactions[[#This Row],[TransactionDate]]&gt;TODAY()</f>
        <v>1</v>
      </c>
    </row>
    <row r="471" spans="1:17" x14ac:dyDescent="0.25">
      <c r="A471">
        <v>32</v>
      </c>
      <c r="B471">
        <v>29</v>
      </c>
      <c r="C471" s="31">
        <v>47414</v>
      </c>
      <c r="D47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71" s="51" t="str">
        <f>"CY"&amp;RIGHT(YEAR(transactions[[#This Row],[TransactionDate]]),2)&amp;"-Q"&amp;ROUNDUP(MONTH(transactions[[#This Row],[TransactionDate]])/3, 0)</f>
        <v>CY29-Q4</v>
      </c>
      <c r="F471" s="52">
        <f>transactions[[#This Row],[UnWeighted]]*_xlfn.XLOOKUP(transactions[[#This Row],[OpportunityID]],Opportunities[ID],Opportunities[WinProbabilityValue])</f>
        <v>19870.314285714288</v>
      </c>
      <c r="G471" s="52">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471" s="51" t="str">
        <f>_xlfn.XLOOKUP(transactions[[#This Row],[OpportunityID]],Opportunities[ID],Opportunities[Status])</f>
        <v>Active</v>
      </c>
      <c r="I471" s="51" t="str">
        <f>_xlfn.XLOOKUP(transactions[[#This Row],[OpportunityID]],Opportunities[ID],Opportunities[Stage])</f>
        <v>Proposal</v>
      </c>
      <c r="J471" s="51" t="str">
        <f>_xlfn.XLOOKUP(transactions[[#This Row],[OpportunityID]],Opportunities[ID],Opportunities[OpportunityName])</f>
        <v>Environmental Monitoring Solution</v>
      </c>
      <c r="K471" s="51" t="str">
        <f>_xlfn.XLOOKUP(transactions[[#This Row],[CustomerId]],Customers[Id],Customers[Customer Name])</f>
        <v>Waste Management Co</v>
      </c>
      <c r="L471" s="51" t="str">
        <f>_xlfn.XLOOKUP(transactions[[#This Row],[OpportunityID]],Opportunities[ID],Opportunities[OpportunityOwner])</f>
        <v>Jennifer PM</v>
      </c>
      <c r="M471" s="51" t="str">
        <f ca="1">IF((transactions[[#This Row],[TransactionDate]]-TODAY())&lt;=366,transactions[[#This Row],[FQ]],"Out-year")</f>
        <v>Out-year</v>
      </c>
      <c r="N471" s="55">
        <f>transactions[[#This Row],[UnWeighted]]/1000</f>
        <v>99.351571428571432</v>
      </c>
      <c r="O471" s="55">
        <f>transactions[[#This Row],[Weighted]]/1000</f>
        <v>19.87031428571429</v>
      </c>
      <c r="P471" s="55">
        <f>transactions[[#This Row],[$K Unweighted]]/1000</f>
        <v>9.9351571428571428E-2</v>
      </c>
      <c r="Q471" s="55" t="b">
        <f ca="1">transactions[[#This Row],[TransactionDate]]&gt;TODAY()</f>
        <v>1</v>
      </c>
    </row>
    <row r="472" spans="1:17" x14ac:dyDescent="0.25">
      <c r="A472">
        <v>7</v>
      </c>
      <c r="B472">
        <v>14</v>
      </c>
      <c r="C472" s="31">
        <v>47417</v>
      </c>
      <c r="D47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72" s="51" t="str">
        <f>"CY"&amp;RIGHT(YEAR(transactions[[#This Row],[TransactionDate]]),2)&amp;"-Q"&amp;ROUNDUP(MONTH(transactions[[#This Row],[TransactionDate]])/3, 0)</f>
        <v>CY29-Q4</v>
      </c>
      <c r="F472" s="52">
        <f>transactions[[#This Row],[UnWeighted]]*_xlfn.XLOOKUP(transactions[[#This Row],[OpportunityID]],Opportunities[ID],Opportunities[WinProbabilityValue])</f>
        <v>41771.416666666664</v>
      </c>
      <c r="G472" s="52">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472" s="51" t="str">
        <f>_xlfn.XLOOKUP(transactions[[#This Row],[OpportunityID]],Opportunities[ID],Opportunities[Status])</f>
        <v>Active</v>
      </c>
      <c r="I472" s="51" t="str">
        <f>_xlfn.XLOOKUP(transactions[[#This Row],[OpportunityID]],Opportunities[ID],Opportunities[Stage])</f>
        <v>Project Execution</v>
      </c>
      <c r="J472" s="51" t="str">
        <f>_xlfn.XLOOKUP(transactions[[#This Row],[OpportunityID]],Opportunities[ID],Opportunities[OpportunityName])</f>
        <v>Network Infrastructure Upgrade</v>
      </c>
      <c r="K472" s="51" t="str">
        <f>_xlfn.XLOOKUP(transactions[[#This Row],[CustomerId]],Customers[Id],Customers[Customer Name])</f>
        <v>Media Communications</v>
      </c>
      <c r="L472" s="51" t="str">
        <f>_xlfn.XLOOKUP(transactions[[#This Row],[OpportunityID]],Opportunities[ID],Opportunities[OpportunityOwner])</f>
        <v>Dr. Tech Advisor</v>
      </c>
      <c r="M472" s="51" t="str">
        <f ca="1">IF((transactions[[#This Row],[TransactionDate]]-TODAY())&lt;=366,transactions[[#This Row],[FQ]],"Out-year")</f>
        <v>Out-year</v>
      </c>
      <c r="N472" s="55">
        <f>transactions[[#This Row],[UnWeighted]]/1000</f>
        <v>83.542833333333334</v>
      </c>
      <c r="O472" s="55">
        <f>transactions[[#This Row],[Weighted]]/1000</f>
        <v>41.771416666666667</v>
      </c>
      <c r="P472" s="55">
        <f>transactions[[#This Row],[$K Unweighted]]/1000</f>
        <v>8.354283333333333E-2</v>
      </c>
      <c r="Q472" s="55" t="b">
        <f ca="1">transactions[[#This Row],[TransactionDate]]&gt;TODAY()</f>
        <v>1</v>
      </c>
    </row>
    <row r="473" spans="1:17" x14ac:dyDescent="0.25">
      <c r="A473">
        <v>39</v>
      </c>
      <c r="B473">
        <v>3</v>
      </c>
      <c r="C473" s="31">
        <v>47425</v>
      </c>
      <c r="D47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3" s="51" t="str">
        <f>"CY"&amp;RIGHT(YEAR(transactions[[#This Row],[TransactionDate]]),2)&amp;"-Q"&amp;ROUNDUP(MONTH(transactions[[#This Row],[TransactionDate]])/3, 0)</f>
        <v>CY29-Q4</v>
      </c>
      <c r="F473" s="52">
        <f>transactions[[#This Row],[UnWeighted]]*_xlfn.XLOOKUP(transactions[[#This Row],[OpportunityID]],Opportunities[ID],Opportunities[WinProbabilityValue])</f>
        <v>20929.153846153848</v>
      </c>
      <c r="G473"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73" s="51" t="str">
        <f>_xlfn.XLOOKUP(transactions[[#This Row],[OpportunityID]],Opportunities[ID],Opportunities[Status])</f>
        <v>Active</v>
      </c>
      <c r="I473" s="51" t="str">
        <f>_xlfn.XLOOKUP(transactions[[#This Row],[OpportunityID]],Opportunities[ID],Opportunities[Stage])</f>
        <v>Project Execution</v>
      </c>
      <c r="J473" s="51" t="str">
        <f>_xlfn.XLOOKUP(transactions[[#This Row],[OpportunityID]],Opportunities[ID],Opportunities[OpportunityName])</f>
        <v>API Development Project</v>
      </c>
      <c r="K473" s="51" t="str">
        <f>_xlfn.XLOOKUP(transactions[[#This Row],[CustomerId]],Customers[Id],Customers[Customer Name])</f>
        <v>Tech Solutions Inc</v>
      </c>
      <c r="L473" s="51" t="str">
        <f>_xlfn.XLOOKUP(transactions[[#This Row],[OpportunityID]],Opportunities[ID],Opportunities[OpportunityOwner])</f>
        <v>Jennifer PM</v>
      </c>
      <c r="M473" s="51" t="str">
        <f ca="1">IF((transactions[[#This Row],[TransactionDate]]-TODAY())&lt;=366,transactions[[#This Row],[FQ]],"Out-year")</f>
        <v>Out-year</v>
      </c>
      <c r="N473" s="55">
        <f>transactions[[#This Row],[UnWeighted]]/1000</f>
        <v>41.858307692307697</v>
      </c>
      <c r="O473" s="55">
        <f>transactions[[#This Row],[Weighted]]/1000</f>
        <v>20.929153846153849</v>
      </c>
      <c r="P473" s="55">
        <f>transactions[[#This Row],[$K Unweighted]]/1000</f>
        <v>4.1858307692307695E-2</v>
      </c>
      <c r="Q473" s="55" t="b">
        <f ca="1">transactions[[#This Row],[TransactionDate]]&gt;TODAY()</f>
        <v>1</v>
      </c>
    </row>
    <row r="474" spans="1:17" x14ac:dyDescent="0.25">
      <c r="A474">
        <v>15</v>
      </c>
      <c r="B474">
        <v>24</v>
      </c>
      <c r="C474" s="31">
        <v>47429</v>
      </c>
      <c r="D47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4" s="51" t="str">
        <f>"CY"&amp;RIGHT(YEAR(transactions[[#This Row],[TransactionDate]]),2)&amp;"-Q"&amp;ROUNDUP(MONTH(transactions[[#This Row],[TransactionDate]])/3, 0)</f>
        <v>CY29-Q4</v>
      </c>
      <c r="F474" s="52">
        <f>transactions[[#This Row],[UnWeighted]]*_xlfn.XLOOKUP(transactions[[#This Row],[OpportunityID]],Opportunities[ID],Opportunities[WinProbabilityValue])</f>
        <v>29217.197872340425</v>
      </c>
      <c r="G474"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74" s="51" t="str">
        <f>_xlfn.XLOOKUP(transactions[[#This Row],[OpportunityID]],Opportunities[ID],Opportunities[Status])</f>
        <v>Active</v>
      </c>
      <c r="I474" s="51" t="str">
        <f>_xlfn.XLOOKUP(transactions[[#This Row],[OpportunityID]],Opportunities[ID],Opportunities[Stage])</f>
        <v>Project Execution</v>
      </c>
      <c r="J474" s="51" t="str">
        <f>_xlfn.XLOOKUP(transactions[[#This Row],[OpportunityID]],Opportunities[ID],Opportunities[OpportunityName])</f>
        <v>Training &amp; Development Program</v>
      </c>
      <c r="K474" s="51" t="str">
        <f>_xlfn.XLOOKUP(transactions[[#This Row],[CustomerId]],Customers[Id],Customers[Customer Name])</f>
        <v>Security Solutions</v>
      </c>
      <c r="L474" s="51" t="str">
        <f>_xlfn.XLOOKUP(transactions[[#This Row],[OpportunityID]],Opportunities[ID],Opportunities[OpportunityOwner])</f>
        <v>Sarah Director</v>
      </c>
      <c r="M474" s="51" t="str">
        <f ca="1">IF((transactions[[#This Row],[TransactionDate]]-TODAY())&lt;=366,transactions[[#This Row],[FQ]],"Out-year")</f>
        <v>Out-year</v>
      </c>
      <c r="N474" s="55">
        <f>transactions[[#This Row],[UnWeighted]]/1000</f>
        <v>32.46355319148936</v>
      </c>
      <c r="O474" s="55">
        <f>transactions[[#This Row],[Weighted]]/1000</f>
        <v>29.217197872340424</v>
      </c>
      <c r="P474" s="55">
        <f>transactions[[#This Row],[$K Unweighted]]/1000</f>
        <v>3.2463553191489358E-2</v>
      </c>
      <c r="Q474" s="55" t="b">
        <f ca="1">transactions[[#This Row],[TransactionDate]]&gt;TODAY()</f>
        <v>1</v>
      </c>
    </row>
    <row r="475" spans="1:17" x14ac:dyDescent="0.25">
      <c r="A475">
        <v>25</v>
      </c>
      <c r="B475">
        <v>14</v>
      </c>
      <c r="C475" s="31">
        <v>47431</v>
      </c>
      <c r="D47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5" s="51" t="str">
        <f>"CY"&amp;RIGHT(YEAR(transactions[[#This Row],[TransactionDate]]),2)&amp;"-Q"&amp;ROUNDUP(MONTH(transactions[[#This Row],[TransactionDate]])/3, 0)</f>
        <v>CY29-Q4</v>
      </c>
      <c r="F475" s="52">
        <f>transactions[[#This Row],[UnWeighted]]*_xlfn.XLOOKUP(transactions[[#This Row],[OpportunityID]],Opportunities[ID],Opportunities[WinProbabilityValue])</f>
        <v>35076.26666666667</v>
      </c>
      <c r="G475" s="52">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475" s="51" t="str">
        <f>_xlfn.XLOOKUP(transactions[[#This Row],[OpportunityID]],Opportunities[ID],Opportunities[Status])</f>
        <v>Active</v>
      </c>
      <c r="I475" s="51" t="str">
        <f>_xlfn.XLOOKUP(transactions[[#This Row],[OpportunityID]],Opportunities[ID],Opportunities[Stage])</f>
        <v>Lead Qualification</v>
      </c>
      <c r="J475" s="51" t="str">
        <f>_xlfn.XLOOKUP(transactions[[#This Row],[OpportunityID]],Opportunities[ID],Opportunities[OpportunityName])</f>
        <v>Project Management Software</v>
      </c>
      <c r="K475" s="51" t="str">
        <f>_xlfn.XLOOKUP(transactions[[#This Row],[CustomerId]],Customers[Id],Customers[Customer Name])</f>
        <v>Media Communications</v>
      </c>
      <c r="L475" s="51" t="str">
        <f>_xlfn.XLOOKUP(transactions[[#This Row],[OpportunityID]],Opportunities[ID],Opportunities[OpportunityOwner])</f>
        <v>Amanda Sales</v>
      </c>
      <c r="M475" s="51" t="str">
        <f ca="1">IF((transactions[[#This Row],[TransactionDate]]-TODAY())&lt;=366,transactions[[#This Row],[FQ]],"Out-year")</f>
        <v>Out-year</v>
      </c>
      <c r="N475" s="55">
        <f>transactions[[#This Row],[UnWeighted]]/1000</f>
        <v>70.152533333333338</v>
      </c>
      <c r="O475" s="55">
        <f>transactions[[#This Row],[Weighted]]/1000</f>
        <v>35.076266666666669</v>
      </c>
      <c r="P475" s="55">
        <f>transactions[[#This Row],[$K Unweighted]]/1000</f>
        <v>7.0152533333333336E-2</v>
      </c>
      <c r="Q475" s="55" t="b">
        <f ca="1">transactions[[#This Row],[TransactionDate]]&gt;TODAY()</f>
        <v>1</v>
      </c>
    </row>
    <row r="476" spans="1:17" x14ac:dyDescent="0.25">
      <c r="A476">
        <v>22</v>
      </c>
      <c r="B476">
        <v>11</v>
      </c>
      <c r="C476" s="31">
        <v>47433</v>
      </c>
      <c r="D47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6" s="51" t="str">
        <f>"CY"&amp;RIGHT(YEAR(transactions[[#This Row],[TransactionDate]]),2)&amp;"-Q"&amp;ROUNDUP(MONTH(transactions[[#This Row],[TransactionDate]])/3, 0)</f>
        <v>CY29-Q4</v>
      </c>
      <c r="F476" s="52">
        <f>transactions[[#This Row],[UnWeighted]]*_xlfn.XLOOKUP(transactions[[#This Row],[OpportunityID]],Opportunities[ID],Opportunities[WinProbabilityValue])</f>
        <v>26390.544230769232</v>
      </c>
      <c r="G476"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76" s="51" t="str">
        <f>_xlfn.XLOOKUP(transactions[[#This Row],[OpportunityID]],Opportunities[ID],Opportunities[Status])</f>
        <v>Active</v>
      </c>
      <c r="I476" s="51" t="str">
        <f>_xlfn.XLOOKUP(transactions[[#This Row],[OpportunityID]],Opportunities[ID],Opportunities[Stage])</f>
        <v>Nurturing</v>
      </c>
      <c r="J476" s="51" t="str">
        <f>_xlfn.XLOOKUP(transactions[[#This Row],[OpportunityID]],Opportunities[ID],Opportunities[OpportunityName])</f>
        <v>Inventory Management Solution</v>
      </c>
      <c r="K476" s="51" t="str">
        <f>_xlfn.XLOOKUP(transactions[[#This Row],[CustomerId]],Customers[Id],Customers[Customer Name])</f>
        <v>Transport Logistics</v>
      </c>
      <c r="L476" s="51" t="str">
        <f>_xlfn.XLOOKUP(transactions[[#This Row],[OpportunityID]],Opportunities[ID],Opportunities[OpportunityOwner])</f>
        <v>Sarah Director</v>
      </c>
      <c r="M476" s="51" t="str">
        <f ca="1">IF((transactions[[#This Row],[TransactionDate]]-TODAY())&lt;=366,transactions[[#This Row],[FQ]],"Out-year")</f>
        <v>Out-year</v>
      </c>
      <c r="N476" s="55">
        <f>transactions[[#This Row],[UnWeighted]]/1000</f>
        <v>29.322826923076921</v>
      </c>
      <c r="O476" s="55">
        <f>transactions[[#This Row],[Weighted]]/1000</f>
        <v>26.390544230769233</v>
      </c>
      <c r="P476" s="55">
        <f>transactions[[#This Row],[$K Unweighted]]/1000</f>
        <v>2.932282692307692E-2</v>
      </c>
      <c r="Q476" s="55" t="b">
        <f ca="1">transactions[[#This Row],[TransactionDate]]&gt;TODAY()</f>
        <v>1</v>
      </c>
    </row>
    <row r="477" spans="1:17" x14ac:dyDescent="0.25">
      <c r="A477">
        <v>28</v>
      </c>
      <c r="B477">
        <v>1</v>
      </c>
      <c r="C477" s="31">
        <v>47438</v>
      </c>
      <c r="D47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7" s="51" t="str">
        <f>"CY"&amp;RIGHT(YEAR(transactions[[#This Row],[TransactionDate]]),2)&amp;"-Q"&amp;ROUNDUP(MONTH(transactions[[#This Row],[TransactionDate]])/3, 0)</f>
        <v>CY29-Q4</v>
      </c>
      <c r="F477" s="52">
        <f>transactions[[#This Row],[UnWeighted]]*_xlfn.XLOOKUP(transactions[[#This Row],[OpportunityID]],Opportunities[ID],Opportunities[WinProbabilityValue])</f>
        <v>40447.666666666664</v>
      </c>
      <c r="G477" s="52">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477" s="51" t="str">
        <f>_xlfn.XLOOKUP(transactions[[#This Row],[OpportunityID]],Opportunities[ID],Opportunities[Status])</f>
        <v>Active</v>
      </c>
      <c r="I477" s="51" t="str">
        <f>_xlfn.XLOOKUP(transactions[[#This Row],[OpportunityID]],Opportunities[ID],Opportunities[Stage])</f>
        <v>Lead Qualification</v>
      </c>
      <c r="J477" s="51" t="str">
        <f>_xlfn.XLOOKUP(transactions[[#This Row],[OpportunityID]],Opportunities[ID],Opportunities[OpportunityName])</f>
        <v>Website Redesign Project</v>
      </c>
      <c r="K477" s="51" t="str">
        <f>_xlfn.XLOOKUP(transactions[[#This Row],[CustomerId]],Customers[Id],Customers[Customer Name])</f>
        <v>ACME Corporation</v>
      </c>
      <c r="L477" s="51" t="str">
        <f>_xlfn.XLOOKUP(transactions[[#This Row],[OpportunityID]],Opportunities[ID],Opportunities[OpportunityOwner])</f>
        <v>Lisa Engineer</v>
      </c>
      <c r="M477" s="51" t="str">
        <f ca="1">IF((transactions[[#This Row],[TransactionDate]]-TODAY())&lt;=366,transactions[[#This Row],[FQ]],"Out-year")</f>
        <v>Out-year</v>
      </c>
      <c r="N477" s="55">
        <f>transactions[[#This Row],[UnWeighted]]/1000</f>
        <v>80.895333333333326</v>
      </c>
      <c r="O477" s="55">
        <f>transactions[[#This Row],[Weighted]]/1000</f>
        <v>40.447666666666663</v>
      </c>
      <c r="P477" s="55">
        <f>transactions[[#This Row],[$K Unweighted]]/1000</f>
        <v>8.0895333333333333E-2</v>
      </c>
      <c r="Q477" s="55" t="b">
        <f ca="1">transactions[[#This Row],[TransactionDate]]&gt;TODAY()</f>
        <v>1</v>
      </c>
    </row>
    <row r="478" spans="1:17" x14ac:dyDescent="0.25">
      <c r="A478">
        <v>27</v>
      </c>
      <c r="B478">
        <v>2</v>
      </c>
      <c r="C478" s="31">
        <v>47439</v>
      </c>
      <c r="D47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8" s="51" t="str">
        <f>"CY"&amp;RIGHT(YEAR(transactions[[#This Row],[TransactionDate]]),2)&amp;"-Q"&amp;ROUNDUP(MONTH(transactions[[#This Row],[TransactionDate]])/3, 0)</f>
        <v>CY29-Q4</v>
      </c>
      <c r="F478" s="52">
        <f>transactions[[#This Row],[UnWeighted]]*_xlfn.XLOOKUP(transactions[[#This Row],[OpportunityID]],Opportunities[ID],Opportunities[WinProbabilityValue])</f>
        <v>46287.333333333336</v>
      </c>
      <c r="G478"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478" s="51" t="str">
        <f>_xlfn.XLOOKUP(transactions[[#This Row],[OpportunityID]],Opportunities[ID],Opportunities[Status])</f>
        <v>Active</v>
      </c>
      <c r="I478" s="51" t="str">
        <f>_xlfn.XLOOKUP(transactions[[#This Row],[OpportunityID]],Opportunities[ID],Opportunities[Stage])</f>
        <v>Lead Qualification</v>
      </c>
      <c r="J478" s="51" t="str">
        <f>_xlfn.XLOOKUP(transactions[[#This Row],[OpportunityID]],Opportunities[ID],Opportunities[OpportunityName])</f>
        <v>Backup &amp; Recovery System</v>
      </c>
      <c r="K478" s="51" t="str">
        <f>_xlfn.XLOOKUP(transactions[[#This Row],[CustomerId]],Customers[Id],Customers[Customer Name])</f>
        <v>Global Industries</v>
      </c>
      <c r="L478" s="51" t="str">
        <f>_xlfn.XLOOKUP(transactions[[#This Row],[OpportunityID]],Opportunities[ID],Opportunities[OpportunityOwner])</f>
        <v>Amanda Sales</v>
      </c>
      <c r="M478" s="51" t="str">
        <f ca="1">IF((transactions[[#This Row],[TransactionDate]]-TODAY())&lt;=366,transactions[[#This Row],[FQ]],"Out-year")</f>
        <v>Out-year</v>
      </c>
      <c r="N478" s="55">
        <f>transactions[[#This Row],[UnWeighted]]/1000</f>
        <v>92.574666666666673</v>
      </c>
      <c r="O478" s="55">
        <f>transactions[[#This Row],[Weighted]]/1000</f>
        <v>46.287333333333336</v>
      </c>
      <c r="P478" s="55">
        <f>transactions[[#This Row],[$K Unweighted]]/1000</f>
        <v>9.2574666666666666E-2</v>
      </c>
      <c r="Q478" s="55" t="b">
        <f ca="1">transactions[[#This Row],[TransactionDate]]&gt;TODAY()</f>
        <v>1</v>
      </c>
    </row>
    <row r="479" spans="1:17" x14ac:dyDescent="0.25">
      <c r="A479">
        <v>23</v>
      </c>
      <c r="B479">
        <v>11</v>
      </c>
      <c r="C479" s="31">
        <v>47442</v>
      </c>
      <c r="D47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9" s="51" t="str">
        <f>"CY"&amp;RIGHT(YEAR(transactions[[#This Row],[TransactionDate]]),2)&amp;"-Q"&amp;ROUNDUP(MONTH(transactions[[#This Row],[TransactionDate]])/3, 0)</f>
        <v>CY29-Q4</v>
      </c>
      <c r="F479" s="52">
        <f>transactions[[#This Row],[UnWeighted]]*_xlfn.XLOOKUP(transactions[[#This Row],[OpportunityID]],Opportunities[ID],Opportunities[WinProbabilityValue])</f>
        <v>25249.37777777778</v>
      </c>
      <c r="G479" s="52">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479" s="51" t="str">
        <f>_xlfn.XLOOKUP(transactions[[#This Row],[OpportunityID]],Opportunities[ID],Opportunities[Status])</f>
        <v>Critical</v>
      </c>
      <c r="I479" s="51" t="str">
        <f>_xlfn.XLOOKUP(transactions[[#This Row],[OpportunityID]],Opportunities[ID],Opportunities[Stage])</f>
        <v>Negotiation</v>
      </c>
      <c r="J479" s="51" t="str">
        <f>_xlfn.XLOOKUP(transactions[[#This Row],[OpportunityID]],Opportunities[ID],Opportunities[OpportunityName])</f>
        <v>Point of Sale System</v>
      </c>
      <c r="K479" s="51" t="str">
        <f>_xlfn.XLOOKUP(transactions[[#This Row],[CustomerId]],Customers[Id],Customers[Customer Name])</f>
        <v>Transport Logistics</v>
      </c>
      <c r="L479" s="51" t="str">
        <f>_xlfn.XLOOKUP(transactions[[#This Row],[OpportunityID]],Opportunities[ID],Opportunities[OpportunityOwner])</f>
        <v>David Specialist</v>
      </c>
      <c r="M479" s="51" t="str">
        <f ca="1">IF((transactions[[#This Row],[TransactionDate]]-TODAY())&lt;=366,transactions[[#This Row],[FQ]],"Out-year")</f>
        <v>Out-year</v>
      </c>
      <c r="N479" s="55">
        <f>transactions[[#This Row],[UnWeighted]]/1000</f>
        <v>126.24688888888889</v>
      </c>
      <c r="O479" s="55">
        <f>transactions[[#This Row],[Weighted]]/1000</f>
        <v>25.249377777777781</v>
      </c>
      <c r="P479" s="55">
        <f>transactions[[#This Row],[$K Unweighted]]/1000</f>
        <v>0.12624688888888888</v>
      </c>
      <c r="Q479" s="55" t="b">
        <f ca="1">transactions[[#This Row],[TransactionDate]]&gt;TODAY()</f>
        <v>1</v>
      </c>
    </row>
    <row r="480" spans="1:17" x14ac:dyDescent="0.25">
      <c r="A480">
        <v>31</v>
      </c>
      <c r="B480">
        <v>15</v>
      </c>
      <c r="C480" s="31">
        <v>47444</v>
      </c>
      <c r="D48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0" s="51" t="str">
        <f>"CY"&amp;RIGHT(YEAR(transactions[[#This Row],[TransactionDate]]),2)&amp;"-Q"&amp;ROUNDUP(MONTH(transactions[[#This Row],[TransactionDate]])/3, 0)</f>
        <v>CY29-Q4</v>
      </c>
      <c r="F480" s="52">
        <f>transactions[[#This Row],[UnWeighted]]*_xlfn.XLOOKUP(transactions[[#This Row],[OpportunityID]],Opportunities[ID],Opportunities[WinProbabilityValue])</f>
        <v>19221.625</v>
      </c>
      <c r="G480" s="52">
        <f>_xlfn.XLOOKUP(transactions[[#This Row],[OpportunityID]],Opportunities[ID],Opportunities[Amount])/IF(_xlfn.XLOOKUP(transactions[[#This Row],[OpportunityID]],Opportunities[ID],Opportunities[Recurrences])=0,1,_xlfn.XLOOKUP(transactions[[#This Row],[OpportunityID]],Opportunities[ID],Opportunities[Recurrences]))</f>
        <v>96108.125</v>
      </c>
      <c r="H480" s="51" t="str">
        <f>_xlfn.XLOOKUP(transactions[[#This Row],[OpportunityID]],Opportunities[ID],Opportunities[Status])</f>
        <v>At Risk</v>
      </c>
      <c r="I480" s="51" t="str">
        <f>_xlfn.XLOOKUP(transactions[[#This Row],[OpportunityID]],Opportunities[ID],Opportunities[Stage])</f>
        <v>Negotiation</v>
      </c>
      <c r="J480" s="51" t="str">
        <f>_xlfn.XLOOKUP(transactions[[#This Row],[OpportunityID]],Opportunities[ID],Opportunities[OpportunityName])</f>
        <v>Fleet Management System</v>
      </c>
      <c r="K480" s="51" t="str">
        <f>_xlfn.XLOOKUP(transactions[[#This Row],[CustomerId]],Customers[Id],Customers[Customer Name])</f>
        <v>Pharmaceutical Research</v>
      </c>
      <c r="L480" s="51" t="str">
        <f>_xlfn.XLOOKUP(transactions[[#This Row],[OpportunityID]],Opportunities[ID],Opportunities[OpportunityOwner])</f>
        <v>Amanda Sales</v>
      </c>
      <c r="M480" s="51" t="str">
        <f ca="1">IF((transactions[[#This Row],[TransactionDate]]-TODAY())&lt;=366,transactions[[#This Row],[FQ]],"Out-year")</f>
        <v>Out-year</v>
      </c>
      <c r="N480" s="55">
        <f>transactions[[#This Row],[UnWeighted]]/1000</f>
        <v>96.108125000000001</v>
      </c>
      <c r="O480" s="55">
        <f>transactions[[#This Row],[Weighted]]/1000</f>
        <v>19.221625</v>
      </c>
      <c r="P480" s="55">
        <f>transactions[[#This Row],[$K Unweighted]]/1000</f>
        <v>9.6108125000000003E-2</v>
      </c>
      <c r="Q480" s="55" t="b">
        <f ca="1">transactions[[#This Row],[TransactionDate]]&gt;TODAY()</f>
        <v>1</v>
      </c>
    </row>
    <row r="481" spans="1:17" x14ac:dyDescent="0.25">
      <c r="A481">
        <v>13</v>
      </c>
      <c r="B481">
        <v>2</v>
      </c>
      <c r="C481" s="31">
        <v>47444</v>
      </c>
      <c r="D48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1" s="51" t="str">
        <f>"CY"&amp;RIGHT(YEAR(transactions[[#This Row],[TransactionDate]]),2)&amp;"-Q"&amp;ROUNDUP(MONTH(transactions[[#This Row],[TransactionDate]])/3, 0)</f>
        <v>CY29-Q4</v>
      </c>
      <c r="F481" s="52">
        <f>transactions[[#This Row],[UnWeighted]]*_xlfn.XLOOKUP(transactions[[#This Row],[OpportunityID]],Opportunities[ID],Opportunities[WinProbabilityValue])</f>
        <v>12618.744897959185</v>
      </c>
      <c r="G481"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81" s="51" t="str">
        <f>_xlfn.XLOOKUP(transactions[[#This Row],[OpportunityID]],Opportunities[ID],Opportunities[Status])</f>
        <v>Active</v>
      </c>
      <c r="I481" s="51" t="str">
        <f>_xlfn.XLOOKUP(transactions[[#This Row],[OpportunityID]],Opportunities[ID],Opportunities[Stage])</f>
        <v>Negotiation</v>
      </c>
      <c r="J481" s="51" t="str">
        <f>_xlfn.XLOOKUP(transactions[[#This Row],[OpportunityID]],Opportunities[ID],Opportunities[OpportunityName])</f>
        <v>E-commerce Platform</v>
      </c>
      <c r="K481" s="51" t="str">
        <f>_xlfn.XLOOKUP(transactions[[#This Row],[CustomerId]],Customers[Id],Customers[Customer Name])</f>
        <v>Global Industries</v>
      </c>
      <c r="L481" s="51" t="str">
        <f>_xlfn.XLOOKUP(transactions[[#This Row],[OpportunityID]],Opportunities[ID],Opportunities[OpportunityOwner])</f>
        <v>Lisa Engineer</v>
      </c>
      <c r="M481" s="51" t="str">
        <f ca="1">IF((transactions[[#This Row],[TransactionDate]]-TODAY())&lt;=366,transactions[[#This Row],[FQ]],"Out-year")</f>
        <v>Out-year</v>
      </c>
      <c r="N481" s="55">
        <f>transactions[[#This Row],[UnWeighted]]/1000</f>
        <v>25.237489795918368</v>
      </c>
      <c r="O481" s="55">
        <f>transactions[[#This Row],[Weighted]]/1000</f>
        <v>12.618744897959184</v>
      </c>
      <c r="P481" s="55">
        <f>transactions[[#This Row],[$K Unweighted]]/1000</f>
        <v>2.5237489795918368E-2</v>
      </c>
      <c r="Q481" s="55" t="b">
        <f ca="1">transactions[[#This Row],[TransactionDate]]&gt;TODAY()</f>
        <v>1</v>
      </c>
    </row>
    <row r="482" spans="1:17" x14ac:dyDescent="0.25">
      <c r="A482">
        <v>39</v>
      </c>
      <c r="B482">
        <v>3</v>
      </c>
      <c r="C482" s="31">
        <v>47455</v>
      </c>
      <c r="D48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2" s="51" t="str">
        <f>"CY"&amp;RIGHT(YEAR(transactions[[#This Row],[TransactionDate]]),2)&amp;"-Q"&amp;ROUNDUP(MONTH(transactions[[#This Row],[TransactionDate]])/3, 0)</f>
        <v>CY29-Q4</v>
      </c>
      <c r="F482" s="52">
        <f>transactions[[#This Row],[UnWeighted]]*_xlfn.XLOOKUP(transactions[[#This Row],[OpportunityID]],Opportunities[ID],Opportunities[WinProbabilityValue])</f>
        <v>20929.153846153848</v>
      </c>
      <c r="G482"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82" s="51" t="str">
        <f>_xlfn.XLOOKUP(transactions[[#This Row],[OpportunityID]],Opportunities[ID],Opportunities[Status])</f>
        <v>Active</v>
      </c>
      <c r="I482" s="51" t="str">
        <f>_xlfn.XLOOKUP(transactions[[#This Row],[OpportunityID]],Opportunities[ID],Opportunities[Stage])</f>
        <v>Project Execution</v>
      </c>
      <c r="J482" s="51" t="str">
        <f>_xlfn.XLOOKUP(transactions[[#This Row],[OpportunityID]],Opportunities[ID],Opportunities[OpportunityName])</f>
        <v>API Development Project</v>
      </c>
      <c r="K482" s="51" t="str">
        <f>_xlfn.XLOOKUP(transactions[[#This Row],[CustomerId]],Customers[Id],Customers[Customer Name])</f>
        <v>Tech Solutions Inc</v>
      </c>
      <c r="L482" s="51" t="str">
        <f>_xlfn.XLOOKUP(transactions[[#This Row],[OpportunityID]],Opportunities[ID],Opportunities[OpportunityOwner])</f>
        <v>Jennifer PM</v>
      </c>
      <c r="M482" s="51" t="str">
        <f ca="1">IF((transactions[[#This Row],[TransactionDate]]-TODAY())&lt;=366,transactions[[#This Row],[FQ]],"Out-year")</f>
        <v>Out-year</v>
      </c>
      <c r="N482" s="55">
        <f>transactions[[#This Row],[UnWeighted]]/1000</f>
        <v>41.858307692307697</v>
      </c>
      <c r="O482" s="55">
        <f>transactions[[#This Row],[Weighted]]/1000</f>
        <v>20.929153846153849</v>
      </c>
      <c r="P482" s="55">
        <f>transactions[[#This Row],[$K Unweighted]]/1000</f>
        <v>4.1858307692307695E-2</v>
      </c>
      <c r="Q482" s="55" t="b">
        <f ca="1">transactions[[#This Row],[TransactionDate]]&gt;TODAY()</f>
        <v>1</v>
      </c>
    </row>
    <row r="483" spans="1:17" x14ac:dyDescent="0.25">
      <c r="A483">
        <v>15</v>
      </c>
      <c r="B483">
        <v>24</v>
      </c>
      <c r="C483" s="31">
        <v>47459</v>
      </c>
      <c r="D48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3" s="51" t="str">
        <f>"CY"&amp;RIGHT(YEAR(transactions[[#This Row],[TransactionDate]]),2)&amp;"-Q"&amp;ROUNDUP(MONTH(transactions[[#This Row],[TransactionDate]])/3, 0)</f>
        <v>CY29-Q4</v>
      </c>
      <c r="F483" s="52">
        <f>transactions[[#This Row],[UnWeighted]]*_xlfn.XLOOKUP(transactions[[#This Row],[OpportunityID]],Opportunities[ID],Opportunities[WinProbabilityValue])</f>
        <v>29217.197872340425</v>
      </c>
      <c r="G483"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83" s="51" t="str">
        <f>_xlfn.XLOOKUP(transactions[[#This Row],[OpportunityID]],Opportunities[ID],Opportunities[Status])</f>
        <v>Active</v>
      </c>
      <c r="I483" s="51" t="str">
        <f>_xlfn.XLOOKUP(transactions[[#This Row],[OpportunityID]],Opportunities[ID],Opportunities[Stage])</f>
        <v>Project Execution</v>
      </c>
      <c r="J483" s="51" t="str">
        <f>_xlfn.XLOOKUP(transactions[[#This Row],[OpportunityID]],Opportunities[ID],Opportunities[OpportunityName])</f>
        <v>Training &amp; Development Program</v>
      </c>
      <c r="K483" s="51" t="str">
        <f>_xlfn.XLOOKUP(transactions[[#This Row],[CustomerId]],Customers[Id],Customers[Customer Name])</f>
        <v>Security Solutions</v>
      </c>
      <c r="L483" s="51" t="str">
        <f>_xlfn.XLOOKUP(transactions[[#This Row],[OpportunityID]],Opportunities[ID],Opportunities[OpportunityOwner])</f>
        <v>Sarah Director</v>
      </c>
      <c r="M483" s="51" t="str">
        <f ca="1">IF((transactions[[#This Row],[TransactionDate]]-TODAY())&lt;=366,transactions[[#This Row],[FQ]],"Out-year")</f>
        <v>Out-year</v>
      </c>
      <c r="N483" s="55">
        <f>transactions[[#This Row],[UnWeighted]]/1000</f>
        <v>32.46355319148936</v>
      </c>
      <c r="O483" s="55">
        <f>transactions[[#This Row],[Weighted]]/1000</f>
        <v>29.217197872340424</v>
      </c>
      <c r="P483" s="55">
        <f>transactions[[#This Row],[$K Unweighted]]/1000</f>
        <v>3.2463553191489358E-2</v>
      </c>
      <c r="Q483" s="55" t="b">
        <f ca="1">transactions[[#This Row],[TransactionDate]]&gt;TODAY()</f>
        <v>1</v>
      </c>
    </row>
    <row r="484" spans="1:17" x14ac:dyDescent="0.25">
      <c r="A484">
        <v>22</v>
      </c>
      <c r="B484">
        <v>11</v>
      </c>
      <c r="C484" s="31">
        <v>47463</v>
      </c>
      <c r="D48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4" s="51" t="str">
        <f>"CY"&amp;RIGHT(YEAR(transactions[[#This Row],[TransactionDate]]),2)&amp;"-Q"&amp;ROUNDUP(MONTH(transactions[[#This Row],[TransactionDate]])/3, 0)</f>
        <v>CY29-Q4</v>
      </c>
      <c r="F484" s="52">
        <f>transactions[[#This Row],[UnWeighted]]*_xlfn.XLOOKUP(transactions[[#This Row],[OpportunityID]],Opportunities[ID],Opportunities[WinProbabilityValue])</f>
        <v>26390.544230769232</v>
      </c>
      <c r="G484"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84" s="51" t="str">
        <f>_xlfn.XLOOKUP(transactions[[#This Row],[OpportunityID]],Opportunities[ID],Opportunities[Status])</f>
        <v>Active</v>
      </c>
      <c r="I484" s="51" t="str">
        <f>_xlfn.XLOOKUP(transactions[[#This Row],[OpportunityID]],Opportunities[ID],Opportunities[Stage])</f>
        <v>Nurturing</v>
      </c>
      <c r="J484" s="51" t="str">
        <f>_xlfn.XLOOKUP(transactions[[#This Row],[OpportunityID]],Opportunities[ID],Opportunities[OpportunityName])</f>
        <v>Inventory Management Solution</v>
      </c>
      <c r="K484" s="51" t="str">
        <f>_xlfn.XLOOKUP(transactions[[#This Row],[CustomerId]],Customers[Id],Customers[Customer Name])</f>
        <v>Transport Logistics</v>
      </c>
      <c r="L484" s="51" t="str">
        <f>_xlfn.XLOOKUP(transactions[[#This Row],[OpportunityID]],Opportunities[ID],Opportunities[OpportunityOwner])</f>
        <v>Sarah Director</v>
      </c>
      <c r="M484" s="51" t="str">
        <f ca="1">IF((transactions[[#This Row],[TransactionDate]]-TODAY())&lt;=366,transactions[[#This Row],[FQ]],"Out-year")</f>
        <v>Out-year</v>
      </c>
      <c r="N484" s="55">
        <f>transactions[[#This Row],[UnWeighted]]/1000</f>
        <v>29.322826923076921</v>
      </c>
      <c r="O484" s="55">
        <f>transactions[[#This Row],[Weighted]]/1000</f>
        <v>26.390544230769233</v>
      </c>
      <c r="P484" s="55">
        <f>transactions[[#This Row],[$K Unweighted]]/1000</f>
        <v>2.932282692307692E-2</v>
      </c>
      <c r="Q484" s="55" t="b">
        <f ca="1">transactions[[#This Row],[TransactionDate]]&gt;TODAY()</f>
        <v>1</v>
      </c>
    </row>
    <row r="485" spans="1:17" x14ac:dyDescent="0.25">
      <c r="A485">
        <v>13</v>
      </c>
      <c r="B485">
        <v>2</v>
      </c>
      <c r="C485" s="31">
        <v>47474</v>
      </c>
      <c r="D48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5" s="51" t="str">
        <f>"CY"&amp;RIGHT(YEAR(transactions[[#This Row],[TransactionDate]]),2)&amp;"-Q"&amp;ROUNDUP(MONTH(transactions[[#This Row],[TransactionDate]])/3, 0)</f>
        <v>CY29-Q4</v>
      </c>
      <c r="F485" s="52">
        <f>transactions[[#This Row],[UnWeighted]]*_xlfn.XLOOKUP(transactions[[#This Row],[OpportunityID]],Opportunities[ID],Opportunities[WinProbabilityValue])</f>
        <v>12618.744897959185</v>
      </c>
      <c r="G485"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85" s="51" t="str">
        <f>_xlfn.XLOOKUP(transactions[[#This Row],[OpportunityID]],Opportunities[ID],Opportunities[Status])</f>
        <v>Active</v>
      </c>
      <c r="I485" s="51" t="str">
        <f>_xlfn.XLOOKUP(transactions[[#This Row],[OpportunityID]],Opportunities[ID],Opportunities[Stage])</f>
        <v>Negotiation</v>
      </c>
      <c r="J485" s="51" t="str">
        <f>_xlfn.XLOOKUP(transactions[[#This Row],[OpportunityID]],Opportunities[ID],Opportunities[OpportunityName])</f>
        <v>E-commerce Platform</v>
      </c>
      <c r="K485" s="51" t="str">
        <f>_xlfn.XLOOKUP(transactions[[#This Row],[CustomerId]],Customers[Id],Customers[Customer Name])</f>
        <v>Global Industries</v>
      </c>
      <c r="L485" s="51" t="str">
        <f>_xlfn.XLOOKUP(transactions[[#This Row],[OpportunityID]],Opportunities[ID],Opportunities[OpportunityOwner])</f>
        <v>Lisa Engineer</v>
      </c>
      <c r="M485" s="51" t="str">
        <f ca="1">IF((transactions[[#This Row],[TransactionDate]]-TODAY())&lt;=366,transactions[[#This Row],[FQ]],"Out-year")</f>
        <v>Out-year</v>
      </c>
      <c r="N485" s="55">
        <f>transactions[[#This Row],[UnWeighted]]/1000</f>
        <v>25.237489795918368</v>
      </c>
      <c r="O485" s="55">
        <f>transactions[[#This Row],[Weighted]]/1000</f>
        <v>12.618744897959184</v>
      </c>
      <c r="P485" s="55">
        <f>transactions[[#This Row],[$K Unweighted]]/1000</f>
        <v>2.5237489795918368E-2</v>
      </c>
      <c r="Q485" s="55" t="b">
        <f ca="1">transactions[[#This Row],[TransactionDate]]&gt;TODAY()</f>
        <v>1</v>
      </c>
    </row>
    <row r="486" spans="1:17" x14ac:dyDescent="0.25">
      <c r="A486">
        <v>6</v>
      </c>
      <c r="B486">
        <v>13</v>
      </c>
      <c r="C486" s="31">
        <v>47478</v>
      </c>
      <c r="D48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6" s="51" t="str">
        <f>"CY"&amp;RIGHT(YEAR(transactions[[#This Row],[TransactionDate]]),2)&amp;"-Q"&amp;ROUNDUP(MONTH(transactions[[#This Row],[TransactionDate]])/3, 0)</f>
        <v>CY29-Q4</v>
      </c>
      <c r="F486" s="52">
        <f>transactions[[#This Row],[UnWeighted]]*_xlfn.XLOOKUP(transactions[[#This Row],[OpportunityID]],Opportunities[ID],Opportunities[WinProbabilityValue])</f>
        <v>37550.227272727272</v>
      </c>
      <c r="G486" s="52">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486" s="51" t="str">
        <f>_xlfn.XLOOKUP(transactions[[#This Row],[OpportunityID]],Opportunities[ID],Opportunities[Status])</f>
        <v>Active</v>
      </c>
      <c r="I486" s="51" t="str">
        <f>_xlfn.XLOOKUP(transactions[[#This Row],[OpportunityID]],Opportunities[ID],Opportunities[Stage])</f>
        <v>Project Execution</v>
      </c>
      <c r="J486" s="51" t="str">
        <f>_xlfn.XLOOKUP(transactions[[#This Row],[OpportunityID]],Opportunities[ID],Opportunities[OpportunityName])</f>
        <v>Digital Transformation Project</v>
      </c>
      <c r="K486" s="51" t="str">
        <f>_xlfn.XLOOKUP(transactions[[#This Row],[CustomerId]],Customers[Id],Customers[Customer Name])</f>
        <v>Professional Services Group</v>
      </c>
      <c r="L486" s="51" t="str">
        <f>_xlfn.XLOOKUP(transactions[[#This Row],[OpportunityID]],Opportunities[ID],Opportunities[OpportunityOwner])</f>
        <v>Robert Analyst</v>
      </c>
      <c r="M486" s="51" t="str">
        <f ca="1">IF((transactions[[#This Row],[TransactionDate]]-TODAY())&lt;=366,transactions[[#This Row],[FQ]],"Out-year")</f>
        <v>Out-year</v>
      </c>
      <c r="N486" s="55">
        <f>transactions[[#This Row],[UnWeighted]]/1000</f>
        <v>75.100454545454539</v>
      </c>
      <c r="O486" s="55">
        <f>transactions[[#This Row],[Weighted]]/1000</f>
        <v>37.55022727272727</v>
      </c>
      <c r="P486" s="55">
        <f>transactions[[#This Row],[$K Unweighted]]/1000</f>
        <v>7.510045454545454E-2</v>
      </c>
      <c r="Q486" s="55" t="b">
        <f ca="1">transactions[[#This Row],[TransactionDate]]&gt;TODAY()</f>
        <v>1</v>
      </c>
    </row>
    <row r="487" spans="1:17" x14ac:dyDescent="0.25">
      <c r="A487">
        <v>38</v>
      </c>
      <c r="B487">
        <v>21</v>
      </c>
      <c r="C487" s="31">
        <v>47482</v>
      </c>
      <c r="D48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7" s="51" t="str">
        <f>"CY"&amp;RIGHT(YEAR(transactions[[#This Row],[TransactionDate]]),2)&amp;"-Q"&amp;ROUNDUP(MONTH(transactions[[#This Row],[TransactionDate]])/3, 0)</f>
        <v>CY29-Q4</v>
      </c>
      <c r="F487" s="52">
        <f>transactions[[#This Row],[UnWeighted]]*_xlfn.XLOOKUP(transactions[[#This Row],[OpportunityID]],Opportunities[ID],Opportunities[WinProbabilityValue])</f>
        <v>50822.5</v>
      </c>
      <c r="G487" s="52">
        <f>_xlfn.XLOOKUP(transactions[[#This Row],[OpportunityID]],Opportunities[ID],Opportunities[Amount])/IF(_xlfn.XLOOKUP(transactions[[#This Row],[OpportunityID]],Opportunities[ID],Opportunities[Recurrences])=0,1,_xlfn.XLOOKUP(transactions[[#This Row],[OpportunityID]],Opportunities[ID],Opportunities[Recurrences]))</f>
        <v>101645</v>
      </c>
      <c r="H487" s="51" t="str">
        <f>_xlfn.XLOOKUP(transactions[[#This Row],[OpportunityID]],Opportunities[ID],Opportunities[Status])</f>
        <v>Active</v>
      </c>
      <c r="I487" s="51" t="str">
        <f>_xlfn.XLOOKUP(transactions[[#This Row],[OpportunityID]],Opportunities[ID],Opportunities[Stage])</f>
        <v>Proposal</v>
      </c>
      <c r="J487" s="51" t="str">
        <f>_xlfn.XLOOKUP(transactions[[#This Row],[OpportunityID]],Opportunities[ID],Opportunities[OpportunityName])</f>
        <v>Legacy System Modernization</v>
      </c>
      <c r="K487" s="51" t="str">
        <f>_xlfn.XLOOKUP(transactions[[#This Row],[CustomerId]],Customers[Id],Customers[Customer Name])</f>
        <v>Textile Manufacturing</v>
      </c>
      <c r="L487" s="51" t="str">
        <f>_xlfn.XLOOKUP(transactions[[#This Row],[OpportunityID]],Opportunities[ID],Opportunities[OpportunityOwner])</f>
        <v>Lisa Engineer</v>
      </c>
      <c r="M487" s="51" t="str">
        <f ca="1">IF((transactions[[#This Row],[TransactionDate]]-TODAY())&lt;=366,transactions[[#This Row],[FQ]],"Out-year")</f>
        <v>Out-year</v>
      </c>
      <c r="N487" s="55">
        <f>transactions[[#This Row],[UnWeighted]]/1000</f>
        <v>101.645</v>
      </c>
      <c r="O487" s="55">
        <f>transactions[[#This Row],[Weighted]]/1000</f>
        <v>50.822499999999998</v>
      </c>
      <c r="P487" s="55">
        <f>transactions[[#This Row],[$K Unweighted]]/1000</f>
        <v>0.101645</v>
      </c>
      <c r="Q487" s="55" t="b">
        <f ca="1">transactions[[#This Row],[TransactionDate]]&gt;TODAY()</f>
        <v>1</v>
      </c>
    </row>
    <row r="488" spans="1:17" x14ac:dyDescent="0.25">
      <c r="A488">
        <v>39</v>
      </c>
      <c r="B488">
        <v>3</v>
      </c>
      <c r="C488" s="31">
        <v>47486</v>
      </c>
      <c r="D48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8" s="51" t="str">
        <f>"CY"&amp;RIGHT(YEAR(transactions[[#This Row],[TransactionDate]]),2)&amp;"-Q"&amp;ROUNDUP(MONTH(transactions[[#This Row],[TransactionDate]])/3, 0)</f>
        <v>CY30-Q1</v>
      </c>
      <c r="F488" s="52">
        <f>transactions[[#This Row],[UnWeighted]]*_xlfn.XLOOKUP(transactions[[#This Row],[OpportunityID]],Opportunities[ID],Opportunities[WinProbabilityValue])</f>
        <v>20929.153846153848</v>
      </c>
      <c r="G488"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88" s="51" t="str">
        <f>_xlfn.XLOOKUP(transactions[[#This Row],[OpportunityID]],Opportunities[ID],Opportunities[Status])</f>
        <v>Active</v>
      </c>
      <c r="I488" s="51" t="str">
        <f>_xlfn.XLOOKUP(transactions[[#This Row],[OpportunityID]],Opportunities[ID],Opportunities[Stage])</f>
        <v>Project Execution</v>
      </c>
      <c r="J488" s="51" t="str">
        <f>_xlfn.XLOOKUP(transactions[[#This Row],[OpportunityID]],Opportunities[ID],Opportunities[OpportunityName])</f>
        <v>API Development Project</v>
      </c>
      <c r="K488" s="51" t="str">
        <f>_xlfn.XLOOKUP(transactions[[#This Row],[CustomerId]],Customers[Id],Customers[Customer Name])</f>
        <v>Tech Solutions Inc</v>
      </c>
      <c r="L488" s="51" t="str">
        <f>_xlfn.XLOOKUP(transactions[[#This Row],[OpportunityID]],Opportunities[ID],Opportunities[OpportunityOwner])</f>
        <v>Jennifer PM</v>
      </c>
      <c r="M488" s="51" t="str">
        <f ca="1">IF((transactions[[#This Row],[TransactionDate]]-TODAY())&lt;=366,transactions[[#This Row],[FQ]],"Out-year")</f>
        <v>Out-year</v>
      </c>
      <c r="N488" s="55">
        <f>transactions[[#This Row],[UnWeighted]]/1000</f>
        <v>41.858307692307697</v>
      </c>
      <c r="O488" s="55">
        <f>transactions[[#This Row],[Weighted]]/1000</f>
        <v>20.929153846153849</v>
      </c>
      <c r="P488" s="55">
        <f>transactions[[#This Row],[$K Unweighted]]/1000</f>
        <v>4.1858307692307695E-2</v>
      </c>
      <c r="Q488" s="55" t="b">
        <f ca="1">transactions[[#This Row],[TransactionDate]]&gt;TODAY()</f>
        <v>1</v>
      </c>
    </row>
    <row r="489" spans="1:17" x14ac:dyDescent="0.25">
      <c r="A489">
        <v>15</v>
      </c>
      <c r="B489">
        <v>24</v>
      </c>
      <c r="C489" s="31">
        <v>47490</v>
      </c>
      <c r="D48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9" s="51" t="str">
        <f>"CY"&amp;RIGHT(YEAR(transactions[[#This Row],[TransactionDate]]),2)&amp;"-Q"&amp;ROUNDUP(MONTH(transactions[[#This Row],[TransactionDate]])/3, 0)</f>
        <v>CY30-Q1</v>
      </c>
      <c r="F489" s="52">
        <f>transactions[[#This Row],[UnWeighted]]*_xlfn.XLOOKUP(transactions[[#This Row],[OpportunityID]],Opportunities[ID],Opportunities[WinProbabilityValue])</f>
        <v>29217.197872340425</v>
      </c>
      <c r="G489"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89" s="51" t="str">
        <f>_xlfn.XLOOKUP(transactions[[#This Row],[OpportunityID]],Opportunities[ID],Opportunities[Status])</f>
        <v>Active</v>
      </c>
      <c r="I489" s="51" t="str">
        <f>_xlfn.XLOOKUP(transactions[[#This Row],[OpportunityID]],Opportunities[ID],Opportunities[Stage])</f>
        <v>Project Execution</v>
      </c>
      <c r="J489" s="51" t="str">
        <f>_xlfn.XLOOKUP(transactions[[#This Row],[OpportunityID]],Opportunities[ID],Opportunities[OpportunityName])</f>
        <v>Training &amp; Development Program</v>
      </c>
      <c r="K489" s="51" t="str">
        <f>_xlfn.XLOOKUP(transactions[[#This Row],[CustomerId]],Customers[Id],Customers[Customer Name])</f>
        <v>Security Solutions</v>
      </c>
      <c r="L489" s="51" t="str">
        <f>_xlfn.XLOOKUP(transactions[[#This Row],[OpportunityID]],Opportunities[ID],Opportunities[OpportunityOwner])</f>
        <v>Sarah Director</v>
      </c>
      <c r="M489" s="51" t="str">
        <f ca="1">IF((transactions[[#This Row],[TransactionDate]]-TODAY())&lt;=366,transactions[[#This Row],[FQ]],"Out-year")</f>
        <v>Out-year</v>
      </c>
      <c r="N489" s="55">
        <f>transactions[[#This Row],[UnWeighted]]/1000</f>
        <v>32.46355319148936</v>
      </c>
      <c r="O489" s="55">
        <f>transactions[[#This Row],[Weighted]]/1000</f>
        <v>29.217197872340424</v>
      </c>
      <c r="P489" s="55">
        <f>transactions[[#This Row],[$K Unweighted]]/1000</f>
        <v>3.2463553191489358E-2</v>
      </c>
      <c r="Q489" s="55" t="b">
        <f ca="1">transactions[[#This Row],[TransactionDate]]&gt;TODAY()</f>
        <v>1</v>
      </c>
    </row>
    <row r="490" spans="1:17" x14ac:dyDescent="0.25">
      <c r="A490">
        <v>22</v>
      </c>
      <c r="B490">
        <v>11</v>
      </c>
      <c r="C490" s="31">
        <v>47494</v>
      </c>
      <c r="D49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90" s="51" t="str">
        <f>"CY"&amp;RIGHT(YEAR(transactions[[#This Row],[TransactionDate]]),2)&amp;"-Q"&amp;ROUNDUP(MONTH(transactions[[#This Row],[TransactionDate]])/3, 0)</f>
        <v>CY30-Q1</v>
      </c>
      <c r="F490" s="52">
        <f>transactions[[#This Row],[UnWeighted]]*_xlfn.XLOOKUP(transactions[[#This Row],[OpportunityID]],Opportunities[ID],Opportunities[WinProbabilityValue])</f>
        <v>26390.544230769232</v>
      </c>
      <c r="G490"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90" s="51" t="str">
        <f>_xlfn.XLOOKUP(transactions[[#This Row],[OpportunityID]],Opportunities[ID],Opportunities[Status])</f>
        <v>Active</v>
      </c>
      <c r="I490" s="51" t="str">
        <f>_xlfn.XLOOKUP(transactions[[#This Row],[OpportunityID]],Opportunities[ID],Opportunities[Stage])</f>
        <v>Nurturing</v>
      </c>
      <c r="J490" s="51" t="str">
        <f>_xlfn.XLOOKUP(transactions[[#This Row],[OpportunityID]],Opportunities[ID],Opportunities[OpportunityName])</f>
        <v>Inventory Management Solution</v>
      </c>
      <c r="K490" s="51" t="str">
        <f>_xlfn.XLOOKUP(transactions[[#This Row],[CustomerId]],Customers[Id],Customers[Customer Name])</f>
        <v>Transport Logistics</v>
      </c>
      <c r="L490" s="51" t="str">
        <f>_xlfn.XLOOKUP(transactions[[#This Row],[OpportunityID]],Opportunities[ID],Opportunities[OpportunityOwner])</f>
        <v>Sarah Director</v>
      </c>
      <c r="M490" s="51" t="str">
        <f ca="1">IF((transactions[[#This Row],[TransactionDate]]-TODAY())&lt;=366,transactions[[#This Row],[FQ]],"Out-year")</f>
        <v>Out-year</v>
      </c>
      <c r="N490" s="55">
        <f>transactions[[#This Row],[UnWeighted]]/1000</f>
        <v>29.322826923076921</v>
      </c>
      <c r="O490" s="55">
        <f>transactions[[#This Row],[Weighted]]/1000</f>
        <v>26.390544230769233</v>
      </c>
      <c r="P490" s="55">
        <f>transactions[[#This Row],[$K Unweighted]]/1000</f>
        <v>2.932282692307692E-2</v>
      </c>
      <c r="Q490" s="55" t="b">
        <f ca="1">transactions[[#This Row],[TransactionDate]]&gt;TODAY()</f>
        <v>1</v>
      </c>
    </row>
    <row r="491" spans="1:17" x14ac:dyDescent="0.25">
      <c r="A491">
        <v>11</v>
      </c>
      <c r="B491">
        <v>3</v>
      </c>
      <c r="C491" s="31">
        <v>47496</v>
      </c>
      <c r="D49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91" s="51" t="str">
        <f>"CY"&amp;RIGHT(YEAR(transactions[[#This Row],[TransactionDate]]),2)&amp;"-Q"&amp;ROUNDUP(MONTH(transactions[[#This Row],[TransactionDate]])/3, 0)</f>
        <v>CY30-Q1</v>
      </c>
      <c r="F491" s="52">
        <f>transactions[[#This Row],[UnWeighted]]*_xlfn.XLOOKUP(transactions[[#This Row],[OpportunityID]],Opportunities[ID],Opportunities[WinProbabilityValue])</f>
        <v>113460.75</v>
      </c>
      <c r="G491" s="52">
        <f>_xlfn.XLOOKUP(transactions[[#This Row],[OpportunityID]],Opportunities[ID],Opportunities[Amount])/IF(_xlfn.XLOOKUP(transactions[[#This Row],[OpportunityID]],Opportunities[ID],Opportunities[Recurrences])=0,1,_xlfn.XLOOKUP(transactions[[#This Row],[OpportunityID]],Opportunities[ID],Opportunities[Recurrences]))</f>
        <v>126067.5</v>
      </c>
      <c r="H491" s="51" t="str">
        <f>_xlfn.XLOOKUP(transactions[[#This Row],[OpportunityID]],Opportunities[ID],Opportunities[Status])</f>
        <v>At Risk</v>
      </c>
      <c r="I491" s="51" t="str">
        <f>_xlfn.XLOOKUP(transactions[[#This Row],[OpportunityID]],Opportunities[ID],Opportunities[Stage])</f>
        <v>Negotiation</v>
      </c>
      <c r="J491" s="51" t="str">
        <f>_xlfn.XLOOKUP(transactions[[#This Row],[OpportunityID]],Opportunities[ID],Opportunities[OpportunityName])</f>
        <v>Data Center Consolidation</v>
      </c>
      <c r="K491" s="51" t="str">
        <f>_xlfn.XLOOKUP(transactions[[#This Row],[CustomerId]],Customers[Id],Customers[Customer Name])</f>
        <v>Tech Solutions Inc</v>
      </c>
      <c r="L491" s="51" t="str">
        <f>_xlfn.XLOOKUP(transactions[[#This Row],[OpportunityID]],Opportunities[ID],Opportunities[OpportunityOwner])</f>
        <v>David Specialist</v>
      </c>
      <c r="M491" s="51" t="str">
        <f ca="1">IF((transactions[[#This Row],[TransactionDate]]-TODAY())&lt;=366,transactions[[#This Row],[FQ]],"Out-year")</f>
        <v>Out-year</v>
      </c>
      <c r="N491" s="55">
        <f>transactions[[#This Row],[UnWeighted]]/1000</f>
        <v>126.0675</v>
      </c>
      <c r="O491" s="55">
        <f>transactions[[#This Row],[Weighted]]/1000</f>
        <v>113.46075</v>
      </c>
      <c r="P491" s="55">
        <f>transactions[[#This Row],[$K Unweighted]]/1000</f>
        <v>0.1260675</v>
      </c>
      <c r="Q491" s="55" t="b">
        <f ca="1">transactions[[#This Row],[TransactionDate]]&gt;TODAY()</f>
        <v>1</v>
      </c>
    </row>
    <row r="492" spans="1:17" x14ac:dyDescent="0.25">
      <c r="A492">
        <v>40</v>
      </c>
      <c r="B492">
        <v>15</v>
      </c>
      <c r="C492" s="31">
        <v>47502</v>
      </c>
      <c r="D49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92" s="51" t="str">
        <f>"CY"&amp;RIGHT(YEAR(transactions[[#This Row],[TransactionDate]]),2)&amp;"-Q"&amp;ROUNDUP(MONTH(transactions[[#This Row],[TransactionDate]])/3, 0)</f>
        <v>CY30-Q1</v>
      </c>
      <c r="F492" s="52">
        <f>transactions[[#This Row],[UnWeighted]]*_xlfn.XLOOKUP(transactions[[#This Row],[OpportunityID]],Opportunities[ID],Opportunities[WinProbabilityValue])</f>
        <v>36144.450000000004</v>
      </c>
      <c r="G492" s="52">
        <f>_xlfn.XLOOKUP(transactions[[#This Row],[OpportunityID]],Opportunities[ID],Opportunities[Amount])/IF(_xlfn.XLOOKUP(transactions[[#This Row],[OpportunityID]],Opportunities[ID],Opportunities[Recurrences])=0,1,_xlfn.XLOOKUP(transactions[[#This Row],[OpportunityID]],Opportunities[ID],Opportunities[Recurrences]))</f>
        <v>40160.5</v>
      </c>
      <c r="H492" s="51" t="str">
        <f>_xlfn.XLOOKUP(transactions[[#This Row],[OpportunityID]],Opportunities[ID],Opportunities[Status])</f>
        <v>Active</v>
      </c>
      <c r="I492" s="51" t="str">
        <f>_xlfn.XLOOKUP(transactions[[#This Row],[OpportunityID]],Opportunities[ID],Opportunities[Stage])</f>
        <v>Proposal</v>
      </c>
      <c r="J492" s="51" t="str">
        <f>_xlfn.XLOOKUP(transactions[[#This Row],[OpportunityID]],Opportunities[ID],Opportunities[OpportunityName])</f>
        <v>Machine Learning Implementation</v>
      </c>
      <c r="K492" s="51" t="str">
        <f>_xlfn.XLOOKUP(transactions[[#This Row],[CustomerId]],Customers[Id],Customers[Customer Name])</f>
        <v>Pharmaceutical Research</v>
      </c>
      <c r="L492" s="51" t="str">
        <f>_xlfn.XLOOKUP(transactions[[#This Row],[OpportunityID]],Opportunities[ID],Opportunities[OpportunityOwner])</f>
        <v>Mike Consultant</v>
      </c>
      <c r="M492" s="51" t="str">
        <f ca="1">IF((transactions[[#This Row],[TransactionDate]]-TODAY())&lt;=366,transactions[[#This Row],[FQ]],"Out-year")</f>
        <v>Out-year</v>
      </c>
      <c r="N492" s="55">
        <f>transactions[[#This Row],[UnWeighted]]/1000</f>
        <v>40.160499999999999</v>
      </c>
      <c r="O492" s="55">
        <f>transactions[[#This Row],[Weighted]]/1000</f>
        <v>36.144450000000006</v>
      </c>
      <c r="P492" s="55">
        <f>transactions[[#This Row],[$K Unweighted]]/1000</f>
        <v>4.0160500000000002E-2</v>
      </c>
      <c r="Q492" s="55" t="b">
        <f ca="1">transactions[[#This Row],[TransactionDate]]&gt;TODAY()</f>
        <v>1</v>
      </c>
    </row>
    <row r="493" spans="1:17" x14ac:dyDescent="0.25">
      <c r="A493">
        <v>13</v>
      </c>
      <c r="B493">
        <v>2</v>
      </c>
      <c r="C493" s="31">
        <v>47505</v>
      </c>
      <c r="D49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93" s="51" t="str">
        <f>"CY"&amp;RIGHT(YEAR(transactions[[#This Row],[TransactionDate]]),2)&amp;"-Q"&amp;ROUNDUP(MONTH(transactions[[#This Row],[TransactionDate]])/3, 0)</f>
        <v>CY30-Q1</v>
      </c>
      <c r="F493" s="52">
        <f>transactions[[#This Row],[UnWeighted]]*_xlfn.XLOOKUP(transactions[[#This Row],[OpportunityID]],Opportunities[ID],Opportunities[WinProbabilityValue])</f>
        <v>12618.744897959185</v>
      </c>
      <c r="G493"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93" s="51" t="str">
        <f>_xlfn.XLOOKUP(transactions[[#This Row],[OpportunityID]],Opportunities[ID],Opportunities[Status])</f>
        <v>Active</v>
      </c>
      <c r="I493" s="51" t="str">
        <f>_xlfn.XLOOKUP(transactions[[#This Row],[OpportunityID]],Opportunities[ID],Opportunities[Stage])</f>
        <v>Negotiation</v>
      </c>
      <c r="J493" s="51" t="str">
        <f>_xlfn.XLOOKUP(transactions[[#This Row],[OpportunityID]],Opportunities[ID],Opportunities[OpportunityName])</f>
        <v>E-commerce Platform</v>
      </c>
      <c r="K493" s="51" t="str">
        <f>_xlfn.XLOOKUP(transactions[[#This Row],[CustomerId]],Customers[Id],Customers[Customer Name])</f>
        <v>Global Industries</v>
      </c>
      <c r="L493" s="51" t="str">
        <f>_xlfn.XLOOKUP(transactions[[#This Row],[OpportunityID]],Opportunities[ID],Opportunities[OpportunityOwner])</f>
        <v>Lisa Engineer</v>
      </c>
      <c r="M493" s="51" t="str">
        <f ca="1">IF((transactions[[#This Row],[TransactionDate]]-TODAY())&lt;=366,transactions[[#This Row],[FQ]],"Out-year")</f>
        <v>Out-year</v>
      </c>
      <c r="N493" s="55">
        <f>transactions[[#This Row],[UnWeighted]]/1000</f>
        <v>25.237489795918368</v>
      </c>
      <c r="O493" s="55">
        <f>transactions[[#This Row],[Weighted]]/1000</f>
        <v>12.618744897959184</v>
      </c>
      <c r="P493" s="55">
        <f>transactions[[#This Row],[$K Unweighted]]/1000</f>
        <v>2.5237489795918368E-2</v>
      </c>
      <c r="Q493" s="55" t="b">
        <f ca="1">transactions[[#This Row],[TransactionDate]]&gt;TODAY()</f>
        <v>1</v>
      </c>
    </row>
    <row r="494" spans="1:17" x14ac:dyDescent="0.25">
      <c r="A494">
        <v>18</v>
      </c>
      <c r="B494">
        <v>9</v>
      </c>
      <c r="C494" s="31">
        <v>47511</v>
      </c>
      <c r="D49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94" s="51" t="str">
        <f>"CY"&amp;RIGHT(YEAR(transactions[[#This Row],[TransactionDate]]),2)&amp;"-Q"&amp;ROUNDUP(MONTH(transactions[[#This Row],[TransactionDate]])/3, 0)</f>
        <v>CY30-Q1</v>
      </c>
      <c r="F494" s="52">
        <f>transactions[[#This Row],[UnWeighted]]*_xlfn.XLOOKUP(transactions[[#This Row],[OpportunityID]],Opportunities[ID],Opportunities[WinProbabilityValue])</f>
        <v>110906.4</v>
      </c>
      <c r="G494" s="52">
        <f>_xlfn.XLOOKUP(transactions[[#This Row],[OpportunityID]],Opportunities[ID],Opportunities[Amount])/IF(_xlfn.XLOOKUP(transactions[[#This Row],[OpportunityID]],Opportunities[ID],Opportunities[Recurrences])=0,1,_xlfn.XLOOKUP(transactions[[#This Row],[OpportunityID]],Opportunities[ID],Opportunities[Recurrences]))</f>
        <v>221812.8</v>
      </c>
      <c r="H494" s="51" t="str">
        <f>_xlfn.XLOOKUP(transactions[[#This Row],[OpportunityID]],Opportunities[ID],Opportunities[Status])</f>
        <v>Active</v>
      </c>
      <c r="I494" s="51" t="str">
        <f>_xlfn.XLOOKUP(transactions[[#This Row],[OpportunityID]],Opportunities[ID],Opportunities[Stage])</f>
        <v>Lead Qualification</v>
      </c>
      <c r="J494" s="51" t="str">
        <f>_xlfn.XLOOKUP(transactions[[#This Row],[OpportunityID]],Opportunities[ID],Opportunities[OpportunityName])</f>
        <v>Financial Planning Software</v>
      </c>
      <c r="K494" s="51" t="str">
        <f>_xlfn.XLOOKUP(transactions[[#This Row],[CustomerId]],Customers[Id],Customers[Customer Name])</f>
        <v>Construction Dynamics</v>
      </c>
      <c r="L494" s="51" t="str">
        <f>_xlfn.XLOOKUP(transactions[[#This Row],[OpportunityID]],Opportunities[ID],Opportunities[OpportunityOwner])</f>
        <v>Dr. Tech Advisor</v>
      </c>
      <c r="M494" s="51" t="str">
        <f ca="1">IF((transactions[[#This Row],[TransactionDate]]-TODAY())&lt;=366,transactions[[#This Row],[FQ]],"Out-year")</f>
        <v>Out-year</v>
      </c>
      <c r="N494" s="55">
        <f>transactions[[#This Row],[UnWeighted]]/1000</f>
        <v>221.81279999999998</v>
      </c>
      <c r="O494" s="55">
        <f>transactions[[#This Row],[Weighted]]/1000</f>
        <v>110.90639999999999</v>
      </c>
      <c r="P494" s="55">
        <f>transactions[[#This Row],[$K Unweighted]]/1000</f>
        <v>0.22181279999999998</v>
      </c>
      <c r="Q494" s="55" t="b">
        <f ca="1">transactions[[#This Row],[TransactionDate]]&gt;TODAY()</f>
        <v>1</v>
      </c>
    </row>
    <row r="495" spans="1:17" x14ac:dyDescent="0.25">
      <c r="A495">
        <v>39</v>
      </c>
      <c r="B495">
        <v>3</v>
      </c>
      <c r="C495" s="31">
        <v>47517</v>
      </c>
      <c r="D49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5" s="51" t="str">
        <f>"CY"&amp;RIGHT(YEAR(transactions[[#This Row],[TransactionDate]]),2)&amp;"-Q"&amp;ROUNDUP(MONTH(transactions[[#This Row],[TransactionDate]])/3, 0)</f>
        <v>CY30-Q1</v>
      </c>
      <c r="F495" s="52">
        <f>transactions[[#This Row],[UnWeighted]]*_xlfn.XLOOKUP(transactions[[#This Row],[OpportunityID]],Opportunities[ID],Opportunities[WinProbabilityValue])</f>
        <v>20929.153846153848</v>
      </c>
      <c r="G495"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95" s="51" t="str">
        <f>_xlfn.XLOOKUP(transactions[[#This Row],[OpportunityID]],Opportunities[ID],Opportunities[Status])</f>
        <v>Active</v>
      </c>
      <c r="I495" s="51" t="str">
        <f>_xlfn.XLOOKUP(transactions[[#This Row],[OpportunityID]],Opportunities[ID],Opportunities[Stage])</f>
        <v>Project Execution</v>
      </c>
      <c r="J495" s="51" t="str">
        <f>_xlfn.XLOOKUP(transactions[[#This Row],[OpportunityID]],Opportunities[ID],Opportunities[OpportunityName])</f>
        <v>API Development Project</v>
      </c>
      <c r="K495" s="51" t="str">
        <f>_xlfn.XLOOKUP(transactions[[#This Row],[CustomerId]],Customers[Id],Customers[Customer Name])</f>
        <v>Tech Solutions Inc</v>
      </c>
      <c r="L495" s="51" t="str">
        <f>_xlfn.XLOOKUP(transactions[[#This Row],[OpportunityID]],Opportunities[ID],Opportunities[OpportunityOwner])</f>
        <v>Jennifer PM</v>
      </c>
      <c r="M495" s="51" t="str">
        <f ca="1">IF((transactions[[#This Row],[TransactionDate]]-TODAY())&lt;=366,transactions[[#This Row],[FQ]],"Out-year")</f>
        <v>Out-year</v>
      </c>
      <c r="N495" s="55">
        <f>transactions[[#This Row],[UnWeighted]]/1000</f>
        <v>41.858307692307697</v>
      </c>
      <c r="O495" s="55">
        <f>transactions[[#This Row],[Weighted]]/1000</f>
        <v>20.929153846153849</v>
      </c>
      <c r="P495" s="55">
        <f>transactions[[#This Row],[$K Unweighted]]/1000</f>
        <v>4.1858307692307695E-2</v>
      </c>
      <c r="Q495" s="55" t="b">
        <f ca="1">transactions[[#This Row],[TransactionDate]]&gt;TODAY()</f>
        <v>1</v>
      </c>
    </row>
    <row r="496" spans="1:17" x14ac:dyDescent="0.25">
      <c r="A496">
        <v>15</v>
      </c>
      <c r="B496">
        <v>24</v>
      </c>
      <c r="C496" s="31">
        <v>47521</v>
      </c>
      <c r="D49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6" s="51" t="str">
        <f>"CY"&amp;RIGHT(YEAR(transactions[[#This Row],[TransactionDate]]),2)&amp;"-Q"&amp;ROUNDUP(MONTH(transactions[[#This Row],[TransactionDate]])/3, 0)</f>
        <v>CY30-Q1</v>
      </c>
      <c r="F496" s="52">
        <f>transactions[[#This Row],[UnWeighted]]*_xlfn.XLOOKUP(transactions[[#This Row],[OpportunityID]],Opportunities[ID],Opportunities[WinProbabilityValue])</f>
        <v>29217.197872340425</v>
      </c>
      <c r="G496"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96" s="51" t="str">
        <f>_xlfn.XLOOKUP(transactions[[#This Row],[OpportunityID]],Opportunities[ID],Opportunities[Status])</f>
        <v>Active</v>
      </c>
      <c r="I496" s="51" t="str">
        <f>_xlfn.XLOOKUP(transactions[[#This Row],[OpportunityID]],Opportunities[ID],Opportunities[Stage])</f>
        <v>Project Execution</v>
      </c>
      <c r="J496" s="51" t="str">
        <f>_xlfn.XLOOKUP(transactions[[#This Row],[OpportunityID]],Opportunities[ID],Opportunities[OpportunityName])</f>
        <v>Training &amp; Development Program</v>
      </c>
      <c r="K496" s="51" t="str">
        <f>_xlfn.XLOOKUP(transactions[[#This Row],[CustomerId]],Customers[Id],Customers[Customer Name])</f>
        <v>Security Solutions</v>
      </c>
      <c r="L496" s="51" t="str">
        <f>_xlfn.XLOOKUP(transactions[[#This Row],[OpportunityID]],Opportunities[ID],Opportunities[OpportunityOwner])</f>
        <v>Sarah Director</v>
      </c>
      <c r="M496" s="51" t="str">
        <f ca="1">IF((transactions[[#This Row],[TransactionDate]]-TODAY())&lt;=366,transactions[[#This Row],[FQ]],"Out-year")</f>
        <v>Out-year</v>
      </c>
      <c r="N496" s="55">
        <f>transactions[[#This Row],[UnWeighted]]/1000</f>
        <v>32.46355319148936</v>
      </c>
      <c r="O496" s="55">
        <f>transactions[[#This Row],[Weighted]]/1000</f>
        <v>29.217197872340424</v>
      </c>
      <c r="P496" s="55">
        <f>transactions[[#This Row],[$K Unweighted]]/1000</f>
        <v>3.2463553191489358E-2</v>
      </c>
      <c r="Q496" s="55" t="b">
        <f ca="1">transactions[[#This Row],[TransactionDate]]&gt;TODAY()</f>
        <v>1</v>
      </c>
    </row>
    <row r="497" spans="1:17" x14ac:dyDescent="0.25">
      <c r="A497">
        <v>25</v>
      </c>
      <c r="B497">
        <v>14</v>
      </c>
      <c r="C497" s="31">
        <v>47523</v>
      </c>
      <c r="D49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7" s="51" t="str">
        <f>"CY"&amp;RIGHT(YEAR(transactions[[#This Row],[TransactionDate]]),2)&amp;"-Q"&amp;ROUNDUP(MONTH(transactions[[#This Row],[TransactionDate]])/3, 0)</f>
        <v>CY30-Q1</v>
      </c>
      <c r="F497" s="52">
        <f>transactions[[#This Row],[UnWeighted]]*_xlfn.XLOOKUP(transactions[[#This Row],[OpportunityID]],Opportunities[ID],Opportunities[WinProbabilityValue])</f>
        <v>35076.26666666667</v>
      </c>
      <c r="G497" s="52">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497" s="51" t="str">
        <f>_xlfn.XLOOKUP(transactions[[#This Row],[OpportunityID]],Opportunities[ID],Opportunities[Status])</f>
        <v>Active</v>
      </c>
      <c r="I497" s="51" t="str">
        <f>_xlfn.XLOOKUP(transactions[[#This Row],[OpportunityID]],Opportunities[ID],Opportunities[Stage])</f>
        <v>Lead Qualification</v>
      </c>
      <c r="J497" s="51" t="str">
        <f>_xlfn.XLOOKUP(transactions[[#This Row],[OpportunityID]],Opportunities[ID],Opportunities[OpportunityName])</f>
        <v>Project Management Software</v>
      </c>
      <c r="K497" s="51" t="str">
        <f>_xlfn.XLOOKUP(transactions[[#This Row],[CustomerId]],Customers[Id],Customers[Customer Name])</f>
        <v>Media Communications</v>
      </c>
      <c r="L497" s="51" t="str">
        <f>_xlfn.XLOOKUP(transactions[[#This Row],[OpportunityID]],Opportunities[ID],Opportunities[OpportunityOwner])</f>
        <v>Amanda Sales</v>
      </c>
      <c r="M497" s="51" t="str">
        <f ca="1">IF((transactions[[#This Row],[TransactionDate]]-TODAY())&lt;=366,transactions[[#This Row],[FQ]],"Out-year")</f>
        <v>Out-year</v>
      </c>
      <c r="N497" s="55">
        <f>transactions[[#This Row],[UnWeighted]]/1000</f>
        <v>70.152533333333338</v>
      </c>
      <c r="O497" s="55">
        <f>transactions[[#This Row],[Weighted]]/1000</f>
        <v>35.076266666666669</v>
      </c>
      <c r="P497" s="55">
        <f>transactions[[#This Row],[$K Unweighted]]/1000</f>
        <v>7.0152533333333336E-2</v>
      </c>
      <c r="Q497" s="55" t="b">
        <f ca="1">transactions[[#This Row],[TransactionDate]]&gt;TODAY()</f>
        <v>1</v>
      </c>
    </row>
    <row r="498" spans="1:17" x14ac:dyDescent="0.25">
      <c r="A498">
        <v>22</v>
      </c>
      <c r="B498">
        <v>11</v>
      </c>
      <c r="C498" s="31">
        <v>47525</v>
      </c>
      <c r="D49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8" s="51" t="str">
        <f>"CY"&amp;RIGHT(YEAR(transactions[[#This Row],[TransactionDate]]),2)&amp;"-Q"&amp;ROUNDUP(MONTH(transactions[[#This Row],[TransactionDate]])/3, 0)</f>
        <v>CY30-Q1</v>
      </c>
      <c r="F498" s="52">
        <f>transactions[[#This Row],[UnWeighted]]*_xlfn.XLOOKUP(transactions[[#This Row],[OpportunityID]],Opportunities[ID],Opportunities[WinProbabilityValue])</f>
        <v>26390.544230769232</v>
      </c>
      <c r="G498"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98" s="51" t="str">
        <f>_xlfn.XLOOKUP(transactions[[#This Row],[OpportunityID]],Opportunities[ID],Opportunities[Status])</f>
        <v>Active</v>
      </c>
      <c r="I498" s="51" t="str">
        <f>_xlfn.XLOOKUP(transactions[[#This Row],[OpportunityID]],Opportunities[ID],Opportunities[Stage])</f>
        <v>Nurturing</v>
      </c>
      <c r="J498" s="51" t="str">
        <f>_xlfn.XLOOKUP(transactions[[#This Row],[OpportunityID]],Opportunities[ID],Opportunities[OpportunityName])</f>
        <v>Inventory Management Solution</v>
      </c>
      <c r="K498" s="51" t="str">
        <f>_xlfn.XLOOKUP(transactions[[#This Row],[CustomerId]],Customers[Id],Customers[Customer Name])</f>
        <v>Transport Logistics</v>
      </c>
      <c r="L498" s="51" t="str">
        <f>_xlfn.XLOOKUP(transactions[[#This Row],[OpportunityID]],Opportunities[ID],Opportunities[OpportunityOwner])</f>
        <v>Sarah Director</v>
      </c>
      <c r="M498" s="51" t="str">
        <f ca="1">IF((transactions[[#This Row],[TransactionDate]]-TODAY())&lt;=366,transactions[[#This Row],[FQ]],"Out-year")</f>
        <v>Out-year</v>
      </c>
      <c r="N498" s="55">
        <f>transactions[[#This Row],[UnWeighted]]/1000</f>
        <v>29.322826923076921</v>
      </c>
      <c r="O498" s="55">
        <f>transactions[[#This Row],[Weighted]]/1000</f>
        <v>26.390544230769233</v>
      </c>
      <c r="P498" s="55">
        <f>transactions[[#This Row],[$K Unweighted]]/1000</f>
        <v>2.932282692307692E-2</v>
      </c>
      <c r="Q498" s="55" t="b">
        <f ca="1">transactions[[#This Row],[TransactionDate]]&gt;TODAY()</f>
        <v>1</v>
      </c>
    </row>
    <row r="499" spans="1:17" x14ac:dyDescent="0.25">
      <c r="A499">
        <v>28</v>
      </c>
      <c r="B499">
        <v>1</v>
      </c>
      <c r="C499" s="31">
        <v>47530</v>
      </c>
      <c r="D49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9" s="51" t="str">
        <f>"CY"&amp;RIGHT(YEAR(transactions[[#This Row],[TransactionDate]]),2)&amp;"-Q"&amp;ROUNDUP(MONTH(transactions[[#This Row],[TransactionDate]])/3, 0)</f>
        <v>CY30-Q1</v>
      </c>
      <c r="F499" s="52">
        <f>transactions[[#This Row],[UnWeighted]]*_xlfn.XLOOKUP(transactions[[#This Row],[OpportunityID]],Opportunities[ID],Opportunities[WinProbabilityValue])</f>
        <v>40447.666666666664</v>
      </c>
      <c r="G499" s="52">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499" s="51" t="str">
        <f>_xlfn.XLOOKUP(transactions[[#This Row],[OpportunityID]],Opportunities[ID],Opportunities[Status])</f>
        <v>Active</v>
      </c>
      <c r="I499" s="51" t="str">
        <f>_xlfn.XLOOKUP(transactions[[#This Row],[OpportunityID]],Opportunities[ID],Opportunities[Stage])</f>
        <v>Lead Qualification</v>
      </c>
      <c r="J499" s="51" t="str">
        <f>_xlfn.XLOOKUP(transactions[[#This Row],[OpportunityID]],Opportunities[ID],Opportunities[OpportunityName])</f>
        <v>Website Redesign Project</v>
      </c>
      <c r="K499" s="51" t="str">
        <f>_xlfn.XLOOKUP(transactions[[#This Row],[CustomerId]],Customers[Id],Customers[Customer Name])</f>
        <v>ACME Corporation</v>
      </c>
      <c r="L499" s="51" t="str">
        <f>_xlfn.XLOOKUP(transactions[[#This Row],[OpportunityID]],Opportunities[ID],Opportunities[OpportunityOwner])</f>
        <v>Lisa Engineer</v>
      </c>
      <c r="M499" s="51" t="str">
        <f ca="1">IF((transactions[[#This Row],[TransactionDate]]-TODAY())&lt;=366,transactions[[#This Row],[FQ]],"Out-year")</f>
        <v>Out-year</v>
      </c>
      <c r="N499" s="55">
        <f>transactions[[#This Row],[UnWeighted]]/1000</f>
        <v>80.895333333333326</v>
      </c>
      <c r="O499" s="55">
        <f>transactions[[#This Row],[Weighted]]/1000</f>
        <v>40.447666666666663</v>
      </c>
      <c r="P499" s="55">
        <f>transactions[[#This Row],[$K Unweighted]]/1000</f>
        <v>8.0895333333333333E-2</v>
      </c>
      <c r="Q499" s="55" t="b">
        <f ca="1">transactions[[#This Row],[TransactionDate]]&gt;TODAY()</f>
        <v>1</v>
      </c>
    </row>
    <row r="500" spans="1:17" x14ac:dyDescent="0.25">
      <c r="A500">
        <v>27</v>
      </c>
      <c r="B500">
        <v>2</v>
      </c>
      <c r="C500" s="31">
        <v>47531</v>
      </c>
      <c r="D50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0" s="51" t="str">
        <f>"CY"&amp;RIGHT(YEAR(transactions[[#This Row],[TransactionDate]]),2)&amp;"-Q"&amp;ROUNDUP(MONTH(transactions[[#This Row],[TransactionDate]])/3, 0)</f>
        <v>CY30-Q1</v>
      </c>
      <c r="F500" s="52">
        <f>transactions[[#This Row],[UnWeighted]]*_xlfn.XLOOKUP(transactions[[#This Row],[OpportunityID]],Opportunities[ID],Opportunities[WinProbabilityValue])</f>
        <v>46287.333333333336</v>
      </c>
      <c r="G500"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500" s="51" t="str">
        <f>_xlfn.XLOOKUP(transactions[[#This Row],[OpportunityID]],Opportunities[ID],Opportunities[Status])</f>
        <v>Active</v>
      </c>
      <c r="I500" s="51" t="str">
        <f>_xlfn.XLOOKUP(transactions[[#This Row],[OpportunityID]],Opportunities[ID],Opportunities[Stage])</f>
        <v>Lead Qualification</v>
      </c>
      <c r="J500" s="51" t="str">
        <f>_xlfn.XLOOKUP(transactions[[#This Row],[OpportunityID]],Opportunities[ID],Opportunities[OpportunityName])</f>
        <v>Backup &amp; Recovery System</v>
      </c>
      <c r="K500" s="51" t="str">
        <f>_xlfn.XLOOKUP(transactions[[#This Row],[CustomerId]],Customers[Id],Customers[Customer Name])</f>
        <v>Global Industries</v>
      </c>
      <c r="L500" s="51" t="str">
        <f>_xlfn.XLOOKUP(transactions[[#This Row],[OpportunityID]],Opportunities[ID],Opportunities[OpportunityOwner])</f>
        <v>Amanda Sales</v>
      </c>
      <c r="M500" s="51" t="str">
        <f ca="1">IF((transactions[[#This Row],[TransactionDate]]-TODAY())&lt;=366,transactions[[#This Row],[FQ]],"Out-year")</f>
        <v>Out-year</v>
      </c>
      <c r="N500" s="55">
        <f>transactions[[#This Row],[UnWeighted]]/1000</f>
        <v>92.574666666666673</v>
      </c>
      <c r="O500" s="55">
        <f>transactions[[#This Row],[Weighted]]/1000</f>
        <v>46.287333333333336</v>
      </c>
      <c r="P500" s="55">
        <f>transactions[[#This Row],[$K Unweighted]]/1000</f>
        <v>9.2574666666666666E-2</v>
      </c>
      <c r="Q500" s="55" t="b">
        <f ca="1">transactions[[#This Row],[TransactionDate]]&gt;TODAY()</f>
        <v>1</v>
      </c>
    </row>
    <row r="501" spans="1:17" x14ac:dyDescent="0.25">
      <c r="A501">
        <v>13</v>
      </c>
      <c r="B501">
        <v>2</v>
      </c>
      <c r="C501" s="31">
        <v>47536</v>
      </c>
      <c r="D50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1" s="51" t="str">
        <f>"CY"&amp;RIGHT(YEAR(transactions[[#This Row],[TransactionDate]]),2)&amp;"-Q"&amp;ROUNDUP(MONTH(transactions[[#This Row],[TransactionDate]])/3, 0)</f>
        <v>CY30-Q1</v>
      </c>
      <c r="F501" s="52">
        <f>transactions[[#This Row],[UnWeighted]]*_xlfn.XLOOKUP(transactions[[#This Row],[OpportunityID]],Opportunities[ID],Opportunities[WinProbabilityValue])</f>
        <v>12618.744897959185</v>
      </c>
      <c r="G501"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01" s="51" t="str">
        <f>_xlfn.XLOOKUP(transactions[[#This Row],[OpportunityID]],Opportunities[ID],Opportunities[Status])</f>
        <v>Active</v>
      </c>
      <c r="I501" s="51" t="str">
        <f>_xlfn.XLOOKUP(transactions[[#This Row],[OpportunityID]],Opportunities[ID],Opportunities[Stage])</f>
        <v>Negotiation</v>
      </c>
      <c r="J501" s="51" t="str">
        <f>_xlfn.XLOOKUP(transactions[[#This Row],[OpportunityID]],Opportunities[ID],Opportunities[OpportunityName])</f>
        <v>E-commerce Platform</v>
      </c>
      <c r="K501" s="51" t="str">
        <f>_xlfn.XLOOKUP(transactions[[#This Row],[CustomerId]],Customers[Id],Customers[Customer Name])</f>
        <v>Global Industries</v>
      </c>
      <c r="L501" s="51" t="str">
        <f>_xlfn.XLOOKUP(transactions[[#This Row],[OpportunityID]],Opportunities[ID],Opportunities[OpportunityOwner])</f>
        <v>Lisa Engineer</v>
      </c>
      <c r="M501" s="51" t="str">
        <f ca="1">IF((transactions[[#This Row],[TransactionDate]]-TODAY())&lt;=366,transactions[[#This Row],[FQ]],"Out-year")</f>
        <v>Out-year</v>
      </c>
      <c r="N501" s="55">
        <f>transactions[[#This Row],[UnWeighted]]/1000</f>
        <v>25.237489795918368</v>
      </c>
      <c r="O501" s="55">
        <f>transactions[[#This Row],[Weighted]]/1000</f>
        <v>12.618744897959184</v>
      </c>
      <c r="P501" s="55">
        <f>transactions[[#This Row],[$K Unweighted]]/1000</f>
        <v>2.5237489795918368E-2</v>
      </c>
      <c r="Q501" s="55" t="b">
        <f ca="1">transactions[[#This Row],[TransactionDate]]&gt;TODAY()</f>
        <v>1</v>
      </c>
    </row>
    <row r="502" spans="1:17" x14ac:dyDescent="0.25">
      <c r="A502">
        <v>39</v>
      </c>
      <c r="B502">
        <v>3</v>
      </c>
      <c r="C502" s="31">
        <v>47545</v>
      </c>
      <c r="D50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2" s="51" t="str">
        <f>"CY"&amp;RIGHT(YEAR(transactions[[#This Row],[TransactionDate]]),2)&amp;"-Q"&amp;ROUNDUP(MONTH(transactions[[#This Row],[TransactionDate]])/3, 0)</f>
        <v>CY30-Q1</v>
      </c>
      <c r="F502" s="52">
        <f>transactions[[#This Row],[UnWeighted]]*_xlfn.XLOOKUP(transactions[[#This Row],[OpportunityID]],Opportunities[ID],Opportunities[WinProbabilityValue])</f>
        <v>20929.153846153848</v>
      </c>
      <c r="G502"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02" s="51" t="str">
        <f>_xlfn.XLOOKUP(transactions[[#This Row],[OpportunityID]],Opportunities[ID],Opportunities[Status])</f>
        <v>Active</v>
      </c>
      <c r="I502" s="51" t="str">
        <f>_xlfn.XLOOKUP(transactions[[#This Row],[OpportunityID]],Opportunities[ID],Opportunities[Stage])</f>
        <v>Project Execution</v>
      </c>
      <c r="J502" s="51" t="str">
        <f>_xlfn.XLOOKUP(transactions[[#This Row],[OpportunityID]],Opportunities[ID],Opportunities[OpportunityName])</f>
        <v>API Development Project</v>
      </c>
      <c r="K502" s="51" t="str">
        <f>_xlfn.XLOOKUP(transactions[[#This Row],[CustomerId]],Customers[Id],Customers[Customer Name])</f>
        <v>Tech Solutions Inc</v>
      </c>
      <c r="L502" s="51" t="str">
        <f>_xlfn.XLOOKUP(transactions[[#This Row],[OpportunityID]],Opportunities[ID],Opportunities[OpportunityOwner])</f>
        <v>Jennifer PM</v>
      </c>
      <c r="M502" s="51" t="str">
        <f ca="1">IF((transactions[[#This Row],[TransactionDate]]-TODAY())&lt;=366,transactions[[#This Row],[FQ]],"Out-year")</f>
        <v>Out-year</v>
      </c>
      <c r="N502" s="55">
        <f>transactions[[#This Row],[UnWeighted]]/1000</f>
        <v>41.858307692307697</v>
      </c>
      <c r="O502" s="55">
        <f>transactions[[#This Row],[Weighted]]/1000</f>
        <v>20.929153846153849</v>
      </c>
      <c r="P502" s="55">
        <f>transactions[[#This Row],[$K Unweighted]]/1000</f>
        <v>4.1858307692307695E-2</v>
      </c>
      <c r="Q502" s="55" t="b">
        <f ca="1">transactions[[#This Row],[TransactionDate]]&gt;TODAY()</f>
        <v>1</v>
      </c>
    </row>
    <row r="503" spans="1:17" x14ac:dyDescent="0.25">
      <c r="A503">
        <v>24</v>
      </c>
      <c r="B503">
        <v>27</v>
      </c>
      <c r="C503" s="31">
        <v>47548</v>
      </c>
      <c r="D50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3" s="51" t="str">
        <f>"CY"&amp;RIGHT(YEAR(transactions[[#This Row],[TransactionDate]]),2)&amp;"-Q"&amp;ROUNDUP(MONTH(transactions[[#This Row],[TransactionDate]])/3, 0)</f>
        <v>CY30-Q1</v>
      </c>
      <c r="F503" s="52">
        <f>transactions[[#This Row],[UnWeighted]]*_xlfn.XLOOKUP(transactions[[#This Row],[OpportunityID]],Opportunities[ID],Opportunities[WinProbabilityValue])</f>
        <v>33162.73333333333</v>
      </c>
      <c r="G503" s="52">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503" s="51" t="str">
        <f>_xlfn.XLOOKUP(transactions[[#This Row],[OpportunityID]],Opportunities[ID],Opportunities[Status])</f>
        <v>Active</v>
      </c>
      <c r="I503" s="51" t="str">
        <f>_xlfn.XLOOKUP(transactions[[#This Row],[OpportunityID]],Opportunities[ID],Opportunities[Stage])</f>
        <v>Nurturing</v>
      </c>
      <c r="J503" s="51" t="str">
        <f>_xlfn.XLOOKUP(transactions[[#This Row],[OpportunityID]],Opportunities[ID],Opportunities[OpportunityName])</f>
        <v>Compliance Management Tool</v>
      </c>
      <c r="K503" s="51" t="str">
        <f>_xlfn.XLOOKUP(transactions[[#This Row],[CustomerId]],Customers[Id],Customers[Customer Name])</f>
        <v>Mining Operations</v>
      </c>
      <c r="L503" s="51" t="str">
        <f>_xlfn.XLOOKUP(transactions[[#This Row],[OpportunityID]],Opportunities[ID],Opportunities[OpportunityOwner])</f>
        <v>Dr. Tech Advisor</v>
      </c>
      <c r="M503" s="51" t="str">
        <f ca="1">IF((transactions[[#This Row],[TransactionDate]]-TODAY())&lt;=366,transactions[[#This Row],[FQ]],"Out-year")</f>
        <v>Out-year</v>
      </c>
      <c r="N503" s="55">
        <f>transactions[[#This Row],[UnWeighted]]/1000</f>
        <v>165.81366666666665</v>
      </c>
      <c r="O503" s="55">
        <f>transactions[[#This Row],[Weighted]]/1000</f>
        <v>33.162733333333328</v>
      </c>
      <c r="P503" s="55">
        <f>transactions[[#This Row],[$K Unweighted]]/1000</f>
        <v>0.16581366666666664</v>
      </c>
      <c r="Q503" s="55" t="b">
        <f ca="1">transactions[[#This Row],[TransactionDate]]&gt;TODAY()</f>
        <v>1</v>
      </c>
    </row>
    <row r="504" spans="1:17" x14ac:dyDescent="0.25">
      <c r="A504">
        <v>15</v>
      </c>
      <c r="B504">
        <v>24</v>
      </c>
      <c r="C504" s="31">
        <v>47549</v>
      </c>
      <c r="D50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4" s="51" t="str">
        <f>"CY"&amp;RIGHT(YEAR(transactions[[#This Row],[TransactionDate]]),2)&amp;"-Q"&amp;ROUNDUP(MONTH(transactions[[#This Row],[TransactionDate]])/3, 0)</f>
        <v>CY30-Q1</v>
      </c>
      <c r="F504" s="52">
        <f>transactions[[#This Row],[UnWeighted]]*_xlfn.XLOOKUP(transactions[[#This Row],[OpportunityID]],Opportunities[ID],Opportunities[WinProbabilityValue])</f>
        <v>29217.197872340425</v>
      </c>
      <c r="G504"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04" s="51" t="str">
        <f>_xlfn.XLOOKUP(transactions[[#This Row],[OpportunityID]],Opportunities[ID],Opportunities[Status])</f>
        <v>Active</v>
      </c>
      <c r="I504" s="51" t="str">
        <f>_xlfn.XLOOKUP(transactions[[#This Row],[OpportunityID]],Opportunities[ID],Opportunities[Stage])</f>
        <v>Project Execution</v>
      </c>
      <c r="J504" s="51" t="str">
        <f>_xlfn.XLOOKUP(transactions[[#This Row],[OpportunityID]],Opportunities[ID],Opportunities[OpportunityName])</f>
        <v>Training &amp; Development Program</v>
      </c>
      <c r="K504" s="51" t="str">
        <f>_xlfn.XLOOKUP(transactions[[#This Row],[CustomerId]],Customers[Id],Customers[Customer Name])</f>
        <v>Security Solutions</v>
      </c>
      <c r="L504" s="51" t="str">
        <f>_xlfn.XLOOKUP(transactions[[#This Row],[OpportunityID]],Opportunities[ID],Opportunities[OpportunityOwner])</f>
        <v>Sarah Director</v>
      </c>
      <c r="M504" s="51" t="str">
        <f ca="1">IF((transactions[[#This Row],[TransactionDate]]-TODAY())&lt;=366,transactions[[#This Row],[FQ]],"Out-year")</f>
        <v>Out-year</v>
      </c>
      <c r="N504" s="55">
        <f>transactions[[#This Row],[UnWeighted]]/1000</f>
        <v>32.46355319148936</v>
      </c>
      <c r="O504" s="55">
        <f>transactions[[#This Row],[Weighted]]/1000</f>
        <v>29.217197872340424</v>
      </c>
      <c r="P504" s="55">
        <f>transactions[[#This Row],[$K Unweighted]]/1000</f>
        <v>3.2463553191489358E-2</v>
      </c>
      <c r="Q504" s="55" t="b">
        <f ca="1">transactions[[#This Row],[TransactionDate]]&gt;TODAY()</f>
        <v>1</v>
      </c>
    </row>
    <row r="505" spans="1:17" x14ac:dyDescent="0.25">
      <c r="A505">
        <v>22</v>
      </c>
      <c r="B505">
        <v>11</v>
      </c>
      <c r="C505" s="31">
        <v>47553</v>
      </c>
      <c r="D50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5" s="51" t="str">
        <f>"CY"&amp;RIGHT(YEAR(transactions[[#This Row],[TransactionDate]]),2)&amp;"-Q"&amp;ROUNDUP(MONTH(transactions[[#This Row],[TransactionDate]])/3, 0)</f>
        <v>CY30-Q1</v>
      </c>
      <c r="F505" s="52">
        <f>transactions[[#This Row],[UnWeighted]]*_xlfn.XLOOKUP(transactions[[#This Row],[OpportunityID]],Opportunities[ID],Opportunities[WinProbabilityValue])</f>
        <v>26390.544230769232</v>
      </c>
      <c r="G505"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05" s="51" t="str">
        <f>_xlfn.XLOOKUP(transactions[[#This Row],[OpportunityID]],Opportunities[ID],Opportunities[Status])</f>
        <v>Active</v>
      </c>
      <c r="I505" s="51" t="str">
        <f>_xlfn.XLOOKUP(transactions[[#This Row],[OpportunityID]],Opportunities[ID],Opportunities[Stage])</f>
        <v>Nurturing</v>
      </c>
      <c r="J505" s="51" t="str">
        <f>_xlfn.XLOOKUP(transactions[[#This Row],[OpportunityID]],Opportunities[ID],Opportunities[OpportunityName])</f>
        <v>Inventory Management Solution</v>
      </c>
      <c r="K505" s="51" t="str">
        <f>_xlfn.XLOOKUP(transactions[[#This Row],[CustomerId]],Customers[Id],Customers[Customer Name])</f>
        <v>Transport Logistics</v>
      </c>
      <c r="L505" s="51" t="str">
        <f>_xlfn.XLOOKUP(transactions[[#This Row],[OpportunityID]],Opportunities[ID],Opportunities[OpportunityOwner])</f>
        <v>Sarah Director</v>
      </c>
      <c r="M505" s="51" t="str">
        <f ca="1">IF((transactions[[#This Row],[TransactionDate]]-TODAY())&lt;=366,transactions[[#This Row],[FQ]],"Out-year")</f>
        <v>Out-year</v>
      </c>
      <c r="N505" s="55">
        <f>transactions[[#This Row],[UnWeighted]]/1000</f>
        <v>29.322826923076921</v>
      </c>
      <c r="O505" s="55">
        <f>transactions[[#This Row],[Weighted]]/1000</f>
        <v>26.390544230769233</v>
      </c>
      <c r="P505" s="55">
        <f>transactions[[#This Row],[$K Unweighted]]/1000</f>
        <v>2.932282692307692E-2</v>
      </c>
      <c r="Q505" s="55" t="b">
        <f ca="1">transactions[[#This Row],[TransactionDate]]&gt;TODAY()</f>
        <v>1</v>
      </c>
    </row>
    <row r="506" spans="1:17" x14ac:dyDescent="0.25">
      <c r="A506">
        <v>13</v>
      </c>
      <c r="B506">
        <v>2</v>
      </c>
      <c r="C506" s="31">
        <v>47564</v>
      </c>
      <c r="D50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6" s="51" t="str">
        <f>"CY"&amp;RIGHT(YEAR(transactions[[#This Row],[TransactionDate]]),2)&amp;"-Q"&amp;ROUNDUP(MONTH(transactions[[#This Row],[TransactionDate]])/3, 0)</f>
        <v>CY30-Q1</v>
      </c>
      <c r="F506" s="52">
        <f>transactions[[#This Row],[UnWeighted]]*_xlfn.XLOOKUP(transactions[[#This Row],[OpportunityID]],Opportunities[ID],Opportunities[WinProbabilityValue])</f>
        <v>12618.744897959185</v>
      </c>
      <c r="G506"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06" s="51" t="str">
        <f>_xlfn.XLOOKUP(transactions[[#This Row],[OpportunityID]],Opportunities[ID],Opportunities[Status])</f>
        <v>Active</v>
      </c>
      <c r="I506" s="51" t="str">
        <f>_xlfn.XLOOKUP(transactions[[#This Row],[OpportunityID]],Opportunities[ID],Opportunities[Stage])</f>
        <v>Negotiation</v>
      </c>
      <c r="J506" s="51" t="str">
        <f>_xlfn.XLOOKUP(transactions[[#This Row],[OpportunityID]],Opportunities[ID],Opportunities[OpportunityName])</f>
        <v>E-commerce Platform</v>
      </c>
      <c r="K506" s="51" t="str">
        <f>_xlfn.XLOOKUP(transactions[[#This Row],[CustomerId]],Customers[Id],Customers[Customer Name])</f>
        <v>Global Industries</v>
      </c>
      <c r="L506" s="51" t="str">
        <f>_xlfn.XLOOKUP(transactions[[#This Row],[OpportunityID]],Opportunities[ID],Opportunities[OpportunityOwner])</f>
        <v>Lisa Engineer</v>
      </c>
      <c r="M506" s="51" t="str">
        <f ca="1">IF((transactions[[#This Row],[TransactionDate]]-TODAY())&lt;=366,transactions[[#This Row],[FQ]],"Out-year")</f>
        <v>Out-year</v>
      </c>
      <c r="N506" s="55">
        <f>transactions[[#This Row],[UnWeighted]]/1000</f>
        <v>25.237489795918368</v>
      </c>
      <c r="O506" s="55">
        <f>transactions[[#This Row],[Weighted]]/1000</f>
        <v>12.618744897959184</v>
      </c>
      <c r="P506" s="55">
        <f>transactions[[#This Row],[$K Unweighted]]/1000</f>
        <v>2.5237489795918368E-2</v>
      </c>
      <c r="Q506" s="55" t="b">
        <f ca="1">transactions[[#This Row],[TransactionDate]]&gt;TODAY()</f>
        <v>1</v>
      </c>
    </row>
    <row r="507" spans="1:17" x14ac:dyDescent="0.25">
      <c r="A507">
        <v>20</v>
      </c>
      <c r="B507">
        <v>28</v>
      </c>
      <c r="C507" s="31">
        <v>47567</v>
      </c>
      <c r="D50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7" s="51" t="str">
        <f>"CY"&amp;RIGHT(YEAR(transactions[[#This Row],[TransactionDate]]),2)&amp;"-Q"&amp;ROUNDUP(MONTH(transactions[[#This Row],[TransactionDate]])/3, 0)</f>
        <v>CY30-Q1</v>
      </c>
      <c r="F507" s="52">
        <f>transactions[[#This Row],[UnWeighted]]*_xlfn.XLOOKUP(transactions[[#This Row],[OpportunityID]],Opportunities[ID],Opportunities[WinProbabilityValue])</f>
        <v>46457.040000000008</v>
      </c>
      <c r="G507" s="52">
        <f>_xlfn.XLOOKUP(transactions[[#This Row],[OpportunityID]],Opportunities[ID],Opportunities[Amount])/IF(_xlfn.XLOOKUP(transactions[[#This Row],[OpportunityID]],Opportunities[ID],Opportunities[Recurrences])=0,1,_xlfn.XLOOKUP(transactions[[#This Row],[OpportunityID]],Opportunities[ID],Opportunities[Recurrences]))</f>
        <v>232285.2</v>
      </c>
      <c r="H507" s="51" t="str">
        <f>_xlfn.XLOOKUP(transactions[[#This Row],[OpportunityID]],Opportunities[ID],Opportunities[Status])</f>
        <v>Critical</v>
      </c>
      <c r="I507" s="51" t="str">
        <f>_xlfn.XLOOKUP(transactions[[#This Row],[OpportunityID]],Opportunities[ID],Opportunities[Stage])</f>
        <v>Proposal</v>
      </c>
      <c r="J507" s="51" t="str">
        <f>_xlfn.XLOOKUP(transactions[[#This Row],[OpportunityID]],Opportunities[ID],Opportunities[OpportunityName])</f>
        <v>Marketing Automation Platform</v>
      </c>
      <c r="K507" s="51" t="str">
        <f>_xlfn.XLOOKUP(transactions[[#This Row],[CustomerId]],Customers[Id],Customers[Customer Name])</f>
        <v>Telecommunications Inc</v>
      </c>
      <c r="L507" s="51" t="str">
        <f>_xlfn.XLOOKUP(transactions[[#This Row],[OpportunityID]],Opportunities[ID],Opportunities[OpportunityOwner])</f>
        <v>Amanda Sales</v>
      </c>
      <c r="M507" s="51" t="str">
        <f ca="1">IF((transactions[[#This Row],[TransactionDate]]-TODAY())&lt;=366,transactions[[#This Row],[FQ]],"Out-year")</f>
        <v>Out-year</v>
      </c>
      <c r="N507" s="55">
        <f>transactions[[#This Row],[UnWeighted]]/1000</f>
        <v>232.2852</v>
      </c>
      <c r="O507" s="55">
        <f>transactions[[#This Row],[Weighted]]/1000</f>
        <v>46.457040000000006</v>
      </c>
      <c r="P507" s="55">
        <f>transactions[[#This Row],[$K Unweighted]]/1000</f>
        <v>0.2322852</v>
      </c>
      <c r="Q507" s="55" t="b">
        <f ca="1">transactions[[#This Row],[TransactionDate]]&gt;TODAY()</f>
        <v>1</v>
      </c>
    </row>
    <row r="508" spans="1:17" x14ac:dyDescent="0.25">
      <c r="A508">
        <v>39</v>
      </c>
      <c r="B508">
        <v>3</v>
      </c>
      <c r="C508" s="31">
        <v>47576</v>
      </c>
      <c r="D50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8" s="51" t="str">
        <f>"CY"&amp;RIGHT(YEAR(transactions[[#This Row],[TransactionDate]]),2)&amp;"-Q"&amp;ROUNDUP(MONTH(transactions[[#This Row],[TransactionDate]])/3, 0)</f>
        <v>CY30-Q2</v>
      </c>
      <c r="F508" s="52">
        <f>transactions[[#This Row],[UnWeighted]]*_xlfn.XLOOKUP(transactions[[#This Row],[OpportunityID]],Opportunities[ID],Opportunities[WinProbabilityValue])</f>
        <v>20929.153846153848</v>
      </c>
      <c r="G508"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08" s="51" t="str">
        <f>_xlfn.XLOOKUP(transactions[[#This Row],[OpportunityID]],Opportunities[ID],Opportunities[Status])</f>
        <v>Active</v>
      </c>
      <c r="I508" s="51" t="str">
        <f>_xlfn.XLOOKUP(transactions[[#This Row],[OpportunityID]],Opportunities[ID],Opportunities[Stage])</f>
        <v>Project Execution</v>
      </c>
      <c r="J508" s="51" t="str">
        <f>_xlfn.XLOOKUP(transactions[[#This Row],[OpportunityID]],Opportunities[ID],Opportunities[OpportunityName])</f>
        <v>API Development Project</v>
      </c>
      <c r="K508" s="51" t="str">
        <f>_xlfn.XLOOKUP(transactions[[#This Row],[CustomerId]],Customers[Id],Customers[Customer Name])</f>
        <v>Tech Solutions Inc</v>
      </c>
      <c r="L508" s="51" t="str">
        <f>_xlfn.XLOOKUP(transactions[[#This Row],[OpportunityID]],Opportunities[ID],Opportunities[OpportunityOwner])</f>
        <v>Jennifer PM</v>
      </c>
      <c r="M508" s="51" t="str">
        <f ca="1">IF((transactions[[#This Row],[TransactionDate]]-TODAY())&lt;=366,transactions[[#This Row],[FQ]],"Out-year")</f>
        <v>Out-year</v>
      </c>
      <c r="N508" s="55">
        <f>transactions[[#This Row],[UnWeighted]]/1000</f>
        <v>41.858307692307697</v>
      </c>
      <c r="O508" s="55">
        <f>transactions[[#This Row],[Weighted]]/1000</f>
        <v>20.929153846153849</v>
      </c>
      <c r="P508" s="55">
        <f>transactions[[#This Row],[$K Unweighted]]/1000</f>
        <v>4.1858307692307695E-2</v>
      </c>
      <c r="Q508" s="55" t="b">
        <f ca="1">transactions[[#This Row],[TransactionDate]]&gt;TODAY()</f>
        <v>1</v>
      </c>
    </row>
    <row r="509" spans="1:17" x14ac:dyDescent="0.25">
      <c r="A509">
        <v>15</v>
      </c>
      <c r="B509">
        <v>24</v>
      </c>
      <c r="C509" s="31">
        <v>47580</v>
      </c>
      <c r="D50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9" s="51" t="str">
        <f>"CY"&amp;RIGHT(YEAR(transactions[[#This Row],[TransactionDate]]),2)&amp;"-Q"&amp;ROUNDUP(MONTH(transactions[[#This Row],[TransactionDate]])/3, 0)</f>
        <v>CY30-Q2</v>
      </c>
      <c r="F509" s="52">
        <f>transactions[[#This Row],[UnWeighted]]*_xlfn.XLOOKUP(transactions[[#This Row],[OpportunityID]],Opportunities[ID],Opportunities[WinProbabilityValue])</f>
        <v>29217.197872340425</v>
      </c>
      <c r="G509"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09" s="51" t="str">
        <f>_xlfn.XLOOKUP(transactions[[#This Row],[OpportunityID]],Opportunities[ID],Opportunities[Status])</f>
        <v>Active</v>
      </c>
      <c r="I509" s="51" t="str">
        <f>_xlfn.XLOOKUP(transactions[[#This Row],[OpportunityID]],Opportunities[ID],Opportunities[Stage])</f>
        <v>Project Execution</v>
      </c>
      <c r="J509" s="51" t="str">
        <f>_xlfn.XLOOKUP(transactions[[#This Row],[OpportunityID]],Opportunities[ID],Opportunities[OpportunityName])</f>
        <v>Training &amp; Development Program</v>
      </c>
      <c r="K509" s="51" t="str">
        <f>_xlfn.XLOOKUP(transactions[[#This Row],[CustomerId]],Customers[Id],Customers[Customer Name])</f>
        <v>Security Solutions</v>
      </c>
      <c r="L509" s="51" t="str">
        <f>_xlfn.XLOOKUP(transactions[[#This Row],[OpportunityID]],Opportunities[ID],Opportunities[OpportunityOwner])</f>
        <v>Sarah Director</v>
      </c>
      <c r="M509" s="51" t="str">
        <f ca="1">IF((transactions[[#This Row],[TransactionDate]]-TODAY())&lt;=366,transactions[[#This Row],[FQ]],"Out-year")</f>
        <v>Out-year</v>
      </c>
      <c r="N509" s="55">
        <f>transactions[[#This Row],[UnWeighted]]/1000</f>
        <v>32.46355319148936</v>
      </c>
      <c r="O509" s="55">
        <f>transactions[[#This Row],[Weighted]]/1000</f>
        <v>29.217197872340424</v>
      </c>
      <c r="P509" s="55">
        <f>transactions[[#This Row],[$K Unweighted]]/1000</f>
        <v>3.2463553191489358E-2</v>
      </c>
      <c r="Q509" s="55" t="b">
        <f ca="1">transactions[[#This Row],[TransactionDate]]&gt;TODAY()</f>
        <v>1</v>
      </c>
    </row>
    <row r="510" spans="1:17" x14ac:dyDescent="0.25">
      <c r="A510">
        <v>22</v>
      </c>
      <c r="B510">
        <v>11</v>
      </c>
      <c r="C510" s="31">
        <v>47584</v>
      </c>
      <c r="D51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10" s="51" t="str">
        <f>"CY"&amp;RIGHT(YEAR(transactions[[#This Row],[TransactionDate]]),2)&amp;"-Q"&amp;ROUNDUP(MONTH(transactions[[#This Row],[TransactionDate]])/3, 0)</f>
        <v>CY30-Q2</v>
      </c>
      <c r="F510" s="52">
        <f>transactions[[#This Row],[UnWeighted]]*_xlfn.XLOOKUP(transactions[[#This Row],[OpportunityID]],Opportunities[ID],Opportunities[WinProbabilityValue])</f>
        <v>26390.544230769232</v>
      </c>
      <c r="G510"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10" s="51" t="str">
        <f>_xlfn.XLOOKUP(transactions[[#This Row],[OpportunityID]],Opportunities[ID],Opportunities[Status])</f>
        <v>Active</v>
      </c>
      <c r="I510" s="51" t="str">
        <f>_xlfn.XLOOKUP(transactions[[#This Row],[OpportunityID]],Opportunities[ID],Opportunities[Stage])</f>
        <v>Nurturing</v>
      </c>
      <c r="J510" s="51" t="str">
        <f>_xlfn.XLOOKUP(transactions[[#This Row],[OpportunityID]],Opportunities[ID],Opportunities[OpportunityName])</f>
        <v>Inventory Management Solution</v>
      </c>
      <c r="K510" s="51" t="str">
        <f>_xlfn.XLOOKUP(transactions[[#This Row],[CustomerId]],Customers[Id],Customers[Customer Name])</f>
        <v>Transport Logistics</v>
      </c>
      <c r="L510" s="51" t="str">
        <f>_xlfn.XLOOKUP(transactions[[#This Row],[OpportunityID]],Opportunities[ID],Opportunities[OpportunityOwner])</f>
        <v>Sarah Director</v>
      </c>
      <c r="M510" s="51" t="str">
        <f ca="1">IF((transactions[[#This Row],[TransactionDate]]-TODAY())&lt;=366,transactions[[#This Row],[FQ]],"Out-year")</f>
        <v>Out-year</v>
      </c>
      <c r="N510" s="55">
        <f>transactions[[#This Row],[UnWeighted]]/1000</f>
        <v>29.322826923076921</v>
      </c>
      <c r="O510" s="55">
        <f>transactions[[#This Row],[Weighted]]/1000</f>
        <v>26.390544230769233</v>
      </c>
      <c r="P510" s="55">
        <f>transactions[[#This Row],[$K Unweighted]]/1000</f>
        <v>2.932282692307692E-2</v>
      </c>
      <c r="Q510" s="55" t="b">
        <f ca="1">transactions[[#This Row],[TransactionDate]]&gt;TODAY()</f>
        <v>1</v>
      </c>
    </row>
    <row r="511" spans="1:17" x14ac:dyDescent="0.25">
      <c r="A511">
        <v>11</v>
      </c>
      <c r="B511">
        <v>3</v>
      </c>
      <c r="C511" s="31">
        <v>47586</v>
      </c>
      <c r="D51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11" s="51" t="str">
        <f>"CY"&amp;RIGHT(YEAR(transactions[[#This Row],[TransactionDate]]),2)&amp;"-Q"&amp;ROUNDUP(MONTH(transactions[[#This Row],[TransactionDate]])/3, 0)</f>
        <v>CY30-Q2</v>
      </c>
      <c r="F511" s="52">
        <f>transactions[[#This Row],[UnWeighted]]*_xlfn.XLOOKUP(transactions[[#This Row],[OpportunityID]],Opportunities[ID],Opportunities[WinProbabilityValue])</f>
        <v>113460.75</v>
      </c>
      <c r="G511" s="52">
        <f>_xlfn.XLOOKUP(transactions[[#This Row],[OpportunityID]],Opportunities[ID],Opportunities[Amount])/IF(_xlfn.XLOOKUP(transactions[[#This Row],[OpportunityID]],Opportunities[ID],Opportunities[Recurrences])=0,1,_xlfn.XLOOKUP(transactions[[#This Row],[OpportunityID]],Opportunities[ID],Opportunities[Recurrences]))</f>
        <v>126067.5</v>
      </c>
      <c r="H511" s="51" t="str">
        <f>_xlfn.XLOOKUP(transactions[[#This Row],[OpportunityID]],Opportunities[ID],Opportunities[Status])</f>
        <v>At Risk</v>
      </c>
      <c r="I511" s="51" t="str">
        <f>_xlfn.XLOOKUP(transactions[[#This Row],[OpportunityID]],Opportunities[ID],Opportunities[Stage])</f>
        <v>Negotiation</v>
      </c>
      <c r="J511" s="51" t="str">
        <f>_xlfn.XLOOKUP(transactions[[#This Row],[OpportunityID]],Opportunities[ID],Opportunities[OpportunityName])</f>
        <v>Data Center Consolidation</v>
      </c>
      <c r="K511" s="51" t="str">
        <f>_xlfn.XLOOKUP(transactions[[#This Row],[CustomerId]],Customers[Id],Customers[Customer Name])</f>
        <v>Tech Solutions Inc</v>
      </c>
      <c r="L511" s="51" t="str">
        <f>_xlfn.XLOOKUP(transactions[[#This Row],[OpportunityID]],Opportunities[ID],Opportunities[OpportunityOwner])</f>
        <v>David Specialist</v>
      </c>
      <c r="M511" s="51" t="str">
        <f ca="1">IF((transactions[[#This Row],[TransactionDate]]-TODAY())&lt;=366,transactions[[#This Row],[FQ]],"Out-year")</f>
        <v>Out-year</v>
      </c>
      <c r="N511" s="55">
        <f>transactions[[#This Row],[UnWeighted]]/1000</f>
        <v>126.0675</v>
      </c>
      <c r="O511" s="55">
        <f>transactions[[#This Row],[Weighted]]/1000</f>
        <v>113.46075</v>
      </c>
      <c r="P511" s="55">
        <f>transactions[[#This Row],[$K Unweighted]]/1000</f>
        <v>0.1260675</v>
      </c>
      <c r="Q511" s="55" t="b">
        <f ca="1">transactions[[#This Row],[TransactionDate]]&gt;TODAY()</f>
        <v>1</v>
      </c>
    </row>
    <row r="512" spans="1:17" x14ac:dyDescent="0.25">
      <c r="A512">
        <v>13</v>
      </c>
      <c r="B512">
        <v>2</v>
      </c>
      <c r="C512" s="31">
        <v>47595</v>
      </c>
      <c r="D51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12" s="51" t="str">
        <f>"CY"&amp;RIGHT(YEAR(transactions[[#This Row],[TransactionDate]]),2)&amp;"-Q"&amp;ROUNDUP(MONTH(transactions[[#This Row],[TransactionDate]])/3, 0)</f>
        <v>CY30-Q2</v>
      </c>
      <c r="F512" s="52">
        <f>transactions[[#This Row],[UnWeighted]]*_xlfn.XLOOKUP(transactions[[#This Row],[OpportunityID]],Opportunities[ID],Opportunities[WinProbabilityValue])</f>
        <v>12618.744897959185</v>
      </c>
      <c r="G512"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12" s="51" t="str">
        <f>_xlfn.XLOOKUP(transactions[[#This Row],[OpportunityID]],Opportunities[ID],Opportunities[Status])</f>
        <v>Active</v>
      </c>
      <c r="I512" s="51" t="str">
        <f>_xlfn.XLOOKUP(transactions[[#This Row],[OpportunityID]],Opportunities[ID],Opportunities[Stage])</f>
        <v>Negotiation</v>
      </c>
      <c r="J512" s="51" t="str">
        <f>_xlfn.XLOOKUP(transactions[[#This Row],[OpportunityID]],Opportunities[ID],Opportunities[OpportunityName])</f>
        <v>E-commerce Platform</v>
      </c>
      <c r="K512" s="51" t="str">
        <f>_xlfn.XLOOKUP(transactions[[#This Row],[CustomerId]],Customers[Id],Customers[Customer Name])</f>
        <v>Global Industries</v>
      </c>
      <c r="L512" s="51" t="str">
        <f>_xlfn.XLOOKUP(transactions[[#This Row],[OpportunityID]],Opportunities[ID],Opportunities[OpportunityOwner])</f>
        <v>Lisa Engineer</v>
      </c>
      <c r="M512" s="51" t="str">
        <f ca="1">IF((transactions[[#This Row],[TransactionDate]]-TODAY())&lt;=366,transactions[[#This Row],[FQ]],"Out-year")</f>
        <v>Out-year</v>
      </c>
      <c r="N512" s="55">
        <f>transactions[[#This Row],[UnWeighted]]/1000</f>
        <v>25.237489795918368</v>
      </c>
      <c r="O512" s="55">
        <f>transactions[[#This Row],[Weighted]]/1000</f>
        <v>12.618744897959184</v>
      </c>
      <c r="P512" s="55">
        <f>transactions[[#This Row],[$K Unweighted]]/1000</f>
        <v>2.5237489795918368E-2</v>
      </c>
      <c r="Q512" s="55" t="b">
        <f ca="1">transactions[[#This Row],[TransactionDate]]&gt;TODAY()</f>
        <v>1</v>
      </c>
    </row>
    <row r="513" spans="1:17" x14ac:dyDescent="0.25">
      <c r="A513">
        <v>39</v>
      </c>
      <c r="B513">
        <v>3</v>
      </c>
      <c r="C513" s="31">
        <v>47606</v>
      </c>
      <c r="D51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3" s="51" t="str">
        <f>"CY"&amp;RIGHT(YEAR(transactions[[#This Row],[TransactionDate]]),2)&amp;"-Q"&amp;ROUNDUP(MONTH(transactions[[#This Row],[TransactionDate]])/3, 0)</f>
        <v>CY30-Q2</v>
      </c>
      <c r="F513" s="52">
        <f>transactions[[#This Row],[UnWeighted]]*_xlfn.XLOOKUP(transactions[[#This Row],[OpportunityID]],Opportunities[ID],Opportunities[WinProbabilityValue])</f>
        <v>20929.153846153848</v>
      </c>
      <c r="G513"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13" s="51" t="str">
        <f>_xlfn.XLOOKUP(transactions[[#This Row],[OpportunityID]],Opportunities[ID],Opportunities[Status])</f>
        <v>Active</v>
      </c>
      <c r="I513" s="51" t="str">
        <f>_xlfn.XLOOKUP(transactions[[#This Row],[OpportunityID]],Opportunities[ID],Opportunities[Stage])</f>
        <v>Project Execution</v>
      </c>
      <c r="J513" s="51" t="str">
        <f>_xlfn.XLOOKUP(transactions[[#This Row],[OpportunityID]],Opportunities[ID],Opportunities[OpportunityName])</f>
        <v>API Development Project</v>
      </c>
      <c r="K513" s="51" t="str">
        <f>_xlfn.XLOOKUP(transactions[[#This Row],[CustomerId]],Customers[Id],Customers[Customer Name])</f>
        <v>Tech Solutions Inc</v>
      </c>
      <c r="L513" s="51" t="str">
        <f>_xlfn.XLOOKUP(transactions[[#This Row],[OpportunityID]],Opportunities[ID],Opportunities[OpportunityOwner])</f>
        <v>Jennifer PM</v>
      </c>
      <c r="M513" s="51" t="str">
        <f ca="1">IF((transactions[[#This Row],[TransactionDate]]-TODAY())&lt;=366,transactions[[#This Row],[FQ]],"Out-year")</f>
        <v>Out-year</v>
      </c>
      <c r="N513" s="55">
        <f>transactions[[#This Row],[UnWeighted]]/1000</f>
        <v>41.858307692307697</v>
      </c>
      <c r="O513" s="55">
        <f>transactions[[#This Row],[Weighted]]/1000</f>
        <v>20.929153846153849</v>
      </c>
      <c r="P513" s="55">
        <f>transactions[[#This Row],[$K Unweighted]]/1000</f>
        <v>4.1858307692307695E-2</v>
      </c>
      <c r="Q513" s="55" t="b">
        <f ca="1">transactions[[#This Row],[TransactionDate]]&gt;TODAY()</f>
        <v>1</v>
      </c>
    </row>
    <row r="514" spans="1:17" x14ac:dyDescent="0.25">
      <c r="A514">
        <v>15</v>
      </c>
      <c r="B514">
        <v>24</v>
      </c>
      <c r="C514" s="31">
        <v>47610</v>
      </c>
      <c r="D51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4" s="51" t="str">
        <f>"CY"&amp;RIGHT(YEAR(transactions[[#This Row],[TransactionDate]]),2)&amp;"-Q"&amp;ROUNDUP(MONTH(transactions[[#This Row],[TransactionDate]])/3, 0)</f>
        <v>CY30-Q2</v>
      </c>
      <c r="F514" s="52">
        <f>transactions[[#This Row],[UnWeighted]]*_xlfn.XLOOKUP(transactions[[#This Row],[OpportunityID]],Opportunities[ID],Opportunities[WinProbabilityValue])</f>
        <v>29217.197872340425</v>
      </c>
      <c r="G514"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14" s="51" t="str">
        <f>_xlfn.XLOOKUP(transactions[[#This Row],[OpportunityID]],Opportunities[ID],Opportunities[Status])</f>
        <v>Active</v>
      </c>
      <c r="I514" s="51" t="str">
        <f>_xlfn.XLOOKUP(transactions[[#This Row],[OpportunityID]],Opportunities[ID],Opportunities[Stage])</f>
        <v>Project Execution</v>
      </c>
      <c r="J514" s="51" t="str">
        <f>_xlfn.XLOOKUP(transactions[[#This Row],[OpportunityID]],Opportunities[ID],Opportunities[OpportunityName])</f>
        <v>Training &amp; Development Program</v>
      </c>
      <c r="K514" s="51" t="str">
        <f>_xlfn.XLOOKUP(transactions[[#This Row],[CustomerId]],Customers[Id],Customers[Customer Name])</f>
        <v>Security Solutions</v>
      </c>
      <c r="L514" s="51" t="str">
        <f>_xlfn.XLOOKUP(transactions[[#This Row],[OpportunityID]],Opportunities[ID],Opportunities[OpportunityOwner])</f>
        <v>Sarah Director</v>
      </c>
      <c r="M514" s="51" t="str">
        <f ca="1">IF((transactions[[#This Row],[TransactionDate]]-TODAY())&lt;=366,transactions[[#This Row],[FQ]],"Out-year")</f>
        <v>Out-year</v>
      </c>
      <c r="N514" s="55">
        <f>transactions[[#This Row],[UnWeighted]]/1000</f>
        <v>32.46355319148936</v>
      </c>
      <c r="O514" s="55">
        <f>transactions[[#This Row],[Weighted]]/1000</f>
        <v>29.217197872340424</v>
      </c>
      <c r="P514" s="55">
        <f>transactions[[#This Row],[$K Unweighted]]/1000</f>
        <v>3.2463553191489358E-2</v>
      </c>
      <c r="Q514" s="55" t="b">
        <f ca="1">transactions[[#This Row],[TransactionDate]]&gt;TODAY()</f>
        <v>1</v>
      </c>
    </row>
    <row r="515" spans="1:17" x14ac:dyDescent="0.25">
      <c r="A515">
        <v>29</v>
      </c>
      <c r="B515">
        <v>10</v>
      </c>
      <c r="C515" s="31">
        <v>47611</v>
      </c>
      <c r="D51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5" s="51" t="str">
        <f>"CY"&amp;RIGHT(YEAR(transactions[[#This Row],[TransactionDate]]),2)&amp;"-Q"&amp;ROUNDUP(MONTH(transactions[[#This Row],[TransactionDate]])/3, 0)</f>
        <v>CY30-Q2</v>
      </c>
      <c r="F515" s="52">
        <f>transactions[[#This Row],[UnWeighted]]*_xlfn.XLOOKUP(transactions[[#This Row],[OpportunityID]],Opportunities[ID],Opportunities[WinProbabilityValue])</f>
        <v>150480.08333333334</v>
      </c>
      <c r="G515" s="52">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515" s="51" t="str">
        <f>_xlfn.XLOOKUP(transactions[[#This Row],[OpportunityID]],Opportunities[ID],Opportunities[Status])</f>
        <v>Active</v>
      </c>
      <c r="I515" s="51" t="str">
        <f>_xlfn.XLOOKUP(transactions[[#This Row],[OpportunityID]],Opportunities[ID],Opportunities[Stage])</f>
        <v>Project Execution</v>
      </c>
      <c r="J515" s="51" t="str">
        <f>_xlfn.XLOOKUP(transactions[[#This Row],[OpportunityID]],Opportunities[ID],Opportunities[OpportunityName])</f>
        <v>Social Media Management Tool</v>
      </c>
      <c r="K515" s="51" t="str">
        <f>_xlfn.XLOOKUP(transactions[[#This Row],[CustomerId]],Customers[Id],Customers[Customer Name])</f>
        <v>Education First</v>
      </c>
      <c r="L515" s="51" t="str">
        <f>_xlfn.XLOOKUP(transactions[[#This Row],[OpportunityID]],Opportunities[ID],Opportunities[OpportunityOwner])</f>
        <v>Maria Coordinator</v>
      </c>
      <c r="M515" s="51" t="str">
        <f ca="1">IF((transactions[[#This Row],[TransactionDate]]-TODAY())&lt;=366,transactions[[#This Row],[FQ]],"Out-year")</f>
        <v>Out-year</v>
      </c>
      <c r="N515" s="55">
        <f>transactions[[#This Row],[UnWeighted]]/1000</f>
        <v>300.96016666666668</v>
      </c>
      <c r="O515" s="55">
        <f>transactions[[#This Row],[Weighted]]/1000</f>
        <v>150.48008333333334</v>
      </c>
      <c r="P515" s="55">
        <f>transactions[[#This Row],[$K Unweighted]]/1000</f>
        <v>0.3009601666666667</v>
      </c>
      <c r="Q515" s="55" t="b">
        <f ca="1">transactions[[#This Row],[TransactionDate]]&gt;TODAY()</f>
        <v>1</v>
      </c>
    </row>
    <row r="516" spans="1:17" x14ac:dyDescent="0.25">
      <c r="A516">
        <v>25</v>
      </c>
      <c r="B516">
        <v>14</v>
      </c>
      <c r="C516" s="31">
        <v>47612</v>
      </c>
      <c r="D51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6" s="51" t="str">
        <f>"CY"&amp;RIGHT(YEAR(transactions[[#This Row],[TransactionDate]]),2)&amp;"-Q"&amp;ROUNDUP(MONTH(transactions[[#This Row],[TransactionDate]])/3, 0)</f>
        <v>CY30-Q2</v>
      </c>
      <c r="F516" s="52">
        <f>transactions[[#This Row],[UnWeighted]]*_xlfn.XLOOKUP(transactions[[#This Row],[OpportunityID]],Opportunities[ID],Opportunities[WinProbabilityValue])</f>
        <v>35076.26666666667</v>
      </c>
      <c r="G516" s="52">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516" s="51" t="str">
        <f>_xlfn.XLOOKUP(transactions[[#This Row],[OpportunityID]],Opportunities[ID],Opportunities[Status])</f>
        <v>Active</v>
      </c>
      <c r="I516" s="51" t="str">
        <f>_xlfn.XLOOKUP(transactions[[#This Row],[OpportunityID]],Opportunities[ID],Opportunities[Stage])</f>
        <v>Lead Qualification</v>
      </c>
      <c r="J516" s="51" t="str">
        <f>_xlfn.XLOOKUP(transactions[[#This Row],[OpportunityID]],Opportunities[ID],Opportunities[OpportunityName])</f>
        <v>Project Management Software</v>
      </c>
      <c r="K516" s="51" t="str">
        <f>_xlfn.XLOOKUP(transactions[[#This Row],[CustomerId]],Customers[Id],Customers[Customer Name])</f>
        <v>Media Communications</v>
      </c>
      <c r="L516" s="51" t="str">
        <f>_xlfn.XLOOKUP(transactions[[#This Row],[OpportunityID]],Opportunities[ID],Opportunities[OpportunityOwner])</f>
        <v>Amanda Sales</v>
      </c>
      <c r="M516" s="51" t="str">
        <f ca="1">IF((transactions[[#This Row],[TransactionDate]]-TODAY())&lt;=366,transactions[[#This Row],[FQ]],"Out-year")</f>
        <v>Out-year</v>
      </c>
      <c r="N516" s="55">
        <f>transactions[[#This Row],[UnWeighted]]/1000</f>
        <v>70.152533333333338</v>
      </c>
      <c r="O516" s="55">
        <f>transactions[[#This Row],[Weighted]]/1000</f>
        <v>35.076266666666669</v>
      </c>
      <c r="P516" s="55">
        <f>transactions[[#This Row],[$K Unweighted]]/1000</f>
        <v>7.0152533333333336E-2</v>
      </c>
      <c r="Q516" s="55" t="b">
        <f ca="1">transactions[[#This Row],[TransactionDate]]&gt;TODAY()</f>
        <v>1</v>
      </c>
    </row>
    <row r="517" spans="1:17" x14ac:dyDescent="0.25">
      <c r="A517">
        <v>22</v>
      </c>
      <c r="B517">
        <v>11</v>
      </c>
      <c r="C517" s="31">
        <v>47614</v>
      </c>
      <c r="D51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7" s="51" t="str">
        <f>"CY"&amp;RIGHT(YEAR(transactions[[#This Row],[TransactionDate]]),2)&amp;"-Q"&amp;ROUNDUP(MONTH(transactions[[#This Row],[TransactionDate]])/3, 0)</f>
        <v>CY30-Q2</v>
      </c>
      <c r="F517" s="52">
        <f>transactions[[#This Row],[UnWeighted]]*_xlfn.XLOOKUP(transactions[[#This Row],[OpportunityID]],Opportunities[ID],Opportunities[WinProbabilityValue])</f>
        <v>26390.544230769232</v>
      </c>
      <c r="G517"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17" s="51" t="str">
        <f>_xlfn.XLOOKUP(transactions[[#This Row],[OpportunityID]],Opportunities[ID],Opportunities[Status])</f>
        <v>Active</v>
      </c>
      <c r="I517" s="51" t="str">
        <f>_xlfn.XLOOKUP(transactions[[#This Row],[OpportunityID]],Opportunities[ID],Opportunities[Stage])</f>
        <v>Nurturing</v>
      </c>
      <c r="J517" s="51" t="str">
        <f>_xlfn.XLOOKUP(transactions[[#This Row],[OpportunityID]],Opportunities[ID],Opportunities[OpportunityName])</f>
        <v>Inventory Management Solution</v>
      </c>
      <c r="K517" s="51" t="str">
        <f>_xlfn.XLOOKUP(transactions[[#This Row],[CustomerId]],Customers[Id],Customers[Customer Name])</f>
        <v>Transport Logistics</v>
      </c>
      <c r="L517" s="51" t="str">
        <f>_xlfn.XLOOKUP(transactions[[#This Row],[OpportunityID]],Opportunities[ID],Opportunities[OpportunityOwner])</f>
        <v>Sarah Director</v>
      </c>
      <c r="M517" s="51" t="str">
        <f ca="1">IF((transactions[[#This Row],[TransactionDate]]-TODAY())&lt;=366,transactions[[#This Row],[FQ]],"Out-year")</f>
        <v>Out-year</v>
      </c>
      <c r="N517" s="55">
        <f>transactions[[#This Row],[UnWeighted]]/1000</f>
        <v>29.322826923076921</v>
      </c>
      <c r="O517" s="55">
        <f>transactions[[#This Row],[Weighted]]/1000</f>
        <v>26.390544230769233</v>
      </c>
      <c r="P517" s="55">
        <f>transactions[[#This Row],[$K Unweighted]]/1000</f>
        <v>2.932282692307692E-2</v>
      </c>
      <c r="Q517" s="55" t="b">
        <f ca="1">transactions[[#This Row],[TransactionDate]]&gt;TODAY()</f>
        <v>1</v>
      </c>
    </row>
    <row r="518" spans="1:17" x14ac:dyDescent="0.25">
      <c r="A518">
        <v>28</v>
      </c>
      <c r="B518">
        <v>1</v>
      </c>
      <c r="C518" s="31">
        <v>47619</v>
      </c>
      <c r="D51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8" s="51" t="str">
        <f>"CY"&amp;RIGHT(YEAR(transactions[[#This Row],[TransactionDate]]),2)&amp;"-Q"&amp;ROUNDUP(MONTH(transactions[[#This Row],[TransactionDate]])/3, 0)</f>
        <v>CY30-Q2</v>
      </c>
      <c r="F518" s="52">
        <f>transactions[[#This Row],[UnWeighted]]*_xlfn.XLOOKUP(transactions[[#This Row],[OpportunityID]],Opportunities[ID],Opportunities[WinProbabilityValue])</f>
        <v>40447.666666666664</v>
      </c>
      <c r="G518" s="52">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518" s="51" t="str">
        <f>_xlfn.XLOOKUP(transactions[[#This Row],[OpportunityID]],Opportunities[ID],Opportunities[Status])</f>
        <v>Active</v>
      </c>
      <c r="I518" s="51" t="str">
        <f>_xlfn.XLOOKUP(transactions[[#This Row],[OpportunityID]],Opportunities[ID],Opportunities[Stage])</f>
        <v>Lead Qualification</v>
      </c>
      <c r="J518" s="51" t="str">
        <f>_xlfn.XLOOKUP(transactions[[#This Row],[OpportunityID]],Opportunities[ID],Opportunities[OpportunityName])</f>
        <v>Website Redesign Project</v>
      </c>
      <c r="K518" s="51" t="str">
        <f>_xlfn.XLOOKUP(transactions[[#This Row],[CustomerId]],Customers[Id],Customers[Customer Name])</f>
        <v>ACME Corporation</v>
      </c>
      <c r="L518" s="51" t="str">
        <f>_xlfn.XLOOKUP(transactions[[#This Row],[OpportunityID]],Opportunities[ID],Opportunities[OpportunityOwner])</f>
        <v>Lisa Engineer</v>
      </c>
      <c r="M518" s="51" t="str">
        <f ca="1">IF((transactions[[#This Row],[TransactionDate]]-TODAY())&lt;=366,transactions[[#This Row],[FQ]],"Out-year")</f>
        <v>Out-year</v>
      </c>
      <c r="N518" s="55">
        <f>transactions[[#This Row],[UnWeighted]]/1000</f>
        <v>80.895333333333326</v>
      </c>
      <c r="O518" s="55">
        <f>transactions[[#This Row],[Weighted]]/1000</f>
        <v>40.447666666666663</v>
      </c>
      <c r="P518" s="55">
        <f>transactions[[#This Row],[$K Unweighted]]/1000</f>
        <v>8.0895333333333333E-2</v>
      </c>
      <c r="Q518" s="55" t="b">
        <f ca="1">transactions[[#This Row],[TransactionDate]]&gt;TODAY()</f>
        <v>1</v>
      </c>
    </row>
    <row r="519" spans="1:17" x14ac:dyDescent="0.25">
      <c r="A519">
        <v>27</v>
      </c>
      <c r="B519">
        <v>2</v>
      </c>
      <c r="C519" s="31">
        <v>47620</v>
      </c>
      <c r="D51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9" s="51" t="str">
        <f>"CY"&amp;RIGHT(YEAR(transactions[[#This Row],[TransactionDate]]),2)&amp;"-Q"&amp;ROUNDUP(MONTH(transactions[[#This Row],[TransactionDate]])/3, 0)</f>
        <v>CY30-Q2</v>
      </c>
      <c r="F519" s="52">
        <f>transactions[[#This Row],[UnWeighted]]*_xlfn.XLOOKUP(transactions[[#This Row],[OpportunityID]],Opportunities[ID],Opportunities[WinProbabilityValue])</f>
        <v>46287.333333333336</v>
      </c>
      <c r="G519"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519" s="51" t="str">
        <f>_xlfn.XLOOKUP(transactions[[#This Row],[OpportunityID]],Opportunities[ID],Opportunities[Status])</f>
        <v>Active</v>
      </c>
      <c r="I519" s="51" t="str">
        <f>_xlfn.XLOOKUP(transactions[[#This Row],[OpportunityID]],Opportunities[ID],Opportunities[Stage])</f>
        <v>Lead Qualification</v>
      </c>
      <c r="J519" s="51" t="str">
        <f>_xlfn.XLOOKUP(transactions[[#This Row],[OpportunityID]],Opportunities[ID],Opportunities[OpportunityName])</f>
        <v>Backup &amp; Recovery System</v>
      </c>
      <c r="K519" s="51" t="str">
        <f>_xlfn.XLOOKUP(transactions[[#This Row],[CustomerId]],Customers[Id],Customers[Customer Name])</f>
        <v>Global Industries</v>
      </c>
      <c r="L519" s="51" t="str">
        <f>_xlfn.XLOOKUP(transactions[[#This Row],[OpportunityID]],Opportunities[ID],Opportunities[OpportunityOwner])</f>
        <v>Amanda Sales</v>
      </c>
      <c r="M519" s="51" t="str">
        <f ca="1">IF((transactions[[#This Row],[TransactionDate]]-TODAY())&lt;=366,transactions[[#This Row],[FQ]],"Out-year")</f>
        <v>Out-year</v>
      </c>
      <c r="N519" s="55">
        <f>transactions[[#This Row],[UnWeighted]]/1000</f>
        <v>92.574666666666673</v>
      </c>
      <c r="O519" s="55">
        <f>transactions[[#This Row],[Weighted]]/1000</f>
        <v>46.287333333333336</v>
      </c>
      <c r="P519" s="55">
        <f>transactions[[#This Row],[$K Unweighted]]/1000</f>
        <v>9.2574666666666666E-2</v>
      </c>
      <c r="Q519" s="55" t="b">
        <f ca="1">transactions[[#This Row],[TransactionDate]]&gt;TODAY()</f>
        <v>1</v>
      </c>
    </row>
    <row r="520" spans="1:17" x14ac:dyDescent="0.25">
      <c r="A520">
        <v>13</v>
      </c>
      <c r="B520">
        <v>2</v>
      </c>
      <c r="C520" s="31">
        <v>47625</v>
      </c>
      <c r="D52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0" s="51" t="str">
        <f>"CY"&amp;RIGHT(YEAR(transactions[[#This Row],[TransactionDate]]),2)&amp;"-Q"&amp;ROUNDUP(MONTH(transactions[[#This Row],[TransactionDate]])/3, 0)</f>
        <v>CY30-Q2</v>
      </c>
      <c r="F520" s="52">
        <f>transactions[[#This Row],[UnWeighted]]*_xlfn.XLOOKUP(transactions[[#This Row],[OpportunityID]],Opportunities[ID],Opportunities[WinProbabilityValue])</f>
        <v>12618.744897959185</v>
      </c>
      <c r="G520"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20" s="51" t="str">
        <f>_xlfn.XLOOKUP(transactions[[#This Row],[OpportunityID]],Opportunities[ID],Opportunities[Status])</f>
        <v>Active</v>
      </c>
      <c r="I520" s="51" t="str">
        <f>_xlfn.XLOOKUP(transactions[[#This Row],[OpportunityID]],Opportunities[ID],Opportunities[Stage])</f>
        <v>Negotiation</v>
      </c>
      <c r="J520" s="51" t="str">
        <f>_xlfn.XLOOKUP(transactions[[#This Row],[OpportunityID]],Opportunities[ID],Opportunities[OpportunityName])</f>
        <v>E-commerce Platform</v>
      </c>
      <c r="K520" s="51" t="str">
        <f>_xlfn.XLOOKUP(transactions[[#This Row],[CustomerId]],Customers[Id],Customers[Customer Name])</f>
        <v>Global Industries</v>
      </c>
      <c r="L520" s="51" t="str">
        <f>_xlfn.XLOOKUP(transactions[[#This Row],[OpportunityID]],Opportunities[ID],Opportunities[OpportunityOwner])</f>
        <v>Lisa Engineer</v>
      </c>
      <c r="M520" s="51" t="str">
        <f ca="1">IF((transactions[[#This Row],[TransactionDate]]-TODAY())&lt;=366,transactions[[#This Row],[FQ]],"Out-year")</f>
        <v>Out-year</v>
      </c>
      <c r="N520" s="55">
        <f>transactions[[#This Row],[UnWeighted]]/1000</f>
        <v>25.237489795918368</v>
      </c>
      <c r="O520" s="55">
        <f>transactions[[#This Row],[Weighted]]/1000</f>
        <v>12.618744897959184</v>
      </c>
      <c r="P520" s="55">
        <f>transactions[[#This Row],[$K Unweighted]]/1000</f>
        <v>2.5237489795918368E-2</v>
      </c>
      <c r="Q520" s="55" t="b">
        <f ca="1">transactions[[#This Row],[TransactionDate]]&gt;TODAY()</f>
        <v>1</v>
      </c>
    </row>
    <row r="521" spans="1:17" x14ac:dyDescent="0.25">
      <c r="A521">
        <v>39</v>
      </c>
      <c r="B521">
        <v>3</v>
      </c>
      <c r="C521" s="31">
        <v>47637</v>
      </c>
      <c r="D52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1" s="51" t="str">
        <f>"CY"&amp;RIGHT(YEAR(transactions[[#This Row],[TransactionDate]]),2)&amp;"-Q"&amp;ROUNDUP(MONTH(transactions[[#This Row],[TransactionDate]])/3, 0)</f>
        <v>CY30-Q2</v>
      </c>
      <c r="F521" s="52">
        <f>transactions[[#This Row],[UnWeighted]]*_xlfn.XLOOKUP(transactions[[#This Row],[OpportunityID]],Opportunities[ID],Opportunities[WinProbabilityValue])</f>
        <v>20929.153846153848</v>
      </c>
      <c r="G521"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21" s="51" t="str">
        <f>_xlfn.XLOOKUP(transactions[[#This Row],[OpportunityID]],Opportunities[ID],Opportunities[Status])</f>
        <v>Active</v>
      </c>
      <c r="I521" s="51" t="str">
        <f>_xlfn.XLOOKUP(transactions[[#This Row],[OpportunityID]],Opportunities[ID],Opportunities[Stage])</f>
        <v>Project Execution</v>
      </c>
      <c r="J521" s="51" t="str">
        <f>_xlfn.XLOOKUP(transactions[[#This Row],[OpportunityID]],Opportunities[ID],Opportunities[OpportunityName])</f>
        <v>API Development Project</v>
      </c>
      <c r="K521" s="51" t="str">
        <f>_xlfn.XLOOKUP(transactions[[#This Row],[CustomerId]],Customers[Id],Customers[Customer Name])</f>
        <v>Tech Solutions Inc</v>
      </c>
      <c r="L521" s="51" t="str">
        <f>_xlfn.XLOOKUP(transactions[[#This Row],[OpportunityID]],Opportunities[ID],Opportunities[OpportunityOwner])</f>
        <v>Jennifer PM</v>
      </c>
      <c r="M521" s="51" t="str">
        <f ca="1">IF((transactions[[#This Row],[TransactionDate]]-TODAY())&lt;=366,transactions[[#This Row],[FQ]],"Out-year")</f>
        <v>Out-year</v>
      </c>
      <c r="N521" s="55">
        <f>transactions[[#This Row],[UnWeighted]]/1000</f>
        <v>41.858307692307697</v>
      </c>
      <c r="O521" s="55">
        <f>transactions[[#This Row],[Weighted]]/1000</f>
        <v>20.929153846153849</v>
      </c>
      <c r="P521" s="55">
        <f>transactions[[#This Row],[$K Unweighted]]/1000</f>
        <v>4.1858307692307695E-2</v>
      </c>
      <c r="Q521" s="55" t="b">
        <f ca="1">transactions[[#This Row],[TransactionDate]]&gt;TODAY()</f>
        <v>1</v>
      </c>
    </row>
    <row r="522" spans="1:17" x14ac:dyDescent="0.25">
      <c r="A522">
        <v>15</v>
      </c>
      <c r="B522">
        <v>24</v>
      </c>
      <c r="C522" s="31">
        <v>47641</v>
      </c>
      <c r="D52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2" s="51" t="str">
        <f>"CY"&amp;RIGHT(YEAR(transactions[[#This Row],[TransactionDate]]),2)&amp;"-Q"&amp;ROUNDUP(MONTH(transactions[[#This Row],[TransactionDate]])/3, 0)</f>
        <v>CY30-Q2</v>
      </c>
      <c r="F522" s="52">
        <f>transactions[[#This Row],[UnWeighted]]*_xlfn.XLOOKUP(transactions[[#This Row],[OpportunityID]],Opportunities[ID],Opportunities[WinProbabilityValue])</f>
        <v>29217.197872340425</v>
      </c>
      <c r="G522"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22" s="51" t="str">
        <f>_xlfn.XLOOKUP(transactions[[#This Row],[OpportunityID]],Opportunities[ID],Opportunities[Status])</f>
        <v>Active</v>
      </c>
      <c r="I522" s="51" t="str">
        <f>_xlfn.XLOOKUP(transactions[[#This Row],[OpportunityID]],Opportunities[ID],Opportunities[Stage])</f>
        <v>Project Execution</v>
      </c>
      <c r="J522" s="51" t="str">
        <f>_xlfn.XLOOKUP(transactions[[#This Row],[OpportunityID]],Opportunities[ID],Opportunities[OpportunityName])</f>
        <v>Training &amp; Development Program</v>
      </c>
      <c r="K522" s="51" t="str">
        <f>_xlfn.XLOOKUP(transactions[[#This Row],[CustomerId]],Customers[Id],Customers[Customer Name])</f>
        <v>Security Solutions</v>
      </c>
      <c r="L522" s="51" t="str">
        <f>_xlfn.XLOOKUP(transactions[[#This Row],[OpportunityID]],Opportunities[ID],Opportunities[OpportunityOwner])</f>
        <v>Sarah Director</v>
      </c>
      <c r="M522" s="51" t="str">
        <f ca="1">IF((transactions[[#This Row],[TransactionDate]]-TODAY())&lt;=366,transactions[[#This Row],[FQ]],"Out-year")</f>
        <v>Out-year</v>
      </c>
      <c r="N522" s="55">
        <f>transactions[[#This Row],[UnWeighted]]/1000</f>
        <v>32.46355319148936</v>
      </c>
      <c r="O522" s="55">
        <f>transactions[[#This Row],[Weighted]]/1000</f>
        <v>29.217197872340424</v>
      </c>
      <c r="P522" s="55">
        <f>transactions[[#This Row],[$K Unweighted]]/1000</f>
        <v>3.2463553191489358E-2</v>
      </c>
      <c r="Q522" s="55" t="b">
        <f ca="1">transactions[[#This Row],[TransactionDate]]&gt;TODAY()</f>
        <v>1</v>
      </c>
    </row>
    <row r="523" spans="1:17" x14ac:dyDescent="0.25">
      <c r="A523">
        <v>22</v>
      </c>
      <c r="B523">
        <v>11</v>
      </c>
      <c r="C523" s="31">
        <v>47645</v>
      </c>
      <c r="D52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3" s="51" t="str">
        <f>"CY"&amp;RIGHT(YEAR(transactions[[#This Row],[TransactionDate]]),2)&amp;"-Q"&amp;ROUNDUP(MONTH(transactions[[#This Row],[TransactionDate]])/3, 0)</f>
        <v>CY30-Q2</v>
      </c>
      <c r="F523" s="52">
        <f>transactions[[#This Row],[UnWeighted]]*_xlfn.XLOOKUP(transactions[[#This Row],[OpportunityID]],Opportunities[ID],Opportunities[WinProbabilityValue])</f>
        <v>26390.544230769232</v>
      </c>
      <c r="G523"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23" s="51" t="str">
        <f>_xlfn.XLOOKUP(transactions[[#This Row],[OpportunityID]],Opportunities[ID],Opportunities[Status])</f>
        <v>Active</v>
      </c>
      <c r="I523" s="51" t="str">
        <f>_xlfn.XLOOKUP(transactions[[#This Row],[OpportunityID]],Opportunities[ID],Opportunities[Stage])</f>
        <v>Nurturing</v>
      </c>
      <c r="J523" s="51" t="str">
        <f>_xlfn.XLOOKUP(transactions[[#This Row],[OpportunityID]],Opportunities[ID],Opportunities[OpportunityName])</f>
        <v>Inventory Management Solution</v>
      </c>
      <c r="K523" s="51" t="str">
        <f>_xlfn.XLOOKUP(transactions[[#This Row],[CustomerId]],Customers[Id],Customers[Customer Name])</f>
        <v>Transport Logistics</v>
      </c>
      <c r="L523" s="51" t="str">
        <f>_xlfn.XLOOKUP(transactions[[#This Row],[OpportunityID]],Opportunities[ID],Opportunities[OpportunityOwner])</f>
        <v>Sarah Director</v>
      </c>
      <c r="M523" s="51" t="str">
        <f ca="1">IF((transactions[[#This Row],[TransactionDate]]-TODAY())&lt;=366,transactions[[#This Row],[FQ]],"Out-year")</f>
        <v>Out-year</v>
      </c>
      <c r="N523" s="55">
        <f>transactions[[#This Row],[UnWeighted]]/1000</f>
        <v>29.322826923076921</v>
      </c>
      <c r="O523" s="55">
        <f>transactions[[#This Row],[Weighted]]/1000</f>
        <v>26.390544230769233</v>
      </c>
      <c r="P523" s="55">
        <f>transactions[[#This Row],[$K Unweighted]]/1000</f>
        <v>2.932282692307692E-2</v>
      </c>
      <c r="Q523" s="55" t="b">
        <f ca="1">transactions[[#This Row],[TransactionDate]]&gt;TODAY()</f>
        <v>1</v>
      </c>
    </row>
    <row r="524" spans="1:17" x14ac:dyDescent="0.25">
      <c r="A524">
        <v>1</v>
      </c>
      <c r="B524">
        <v>18</v>
      </c>
      <c r="C524" s="31">
        <v>47651</v>
      </c>
      <c r="D52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4" s="51" t="str">
        <f>"CY"&amp;RIGHT(YEAR(transactions[[#This Row],[TransactionDate]]),2)&amp;"-Q"&amp;ROUNDUP(MONTH(transactions[[#This Row],[TransactionDate]])/3, 0)</f>
        <v>CY30-Q2</v>
      </c>
      <c r="F524" s="52">
        <f>transactions[[#This Row],[UnWeighted]]*_xlfn.XLOOKUP(transactions[[#This Row],[OpportunityID]],Opportunities[ID],Opportunities[WinProbabilityValue])</f>
        <v>49601.433333333334</v>
      </c>
      <c r="G524" s="52">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524" s="51" t="str">
        <f>_xlfn.XLOOKUP(transactions[[#This Row],[OpportunityID]],Opportunities[ID],Opportunities[Status])</f>
        <v>Active</v>
      </c>
      <c r="I524" s="51" t="str">
        <f>_xlfn.XLOOKUP(transactions[[#This Row],[OpportunityID]],Opportunities[ID],Opportunities[Stage])</f>
        <v>Lead Qualification</v>
      </c>
      <c r="J524" s="51" t="str">
        <f>_xlfn.XLOOKUP(transactions[[#This Row],[OpportunityID]],Opportunities[ID],Opportunities[OpportunityName])</f>
        <v>ERP Implementation Project</v>
      </c>
      <c r="K524" s="51" t="str">
        <f>_xlfn.XLOOKUP(transactions[[#This Row],[CustomerId]],Customers[Id],Customers[Customer Name])</f>
        <v>Agricultural Systems</v>
      </c>
      <c r="L524" s="51" t="str">
        <f>_xlfn.XLOOKUP(transactions[[#This Row],[OpportunityID]],Opportunities[ID],Opportunities[OpportunityOwner])</f>
        <v>Amanda Sales</v>
      </c>
      <c r="M524" s="51" t="str">
        <f ca="1">IF((transactions[[#This Row],[TransactionDate]]-TODAY())&lt;=366,transactions[[#This Row],[FQ]],"Out-year")</f>
        <v>Out-year</v>
      </c>
      <c r="N524" s="55">
        <f>transactions[[#This Row],[UnWeighted]]/1000</f>
        <v>248.00716666666665</v>
      </c>
      <c r="O524" s="55">
        <f>transactions[[#This Row],[Weighted]]/1000</f>
        <v>49.601433333333333</v>
      </c>
      <c r="P524" s="55">
        <f>transactions[[#This Row],[$K Unweighted]]/1000</f>
        <v>0.24800716666666664</v>
      </c>
      <c r="Q524" s="55" t="b">
        <f ca="1">transactions[[#This Row],[TransactionDate]]&gt;TODAY()</f>
        <v>1</v>
      </c>
    </row>
    <row r="525" spans="1:17" x14ac:dyDescent="0.25">
      <c r="A525">
        <v>13</v>
      </c>
      <c r="B525">
        <v>2</v>
      </c>
      <c r="C525" s="31">
        <v>47656</v>
      </c>
      <c r="D52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5" s="51" t="str">
        <f>"CY"&amp;RIGHT(YEAR(transactions[[#This Row],[TransactionDate]]),2)&amp;"-Q"&amp;ROUNDUP(MONTH(transactions[[#This Row],[TransactionDate]])/3, 0)</f>
        <v>CY30-Q2</v>
      </c>
      <c r="F525" s="52">
        <f>transactions[[#This Row],[UnWeighted]]*_xlfn.XLOOKUP(transactions[[#This Row],[OpportunityID]],Opportunities[ID],Opportunities[WinProbabilityValue])</f>
        <v>12618.744897959185</v>
      </c>
      <c r="G525"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25" s="51" t="str">
        <f>_xlfn.XLOOKUP(transactions[[#This Row],[OpportunityID]],Opportunities[ID],Opportunities[Status])</f>
        <v>Active</v>
      </c>
      <c r="I525" s="51" t="str">
        <f>_xlfn.XLOOKUP(transactions[[#This Row],[OpportunityID]],Opportunities[ID],Opportunities[Stage])</f>
        <v>Negotiation</v>
      </c>
      <c r="J525" s="51" t="str">
        <f>_xlfn.XLOOKUP(transactions[[#This Row],[OpportunityID]],Opportunities[ID],Opportunities[OpportunityName])</f>
        <v>E-commerce Platform</v>
      </c>
      <c r="K525" s="51" t="str">
        <f>_xlfn.XLOOKUP(transactions[[#This Row],[CustomerId]],Customers[Id],Customers[Customer Name])</f>
        <v>Global Industries</v>
      </c>
      <c r="L525" s="51" t="str">
        <f>_xlfn.XLOOKUP(transactions[[#This Row],[OpportunityID]],Opportunities[ID],Opportunities[OpportunityOwner])</f>
        <v>Lisa Engineer</v>
      </c>
      <c r="M525" s="51" t="str">
        <f ca="1">IF((transactions[[#This Row],[TransactionDate]]-TODAY())&lt;=366,transactions[[#This Row],[FQ]],"Out-year")</f>
        <v>Out-year</v>
      </c>
      <c r="N525" s="55">
        <f>transactions[[#This Row],[UnWeighted]]/1000</f>
        <v>25.237489795918368</v>
      </c>
      <c r="O525" s="55">
        <f>transactions[[#This Row],[Weighted]]/1000</f>
        <v>12.618744897959184</v>
      </c>
      <c r="P525" s="55">
        <f>transactions[[#This Row],[$K Unweighted]]/1000</f>
        <v>2.5237489795918368E-2</v>
      </c>
      <c r="Q525" s="55" t="b">
        <f ca="1">transactions[[#This Row],[TransactionDate]]&gt;TODAY()</f>
        <v>1</v>
      </c>
    </row>
    <row r="526" spans="1:17" x14ac:dyDescent="0.25">
      <c r="A526">
        <v>6</v>
      </c>
      <c r="B526">
        <v>13</v>
      </c>
      <c r="C526" s="31">
        <v>47660</v>
      </c>
      <c r="D52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6" s="51" t="str">
        <f>"CY"&amp;RIGHT(YEAR(transactions[[#This Row],[TransactionDate]]),2)&amp;"-Q"&amp;ROUNDUP(MONTH(transactions[[#This Row],[TransactionDate]])/3, 0)</f>
        <v>CY30-Q2</v>
      </c>
      <c r="F526" s="52">
        <f>transactions[[#This Row],[UnWeighted]]*_xlfn.XLOOKUP(transactions[[#This Row],[OpportunityID]],Opportunities[ID],Opportunities[WinProbabilityValue])</f>
        <v>37550.227272727272</v>
      </c>
      <c r="G526" s="52">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526" s="51" t="str">
        <f>_xlfn.XLOOKUP(transactions[[#This Row],[OpportunityID]],Opportunities[ID],Opportunities[Status])</f>
        <v>Active</v>
      </c>
      <c r="I526" s="51" t="str">
        <f>_xlfn.XLOOKUP(transactions[[#This Row],[OpportunityID]],Opportunities[ID],Opportunities[Stage])</f>
        <v>Project Execution</v>
      </c>
      <c r="J526" s="51" t="str">
        <f>_xlfn.XLOOKUP(transactions[[#This Row],[OpportunityID]],Opportunities[ID],Opportunities[OpportunityName])</f>
        <v>Digital Transformation Project</v>
      </c>
      <c r="K526" s="51" t="str">
        <f>_xlfn.XLOOKUP(transactions[[#This Row],[CustomerId]],Customers[Id],Customers[Customer Name])</f>
        <v>Professional Services Group</v>
      </c>
      <c r="L526" s="51" t="str">
        <f>_xlfn.XLOOKUP(transactions[[#This Row],[OpportunityID]],Opportunities[ID],Opportunities[OpportunityOwner])</f>
        <v>Robert Analyst</v>
      </c>
      <c r="M526" s="51" t="str">
        <f ca="1">IF((transactions[[#This Row],[TransactionDate]]-TODAY())&lt;=366,transactions[[#This Row],[FQ]],"Out-year")</f>
        <v>Out-year</v>
      </c>
      <c r="N526" s="55">
        <f>transactions[[#This Row],[UnWeighted]]/1000</f>
        <v>75.100454545454539</v>
      </c>
      <c r="O526" s="55">
        <f>transactions[[#This Row],[Weighted]]/1000</f>
        <v>37.55022727272727</v>
      </c>
      <c r="P526" s="55">
        <f>transactions[[#This Row],[$K Unweighted]]/1000</f>
        <v>7.510045454545454E-2</v>
      </c>
      <c r="Q526" s="55" t="b">
        <f ca="1">transactions[[#This Row],[TransactionDate]]&gt;TODAY()</f>
        <v>1</v>
      </c>
    </row>
    <row r="527" spans="1:17" x14ac:dyDescent="0.25">
      <c r="A527">
        <v>38</v>
      </c>
      <c r="B527">
        <v>21</v>
      </c>
      <c r="C527" s="31">
        <v>47664</v>
      </c>
      <c r="D52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7" s="51" t="str">
        <f>"CY"&amp;RIGHT(YEAR(transactions[[#This Row],[TransactionDate]]),2)&amp;"-Q"&amp;ROUNDUP(MONTH(transactions[[#This Row],[TransactionDate]])/3, 0)</f>
        <v>CY30-Q2</v>
      </c>
      <c r="F527" s="52">
        <f>transactions[[#This Row],[UnWeighted]]*_xlfn.XLOOKUP(transactions[[#This Row],[OpportunityID]],Opportunities[ID],Opportunities[WinProbabilityValue])</f>
        <v>50822.5</v>
      </c>
      <c r="G527" s="52">
        <f>_xlfn.XLOOKUP(transactions[[#This Row],[OpportunityID]],Opportunities[ID],Opportunities[Amount])/IF(_xlfn.XLOOKUP(transactions[[#This Row],[OpportunityID]],Opportunities[ID],Opportunities[Recurrences])=0,1,_xlfn.XLOOKUP(transactions[[#This Row],[OpportunityID]],Opportunities[ID],Opportunities[Recurrences]))</f>
        <v>101645</v>
      </c>
      <c r="H527" s="51" t="str">
        <f>_xlfn.XLOOKUP(transactions[[#This Row],[OpportunityID]],Opportunities[ID],Opportunities[Status])</f>
        <v>Active</v>
      </c>
      <c r="I527" s="51" t="str">
        <f>_xlfn.XLOOKUP(transactions[[#This Row],[OpportunityID]],Opportunities[ID],Opportunities[Stage])</f>
        <v>Proposal</v>
      </c>
      <c r="J527" s="51" t="str">
        <f>_xlfn.XLOOKUP(transactions[[#This Row],[OpportunityID]],Opportunities[ID],Opportunities[OpportunityName])</f>
        <v>Legacy System Modernization</v>
      </c>
      <c r="K527" s="51" t="str">
        <f>_xlfn.XLOOKUP(transactions[[#This Row],[CustomerId]],Customers[Id],Customers[Customer Name])</f>
        <v>Textile Manufacturing</v>
      </c>
      <c r="L527" s="51" t="str">
        <f>_xlfn.XLOOKUP(transactions[[#This Row],[OpportunityID]],Opportunities[ID],Opportunities[OpportunityOwner])</f>
        <v>Lisa Engineer</v>
      </c>
      <c r="M527" s="51" t="str">
        <f ca="1">IF((transactions[[#This Row],[TransactionDate]]-TODAY())&lt;=366,transactions[[#This Row],[FQ]],"Out-year")</f>
        <v>Out-year</v>
      </c>
      <c r="N527" s="55">
        <f>transactions[[#This Row],[UnWeighted]]/1000</f>
        <v>101.645</v>
      </c>
      <c r="O527" s="55">
        <f>transactions[[#This Row],[Weighted]]/1000</f>
        <v>50.822499999999998</v>
      </c>
      <c r="P527" s="55">
        <f>transactions[[#This Row],[$K Unweighted]]/1000</f>
        <v>0.101645</v>
      </c>
      <c r="Q527" s="55" t="b">
        <f ca="1">transactions[[#This Row],[TransactionDate]]&gt;TODAY()</f>
        <v>1</v>
      </c>
    </row>
    <row r="528" spans="1:17" x14ac:dyDescent="0.25">
      <c r="A528">
        <v>39</v>
      </c>
      <c r="B528">
        <v>3</v>
      </c>
      <c r="C528" s="31">
        <v>47667</v>
      </c>
      <c r="D52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8" s="51" t="str">
        <f>"CY"&amp;RIGHT(YEAR(transactions[[#This Row],[TransactionDate]]),2)&amp;"-Q"&amp;ROUNDUP(MONTH(transactions[[#This Row],[TransactionDate]])/3, 0)</f>
        <v>CY30-Q3</v>
      </c>
      <c r="F528" s="52">
        <f>transactions[[#This Row],[UnWeighted]]*_xlfn.XLOOKUP(transactions[[#This Row],[OpportunityID]],Opportunities[ID],Opportunities[WinProbabilityValue])</f>
        <v>20929.153846153848</v>
      </c>
      <c r="G528"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28" s="51" t="str">
        <f>_xlfn.XLOOKUP(transactions[[#This Row],[OpportunityID]],Opportunities[ID],Opportunities[Status])</f>
        <v>Active</v>
      </c>
      <c r="I528" s="51" t="str">
        <f>_xlfn.XLOOKUP(transactions[[#This Row],[OpportunityID]],Opportunities[ID],Opportunities[Stage])</f>
        <v>Project Execution</v>
      </c>
      <c r="J528" s="51" t="str">
        <f>_xlfn.XLOOKUP(transactions[[#This Row],[OpportunityID]],Opportunities[ID],Opportunities[OpportunityName])</f>
        <v>API Development Project</v>
      </c>
      <c r="K528" s="51" t="str">
        <f>_xlfn.XLOOKUP(transactions[[#This Row],[CustomerId]],Customers[Id],Customers[Customer Name])</f>
        <v>Tech Solutions Inc</v>
      </c>
      <c r="L528" s="51" t="str">
        <f>_xlfn.XLOOKUP(transactions[[#This Row],[OpportunityID]],Opportunities[ID],Opportunities[OpportunityOwner])</f>
        <v>Jennifer PM</v>
      </c>
      <c r="M528" s="51" t="str">
        <f ca="1">IF((transactions[[#This Row],[TransactionDate]]-TODAY())&lt;=366,transactions[[#This Row],[FQ]],"Out-year")</f>
        <v>Out-year</v>
      </c>
      <c r="N528" s="55">
        <f>transactions[[#This Row],[UnWeighted]]/1000</f>
        <v>41.858307692307697</v>
      </c>
      <c r="O528" s="55">
        <f>transactions[[#This Row],[Weighted]]/1000</f>
        <v>20.929153846153849</v>
      </c>
      <c r="P528" s="55">
        <f>transactions[[#This Row],[$K Unweighted]]/1000</f>
        <v>4.1858307692307695E-2</v>
      </c>
      <c r="Q528" s="55" t="b">
        <f ca="1">transactions[[#This Row],[TransactionDate]]&gt;TODAY()</f>
        <v>1</v>
      </c>
    </row>
    <row r="529" spans="1:17" x14ac:dyDescent="0.25">
      <c r="A529">
        <v>15</v>
      </c>
      <c r="B529">
        <v>24</v>
      </c>
      <c r="C529" s="31">
        <v>47671</v>
      </c>
      <c r="D52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9" s="51" t="str">
        <f>"CY"&amp;RIGHT(YEAR(transactions[[#This Row],[TransactionDate]]),2)&amp;"-Q"&amp;ROUNDUP(MONTH(transactions[[#This Row],[TransactionDate]])/3, 0)</f>
        <v>CY30-Q3</v>
      </c>
      <c r="F529" s="52">
        <f>transactions[[#This Row],[UnWeighted]]*_xlfn.XLOOKUP(transactions[[#This Row],[OpportunityID]],Opportunities[ID],Opportunities[WinProbabilityValue])</f>
        <v>29217.197872340425</v>
      </c>
      <c r="G529"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29" s="51" t="str">
        <f>_xlfn.XLOOKUP(transactions[[#This Row],[OpportunityID]],Opportunities[ID],Opportunities[Status])</f>
        <v>Active</v>
      </c>
      <c r="I529" s="51" t="str">
        <f>_xlfn.XLOOKUP(transactions[[#This Row],[OpportunityID]],Opportunities[ID],Opportunities[Stage])</f>
        <v>Project Execution</v>
      </c>
      <c r="J529" s="51" t="str">
        <f>_xlfn.XLOOKUP(transactions[[#This Row],[OpportunityID]],Opportunities[ID],Opportunities[OpportunityName])</f>
        <v>Training &amp; Development Program</v>
      </c>
      <c r="K529" s="51" t="str">
        <f>_xlfn.XLOOKUP(transactions[[#This Row],[CustomerId]],Customers[Id],Customers[Customer Name])</f>
        <v>Security Solutions</v>
      </c>
      <c r="L529" s="51" t="str">
        <f>_xlfn.XLOOKUP(transactions[[#This Row],[OpportunityID]],Opportunities[ID],Opportunities[OpportunityOwner])</f>
        <v>Sarah Director</v>
      </c>
      <c r="M529" s="51" t="str">
        <f ca="1">IF((transactions[[#This Row],[TransactionDate]]-TODAY())&lt;=366,transactions[[#This Row],[FQ]],"Out-year")</f>
        <v>Out-year</v>
      </c>
      <c r="N529" s="55">
        <f>transactions[[#This Row],[UnWeighted]]/1000</f>
        <v>32.46355319148936</v>
      </c>
      <c r="O529" s="55">
        <f>transactions[[#This Row],[Weighted]]/1000</f>
        <v>29.217197872340424</v>
      </c>
      <c r="P529" s="55">
        <f>transactions[[#This Row],[$K Unweighted]]/1000</f>
        <v>3.2463553191489358E-2</v>
      </c>
      <c r="Q529" s="55" t="b">
        <f ca="1">transactions[[#This Row],[TransactionDate]]&gt;TODAY()</f>
        <v>1</v>
      </c>
    </row>
    <row r="530" spans="1:17" x14ac:dyDescent="0.25">
      <c r="A530">
        <v>22</v>
      </c>
      <c r="B530">
        <v>11</v>
      </c>
      <c r="C530" s="31">
        <v>47675</v>
      </c>
      <c r="D53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0" s="51" t="str">
        <f>"CY"&amp;RIGHT(YEAR(transactions[[#This Row],[TransactionDate]]),2)&amp;"-Q"&amp;ROUNDUP(MONTH(transactions[[#This Row],[TransactionDate]])/3, 0)</f>
        <v>CY30-Q3</v>
      </c>
      <c r="F530" s="52">
        <f>transactions[[#This Row],[UnWeighted]]*_xlfn.XLOOKUP(transactions[[#This Row],[OpportunityID]],Opportunities[ID],Opportunities[WinProbabilityValue])</f>
        <v>26390.544230769232</v>
      </c>
      <c r="G530"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30" s="51" t="str">
        <f>_xlfn.XLOOKUP(transactions[[#This Row],[OpportunityID]],Opportunities[ID],Opportunities[Status])</f>
        <v>Active</v>
      </c>
      <c r="I530" s="51" t="str">
        <f>_xlfn.XLOOKUP(transactions[[#This Row],[OpportunityID]],Opportunities[ID],Opportunities[Stage])</f>
        <v>Nurturing</v>
      </c>
      <c r="J530" s="51" t="str">
        <f>_xlfn.XLOOKUP(transactions[[#This Row],[OpportunityID]],Opportunities[ID],Opportunities[OpportunityName])</f>
        <v>Inventory Management Solution</v>
      </c>
      <c r="K530" s="51" t="str">
        <f>_xlfn.XLOOKUP(transactions[[#This Row],[CustomerId]],Customers[Id],Customers[Customer Name])</f>
        <v>Transport Logistics</v>
      </c>
      <c r="L530" s="51" t="str">
        <f>_xlfn.XLOOKUP(transactions[[#This Row],[OpportunityID]],Opportunities[ID],Opportunities[OpportunityOwner])</f>
        <v>Sarah Director</v>
      </c>
      <c r="M530" s="51" t="str">
        <f ca="1">IF((transactions[[#This Row],[TransactionDate]]-TODAY())&lt;=366,transactions[[#This Row],[FQ]],"Out-year")</f>
        <v>Out-year</v>
      </c>
      <c r="N530" s="55">
        <f>transactions[[#This Row],[UnWeighted]]/1000</f>
        <v>29.322826923076921</v>
      </c>
      <c r="O530" s="55">
        <f>transactions[[#This Row],[Weighted]]/1000</f>
        <v>26.390544230769233</v>
      </c>
      <c r="P530" s="55">
        <f>transactions[[#This Row],[$K Unweighted]]/1000</f>
        <v>2.932282692307692E-2</v>
      </c>
      <c r="Q530" s="55" t="b">
        <f ca="1">transactions[[#This Row],[TransactionDate]]&gt;TODAY()</f>
        <v>1</v>
      </c>
    </row>
    <row r="531" spans="1:17" x14ac:dyDescent="0.25">
      <c r="A531">
        <v>11</v>
      </c>
      <c r="B531">
        <v>3</v>
      </c>
      <c r="C531" s="31">
        <v>47677</v>
      </c>
      <c r="D53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1" s="51" t="str">
        <f>"CY"&amp;RIGHT(YEAR(transactions[[#This Row],[TransactionDate]]),2)&amp;"-Q"&amp;ROUNDUP(MONTH(transactions[[#This Row],[TransactionDate]])/3, 0)</f>
        <v>CY30-Q3</v>
      </c>
      <c r="F531" s="52">
        <f>transactions[[#This Row],[UnWeighted]]*_xlfn.XLOOKUP(transactions[[#This Row],[OpportunityID]],Opportunities[ID],Opportunities[WinProbabilityValue])</f>
        <v>113460.75</v>
      </c>
      <c r="G531" s="52">
        <f>_xlfn.XLOOKUP(transactions[[#This Row],[OpportunityID]],Opportunities[ID],Opportunities[Amount])/IF(_xlfn.XLOOKUP(transactions[[#This Row],[OpportunityID]],Opportunities[ID],Opportunities[Recurrences])=0,1,_xlfn.XLOOKUP(transactions[[#This Row],[OpportunityID]],Opportunities[ID],Opportunities[Recurrences]))</f>
        <v>126067.5</v>
      </c>
      <c r="H531" s="51" t="str">
        <f>_xlfn.XLOOKUP(transactions[[#This Row],[OpportunityID]],Opportunities[ID],Opportunities[Status])</f>
        <v>At Risk</v>
      </c>
      <c r="I531" s="51" t="str">
        <f>_xlfn.XLOOKUP(transactions[[#This Row],[OpportunityID]],Opportunities[ID],Opportunities[Stage])</f>
        <v>Negotiation</v>
      </c>
      <c r="J531" s="51" t="str">
        <f>_xlfn.XLOOKUP(transactions[[#This Row],[OpportunityID]],Opportunities[ID],Opportunities[OpportunityName])</f>
        <v>Data Center Consolidation</v>
      </c>
      <c r="K531" s="51" t="str">
        <f>_xlfn.XLOOKUP(transactions[[#This Row],[CustomerId]],Customers[Id],Customers[Customer Name])</f>
        <v>Tech Solutions Inc</v>
      </c>
      <c r="L531" s="51" t="str">
        <f>_xlfn.XLOOKUP(transactions[[#This Row],[OpportunityID]],Opportunities[ID],Opportunities[OpportunityOwner])</f>
        <v>David Specialist</v>
      </c>
      <c r="M531" s="51" t="str">
        <f ca="1">IF((transactions[[#This Row],[TransactionDate]]-TODAY())&lt;=366,transactions[[#This Row],[FQ]],"Out-year")</f>
        <v>Out-year</v>
      </c>
      <c r="N531" s="55">
        <f>transactions[[#This Row],[UnWeighted]]/1000</f>
        <v>126.0675</v>
      </c>
      <c r="O531" s="55">
        <f>transactions[[#This Row],[Weighted]]/1000</f>
        <v>113.46075</v>
      </c>
      <c r="P531" s="55">
        <f>transactions[[#This Row],[$K Unweighted]]/1000</f>
        <v>0.1260675</v>
      </c>
      <c r="Q531" s="55" t="b">
        <f ca="1">transactions[[#This Row],[TransactionDate]]&gt;TODAY()</f>
        <v>1</v>
      </c>
    </row>
    <row r="532" spans="1:17" x14ac:dyDescent="0.25">
      <c r="A532">
        <v>40</v>
      </c>
      <c r="B532">
        <v>15</v>
      </c>
      <c r="C532" s="31">
        <v>47683</v>
      </c>
      <c r="D53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2" s="51" t="str">
        <f>"CY"&amp;RIGHT(YEAR(transactions[[#This Row],[TransactionDate]]),2)&amp;"-Q"&amp;ROUNDUP(MONTH(transactions[[#This Row],[TransactionDate]])/3, 0)</f>
        <v>CY30-Q3</v>
      </c>
      <c r="F532" s="52">
        <f>transactions[[#This Row],[UnWeighted]]*_xlfn.XLOOKUP(transactions[[#This Row],[OpportunityID]],Opportunities[ID],Opportunities[WinProbabilityValue])</f>
        <v>36144.450000000004</v>
      </c>
      <c r="G532" s="52">
        <f>_xlfn.XLOOKUP(transactions[[#This Row],[OpportunityID]],Opportunities[ID],Opportunities[Amount])/IF(_xlfn.XLOOKUP(transactions[[#This Row],[OpportunityID]],Opportunities[ID],Opportunities[Recurrences])=0,1,_xlfn.XLOOKUP(transactions[[#This Row],[OpportunityID]],Opportunities[ID],Opportunities[Recurrences]))</f>
        <v>40160.5</v>
      </c>
      <c r="H532" s="51" t="str">
        <f>_xlfn.XLOOKUP(transactions[[#This Row],[OpportunityID]],Opportunities[ID],Opportunities[Status])</f>
        <v>Active</v>
      </c>
      <c r="I532" s="51" t="str">
        <f>_xlfn.XLOOKUP(transactions[[#This Row],[OpportunityID]],Opportunities[ID],Opportunities[Stage])</f>
        <v>Proposal</v>
      </c>
      <c r="J532" s="51" t="str">
        <f>_xlfn.XLOOKUP(transactions[[#This Row],[OpportunityID]],Opportunities[ID],Opportunities[OpportunityName])</f>
        <v>Machine Learning Implementation</v>
      </c>
      <c r="K532" s="51" t="str">
        <f>_xlfn.XLOOKUP(transactions[[#This Row],[CustomerId]],Customers[Id],Customers[Customer Name])</f>
        <v>Pharmaceutical Research</v>
      </c>
      <c r="L532" s="51" t="str">
        <f>_xlfn.XLOOKUP(transactions[[#This Row],[OpportunityID]],Opportunities[ID],Opportunities[OpportunityOwner])</f>
        <v>Mike Consultant</v>
      </c>
      <c r="M532" s="51" t="str">
        <f ca="1">IF((transactions[[#This Row],[TransactionDate]]-TODAY())&lt;=366,transactions[[#This Row],[FQ]],"Out-year")</f>
        <v>Out-year</v>
      </c>
      <c r="N532" s="55">
        <f>transactions[[#This Row],[UnWeighted]]/1000</f>
        <v>40.160499999999999</v>
      </c>
      <c r="O532" s="55">
        <f>transactions[[#This Row],[Weighted]]/1000</f>
        <v>36.144450000000006</v>
      </c>
      <c r="P532" s="55">
        <f>transactions[[#This Row],[$K Unweighted]]/1000</f>
        <v>4.0160500000000002E-2</v>
      </c>
      <c r="Q532" s="55" t="b">
        <f ca="1">transactions[[#This Row],[TransactionDate]]&gt;TODAY()</f>
        <v>1</v>
      </c>
    </row>
    <row r="533" spans="1:17" x14ac:dyDescent="0.25">
      <c r="A533">
        <v>9</v>
      </c>
      <c r="B533">
        <v>26</v>
      </c>
      <c r="C533" s="31">
        <v>47683</v>
      </c>
      <c r="D53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3" s="51" t="str">
        <f>"CY"&amp;RIGHT(YEAR(transactions[[#This Row],[TransactionDate]]),2)&amp;"-Q"&amp;ROUNDUP(MONTH(transactions[[#This Row],[TransactionDate]])/3, 0)</f>
        <v>CY30-Q3</v>
      </c>
      <c r="F533" s="52">
        <f>transactions[[#This Row],[UnWeighted]]*_xlfn.XLOOKUP(transactions[[#This Row],[OpportunityID]],Opportunities[ID],Opportunities[WinProbabilityValue])</f>
        <v>37447.800000000003</v>
      </c>
      <c r="G533" s="52">
        <f>_xlfn.XLOOKUP(transactions[[#This Row],[OpportunityID]],Opportunities[ID],Opportunities[Amount])/IF(_xlfn.XLOOKUP(transactions[[#This Row],[OpportunityID]],Opportunities[ID],Opportunities[Recurrences])=0,1,_xlfn.XLOOKUP(transactions[[#This Row],[OpportunityID]],Opportunities[ID],Opportunities[Recurrences]))</f>
        <v>187239</v>
      </c>
      <c r="H533" s="51" t="str">
        <f>_xlfn.XLOOKUP(transactions[[#This Row],[OpportunityID]],Opportunities[ID],Opportunities[Status])</f>
        <v>At Risk</v>
      </c>
      <c r="I533" s="51" t="str">
        <f>_xlfn.XLOOKUP(transactions[[#This Row],[OpportunityID]],Opportunities[ID],Opportunities[Stage])</f>
        <v>Lead Qualification</v>
      </c>
      <c r="J533" s="51" t="str">
        <f>_xlfn.XLOOKUP(transactions[[#This Row],[OpportunityID]],Opportunities[ID],Opportunities[OpportunityName])</f>
        <v>Customer Portal Development</v>
      </c>
      <c r="K533" s="51" t="str">
        <f>_xlfn.XLOOKUP(transactions[[#This Row],[CustomerId]],Customers[Id],Customers[Customer Name])</f>
        <v>Publishing House</v>
      </c>
      <c r="L533" s="51" t="str">
        <f>_xlfn.XLOOKUP(transactions[[#This Row],[OpportunityID]],Opportunities[ID],Opportunities[OpportunityOwner])</f>
        <v>Lisa Engineer</v>
      </c>
      <c r="M533" s="51" t="str">
        <f ca="1">IF((transactions[[#This Row],[TransactionDate]]-TODAY())&lt;=366,transactions[[#This Row],[FQ]],"Out-year")</f>
        <v>Out-year</v>
      </c>
      <c r="N533" s="55">
        <f>transactions[[#This Row],[UnWeighted]]/1000</f>
        <v>187.239</v>
      </c>
      <c r="O533" s="55">
        <f>transactions[[#This Row],[Weighted]]/1000</f>
        <v>37.447800000000001</v>
      </c>
      <c r="P533" s="55">
        <f>transactions[[#This Row],[$K Unweighted]]/1000</f>
        <v>0.18723900000000002</v>
      </c>
      <c r="Q533" s="55" t="b">
        <f ca="1">transactions[[#This Row],[TransactionDate]]&gt;TODAY()</f>
        <v>1</v>
      </c>
    </row>
    <row r="534" spans="1:17" x14ac:dyDescent="0.25">
      <c r="A534">
        <v>13</v>
      </c>
      <c r="B534">
        <v>2</v>
      </c>
      <c r="C534" s="31">
        <v>47686</v>
      </c>
      <c r="D53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4" s="51" t="str">
        <f>"CY"&amp;RIGHT(YEAR(transactions[[#This Row],[TransactionDate]]),2)&amp;"-Q"&amp;ROUNDUP(MONTH(transactions[[#This Row],[TransactionDate]])/3, 0)</f>
        <v>CY30-Q3</v>
      </c>
      <c r="F534" s="52">
        <f>transactions[[#This Row],[UnWeighted]]*_xlfn.XLOOKUP(transactions[[#This Row],[OpportunityID]],Opportunities[ID],Opportunities[WinProbabilityValue])</f>
        <v>12618.744897959185</v>
      </c>
      <c r="G534"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34" s="51" t="str">
        <f>_xlfn.XLOOKUP(transactions[[#This Row],[OpportunityID]],Opportunities[ID],Opportunities[Status])</f>
        <v>Active</v>
      </c>
      <c r="I534" s="51" t="str">
        <f>_xlfn.XLOOKUP(transactions[[#This Row],[OpportunityID]],Opportunities[ID],Opportunities[Stage])</f>
        <v>Negotiation</v>
      </c>
      <c r="J534" s="51" t="str">
        <f>_xlfn.XLOOKUP(transactions[[#This Row],[OpportunityID]],Opportunities[ID],Opportunities[OpportunityName])</f>
        <v>E-commerce Platform</v>
      </c>
      <c r="K534" s="51" t="str">
        <f>_xlfn.XLOOKUP(transactions[[#This Row],[CustomerId]],Customers[Id],Customers[Customer Name])</f>
        <v>Global Industries</v>
      </c>
      <c r="L534" s="51" t="str">
        <f>_xlfn.XLOOKUP(transactions[[#This Row],[OpportunityID]],Opportunities[ID],Opportunities[OpportunityOwner])</f>
        <v>Lisa Engineer</v>
      </c>
      <c r="M534" s="51" t="str">
        <f ca="1">IF((transactions[[#This Row],[TransactionDate]]-TODAY())&lt;=366,transactions[[#This Row],[FQ]],"Out-year")</f>
        <v>Out-year</v>
      </c>
      <c r="N534" s="55">
        <f>transactions[[#This Row],[UnWeighted]]/1000</f>
        <v>25.237489795918368</v>
      </c>
      <c r="O534" s="55">
        <f>transactions[[#This Row],[Weighted]]/1000</f>
        <v>12.618744897959184</v>
      </c>
      <c r="P534" s="55">
        <f>transactions[[#This Row],[$K Unweighted]]/1000</f>
        <v>2.5237489795918368E-2</v>
      </c>
      <c r="Q534" s="55" t="b">
        <f ca="1">transactions[[#This Row],[TransactionDate]]&gt;TODAY()</f>
        <v>1</v>
      </c>
    </row>
    <row r="535" spans="1:17" x14ac:dyDescent="0.25">
      <c r="A535">
        <v>18</v>
      </c>
      <c r="B535">
        <v>9</v>
      </c>
      <c r="C535" s="31">
        <v>47692</v>
      </c>
      <c r="D53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5" s="51" t="str">
        <f>"CY"&amp;RIGHT(YEAR(transactions[[#This Row],[TransactionDate]]),2)&amp;"-Q"&amp;ROUNDUP(MONTH(transactions[[#This Row],[TransactionDate]])/3, 0)</f>
        <v>CY30-Q3</v>
      </c>
      <c r="F535" s="52">
        <f>transactions[[#This Row],[UnWeighted]]*_xlfn.XLOOKUP(transactions[[#This Row],[OpportunityID]],Opportunities[ID],Opportunities[WinProbabilityValue])</f>
        <v>110906.4</v>
      </c>
      <c r="G535" s="52">
        <f>_xlfn.XLOOKUP(transactions[[#This Row],[OpportunityID]],Opportunities[ID],Opportunities[Amount])/IF(_xlfn.XLOOKUP(transactions[[#This Row],[OpportunityID]],Opportunities[ID],Opportunities[Recurrences])=0,1,_xlfn.XLOOKUP(transactions[[#This Row],[OpportunityID]],Opportunities[ID],Opportunities[Recurrences]))</f>
        <v>221812.8</v>
      </c>
      <c r="H535" s="51" t="str">
        <f>_xlfn.XLOOKUP(transactions[[#This Row],[OpportunityID]],Opportunities[ID],Opportunities[Status])</f>
        <v>Active</v>
      </c>
      <c r="I535" s="51" t="str">
        <f>_xlfn.XLOOKUP(transactions[[#This Row],[OpportunityID]],Opportunities[ID],Opportunities[Stage])</f>
        <v>Lead Qualification</v>
      </c>
      <c r="J535" s="51" t="str">
        <f>_xlfn.XLOOKUP(transactions[[#This Row],[OpportunityID]],Opportunities[ID],Opportunities[OpportunityName])</f>
        <v>Financial Planning Software</v>
      </c>
      <c r="K535" s="51" t="str">
        <f>_xlfn.XLOOKUP(transactions[[#This Row],[CustomerId]],Customers[Id],Customers[Customer Name])</f>
        <v>Construction Dynamics</v>
      </c>
      <c r="L535" s="51" t="str">
        <f>_xlfn.XLOOKUP(transactions[[#This Row],[OpportunityID]],Opportunities[ID],Opportunities[OpportunityOwner])</f>
        <v>Dr. Tech Advisor</v>
      </c>
      <c r="M535" s="51" t="str">
        <f ca="1">IF((transactions[[#This Row],[TransactionDate]]-TODAY())&lt;=366,transactions[[#This Row],[FQ]],"Out-year")</f>
        <v>Out-year</v>
      </c>
      <c r="N535" s="55">
        <f>transactions[[#This Row],[UnWeighted]]/1000</f>
        <v>221.81279999999998</v>
      </c>
      <c r="O535" s="55">
        <f>transactions[[#This Row],[Weighted]]/1000</f>
        <v>110.90639999999999</v>
      </c>
      <c r="P535" s="55">
        <f>transactions[[#This Row],[$K Unweighted]]/1000</f>
        <v>0.22181279999999998</v>
      </c>
      <c r="Q535" s="55" t="b">
        <f ca="1">transactions[[#This Row],[TransactionDate]]&gt;TODAY()</f>
        <v>1</v>
      </c>
    </row>
    <row r="536" spans="1:17" x14ac:dyDescent="0.25">
      <c r="A536">
        <v>39</v>
      </c>
      <c r="B536">
        <v>3</v>
      </c>
      <c r="C536" s="31">
        <v>47698</v>
      </c>
      <c r="D53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36" s="51" t="str">
        <f>"CY"&amp;RIGHT(YEAR(transactions[[#This Row],[TransactionDate]]),2)&amp;"-Q"&amp;ROUNDUP(MONTH(transactions[[#This Row],[TransactionDate]])/3, 0)</f>
        <v>CY30-Q3</v>
      </c>
      <c r="F536" s="52">
        <f>transactions[[#This Row],[UnWeighted]]*_xlfn.XLOOKUP(transactions[[#This Row],[OpportunityID]],Opportunities[ID],Opportunities[WinProbabilityValue])</f>
        <v>20929.153846153848</v>
      </c>
      <c r="G536"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36" s="51" t="str">
        <f>_xlfn.XLOOKUP(transactions[[#This Row],[OpportunityID]],Opportunities[ID],Opportunities[Status])</f>
        <v>Active</v>
      </c>
      <c r="I536" s="51" t="str">
        <f>_xlfn.XLOOKUP(transactions[[#This Row],[OpportunityID]],Opportunities[ID],Opportunities[Stage])</f>
        <v>Project Execution</v>
      </c>
      <c r="J536" s="51" t="str">
        <f>_xlfn.XLOOKUP(transactions[[#This Row],[OpportunityID]],Opportunities[ID],Opportunities[OpportunityName])</f>
        <v>API Development Project</v>
      </c>
      <c r="K536" s="51" t="str">
        <f>_xlfn.XLOOKUP(transactions[[#This Row],[CustomerId]],Customers[Id],Customers[Customer Name])</f>
        <v>Tech Solutions Inc</v>
      </c>
      <c r="L536" s="51" t="str">
        <f>_xlfn.XLOOKUP(transactions[[#This Row],[OpportunityID]],Opportunities[ID],Opportunities[OpportunityOwner])</f>
        <v>Jennifer PM</v>
      </c>
      <c r="M536" s="51" t="str">
        <f ca="1">IF((transactions[[#This Row],[TransactionDate]]-TODAY())&lt;=366,transactions[[#This Row],[FQ]],"Out-year")</f>
        <v>Out-year</v>
      </c>
      <c r="N536" s="55">
        <f>transactions[[#This Row],[UnWeighted]]/1000</f>
        <v>41.858307692307697</v>
      </c>
      <c r="O536" s="55">
        <f>transactions[[#This Row],[Weighted]]/1000</f>
        <v>20.929153846153849</v>
      </c>
      <c r="P536" s="55">
        <f>transactions[[#This Row],[$K Unweighted]]/1000</f>
        <v>4.1858307692307695E-2</v>
      </c>
      <c r="Q536" s="55" t="b">
        <f ca="1">transactions[[#This Row],[TransactionDate]]&gt;TODAY()</f>
        <v>1</v>
      </c>
    </row>
    <row r="537" spans="1:17" x14ac:dyDescent="0.25">
      <c r="A537">
        <v>15</v>
      </c>
      <c r="B537">
        <v>24</v>
      </c>
      <c r="C537" s="31">
        <v>47702</v>
      </c>
      <c r="D53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37" s="51" t="str">
        <f>"CY"&amp;RIGHT(YEAR(transactions[[#This Row],[TransactionDate]]),2)&amp;"-Q"&amp;ROUNDUP(MONTH(transactions[[#This Row],[TransactionDate]])/3, 0)</f>
        <v>CY30-Q3</v>
      </c>
      <c r="F537" s="52">
        <f>transactions[[#This Row],[UnWeighted]]*_xlfn.XLOOKUP(transactions[[#This Row],[OpportunityID]],Opportunities[ID],Opportunities[WinProbabilityValue])</f>
        <v>29217.197872340425</v>
      </c>
      <c r="G537"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37" s="51" t="str">
        <f>_xlfn.XLOOKUP(transactions[[#This Row],[OpportunityID]],Opportunities[ID],Opportunities[Status])</f>
        <v>Active</v>
      </c>
      <c r="I537" s="51" t="str">
        <f>_xlfn.XLOOKUP(transactions[[#This Row],[OpportunityID]],Opportunities[ID],Opportunities[Stage])</f>
        <v>Project Execution</v>
      </c>
      <c r="J537" s="51" t="str">
        <f>_xlfn.XLOOKUP(transactions[[#This Row],[OpportunityID]],Opportunities[ID],Opportunities[OpportunityName])</f>
        <v>Training &amp; Development Program</v>
      </c>
      <c r="K537" s="51" t="str">
        <f>_xlfn.XLOOKUP(transactions[[#This Row],[CustomerId]],Customers[Id],Customers[Customer Name])</f>
        <v>Security Solutions</v>
      </c>
      <c r="L537" s="51" t="str">
        <f>_xlfn.XLOOKUP(transactions[[#This Row],[OpportunityID]],Opportunities[ID],Opportunities[OpportunityOwner])</f>
        <v>Sarah Director</v>
      </c>
      <c r="M537" s="51" t="str">
        <f ca="1">IF((transactions[[#This Row],[TransactionDate]]-TODAY())&lt;=366,transactions[[#This Row],[FQ]],"Out-year")</f>
        <v>Out-year</v>
      </c>
      <c r="N537" s="55">
        <f>transactions[[#This Row],[UnWeighted]]/1000</f>
        <v>32.46355319148936</v>
      </c>
      <c r="O537" s="55">
        <f>transactions[[#This Row],[Weighted]]/1000</f>
        <v>29.217197872340424</v>
      </c>
      <c r="P537" s="55">
        <f>transactions[[#This Row],[$K Unweighted]]/1000</f>
        <v>3.2463553191489358E-2</v>
      </c>
      <c r="Q537" s="55" t="b">
        <f ca="1">transactions[[#This Row],[TransactionDate]]&gt;TODAY()</f>
        <v>1</v>
      </c>
    </row>
    <row r="538" spans="1:17" x14ac:dyDescent="0.25">
      <c r="A538">
        <v>25</v>
      </c>
      <c r="B538">
        <v>14</v>
      </c>
      <c r="C538" s="31">
        <v>47704</v>
      </c>
      <c r="D53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38" s="51" t="str">
        <f>"CY"&amp;RIGHT(YEAR(transactions[[#This Row],[TransactionDate]]),2)&amp;"-Q"&amp;ROUNDUP(MONTH(transactions[[#This Row],[TransactionDate]])/3, 0)</f>
        <v>CY30-Q3</v>
      </c>
      <c r="F538" s="52">
        <f>transactions[[#This Row],[UnWeighted]]*_xlfn.XLOOKUP(transactions[[#This Row],[OpportunityID]],Opportunities[ID],Opportunities[WinProbabilityValue])</f>
        <v>35076.26666666667</v>
      </c>
      <c r="G538" s="52">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538" s="51" t="str">
        <f>_xlfn.XLOOKUP(transactions[[#This Row],[OpportunityID]],Opportunities[ID],Opportunities[Status])</f>
        <v>Active</v>
      </c>
      <c r="I538" s="51" t="str">
        <f>_xlfn.XLOOKUP(transactions[[#This Row],[OpportunityID]],Opportunities[ID],Opportunities[Stage])</f>
        <v>Lead Qualification</v>
      </c>
      <c r="J538" s="51" t="str">
        <f>_xlfn.XLOOKUP(transactions[[#This Row],[OpportunityID]],Opportunities[ID],Opportunities[OpportunityName])</f>
        <v>Project Management Software</v>
      </c>
      <c r="K538" s="51" t="str">
        <f>_xlfn.XLOOKUP(transactions[[#This Row],[CustomerId]],Customers[Id],Customers[Customer Name])</f>
        <v>Media Communications</v>
      </c>
      <c r="L538" s="51" t="str">
        <f>_xlfn.XLOOKUP(transactions[[#This Row],[OpportunityID]],Opportunities[ID],Opportunities[OpportunityOwner])</f>
        <v>Amanda Sales</v>
      </c>
      <c r="M538" s="51" t="str">
        <f ca="1">IF((transactions[[#This Row],[TransactionDate]]-TODAY())&lt;=366,transactions[[#This Row],[FQ]],"Out-year")</f>
        <v>Out-year</v>
      </c>
      <c r="N538" s="55">
        <f>transactions[[#This Row],[UnWeighted]]/1000</f>
        <v>70.152533333333338</v>
      </c>
      <c r="O538" s="55">
        <f>transactions[[#This Row],[Weighted]]/1000</f>
        <v>35.076266666666669</v>
      </c>
      <c r="P538" s="55">
        <f>transactions[[#This Row],[$K Unweighted]]/1000</f>
        <v>7.0152533333333336E-2</v>
      </c>
      <c r="Q538" s="55" t="b">
        <f ca="1">transactions[[#This Row],[TransactionDate]]&gt;TODAY()</f>
        <v>1</v>
      </c>
    </row>
    <row r="539" spans="1:17" x14ac:dyDescent="0.25">
      <c r="A539">
        <v>22</v>
      </c>
      <c r="B539">
        <v>11</v>
      </c>
      <c r="C539" s="31">
        <v>47706</v>
      </c>
      <c r="D53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39" s="51" t="str">
        <f>"CY"&amp;RIGHT(YEAR(transactions[[#This Row],[TransactionDate]]),2)&amp;"-Q"&amp;ROUNDUP(MONTH(transactions[[#This Row],[TransactionDate]])/3, 0)</f>
        <v>CY30-Q3</v>
      </c>
      <c r="F539" s="52">
        <f>transactions[[#This Row],[UnWeighted]]*_xlfn.XLOOKUP(transactions[[#This Row],[OpportunityID]],Opportunities[ID],Opportunities[WinProbabilityValue])</f>
        <v>26390.544230769232</v>
      </c>
      <c r="G539"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39" s="51" t="str">
        <f>_xlfn.XLOOKUP(transactions[[#This Row],[OpportunityID]],Opportunities[ID],Opportunities[Status])</f>
        <v>Active</v>
      </c>
      <c r="I539" s="51" t="str">
        <f>_xlfn.XLOOKUP(transactions[[#This Row],[OpportunityID]],Opportunities[ID],Opportunities[Stage])</f>
        <v>Nurturing</v>
      </c>
      <c r="J539" s="51" t="str">
        <f>_xlfn.XLOOKUP(transactions[[#This Row],[OpportunityID]],Opportunities[ID],Opportunities[OpportunityName])</f>
        <v>Inventory Management Solution</v>
      </c>
      <c r="K539" s="51" t="str">
        <f>_xlfn.XLOOKUP(transactions[[#This Row],[CustomerId]],Customers[Id],Customers[Customer Name])</f>
        <v>Transport Logistics</v>
      </c>
      <c r="L539" s="51" t="str">
        <f>_xlfn.XLOOKUP(transactions[[#This Row],[OpportunityID]],Opportunities[ID],Opportunities[OpportunityOwner])</f>
        <v>Sarah Director</v>
      </c>
      <c r="M539" s="51" t="str">
        <f ca="1">IF((transactions[[#This Row],[TransactionDate]]-TODAY())&lt;=366,transactions[[#This Row],[FQ]],"Out-year")</f>
        <v>Out-year</v>
      </c>
      <c r="N539" s="55">
        <f>transactions[[#This Row],[UnWeighted]]/1000</f>
        <v>29.322826923076921</v>
      </c>
      <c r="O539" s="55">
        <f>transactions[[#This Row],[Weighted]]/1000</f>
        <v>26.390544230769233</v>
      </c>
      <c r="P539" s="55">
        <f>transactions[[#This Row],[$K Unweighted]]/1000</f>
        <v>2.932282692307692E-2</v>
      </c>
      <c r="Q539" s="55" t="b">
        <f ca="1">transactions[[#This Row],[TransactionDate]]&gt;TODAY()</f>
        <v>1</v>
      </c>
    </row>
    <row r="540" spans="1:17" x14ac:dyDescent="0.25">
      <c r="A540">
        <v>27</v>
      </c>
      <c r="B540">
        <v>2</v>
      </c>
      <c r="C540" s="31">
        <v>47712</v>
      </c>
      <c r="D54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0" s="51" t="str">
        <f>"CY"&amp;RIGHT(YEAR(transactions[[#This Row],[TransactionDate]]),2)&amp;"-Q"&amp;ROUNDUP(MONTH(transactions[[#This Row],[TransactionDate]])/3, 0)</f>
        <v>CY30-Q3</v>
      </c>
      <c r="F540" s="52">
        <f>transactions[[#This Row],[UnWeighted]]*_xlfn.XLOOKUP(transactions[[#This Row],[OpportunityID]],Opportunities[ID],Opportunities[WinProbabilityValue])</f>
        <v>46287.333333333336</v>
      </c>
      <c r="G540"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540" s="51" t="str">
        <f>_xlfn.XLOOKUP(transactions[[#This Row],[OpportunityID]],Opportunities[ID],Opportunities[Status])</f>
        <v>Active</v>
      </c>
      <c r="I540" s="51" t="str">
        <f>_xlfn.XLOOKUP(transactions[[#This Row],[OpportunityID]],Opportunities[ID],Opportunities[Stage])</f>
        <v>Lead Qualification</v>
      </c>
      <c r="J540" s="51" t="str">
        <f>_xlfn.XLOOKUP(transactions[[#This Row],[OpportunityID]],Opportunities[ID],Opportunities[OpportunityName])</f>
        <v>Backup &amp; Recovery System</v>
      </c>
      <c r="K540" s="51" t="str">
        <f>_xlfn.XLOOKUP(transactions[[#This Row],[CustomerId]],Customers[Id],Customers[Customer Name])</f>
        <v>Global Industries</v>
      </c>
      <c r="L540" s="51" t="str">
        <f>_xlfn.XLOOKUP(transactions[[#This Row],[OpportunityID]],Opportunities[ID],Opportunities[OpportunityOwner])</f>
        <v>Amanda Sales</v>
      </c>
      <c r="M540" s="51" t="str">
        <f ca="1">IF((transactions[[#This Row],[TransactionDate]]-TODAY())&lt;=366,transactions[[#This Row],[FQ]],"Out-year")</f>
        <v>Out-year</v>
      </c>
      <c r="N540" s="55">
        <f>transactions[[#This Row],[UnWeighted]]/1000</f>
        <v>92.574666666666673</v>
      </c>
      <c r="O540" s="55">
        <f>transactions[[#This Row],[Weighted]]/1000</f>
        <v>46.287333333333336</v>
      </c>
      <c r="P540" s="55">
        <f>transactions[[#This Row],[$K Unweighted]]/1000</f>
        <v>9.2574666666666666E-2</v>
      </c>
      <c r="Q540" s="55" t="b">
        <f ca="1">transactions[[#This Row],[TransactionDate]]&gt;TODAY()</f>
        <v>1</v>
      </c>
    </row>
    <row r="541" spans="1:17" x14ac:dyDescent="0.25">
      <c r="A541">
        <v>13</v>
      </c>
      <c r="B541">
        <v>2</v>
      </c>
      <c r="C541" s="31">
        <v>47717</v>
      </c>
      <c r="D54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1" s="51" t="str">
        <f>"CY"&amp;RIGHT(YEAR(transactions[[#This Row],[TransactionDate]]),2)&amp;"-Q"&amp;ROUNDUP(MONTH(transactions[[#This Row],[TransactionDate]])/3, 0)</f>
        <v>CY30-Q3</v>
      </c>
      <c r="F541" s="52">
        <f>transactions[[#This Row],[UnWeighted]]*_xlfn.XLOOKUP(transactions[[#This Row],[OpportunityID]],Opportunities[ID],Opportunities[WinProbabilityValue])</f>
        <v>12618.744897959185</v>
      </c>
      <c r="G541"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41" s="51" t="str">
        <f>_xlfn.XLOOKUP(transactions[[#This Row],[OpportunityID]],Opportunities[ID],Opportunities[Status])</f>
        <v>Active</v>
      </c>
      <c r="I541" s="51" t="str">
        <f>_xlfn.XLOOKUP(transactions[[#This Row],[OpportunityID]],Opportunities[ID],Opportunities[Stage])</f>
        <v>Negotiation</v>
      </c>
      <c r="J541" s="51" t="str">
        <f>_xlfn.XLOOKUP(transactions[[#This Row],[OpportunityID]],Opportunities[ID],Opportunities[OpportunityName])</f>
        <v>E-commerce Platform</v>
      </c>
      <c r="K541" s="51" t="str">
        <f>_xlfn.XLOOKUP(transactions[[#This Row],[CustomerId]],Customers[Id],Customers[Customer Name])</f>
        <v>Global Industries</v>
      </c>
      <c r="L541" s="51" t="str">
        <f>_xlfn.XLOOKUP(transactions[[#This Row],[OpportunityID]],Opportunities[ID],Opportunities[OpportunityOwner])</f>
        <v>Lisa Engineer</v>
      </c>
      <c r="M541" s="51" t="str">
        <f ca="1">IF((transactions[[#This Row],[TransactionDate]]-TODAY())&lt;=366,transactions[[#This Row],[FQ]],"Out-year")</f>
        <v>Out-year</v>
      </c>
      <c r="N541" s="55">
        <f>transactions[[#This Row],[UnWeighted]]/1000</f>
        <v>25.237489795918368</v>
      </c>
      <c r="O541" s="55">
        <f>transactions[[#This Row],[Weighted]]/1000</f>
        <v>12.618744897959184</v>
      </c>
      <c r="P541" s="55">
        <f>transactions[[#This Row],[$K Unweighted]]/1000</f>
        <v>2.5237489795918368E-2</v>
      </c>
      <c r="Q541" s="55" t="b">
        <f ca="1">transactions[[#This Row],[TransactionDate]]&gt;TODAY()</f>
        <v>1</v>
      </c>
    </row>
    <row r="542" spans="1:17" x14ac:dyDescent="0.25">
      <c r="A542">
        <v>39</v>
      </c>
      <c r="B542">
        <v>3</v>
      </c>
      <c r="C542" s="31">
        <v>47729</v>
      </c>
      <c r="D54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2" s="51" t="str">
        <f>"CY"&amp;RIGHT(YEAR(transactions[[#This Row],[TransactionDate]]),2)&amp;"-Q"&amp;ROUNDUP(MONTH(transactions[[#This Row],[TransactionDate]])/3, 0)</f>
        <v>CY30-Q3</v>
      </c>
      <c r="F542" s="52">
        <f>transactions[[#This Row],[UnWeighted]]*_xlfn.XLOOKUP(transactions[[#This Row],[OpportunityID]],Opportunities[ID],Opportunities[WinProbabilityValue])</f>
        <v>20929.153846153848</v>
      </c>
      <c r="G542"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42" s="51" t="str">
        <f>_xlfn.XLOOKUP(transactions[[#This Row],[OpportunityID]],Opportunities[ID],Opportunities[Status])</f>
        <v>Active</v>
      </c>
      <c r="I542" s="51" t="str">
        <f>_xlfn.XLOOKUP(transactions[[#This Row],[OpportunityID]],Opportunities[ID],Opportunities[Stage])</f>
        <v>Project Execution</v>
      </c>
      <c r="J542" s="51" t="str">
        <f>_xlfn.XLOOKUP(transactions[[#This Row],[OpportunityID]],Opportunities[ID],Opportunities[OpportunityName])</f>
        <v>API Development Project</v>
      </c>
      <c r="K542" s="51" t="str">
        <f>_xlfn.XLOOKUP(transactions[[#This Row],[CustomerId]],Customers[Id],Customers[Customer Name])</f>
        <v>Tech Solutions Inc</v>
      </c>
      <c r="L542" s="51" t="str">
        <f>_xlfn.XLOOKUP(transactions[[#This Row],[OpportunityID]],Opportunities[ID],Opportunities[OpportunityOwner])</f>
        <v>Jennifer PM</v>
      </c>
      <c r="M542" s="51" t="str">
        <f ca="1">IF((transactions[[#This Row],[TransactionDate]]-TODAY())&lt;=366,transactions[[#This Row],[FQ]],"Out-year")</f>
        <v>Out-year</v>
      </c>
      <c r="N542" s="55">
        <f>transactions[[#This Row],[UnWeighted]]/1000</f>
        <v>41.858307692307697</v>
      </c>
      <c r="O542" s="55">
        <f>transactions[[#This Row],[Weighted]]/1000</f>
        <v>20.929153846153849</v>
      </c>
      <c r="P542" s="55">
        <f>transactions[[#This Row],[$K Unweighted]]/1000</f>
        <v>4.1858307692307695E-2</v>
      </c>
      <c r="Q542" s="55" t="b">
        <f ca="1">transactions[[#This Row],[TransactionDate]]&gt;TODAY()</f>
        <v>1</v>
      </c>
    </row>
    <row r="543" spans="1:17" x14ac:dyDescent="0.25">
      <c r="A543">
        <v>15</v>
      </c>
      <c r="B543">
        <v>24</v>
      </c>
      <c r="C543" s="31">
        <v>47733</v>
      </c>
      <c r="D54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3" s="51" t="str">
        <f>"CY"&amp;RIGHT(YEAR(transactions[[#This Row],[TransactionDate]]),2)&amp;"-Q"&amp;ROUNDUP(MONTH(transactions[[#This Row],[TransactionDate]])/3, 0)</f>
        <v>CY30-Q3</v>
      </c>
      <c r="F543" s="52">
        <f>transactions[[#This Row],[UnWeighted]]*_xlfn.XLOOKUP(transactions[[#This Row],[OpportunityID]],Opportunities[ID],Opportunities[WinProbabilityValue])</f>
        <v>29217.197872340425</v>
      </c>
      <c r="G543"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43" s="51" t="str">
        <f>_xlfn.XLOOKUP(transactions[[#This Row],[OpportunityID]],Opportunities[ID],Opportunities[Status])</f>
        <v>Active</v>
      </c>
      <c r="I543" s="51" t="str">
        <f>_xlfn.XLOOKUP(transactions[[#This Row],[OpportunityID]],Opportunities[ID],Opportunities[Stage])</f>
        <v>Project Execution</v>
      </c>
      <c r="J543" s="51" t="str">
        <f>_xlfn.XLOOKUP(transactions[[#This Row],[OpportunityID]],Opportunities[ID],Opportunities[OpportunityName])</f>
        <v>Training &amp; Development Program</v>
      </c>
      <c r="K543" s="51" t="str">
        <f>_xlfn.XLOOKUP(transactions[[#This Row],[CustomerId]],Customers[Id],Customers[Customer Name])</f>
        <v>Security Solutions</v>
      </c>
      <c r="L543" s="51" t="str">
        <f>_xlfn.XLOOKUP(transactions[[#This Row],[OpportunityID]],Opportunities[ID],Opportunities[OpportunityOwner])</f>
        <v>Sarah Director</v>
      </c>
      <c r="M543" s="51" t="str">
        <f ca="1">IF((transactions[[#This Row],[TransactionDate]]-TODAY())&lt;=366,transactions[[#This Row],[FQ]],"Out-year")</f>
        <v>Out-year</v>
      </c>
      <c r="N543" s="55">
        <f>transactions[[#This Row],[UnWeighted]]/1000</f>
        <v>32.46355319148936</v>
      </c>
      <c r="O543" s="55">
        <f>transactions[[#This Row],[Weighted]]/1000</f>
        <v>29.217197872340424</v>
      </c>
      <c r="P543" s="55">
        <f>transactions[[#This Row],[$K Unweighted]]/1000</f>
        <v>3.2463553191489358E-2</v>
      </c>
      <c r="Q543" s="55" t="b">
        <f ca="1">transactions[[#This Row],[TransactionDate]]&gt;TODAY()</f>
        <v>1</v>
      </c>
    </row>
    <row r="544" spans="1:17" x14ac:dyDescent="0.25">
      <c r="A544">
        <v>22</v>
      </c>
      <c r="B544">
        <v>11</v>
      </c>
      <c r="C544" s="31">
        <v>47737</v>
      </c>
      <c r="D54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4" s="51" t="str">
        <f>"CY"&amp;RIGHT(YEAR(transactions[[#This Row],[TransactionDate]]),2)&amp;"-Q"&amp;ROUNDUP(MONTH(transactions[[#This Row],[TransactionDate]])/3, 0)</f>
        <v>CY30-Q3</v>
      </c>
      <c r="F544" s="52">
        <f>transactions[[#This Row],[UnWeighted]]*_xlfn.XLOOKUP(transactions[[#This Row],[OpportunityID]],Opportunities[ID],Opportunities[WinProbabilityValue])</f>
        <v>26390.544230769232</v>
      </c>
      <c r="G544"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44" s="51" t="str">
        <f>_xlfn.XLOOKUP(transactions[[#This Row],[OpportunityID]],Opportunities[ID],Opportunities[Status])</f>
        <v>Active</v>
      </c>
      <c r="I544" s="51" t="str">
        <f>_xlfn.XLOOKUP(transactions[[#This Row],[OpportunityID]],Opportunities[ID],Opportunities[Stage])</f>
        <v>Nurturing</v>
      </c>
      <c r="J544" s="51" t="str">
        <f>_xlfn.XLOOKUP(transactions[[#This Row],[OpportunityID]],Opportunities[ID],Opportunities[OpportunityName])</f>
        <v>Inventory Management Solution</v>
      </c>
      <c r="K544" s="51" t="str">
        <f>_xlfn.XLOOKUP(transactions[[#This Row],[CustomerId]],Customers[Id],Customers[Customer Name])</f>
        <v>Transport Logistics</v>
      </c>
      <c r="L544" s="51" t="str">
        <f>_xlfn.XLOOKUP(transactions[[#This Row],[OpportunityID]],Opportunities[ID],Opportunities[OpportunityOwner])</f>
        <v>Sarah Director</v>
      </c>
      <c r="M544" s="51" t="str">
        <f ca="1">IF((transactions[[#This Row],[TransactionDate]]-TODAY())&lt;=366,transactions[[#This Row],[FQ]],"Out-year")</f>
        <v>Out-year</v>
      </c>
      <c r="N544" s="55">
        <f>transactions[[#This Row],[UnWeighted]]/1000</f>
        <v>29.322826923076921</v>
      </c>
      <c r="O544" s="55">
        <f>transactions[[#This Row],[Weighted]]/1000</f>
        <v>26.390544230769233</v>
      </c>
      <c r="P544" s="55">
        <f>transactions[[#This Row],[$K Unweighted]]/1000</f>
        <v>2.932282692307692E-2</v>
      </c>
      <c r="Q544" s="55" t="b">
        <f ca="1">transactions[[#This Row],[TransactionDate]]&gt;TODAY()</f>
        <v>1</v>
      </c>
    </row>
    <row r="545" spans="1:17" x14ac:dyDescent="0.25">
      <c r="A545">
        <v>13</v>
      </c>
      <c r="B545">
        <v>2</v>
      </c>
      <c r="C545" s="31">
        <v>47748</v>
      </c>
      <c r="D54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5" s="51" t="str">
        <f>"CY"&amp;RIGHT(YEAR(transactions[[#This Row],[TransactionDate]]),2)&amp;"-Q"&amp;ROUNDUP(MONTH(transactions[[#This Row],[TransactionDate]])/3, 0)</f>
        <v>CY30-Q3</v>
      </c>
      <c r="F545" s="52">
        <f>transactions[[#This Row],[UnWeighted]]*_xlfn.XLOOKUP(transactions[[#This Row],[OpportunityID]],Opportunities[ID],Opportunities[WinProbabilityValue])</f>
        <v>12618.744897959185</v>
      </c>
      <c r="G545"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45" s="51" t="str">
        <f>_xlfn.XLOOKUP(transactions[[#This Row],[OpportunityID]],Opportunities[ID],Opportunities[Status])</f>
        <v>Active</v>
      </c>
      <c r="I545" s="51" t="str">
        <f>_xlfn.XLOOKUP(transactions[[#This Row],[OpportunityID]],Opportunities[ID],Opportunities[Stage])</f>
        <v>Negotiation</v>
      </c>
      <c r="J545" s="51" t="str">
        <f>_xlfn.XLOOKUP(transactions[[#This Row],[OpportunityID]],Opportunities[ID],Opportunities[OpportunityName])</f>
        <v>E-commerce Platform</v>
      </c>
      <c r="K545" s="51" t="str">
        <f>_xlfn.XLOOKUP(transactions[[#This Row],[CustomerId]],Customers[Id],Customers[Customer Name])</f>
        <v>Global Industries</v>
      </c>
      <c r="L545" s="51" t="str">
        <f>_xlfn.XLOOKUP(transactions[[#This Row],[OpportunityID]],Opportunities[ID],Opportunities[OpportunityOwner])</f>
        <v>Lisa Engineer</v>
      </c>
      <c r="M545" s="51" t="str">
        <f ca="1">IF((transactions[[#This Row],[TransactionDate]]-TODAY())&lt;=366,transactions[[#This Row],[FQ]],"Out-year")</f>
        <v>Out-year</v>
      </c>
      <c r="N545" s="55">
        <f>transactions[[#This Row],[UnWeighted]]/1000</f>
        <v>25.237489795918368</v>
      </c>
      <c r="O545" s="55">
        <f>transactions[[#This Row],[Weighted]]/1000</f>
        <v>12.618744897959184</v>
      </c>
      <c r="P545" s="55">
        <f>transactions[[#This Row],[$K Unweighted]]/1000</f>
        <v>2.5237489795918368E-2</v>
      </c>
      <c r="Q545" s="55" t="b">
        <f ca="1">transactions[[#This Row],[TransactionDate]]&gt;TODAY()</f>
        <v>1</v>
      </c>
    </row>
    <row r="546" spans="1:17" x14ac:dyDescent="0.25">
      <c r="A546">
        <v>4</v>
      </c>
      <c r="B546">
        <v>12</v>
      </c>
      <c r="C546" s="31">
        <v>47754</v>
      </c>
      <c r="D54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6" s="51" t="str">
        <f>"CY"&amp;RIGHT(YEAR(transactions[[#This Row],[TransactionDate]]),2)&amp;"-Q"&amp;ROUNDUP(MONTH(transactions[[#This Row],[TransactionDate]])/3, 0)</f>
        <v>CY30-Q3</v>
      </c>
      <c r="F546" s="52">
        <f>transactions[[#This Row],[UnWeighted]]*_xlfn.XLOOKUP(transactions[[#This Row],[OpportunityID]],Opportunities[ID],Opportunities[WinProbabilityValue])</f>
        <v>62066.583333333336</v>
      </c>
      <c r="G546" s="52">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546" s="51" t="str">
        <f>_xlfn.XLOOKUP(transactions[[#This Row],[OpportunityID]],Opportunities[ID],Opportunities[Status])</f>
        <v>Active</v>
      </c>
      <c r="I546" s="51" t="str">
        <f>_xlfn.XLOOKUP(transactions[[#This Row],[OpportunityID]],Opportunities[ID],Opportunities[Stage])</f>
        <v>Lead Qualification</v>
      </c>
      <c r="J546" s="51" t="str">
        <f>_xlfn.XLOOKUP(transactions[[#This Row],[OpportunityID]],Opportunities[ID],Opportunities[OpportunityName])</f>
        <v>Manufacturing Automation System</v>
      </c>
      <c r="K546" s="51" t="str">
        <f>_xlfn.XLOOKUP(transactions[[#This Row],[CustomerId]],Customers[Id],Customers[Customer Name])</f>
        <v>Food Service Partners</v>
      </c>
      <c r="L546" s="51" t="str">
        <f>_xlfn.XLOOKUP(transactions[[#This Row],[OpportunityID]],Opportunities[ID],Opportunities[OpportunityOwner])</f>
        <v>Robert Analyst</v>
      </c>
      <c r="M546" s="51" t="str">
        <f ca="1">IF((transactions[[#This Row],[TransactionDate]]-TODAY())&lt;=366,transactions[[#This Row],[FQ]],"Out-year")</f>
        <v>Out-year</v>
      </c>
      <c r="N546" s="55">
        <f>transactions[[#This Row],[UnWeighted]]/1000</f>
        <v>124.13316666666667</v>
      </c>
      <c r="O546" s="55">
        <f>transactions[[#This Row],[Weighted]]/1000</f>
        <v>62.066583333333334</v>
      </c>
      <c r="P546" s="55">
        <f>transactions[[#This Row],[$K Unweighted]]/1000</f>
        <v>0.12413316666666667</v>
      </c>
      <c r="Q546" s="55" t="b">
        <f ca="1">transactions[[#This Row],[TransactionDate]]&gt;TODAY()</f>
        <v>1</v>
      </c>
    </row>
    <row r="547" spans="1:17" x14ac:dyDescent="0.25">
      <c r="A547">
        <v>39</v>
      </c>
      <c r="B547">
        <v>3</v>
      </c>
      <c r="C547" s="31">
        <v>47759</v>
      </c>
      <c r="D54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7" s="51" t="str">
        <f>"CY"&amp;RIGHT(YEAR(transactions[[#This Row],[TransactionDate]]),2)&amp;"-Q"&amp;ROUNDUP(MONTH(transactions[[#This Row],[TransactionDate]])/3, 0)</f>
        <v>CY30-Q4</v>
      </c>
      <c r="F547" s="52">
        <f>transactions[[#This Row],[UnWeighted]]*_xlfn.XLOOKUP(transactions[[#This Row],[OpportunityID]],Opportunities[ID],Opportunities[WinProbabilityValue])</f>
        <v>20929.153846153848</v>
      </c>
      <c r="G547"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47" s="51" t="str">
        <f>_xlfn.XLOOKUP(transactions[[#This Row],[OpportunityID]],Opportunities[ID],Opportunities[Status])</f>
        <v>Active</v>
      </c>
      <c r="I547" s="51" t="str">
        <f>_xlfn.XLOOKUP(transactions[[#This Row],[OpportunityID]],Opportunities[ID],Opportunities[Stage])</f>
        <v>Project Execution</v>
      </c>
      <c r="J547" s="51" t="str">
        <f>_xlfn.XLOOKUP(transactions[[#This Row],[OpportunityID]],Opportunities[ID],Opportunities[OpportunityName])</f>
        <v>API Development Project</v>
      </c>
      <c r="K547" s="51" t="str">
        <f>_xlfn.XLOOKUP(transactions[[#This Row],[CustomerId]],Customers[Id],Customers[Customer Name])</f>
        <v>Tech Solutions Inc</v>
      </c>
      <c r="L547" s="51" t="str">
        <f>_xlfn.XLOOKUP(transactions[[#This Row],[OpportunityID]],Opportunities[ID],Opportunities[OpportunityOwner])</f>
        <v>Jennifer PM</v>
      </c>
      <c r="M547" s="51" t="str">
        <f ca="1">IF((transactions[[#This Row],[TransactionDate]]-TODAY())&lt;=366,transactions[[#This Row],[FQ]],"Out-year")</f>
        <v>Out-year</v>
      </c>
      <c r="N547" s="55">
        <f>transactions[[#This Row],[UnWeighted]]/1000</f>
        <v>41.858307692307697</v>
      </c>
      <c r="O547" s="55">
        <f>transactions[[#This Row],[Weighted]]/1000</f>
        <v>20.929153846153849</v>
      </c>
      <c r="P547" s="55">
        <f>transactions[[#This Row],[$K Unweighted]]/1000</f>
        <v>4.1858307692307695E-2</v>
      </c>
      <c r="Q547" s="55" t="b">
        <f ca="1">transactions[[#This Row],[TransactionDate]]&gt;TODAY()</f>
        <v>1</v>
      </c>
    </row>
    <row r="548" spans="1:17" x14ac:dyDescent="0.25">
      <c r="A548">
        <v>15</v>
      </c>
      <c r="B548">
        <v>24</v>
      </c>
      <c r="C548" s="31">
        <v>47763</v>
      </c>
      <c r="D54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8" s="51" t="str">
        <f>"CY"&amp;RIGHT(YEAR(transactions[[#This Row],[TransactionDate]]),2)&amp;"-Q"&amp;ROUNDUP(MONTH(transactions[[#This Row],[TransactionDate]])/3, 0)</f>
        <v>CY30-Q4</v>
      </c>
      <c r="F548" s="52">
        <f>transactions[[#This Row],[UnWeighted]]*_xlfn.XLOOKUP(transactions[[#This Row],[OpportunityID]],Opportunities[ID],Opportunities[WinProbabilityValue])</f>
        <v>29217.197872340425</v>
      </c>
      <c r="G548"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48" s="51" t="str">
        <f>_xlfn.XLOOKUP(transactions[[#This Row],[OpportunityID]],Opportunities[ID],Opportunities[Status])</f>
        <v>Active</v>
      </c>
      <c r="I548" s="51" t="str">
        <f>_xlfn.XLOOKUP(transactions[[#This Row],[OpportunityID]],Opportunities[ID],Opportunities[Stage])</f>
        <v>Project Execution</v>
      </c>
      <c r="J548" s="51" t="str">
        <f>_xlfn.XLOOKUP(transactions[[#This Row],[OpportunityID]],Opportunities[ID],Opportunities[OpportunityName])</f>
        <v>Training &amp; Development Program</v>
      </c>
      <c r="K548" s="51" t="str">
        <f>_xlfn.XLOOKUP(transactions[[#This Row],[CustomerId]],Customers[Id],Customers[Customer Name])</f>
        <v>Security Solutions</v>
      </c>
      <c r="L548" s="51" t="str">
        <f>_xlfn.XLOOKUP(transactions[[#This Row],[OpportunityID]],Opportunities[ID],Opportunities[OpportunityOwner])</f>
        <v>Sarah Director</v>
      </c>
      <c r="M548" s="51" t="str">
        <f ca="1">IF((transactions[[#This Row],[TransactionDate]]-TODAY())&lt;=366,transactions[[#This Row],[FQ]],"Out-year")</f>
        <v>Out-year</v>
      </c>
      <c r="N548" s="55">
        <f>transactions[[#This Row],[UnWeighted]]/1000</f>
        <v>32.46355319148936</v>
      </c>
      <c r="O548" s="55">
        <f>transactions[[#This Row],[Weighted]]/1000</f>
        <v>29.217197872340424</v>
      </c>
      <c r="P548" s="55">
        <f>transactions[[#This Row],[$K Unweighted]]/1000</f>
        <v>3.2463553191489358E-2</v>
      </c>
      <c r="Q548" s="55" t="b">
        <f ca="1">transactions[[#This Row],[TransactionDate]]&gt;TODAY()</f>
        <v>1</v>
      </c>
    </row>
    <row r="549" spans="1:17" x14ac:dyDescent="0.25">
      <c r="A549">
        <v>22</v>
      </c>
      <c r="B549">
        <v>11</v>
      </c>
      <c r="C549" s="31">
        <v>47767</v>
      </c>
      <c r="D54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9" s="51" t="str">
        <f>"CY"&amp;RIGHT(YEAR(transactions[[#This Row],[TransactionDate]]),2)&amp;"-Q"&amp;ROUNDUP(MONTH(transactions[[#This Row],[TransactionDate]])/3, 0)</f>
        <v>CY30-Q4</v>
      </c>
      <c r="F549" s="52">
        <f>transactions[[#This Row],[UnWeighted]]*_xlfn.XLOOKUP(transactions[[#This Row],[OpportunityID]],Opportunities[ID],Opportunities[WinProbabilityValue])</f>
        <v>26390.544230769232</v>
      </c>
      <c r="G549"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49" s="51" t="str">
        <f>_xlfn.XLOOKUP(transactions[[#This Row],[OpportunityID]],Opportunities[ID],Opportunities[Status])</f>
        <v>Active</v>
      </c>
      <c r="I549" s="51" t="str">
        <f>_xlfn.XLOOKUP(transactions[[#This Row],[OpportunityID]],Opportunities[ID],Opportunities[Stage])</f>
        <v>Nurturing</v>
      </c>
      <c r="J549" s="51" t="str">
        <f>_xlfn.XLOOKUP(transactions[[#This Row],[OpportunityID]],Opportunities[ID],Opportunities[OpportunityName])</f>
        <v>Inventory Management Solution</v>
      </c>
      <c r="K549" s="51" t="str">
        <f>_xlfn.XLOOKUP(transactions[[#This Row],[CustomerId]],Customers[Id],Customers[Customer Name])</f>
        <v>Transport Logistics</v>
      </c>
      <c r="L549" s="51" t="str">
        <f>_xlfn.XLOOKUP(transactions[[#This Row],[OpportunityID]],Opportunities[ID],Opportunities[OpportunityOwner])</f>
        <v>Sarah Director</v>
      </c>
      <c r="M549" s="51" t="str">
        <f ca="1">IF((transactions[[#This Row],[TransactionDate]]-TODAY())&lt;=366,transactions[[#This Row],[FQ]],"Out-year")</f>
        <v>Out-year</v>
      </c>
      <c r="N549" s="55">
        <f>transactions[[#This Row],[UnWeighted]]/1000</f>
        <v>29.322826923076921</v>
      </c>
      <c r="O549" s="55">
        <f>transactions[[#This Row],[Weighted]]/1000</f>
        <v>26.390544230769233</v>
      </c>
      <c r="P549" s="55">
        <f>transactions[[#This Row],[$K Unweighted]]/1000</f>
        <v>2.932282692307692E-2</v>
      </c>
      <c r="Q549" s="55" t="b">
        <f ca="1">transactions[[#This Row],[TransactionDate]]&gt;TODAY()</f>
        <v>1</v>
      </c>
    </row>
    <row r="550" spans="1:17" x14ac:dyDescent="0.25">
      <c r="A550">
        <v>11</v>
      </c>
      <c r="B550">
        <v>3</v>
      </c>
      <c r="C550" s="31">
        <v>47769</v>
      </c>
      <c r="D55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50" s="51" t="str">
        <f>"CY"&amp;RIGHT(YEAR(transactions[[#This Row],[TransactionDate]]),2)&amp;"-Q"&amp;ROUNDUP(MONTH(transactions[[#This Row],[TransactionDate]])/3, 0)</f>
        <v>CY30-Q4</v>
      </c>
      <c r="F550" s="52">
        <f>transactions[[#This Row],[UnWeighted]]*_xlfn.XLOOKUP(transactions[[#This Row],[OpportunityID]],Opportunities[ID],Opportunities[WinProbabilityValue])</f>
        <v>113460.75</v>
      </c>
      <c r="G550" s="52">
        <f>_xlfn.XLOOKUP(transactions[[#This Row],[OpportunityID]],Opportunities[ID],Opportunities[Amount])/IF(_xlfn.XLOOKUP(transactions[[#This Row],[OpportunityID]],Opportunities[ID],Opportunities[Recurrences])=0,1,_xlfn.XLOOKUP(transactions[[#This Row],[OpportunityID]],Opportunities[ID],Opportunities[Recurrences]))</f>
        <v>126067.5</v>
      </c>
      <c r="H550" s="51" t="str">
        <f>_xlfn.XLOOKUP(transactions[[#This Row],[OpportunityID]],Opportunities[ID],Opportunities[Status])</f>
        <v>At Risk</v>
      </c>
      <c r="I550" s="51" t="str">
        <f>_xlfn.XLOOKUP(transactions[[#This Row],[OpportunityID]],Opportunities[ID],Opportunities[Stage])</f>
        <v>Negotiation</v>
      </c>
      <c r="J550" s="51" t="str">
        <f>_xlfn.XLOOKUP(transactions[[#This Row],[OpportunityID]],Opportunities[ID],Opportunities[OpportunityName])</f>
        <v>Data Center Consolidation</v>
      </c>
      <c r="K550" s="51" t="str">
        <f>_xlfn.XLOOKUP(transactions[[#This Row],[CustomerId]],Customers[Id],Customers[Customer Name])</f>
        <v>Tech Solutions Inc</v>
      </c>
      <c r="L550" s="51" t="str">
        <f>_xlfn.XLOOKUP(transactions[[#This Row],[OpportunityID]],Opportunities[ID],Opportunities[OpportunityOwner])</f>
        <v>David Specialist</v>
      </c>
      <c r="M550" s="51" t="str">
        <f ca="1">IF((transactions[[#This Row],[TransactionDate]]-TODAY())&lt;=366,transactions[[#This Row],[FQ]],"Out-year")</f>
        <v>Out-year</v>
      </c>
      <c r="N550" s="55">
        <f>transactions[[#This Row],[UnWeighted]]/1000</f>
        <v>126.0675</v>
      </c>
      <c r="O550" s="55">
        <f>transactions[[#This Row],[Weighted]]/1000</f>
        <v>113.46075</v>
      </c>
      <c r="P550" s="55">
        <f>transactions[[#This Row],[$K Unweighted]]/1000</f>
        <v>0.1260675</v>
      </c>
      <c r="Q550" s="55" t="b">
        <f ca="1">transactions[[#This Row],[TransactionDate]]&gt;TODAY()</f>
        <v>1</v>
      </c>
    </row>
    <row r="551" spans="1:17" x14ac:dyDescent="0.25">
      <c r="A551">
        <v>12</v>
      </c>
      <c r="B551">
        <v>17</v>
      </c>
      <c r="C551" s="31">
        <v>47774</v>
      </c>
      <c r="D55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51" s="51" t="str">
        <f>"CY"&amp;RIGHT(YEAR(transactions[[#This Row],[TransactionDate]]),2)&amp;"-Q"&amp;ROUNDUP(MONTH(transactions[[#This Row],[TransactionDate]])/3, 0)</f>
        <v>CY30-Q4</v>
      </c>
      <c r="F551" s="52">
        <f>transactions[[#This Row],[UnWeighted]]*_xlfn.XLOOKUP(transactions[[#This Row],[OpportunityID]],Opportunities[ID],Opportunities[WinProbabilityValue])</f>
        <v>67945.3125</v>
      </c>
      <c r="G551" s="52">
        <f>_xlfn.XLOOKUP(transactions[[#This Row],[OpportunityID]],Opportunities[ID],Opportunities[Amount])/IF(_xlfn.XLOOKUP(transactions[[#This Row],[OpportunityID]],Opportunities[ID],Opportunities[Recurrences])=0,1,_xlfn.XLOOKUP(transactions[[#This Row],[OpportunityID]],Opportunities[ID],Opportunities[Recurrences]))</f>
        <v>135890.625</v>
      </c>
      <c r="H551" s="51" t="str">
        <f>_xlfn.XLOOKUP(transactions[[#This Row],[OpportunityID]],Opportunities[ID],Opportunities[Status])</f>
        <v>Active</v>
      </c>
      <c r="I551" s="51" t="str">
        <f>_xlfn.XLOOKUP(transactions[[#This Row],[OpportunityID]],Opportunities[ID],Opportunities[Stage])</f>
        <v>Project Execution</v>
      </c>
      <c r="J551" s="51" t="str">
        <f>_xlfn.XLOOKUP(transactions[[#This Row],[OpportunityID]],Opportunities[ID],Opportunities[OpportunityName])</f>
        <v>Cybersecurity Enhancement</v>
      </c>
      <c r="K551" s="51" t="str">
        <f>_xlfn.XLOOKUP(transactions[[#This Row],[CustomerId]],Customers[Id],Customers[Customer Name])</f>
        <v>Insurance Specialists</v>
      </c>
      <c r="L551" s="51" t="str">
        <f>_xlfn.XLOOKUP(transactions[[#This Row],[OpportunityID]],Opportunities[ID],Opportunities[OpportunityOwner])</f>
        <v>Dr. Tech Advisor</v>
      </c>
      <c r="M551" s="51" t="str">
        <f ca="1">IF((transactions[[#This Row],[TransactionDate]]-TODAY())&lt;=366,transactions[[#This Row],[FQ]],"Out-year")</f>
        <v>Out-year</v>
      </c>
      <c r="N551" s="55">
        <f>transactions[[#This Row],[UnWeighted]]/1000</f>
        <v>135.890625</v>
      </c>
      <c r="O551" s="55">
        <f>transactions[[#This Row],[Weighted]]/1000</f>
        <v>67.9453125</v>
      </c>
      <c r="P551" s="55">
        <f>transactions[[#This Row],[$K Unweighted]]/1000</f>
        <v>0.13589062499999999</v>
      </c>
      <c r="Q551" s="55" t="b">
        <f ca="1">transactions[[#This Row],[TransactionDate]]&gt;TODAY()</f>
        <v>1</v>
      </c>
    </row>
    <row r="552" spans="1:17" x14ac:dyDescent="0.25">
      <c r="A552">
        <v>30</v>
      </c>
      <c r="B552">
        <v>1</v>
      </c>
      <c r="C552" s="31">
        <v>47777</v>
      </c>
      <c r="D55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52" s="51" t="str">
        <f>"CY"&amp;RIGHT(YEAR(transactions[[#This Row],[TransactionDate]]),2)&amp;"-Q"&amp;ROUNDUP(MONTH(transactions[[#This Row],[TransactionDate]])/3, 0)</f>
        <v>CY30-Q4</v>
      </c>
      <c r="F552" s="52">
        <f>transactions[[#This Row],[UnWeighted]]*_xlfn.XLOOKUP(transactions[[#This Row],[OpportunityID]],Opportunities[ID],Opportunities[WinProbabilityValue])</f>
        <v>73260.25</v>
      </c>
      <c r="G552" s="52">
        <f>_xlfn.XLOOKUP(transactions[[#This Row],[OpportunityID]],Opportunities[ID],Opportunities[Amount])/IF(_xlfn.XLOOKUP(transactions[[#This Row],[OpportunityID]],Opportunities[ID],Opportunities[Recurrences])=0,1,_xlfn.XLOOKUP(transactions[[#This Row],[OpportunityID]],Opportunities[ID],Opportunities[Recurrences]))</f>
        <v>146520.5</v>
      </c>
      <c r="H552" s="51" t="str">
        <f>_xlfn.XLOOKUP(transactions[[#This Row],[OpportunityID]],Opportunities[ID],Opportunities[Status])</f>
        <v>Active</v>
      </c>
      <c r="I552" s="51" t="str">
        <f>_xlfn.XLOOKUP(transactions[[#This Row],[OpportunityID]],Opportunities[ID],Opportunities[Stage])</f>
        <v>Nurturing</v>
      </c>
      <c r="J552" s="51" t="str">
        <f>_xlfn.XLOOKUP(transactions[[#This Row],[OpportunityID]],Opportunities[ID],Opportunities[OpportunityName])</f>
        <v>Customer Service Platform</v>
      </c>
      <c r="K552" s="51" t="str">
        <f>_xlfn.XLOOKUP(transactions[[#This Row],[CustomerId]],Customers[Id],Customers[Customer Name])</f>
        <v>ACME Corporation</v>
      </c>
      <c r="L552" s="51" t="str">
        <f>_xlfn.XLOOKUP(transactions[[#This Row],[OpportunityID]],Opportunities[ID],Opportunities[OpportunityOwner])</f>
        <v>Maria Coordinator</v>
      </c>
      <c r="M552" s="51" t="str">
        <f ca="1">IF((transactions[[#This Row],[TransactionDate]]-TODAY())&lt;=366,transactions[[#This Row],[FQ]],"Out-year")</f>
        <v>Out-year</v>
      </c>
      <c r="N552" s="55">
        <f>transactions[[#This Row],[UnWeighted]]/1000</f>
        <v>146.5205</v>
      </c>
      <c r="O552" s="55">
        <f>transactions[[#This Row],[Weighted]]/1000</f>
        <v>73.260249999999999</v>
      </c>
      <c r="P552" s="55">
        <f>transactions[[#This Row],[$K Unweighted]]/1000</f>
        <v>0.1465205</v>
      </c>
      <c r="Q552" s="55" t="b">
        <f ca="1">transactions[[#This Row],[TransactionDate]]&gt;TODAY()</f>
        <v>1</v>
      </c>
    </row>
    <row r="553" spans="1:17" x14ac:dyDescent="0.25">
      <c r="A553">
        <v>13</v>
      </c>
      <c r="B553">
        <v>2</v>
      </c>
      <c r="C553" s="31">
        <v>47778</v>
      </c>
      <c r="D55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53" s="51" t="str">
        <f>"CY"&amp;RIGHT(YEAR(transactions[[#This Row],[TransactionDate]]),2)&amp;"-Q"&amp;ROUNDUP(MONTH(transactions[[#This Row],[TransactionDate]])/3, 0)</f>
        <v>CY30-Q4</v>
      </c>
      <c r="F553" s="52">
        <f>transactions[[#This Row],[UnWeighted]]*_xlfn.XLOOKUP(transactions[[#This Row],[OpportunityID]],Opportunities[ID],Opportunities[WinProbabilityValue])</f>
        <v>12618.744897959185</v>
      </c>
      <c r="G553" s="52">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53" s="51" t="str">
        <f>_xlfn.XLOOKUP(transactions[[#This Row],[OpportunityID]],Opportunities[ID],Opportunities[Status])</f>
        <v>Active</v>
      </c>
      <c r="I553" s="51" t="str">
        <f>_xlfn.XLOOKUP(transactions[[#This Row],[OpportunityID]],Opportunities[ID],Opportunities[Stage])</f>
        <v>Negotiation</v>
      </c>
      <c r="J553" s="51" t="str">
        <f>_xlfn.XLOOKUP(transactions[[#This Row],[OpportunityID]],Opportunities[ID],Opportunities[OpportunityName])</f>
        <v>E-commerce Platform</v>
      </c>
      <c r="K553" s="51" t="str">
        <f>_xlfn.XLOOKUP(transactions[[#This Row],[CustomerId]],Customers[Id],Customers[Customer Name])</f>
        <v>Global Industries</v>
      </c>
      <c r="L553" s="51" t="str">
        <f>_xlfn.XLOOKUP(transactions[[#This Row],[OpportunityID]],Opportunities[ID],Opportunities[OpportunityOwner])</f>
        <v>Lisa Engineer</v>
      </c>
      <c r="M553" s="51" t="str">
        <f ca="1">IF((transactions[[#This Row],[TransactionDate]]-TODAY())&lt;=366,transactions[[#This Row],[FQ]],"Out-year")</f>
        <v>Out-year</v>
      </c>
      <c r="N553" s="55">
        <f>transactions[[#This Row],[UnWeighted]]/1000</f>
        <v>25.237489795918368</v>
      </c>
      <c r="O553" s="55">
        <f>transactions[[#This Row],[Weighted]]/1000</f>
        <v>12.618744897959184</v>
      </c>
      <c r="P553" s="55">
        <f>transactions[[#This Row],[$K Unweighted]]/1000</f>
        <v>2.5237489795918368E-2</v>
      </c>
      <c r="Q553" s="55" t="b">
        <f ca="1">transactions[[#This Row],[TransactionDate]]&gt;TODAY()</f>
        <v>1</v>
      </c>
    </row>
    <row r="554" spans="1:17" x14ac:dyDescent="0.25">
      <c r="A554">
        <v>32</v>
      </c>
      <c r="B554">
        <v>29</v>
      </c>
      <c r="C554" s="31">
        <v>47779</v>
      </c>
      <c r="D55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54" s="51" t="str">
        <f>"CY"&amp;RIGHT(YEAR(transactions[[#This Row],[TransactionDate]]),2)&amp;"-Q"&amp;ROUNDUP(MONTH(transactions[[#This Row],[TransactionDate]])/3, 0)</f>
        <v>CY30-Q4</v>
      </c>
      <c r="F554" s="52">
        <f>transactions[[#This Row],[UnWeighted]]*_xlfn.XLOOKUP(transactions[[#This Row],[OpportunityID]],Opportunities[ID],Opportunities[WinProbabilityValue])</f>
        <v>19870.314285714288</v>
      </c>
      <c r="G554" s="52">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554" s="51" t="str">
        <f>_xlfn.XLOOKUP(transactions[[#This Row],[OpportunityID]],Opportunities[ID],Opportunities[Status])</f>
        <v>Active</v>
      </c>
      <c r="I554" s="51" t="str">
        <f>_xlfn.XLOOKUP(transactions[[#This Row],[OpportunityID]],Opportunities[ID],Opportunities[Stage])</f>
        <v>Proposal</v>
      </c>
      <c r="J554" s="51" t="str">
        <f>_xlfn.XLOOKUP(transactions[[#This Row],[OpportunityID]],Opportunities[ID],Opportunities[OpportunityName])</f>
        <v>Environmental Monitoring Solution</v>
      </c>
      <c r="K554" s="51" t="str">
        <f>_xlfn.XLOOKUP(transactions[[#This Row],[CustomerId]],Customers[Id],Customers[Customer Name])</f>
        <v>Waste Management Co</v>
      </c>
      <c r="L554" s="51" t="str">
        <f>_xlfn.XLOOKUP(transactions[[#This Row],[OpportunityID]],Opportunities[ID],Opportunities[OpportunityOwner])</f>
        <v>Jennifer PM</v>
      </c>
      <c r="M554" s="51" t="str">
        <f ca="1">IF((transactions[[#This Row],[TransactionDate]]-TODAY())&lt;=366,transactions[[#This Row],[FQ]],"Out-year")</f>
        <v>Out-year</v>
      </c>
      <c r="N554" s="55">
        <f>transactions[[#This Row],[UnWeighted]]/1000</f>
        <v>99.351571428571432</v>
      </c>
      <c r="O554" s="55">
        <f>transactions[[#This Row],[Weighted]]/1000</f>
        <v>19.87031428571429</v>
      </c>
      <c r="P554" s="55">
        <f>transactions[[#This Row],[$K Unweighted]]/1000</f>
        <v>9.9351571428571428E-2</v>
      </c>
      <c r="Q554" s="55" t="b">
        <f ca="1">transactions[[#This Row],[TransactionDate]]&gt;TODAY()</f>
        <v>1</v>
      </c>
    </row>
    <row r="555" spans="1:17" x14ac:dyDescent="0.25">
      <c r="A555">
        <v>39</v>
      </c>
      <c r="B555">
        <v>3</v>
      </c>
      <c r="C555" s="31">
        <v>47790</v>
      </c>
      <c r="D55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5" s="51" t="str">
        <f>"CY"&amp;RIGHT(YEAR(transactions[[#This Row],[TransactionDate]]),2)&amp;"-Q"&amp;ROUNDUP(MONTH(transactions[[#This Row],[TransactionDate]])/3, 0)</f>
        <v>CY30-Q4</v>
      </c>
      <c r="F555" s="52">
        <f>transactions[[#This Row],[UnWeighted]]*_xlfn.XLOOKUP(transactions[[#This Row],[OpportunityID]],Opportunities[ID],Opportunities[WinProbabilityValue])</f>
        <v>20929.153846153848</v>
      </c>
      <c r="G555"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55" s="51" t="str">
        <f>_xlfn.XLOOKUP(transactions[[#This Row],[OpportunityID]],Opportunities[ID],Opportunities[Status])</f>
        <v>Active</v>
      </c>
      <c r="I555" s="51" t="str">
        <f>_xlfn.XLOOKUP(transactions[[#This Row],[OpportunityID]],Opportunities[ID],Opportunities[Stage])</f>
        <v>Project Execution</v>
      </c>
      <c r="J555" s="51" t="str">
        <f>_xlfn.XLOOKUP(transactions[[#This Row],[OpportunityID]],Opportunities[ID],Opportunities[OpportunityName])</f>
        <v>API Development Project</v>
      </c>
      <c r="K555" s="51" t="str">
        <f>_xlfn.XLOOKUP(transactions[[#This Row],[CustomerId]],Customers[Id],Customers[Customer Name])</f>
        <v>Tech Solutions Inc</v>
      </c>
      <c r="L555" s="51" t="str">
        <f>_xlfn.XLOOKUP(transactions[[#This Row],[OpportunityID]],Opportunities[ID],Opportunities[OpportunityOwner])</f>
        <v>Jennifer PM</v>
      </c>
      <c r="M555" s="51" t="str">
        <f ca="1">IF((transactions[[#This Row],[TransactionDate]]-TODAY())&lt;=366,transactions[[#This Row],[FQ]],"Out-year")</f>
        <v>Out-year</v>
      </c>
      <c r="N555" s="55">
        <f>transactions[[#This Row],[UnWeighted]]/1000</f>
        <v>41.858307692307697</v>
      </c>
      <c r="O555" s="55">
        <f>transactions[[#This Row],[Weighted]]/1000</f>
        <v>20.929153846153849</v>
      </c>
      <c r="P555" s="55">
        <f>transactions[[#This Row],[$K Unweighted]]/1000</f>
        <v>4.1858307692307695E-2</v>
      </c>
      <c r="Q555" s="55" t="b">
        <f ca="1">transactions[[#This Row],[TransactionDate]]&gt;TODAY()</f>
        <v>1</v>
      </c>
    </row>
    <row r="556" spans="1:17" x14ac:dyDescent="0.25">
      <c r="A556">
        <v>15</v>
      </c>
      <c r="B556">
        <v>24</v>
      </c>
      <c r="C556" s="31">
        <v>47794</v>
      </c>
      <c r="D55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6" s="51" t="str">
        <f>"CY"&amp;RIGHT(YEAR(transactions[[#This Row],[TransactionDate]]),2)&amp;"-Q"&amp;ROUNDUP(MONTH(transactions[[#This Row],[TransactionDate]])/3, 0)</f>
        <v>CY30-Q4</v>
      </c>
      <c r="F556" s="52">
        <f>transactions[[#This Row],[UnWeighted]]*_xlfn.XLOOKUP(transactions[[#This Row],[OpportunityID]],Opportunities[ID],Opportunities[WinProbabilityValue])</f>
        <v>29217.197872340425</v>
      </c>
      <c r="G556" s="52">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56" s="51" t="str">
        <f>_xlfn.XLOOKUP(transactions[[#This Row],[OpportunityID]],Opportunities[ID],Opportunities[Status])</f>
        <v>Active</v>
      </c>
      <c r="I556" s="51" t="str">
        <f>_xlfn.XLOOKUP(transactions[[#This Row],[OpportunityID]],Opportunities[ID],Opportunities[Stage])</f>
        <v>Project Execution</v>
      </c>
      <c r="J556" s="51" t="str">
        <f>_xlfn.XLOOKUP(transactions[[#This Row],[OpportunityID]],Opportunities[ID],Opportunities[OpportunityName])</f>
        <v>Training &amp; Development Program</v>
      </c>
      <c r="K556" s="51" t="str">
        <f>_xlfn.XLOOKUP(transactions[[#This Row],[CustomerId]],Customers[Id],Customers[Customer Name])</f>
        <v>Security Solutions</v>
      </c>
      <c r="L556" s="51" t="str">
        <f>_xlfn.XLOOKUP(transactions[[#This Row],[OpportunityID]],Opportunities[ID],Opportunities[OpportunityOwner])</f>
        <v>Sarah Director</v>
      </c>
      <c r="M556" s="51" t="str">
        <f ca="1">IF((transactions[[#This Row],[TransactionDate]]-TODAY())&lt;=366,transactions[[#This Row],[FQ]],"Out-year")</f>
        <v>Out-year</v>
      </c>
      <c r="N556" s="55">
        <f>transactions[[#This Row],[UnWeighted]]/1000</f>
        <v>32.46355319148936</v>
      </c>
      <c r="O556" s="55">
        <f>transactions[[#This Row],[Weighted]]/1000</f>
        <v>29.217197872340424</v>
      </c>
      <c r="P556" s="55">
        <f>transactions[[#This Row],[$K Unweighted]]/1000</f>
        <v>3.2463553191489358E-2</v>
      </c>
      <c r="Q556" s="55" t="b">
        <f ca="1">transactions[[#This Row],[TransactionDate]]&gt;TODAY()</f>
        <v>1</v>
      </c>
    </row>
    <row r="557" spans="1:17" x14ac:dyDescent="0.25">
      <c r="A557">
        <v>22</v>
      </c>
      <c r="B557">
        <v>11</v>
      </c>
      <c r="C557" s="31">
        <v>47798</v>
      </c>
      <c r="D55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7" s="51" t="str">
        <f>"CY"&amp;RIGHT(YEAR(transactions[[#This Row],[TransactionDate]]),2)&amp;"-Q"&amp;ROUNDUP(MONTH(transactions[[#This Row],[TransactionDate]])/3, 0)</f>
        <v>CY30-Q4</v>
      </c>
      <c r="F557" s="52">
        <f>transactions[[#This Row],[UnWeighted]]*_xlfn.XLOOKUP(transactions[[#This Row],[OpportunityID]],Opportunities[ID],Opportunities[WinProbabilityValue])</f>
        <v>26390.544230769232</v>
      </c>
      <c r="G557" s="52">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57" s="51" t="str">
        <f>_xlfn.XLOOKUP(transactions[[#This Row],[OpportunityID]],Opportunities[ID],Opportunities[Status])</f>
        <v>Active</v>
      </c>
      <c r="I557" s="51" t="str">
        <f>_xlfn.XLOOKUP(transactions[[#This Row],[OpportunityID]],Opportunities[ID],Opportunities[Stage])</f>
        <v>Nurturing</v>
      </c>
      <c r="J557" s="51" t="str">
        <f>_xlfn.XLOOKUP(transactions[[#This Row],[OpportunityID]],Opportunities[ID],Opportunities[OpportunityName])</f>
        <v>Inventory Management Solution</v>
      </c>
      <c r="K557" s="51" t="str">
        <f>_xlfn.XLOOKUP(transactions[[#This Row],[CustomerId]],Customers[Id],Customers[Customer Name])</f>
        <v>Transport Logistics</v>
      </c>
      <c r="L557" s="51" t="str">
        <f>_xlfn.XLOOKUP(transactions[[#This Row],[OpportunityID]],Opportunities[ID],Opportunities[OpportunityOwner])</f>
        <v>Sarah Director</v>
      </c>
      <c r="M557" s="51" t="str">
        <f ca="1">IF((transactions[[#This Row],[TransactionDate]]-TODAY())&lt;=366,transactions[[#This Row],[FQ]],"Out-year")</f>
        <v>Out-year</v>
      </c>
      <c r="N557" s="55">
        <f>transactions[[#This Row],[UnWeighted]]/1000</f>
        <v>29.322826923076921</v>
      </c>
      <c r="O557" s="55">
        <f>transactions[[#This Row],[Weighted]]/1000</f>
        <v>26.390544230769233</v>
      </c>
      <c r="P557" s="55">
        <f>transactions[[#This Row],[$K Unweighted]]/1000</f>
        <v>2.932282692307692E-2</v>
      </c>
      <c r="Q557" s="55" t="b">
        <f ca="1">transactions[[#This Row],[TransactionDate]]&gt;TODAY()</f>
        <v>1</v>
      </c>
    </row>
    <row r="558" spans="1:17" x14ac:dyDescent="0.25">
      <c r="A558">
        <v>27</v>
      </c>
      <c r="B558">
        <v>2</v>
      </c>
      <c r="C558" s="31">
        <v>47804</v>
      </c>
      <c r="D55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8" s="51" t="str">
        <f>"CY"&amp;RIGHT(YEAR(transactions[[#This Row],[TransactionDate]]),2)&amp;"-Q"&amp;ROUNDUP(MONTH(transactions[[#This Row],[TransactionDate]])/3, 0)</f>
        <v>CY30-Q4</v>
      </c>
      <c r="F558" s="52">
        <f>transactions[[#This Row],[UnWeighted]]*_xlfn.XLOOKUP(transactions[[#This Row],[OpportunityID]],Opportunities[ID],Opportunities[WinProbabilityValue])</f>
        <v>46287.333333333336</v>
      </c>
      <c r="G558" s="52">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558" s="51" t="str">
        <f>_xlfn.XLOOKUP(transactions[[#This Row],[OpportunityID]],Opportunities[ID],Opportunities[Status])</f>
        <v>Active</v>
      </c>
      <c r="I558" s="51" t="str">
        <f>_xlfn.XLOOKUP(transactions[[#This Row],[OpportunityID]],Opportunities[ID],Opportunities[Stage])</f>
        <v>Lead Qualification</v>
      </c>
      <c r="J558" s="51" t="str">
        <f>_xlfn.XLOOKUP(transactions[[#This Row],[OpportunityID]],Opportunities[ID],Opportunities[OpportunityName])</f>
        <v>Backup &amp; Recovery System</v>
      </c>
      <c r="K558" s="51" t="str">
        <f>_xlfn.XLOOKUP(transactions[[#This Row],[CustomerId]],Customers[Id],Customers[Customer Name])</f>
        <v>Global Industries</v>
      </c>
      <c r="L558" s="51" t="str">
        <f>_xlfn.XLOOKUP(transactions[[#This Row],[OpportunityID]],Opportunities[ID],Opportunities[OpportunityOwner])</f>
        <v>Amanda Sales</v>
      </c>
      <c r="M558" s="51" t="str">
        <f ca="1">IF((transactions[[#This Row],[TransactionDate]]-TODAY())&lt;=366,transactions[[#This Row],[FQ]],"Out-year")</f>
        <v>Out-year</v>
      </c>
      <c r="N558" s="55">
        <f>transactions[[#This Row],[UnWeighted]]/1000</f>
        <v>92.574666666666673</v>
      </c>
      <c r="O558" s="55">
        <f>transactions[[#This Row],[Weighted]]/1000</f>
        <v>46.287333333333336</v>
      </c>
      <c r="P558" s="55">
        <f>transactions[[#This Row],[$K Unweighted]]/1000</f>
        <v>9.2574666666666666E-2</v>
      </c>
      <c r="Q558" s="55" t="b">
        <f ca="1">transactions[[#This Row],[TransactionDate]]&gt;TODAY()</f>
        <v>1</v>
      </c>
    </row>
    <row r="559" spans="1:17" x14ac:dyDescent="0.25">
      <c r="A559">
        <v>39</v>
      </c>
      <c r="B559">
        <v>3</v>
      </c>
      <c r="C559" s="31">
        <v>47820</v>
      </c>
      <c r="D55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9" s="51" t="str">
        <f>"CY"&amp;RIGHT(YEAR(transactions[[#This Row],[TransactionDate]]),2)&amp;"-Q"&amp;ROUNDUP(MONTH(transactions[[#This Row],[TransactionDate]])/3, 0)</f>
        <v>CY30-Q4</v>
      </c>
      <c r="F559" s="52">
        <f>transactions[[#This Row],[UnWeighted]]*_xlfn.XLOOKUP(transactions[[#This Row],[OpportunityID]],Opportunities[ID],Opportunities[WinProbabilityValue])</f>
        <v>20929.153846153848</v>
      </c>
      <c r="G559" s="52">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59" s="51" t="str">
        <f>_xlfn.XLOOKUP(transactions[[#This Row],[OpportunityID]],Opportunities[ID],Opportunities[Status])</f>
        <v>Active</v>
      </c>
      <c r="I559" s="51" t="str">
        <f>_xlfn.XLOOKUP(transactions[[#This Row],[OpportunityID]],Opportunities[ID],Opportunities[Stage])</f>
        <v>Project Execution</v>
      </c>
      <c r="J559" s="51" t="str">
        <f>_xlfn.XLOOKUP(transactions[[#This Row],[OpportunityID]],Opportunities[ID],Opportunities[OpportunityName])</f>
        <v>API Development Project</v>
      </c>
      <c r="K559" s="51" t="str">
        <f>_xlfn.XLOOKUP(transactions[[#This Row],[CustomerId]],Customers[Id],Customers[Customer Name])</f>
        <v>Tech Solutions Inc</v>
      </c>
      <c r="L559" s="51" t="str">
        <f>_xlfn.XLOOKUP(transactions[[#This Row],[OpportunityID]],Opportunities[ID],Opportunities[OpportunityOwner])</f>
        <v>Jennifer PM</v>
      </c>
      <c r="M559" s="51" t="str">
        <f ca="1">IF((transactions[[#This Row],[TransactionDate]]-TODAY())&lt;=366,transactions[[#This Row],[FQ]],"Out-year")</f>
        <v>Out-year</v>
      </c>
      <c r="N559" s="55">
        <f>transactions[[#This Row],[UnWeighted]]/1000</f>
        <v>41.858307692307697</v>
      </c>
      <c r="O559" s="55">
        <f>transactions[[#This Row],[Weighted]]/1000</f>
        <v>20.929153846153849</v>
      </c>
      <c r="P559" s="55">
        <f>transactions[[#This Row],[$K Unweighted]]/1000</f>
        <v>4.1858307692307695E-2</v>
      </c>
      <c r="Q559" s="55" t="b">
        <f ca="1">transactions[[#This Row],[TransactionDate]]&gt;TODAY()</f>
        <v>1</v>
      </c>
    </row>
    <row r="560" spans="1:17" x14ac:dyDescent="0.25">
      <c r="A560">
        <v>6</v>
      </c>
      <c r="B560">
        <v>13</v>
      </c>
      <c r="C560" s="31">
        <v>47843</v>
      </c>
      <c r="D56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60" s="51" t="str">
        <f>"CY"&amp;RIGHT(YEAR(transactions[[#This Row],[TransactionDate]]),2)&amp;"-Q"&amp;ROUNDUP(MONTH(transactions[[#This Row],[TransactionDate]])/3, 0)</f>
        <v>CY30-Q4</v>
      </c>
      <c r="F560" s="52">
        <f>transactions[[#This Row],[UnWeighted]]*_xlfn.XLOOKUP(transactions[[#This Row],[OpportunityID]],Opportunities[ID],Opportunities[WinProbabilityValue])</f>
        <v>37550.227272727272</v>
      </c>
      <c r="G560" s="52">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560" s="51" t="str">
        <f>_xlfn.XLOOKUP(transactions[[#This Row],[OpportunityID]],Opportunities[ID],Opportunities[Status])</f>
        <v>Active</v>
      </c>
      <c r="I560" s="51" t="str">
        <f>_xlfn.XLOOKUP(transactions[[#This Row],[OpportunityID]],Opportunities[ID],Opportunities[Stage])</f>
        <v>Project Execution</v>
      </c>
      <c r="J560" s="51" t="str">
        <f>_xlfn.XLOOKUP(transactions[[#This Row],[OpportunityID]],Opportunities[ID],Opportunities[OpportunityName])</f>
        <v>Digital Transformation Project</v>
      </c>
      <c r="K560" s="51" t="str">
        <f>_xlfn.XLOOKUP(transactions[[#This Row],[CustomerId]],Customers[Id],Customers[Customer Name])</f>
        <v>Professional Services Group</v>
      </c>
      <c r="L560" s="51" t="str">
        <f>_xlfn.XLOOKUP(transactions[[#This Row],[OpportunityID]],Opportunities[ID],Opportunities[OpportunityOwner])</f>
        <v>Robert Analyst</v>
      </c>
      <c r="M560" s="51" t="str">
        <f ca="1">IF((transactions[[#This Row],[TransactionDate]]-TODAY())&lt;=366,transactions[[#This Row],[FQ]],"Out-year")</f>
        <v>Out-year</v>
      </c>
      <c r="N560" s="55">
        <f>transactions[[#This Row],[UnWeighted]]/1000</f>
        <v>75.100454545454539</v>
      </c>
      <c r="O560" s="55">
        <f>transactions[[#This Row],[Weighted]]/1000</f>
        <v>37.55022727272727</v>
      </c>
      <c r="P560" s="55">
        <f>transactions[[#This Row],[$K Unweighted]]/1000</f>
        <v>7.510045454545454E-2</v>
      </c>
      <c r="Q560" s="55" t="b">
        <f ca="1">transactions[[#This Row],[TransactionDate]]&gt;TODAY()</f>
        <v>1</v>
      </c>
    </row>
    <row r="561" spans="1:17" x14ac:dyDescent="0.25">
      <c r="A561">
        <v>38</v>
      </c>
      <c r="B561">
        <v>21</v>
      </c>
      <c r="C561" s="31">
        <v>47847</v>
      </c>
      <c r="D56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61" s="51" t="str">
        <f>"CY"&amp;RIGHT(YEAR(transactions[[#This Row],[TransactionDate]]),2)&amp;"-Q"&amp;ROUNDUP(MONTH(transactions[[#This Row],[TransactionDate]])/3, 0)</f>
        <v>CY30-Q4</v>
      </c>
      <c r="F561" s="52">
        <f>transactions[[#This Row],[UnWeighted]]*_xlfn.XLOOKUP(transactions[[#This Row],[OpportunityID]],Opportunities[ID],Opportunities[WinProbabilityValue])</f>
        <v>50822.5</v>
      </c>
      <c r="G561" s="52">
        <f>_xlfn.XLOOKUP(transactions[[#This Row],[OpportunityID]],Opportunities[ID],Opportunities[Amount])/IF(_xlfn.XLOOKUP(transactions[[#This Row],[OpportunityID]],Opportunities[ID],Opportunities[Recurrences])=0,1,_xlfn.XLOOKUP(transactions[[#This Row],[OpportunityID]],Opportunities[ID],Opportunities[Recurrences]))</f>
        <v>101645</v>
      </c>
      <c r="H561" s="51" t="str">
        <f>_xlfn.XLOOKUP(transactions[[#This Row],[OpportunityID]],Opportunities[ID],Opportunities[Status])</f>
        <v>Active</v>
      </c>
      <c r="I561" s="51" t="str">
        <f>_xlfn.XLOOKUP(transactions[[#This Row],[OpportunityID]],Opportunities[ID],Opportunities[Stage])</f>
        <v>Proposal</v>
      </c>
      <c r="J561" s="51" t="str">
        <f>_xlfn.XLOOKUP(transactions[[#This Row],[OpportunityID]],Opportunities[ID],Opportunities[OpportunityName])</f>
        <v>Legacy System Modernization</v>
      </c>
      <c r="K561" s="51" t="str">
        <f>_xlfn.XLOOKUP(transactions[[#This Row],[CustomerId]],Customers[Id],Customers[Customer Name])</f>
        <v>Textile Manufacturing</v>
      </c>
      <c r="L561" s="51" t="str">
        <f>_xlfn.XLOOKUP(transactions[[#This Row],[OpportunityID]],Opportunities[ID],Opportunities[OpportunityOwner])</f>
        <v>Lisa Engineer</v>
      </c>
      <c r="M561" s="51" t="str">
        <f ca="1">IF((transactions[[#This Row],[TransactionDate]]-TODAY())&lt;=366,transactions[[#This Row],[FQ]],"Out-year")</f>
        <v>Out-year</v>
      </c>
      <c r="N561" s="55">
        <f>transactions[[#This Row],[UnWeighted]]/1000</f>
        <v>101.645</v>
      </c>
      <c r="O561" s="55">
        <f>transactions[[#This Row],[Weighted]]/1000</f>
        <v>50.822499999999998</v>
      </c>
      <c r="P561" s="55">
        <f>transactions[[#This Row],[$K Unweighted]]/1000</f>
        <v>0.101645</v>
      </c>
      <c r="Q561" s="55" t="b">
        <f ca="1">transactions[[#This Row],[TransactionDate]]&gt;TODAY()</f>
        <v>1</v>
      </c>
    </row>
    <row r="562" spans="1:17" x14ac:dyDescent="0.25">
      <c r="A562">
        <v>40</v>
      </c>
      <c r="B562">
        <v>15</v>
      </c>
      <c r="C562" s="31">
        <v>47867</v>
      </c>
      <c r="D56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62" s="51" t="str">
        <f>"CY"&amp;RIGHT(YEAR(transactions[[#This Row],[TransactionDate]]),2)&amp;"-Q"&amp;ROUNDUP(MONTH(transactions[[#This Row],[TransactionDate]])/3, 0)</f>
        <v>CY31-Q1</v>
      </c>
      <c r="F562" s="52">
        <f>transactions[[#This Row],[UnWeighted]]*_xlfn.XLOOKUP(transactions[[#This Row],[OpportunityID]],Opportunities[ID],Opportunities[WinProbabilityValue])</f>
        <v>36144.450000000004</v>
      </c>
      <c r="G562" s="52">
        <f>_xlfn.XLOOKUP(transactions[[#This Row],[OpportunityID]],Opportunities[ID],Opportunities[Amount])/IF(_xlfn.XLOOKUP(transactions[[#This Row],[OpportunityID]],Opportunities[ID],Opportunities[Recurrences])=0,1,_xlfn.XLOOKUP(transactions[[#This Row],[OpportunityID]],Opportunities[ID],Opportunities[Recurrences]))</f>
        <v>40160.5</v>
      </c>
      <c r="H562" s="51" t="str">
        <f>_xlfn.XLOOKUP(transactions[[#This Row],[OpportunityID]],Opportunities[ID],Opportunities[Status])</f>
        <v>Active</v>
      </c>
      <c r="I562" s="51" t="str">
        <f>_xlfn.XLOOKUP(transactions[[#This Row],[OpportunityID]],Opportunities[ID],Opportunities[Stage])</f>
        <v>Proposal</v>
      </c>
      <c r="J562" s="51" t="str">
        <f>_xlfn.XLOOKUP(transactions[[#This Row],[OpportunityID]],Opportunities[ID],Opportunities[OpportunityName])</f>
        <v>Machine Learning Implementation</v>
      </c>
      <c r="K562" s="51" t="str">
        <f>_xlfn.XLOOKUP(transactions[[#This Row],[CustomerId]],Customers[Id],Customers[Customer Name])</f>
        <v>Pharmaceutical Research</v>
      </c>
      <c r="L562" s="51" t="str">
        <f>_xlfn.XLOOKUP(transactions[[#This Row],[OpportunityID]],Opportunities[ID],Opportunities[OpportunityOwner])</f>
        <v>Mike Consultant</v>
      </c>
      <c r="M562" s="51" t="str">
        <f ca="1">IF((transactions[[#This Row],[TransactionDate]]-TODAY())&lt;=366,transactions[[#This Row],[FQ]],"Out-year")</f>
        <v>Out-year</v>
      </c>
      <c r="N562" s="55">
        <f>transactions[[#This Row],[UnWeighted]]/1000</f>
        <v>40.160499999999999</v>
      </c>
      <c r="O562" s="55">
        <f>transactions[[#This Row],[Weighted]]/1000</f>
        <v>36.144450000000006</v>
      </c>
      <c r="P562" s="55">
        <f>transactions[[#This Row],[$K Unweighted]]/1000</f>
        <v>4.0160500000000002E-2</v>
      </c>
      <c r="Q562" s="55" t="b">
        <f ca="1">transactions[[#This Row],[TransactionDate]]&gt;TODAY()</f>
        <v>1</v>
      </c>
    </row>
    <row r="563" spans="1:17" x14ac:dyDescent="0.25">
      <c r="A563">
        <v>18</v>
      </c>
      <c r="B563">
        <v>9</v>
      </c>
      <c r="C563" s="31">
        <v>47876</v>
      </c>
      <c r="D56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63" s="51" t="str">
        <f>"CY"&amp;RIGHT(YEAR(transactions[[#This Row],[TransactionDate]]),2)&amp;"-Q"&amp;ROUNDUP(MONTH(transactions[[#This Row],[TransactionDate]])/3, 0)</f>
        <v>CY31-Q1</v>
      </c>
      <c r="F563" s="52">
        <f>transactions[[#This Row],[UnWeighted]]*_xlfn.XLOOKUP(transactions[[#This Row],[OpportunityID]],Opportunities[ID],Opportunities[WinProbabilityValue])</f>
        <v>110906.4</v>
      </c>
      <c r="G563" s="52">
        <f>_xlfn.XLOOKUP(transactions[[#This Row],[OpportunityID]],Opportunities[ID],Opportunities[Amount])/IF(_xlfn.XLOOKUP(transactions[[#This Row],[OpportunityID]],Opportunities[ID],Opportunities[Recurrences])=0,1,_xlfn.XLOOKUP(transactions[[#This Row],[OpportunityID]],Opportunities[ID],Opportunities[Recurrences]))</f>
        <v>221812.8</v>
      </c>
      <c r="H563" s="51" t="str">
        <f>_xlfn.XLOOKUP(transactions[[#This Row],[OpportunityID]],Opportunities[ID],Opportunities[Status])</f>
        <v>Active</v>
      </c>
      <c r="I563" s="51" t="str">
        <f>_xlfn.XLOOKUP(transactions[[#This Row],[OpportunityID]],Opportunities[ID],Opportunities[Stage])</f>
        <v>Lead Qualification</v>
      </c>
      <c r="J563" s="51" t="str">
        <f>_xlfn.XLOOKUP(transactions[[#This Row],[OpportunityID]],Opportunities[ID],Opportunities[OpportunityName])</f>
        <v>Financial Planning Software</v>
      </c>
      <c r="K563" s="51" t="str">
        <f>_xlfn.XLOOKUP(transactions[[#This Row],[CustomerId]],Customers[Id],Customers[Customer Name])</f>
        <v>Construction Dynamics</v>
      </c>
      <c r="L563" s="51" t="str">
        <f>_xlfn.XLOOKUP(transactions[[#This Row],[OpportunityID]],Opportunities[ID],Opportunities[OpportunityOwner])</f>
        <v>Dr. Tech Advisor</v>
      </c>
      <c r="M563" s="51" t="str">
        <f ca="1">IF((transactions[[#This Row],[TransactionDate]]-TODAY())&lt;=366,transactions[[#This Row],[FQ]],"Out-year")</f>
        <v>Out-year</v>
      </c>
      <c r="N563" s="55">
        <f>transactions[[#This Row],[UnWeighted]]/1000</f>
        <v>221.81279999999998</v>
      </c>
      <c r="O563" s="55">
        <f>transactions[[#This Row],[Weighted]]/1000</f>
        <v>110.90639999999999</v>
      </c>
      <c r="P563" s="55">
        <f>transactions[[#This Row],[$K Unweighted]]/1000</f>
        <v>0.22181279999999998</v>
      </c>
      <c r="Q563" s="55" t="b">
        <f ca="1">transactions[[#This Row],[TransactionDate]]&gt;TODAY()</f>
        <v>1</v>
      </c>
    </row>
    <row r="564" spans="1:17" x14ac:dyDescent="0.25">
      <c r="A564">
        <v>24</v>
      </c>
      <c r="B564">
        <v>27</v>
      </c>
      <c r="C564" s="31">
        <v>47913</v>
      </c>
      <c r="D56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FY32-Q1</v>
      </c>
      <c r="E564" s="51" t="str">
        <f>"CY"&amp;RIGHT(YEAR(transactions[[#This Row],[TransactionDate]]),2)&amp;"-Q"&amp;ROUNDUP(MONTH(transactions[[#This Row],[TransactionDate]])/3, 0)</f>
        <v>CY31-Q1</v>
      </c>
      <c r="F564" s="52">
        <f>transactions[[#This Row],[UnWeighted]]*_xlfn.XLOOKUP(transactions[[#This Row],[OpportunityID]],Opportunities[ID],Opportunities[WinProbabilityValue])</f>
        <v>33162.73333333333</v>
      </c>
      <c r="G564" s="52">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564" s="51" t="str">
        <f>_xlfn.XLOOKUP(transactions[[#This Row],[OpportunityID]],Opportunities[ID],Opportunities[Status])</f>
        <v>Active</v>
      </c>
      <c r="I564" s="51" t="str">
        <f>_xlfn.XLOOKUP(transactions[[#This Row],[OpportunityID]],Opportunities[ID],Opportunities[Stage])</f>
        <v>Nurturing</v>
      </c>
      <c r="J564" s="51" t="str">
        <f>_xlfn.XLOOKUP(transactions[[#This Row],[OpportunityID]],Opportunities[ID],Opportunities[OpportunityName])</f>
        <v>Compliance Management Tool</v>
      </c>
      <c r="K564" s="51" t="str">
        <f>_xlfn.XLOOKUP(transactions[[#This Row],[CustomerId]],Customers[Id],Customers[Customer Name])</f>
        <v>Mining Operations</v>
      </c>
      <c r="L564" s="51" t="str">
        <f>_xlfn.XLOOKUP(transactions[[#This Row],[OpportunityID]],Opportunities[ID],Opportunities[OpportunityOwner])</f>
        <v>Dr. Tech Advisor</v>
      </c>
      <c r="M564" s="51" t="str">
        <f ca="1">IF((transactions[[#This Row],[TransactionDate]]-TODAY())&lt;=366,transactions[[#This Row],[FQ]],"Out-year")</f>
        <v>Out-year</v>
      </c>
      <c r="N564" s="55">
        <f>transactions[[#This Row],[UnWeighted]]/1000</f>
        <v>165.81366666666665</v>
      </c>
      <c r="O564" s="55">
        <f>transactions[[#This Row],[Weighted]]/1000</f>
        <v>33.162733333333328</v>
      </c>
      <c r="P564" s="55">
        <f>transactions[[#This Row],[$K Unweighted]]/1000</f>
        <v>0.16581366666666664</v>
      </c>
      <c r="Q564" s="55" t="b">
        <f ca="1">transactions[[#This Row],[TransactionDate]]&gt;TODAY()</f>
        <v>1</v>
      </c>
    </row>
    <row r="565" spans="1:17" x14ac:dyDescent="0.25">
      <c r="A565">
        <v>29</v>
      </c>
      <c r="B565">
        <v>10</v>
      </c>
      <c r="C565" s="31">
        <v>47976</v>
      </c>
      <c r="D56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FY32-Q2</v>
      </c>
      <c r="E565" s="51" t="str">
        <f>"CY"&amp;RIGHT(YEAR(transactions[[#This Row],[TransactionDate]]),2)&amp;"-Q"&amp;ROUNDUP(MONTH(transactions[[#This Row],[TransactionDate]])/3, 0)</f>
        <v>CY31-Q2</v>
      </c>
      <c r="F565" s="52">
        <f>transactions[[#This Row],[UnWeighted]]*_xlfn.XLOOKUP(transactions[[#This Row],[OpportunityID]],Opportunities[ID],Opportunities[WinProbabilityValue])</f>
        <v>150480.08333333334</v>
      </c>
      <c r="G565" s="52">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565" s="51" t="str">
        <f>_xlfn.XLOOKUP(transactions[[#This Row],[OpportunityID]],Opportunities[ID],Opportunities[Status])</f>
        <v>Active</v>
      </c>
      <c r="I565" s="51" t="str">
        <f>_xlfn.XLOOKUP(transactions[[#This Row],[OpportunityID]],Opportunities[ID],Opportunities[Stage])</f>
        <v>Project Execution</v>
      </c>
      <c r="J565" s="51" t="str">
        <f>_xlfn.XLOOKUP(transactions[[#This Row],[OpportunityID]],Opportunities[ID],Opportunities[OpportunityName])</f>
        <v>Social Media Management Tool</v>
      </c>
      <c r="K565" s="51" t="str">
        <f>_xlfn.XLOOKUP(transactions[[#This Row],[CustomerId]],Customers[Id],Customers[Customer Name])</f>
        <v>Education First</v>
      </c>
      <c r="L565" s="51" t="str">
        <f>_xlfn.XLOOKUP(transactions[[#This Row],[OpportunityID]],Opportunities[ID],Opportunities[OpportunityOwner])</f>
        <v>Maria Coordinator</v>
      </c>
      <c r="M565" s="51" t="str">
        <f ca="1">IF((transactions[[#This Row],[TransactionDate]]-TODAY())&lt;=366,transactions[[#This Row],[FQ]],"Out-year")</f>
        <v>Out-year</v>
      </c>
      <c r="N565" s="55">
        <f>transactions[[#This Row],[UnWeighted]]/1000</f>
        <v>300.96016666666668</v>
      </c>
      <c r="O565" s="55">
        <f>transactions[[#This Row],[Weighted]]/1000</f>
        <v>150.48008333333334</v>
      </c>
      <c r="P565" s="55">
        <f>transactions[[#This Row],[$K Unweighted]]/1000</f>
        <v>0.3009601666666667</v>
      </c>
      <c r="Q565" s="55" t="b">
        <f ca="1">transactions[[#This Row],[TransactionDate]]&gt;TODAY()</f>
        <v>1</v>
      </c>
    </row>
    <row r="566" spans="1:17" x14ac:dyDescent="0.25">
      <c r="A566">
        <v>1</v>
      </c>
      <c r="B566">
        <v>18</v>
      </c>
      <c r="C566" s="31">
        <v>48016</v>
      </c>
      <c r="D56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FY32-Q2</v>
      </c>
      <c r="E566" s="51" t="str">
        <f>"CY"&amp;RIGHT(YEAR(transactions[[#This Row],[TransactionDate]]),2)&amp;"-Q"&amp;ROUNDUP(MONTH(transactions[[#This Row],[TransactionDate]])/3, 0)</f>
        <v>CY31-Q2</v>
      </c>
      <c r="F566" s="52">
        <f>transactions[[#This Row],[UnWeighted]]*_xlfn.XLOOKUP(transactions[[#This Row],[OpportunityID]],Opportunities[ID],Opportunities[WinProbabilityValue])</f>
        <v>49601.433333333334</v>
      </c>
      <c r="G566" s="52">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566" s="51" t="str">
        <f>_xlfn.XLOOKUP(transactions[[#This Row],[OpportunityID]],Opportunities[ID],Opportunities[Status])</f>
        <v>Active</v>
      </c>
      <c r="I566" s="51" t="str">
        <f>_xlfn.XLOOKUP(transactions[[#This Row],[OpportunityID]],Opportunities[ID],Opportunities[Stage])</f>
        <v>Lead Qualification</v>
      </c>
      <c r="J566" s="51" t="str">
        <f>_xlfn.XLOOKUP(transactions[[#This Row],[OpportunityID]],Opportunities[ID],Opportunities[OpportunityName])</f>
        <v>ERP Implementation Project</v>
      </c>
      <c r="K566" s="51" t="str">
        <f>_xlfn.XLOOKUP(transactions[[#This Row],[CustomerId]],Customers[Id],Customers[Customer Name])</f>
        <v>Agricultural Systems</v>
      </c>
      <c r="L566" s="51" t="str">
        <f>_xlfn.XLOOKUP(transactions[[#This Row],[OpportunityID]],Opportunities[ID],Opportunities[OpportunityOwner])</f>
        <v>Amanda Sales</v>
      </c>
      <c r="M566" s="51" t="str">
        <f ca="1">IF((transactions[[#This Row],[TransactionDate]]-TODAY())&lt;=366,transactions[[#This Row],[FQ]],"Out-year")</f>
        <v>Out-year</v>
      </c>
      <c r="N566" s="55">
        <f>transactions[[#This Row],[UnWeighted]]/1000</f>
        <v>248.00716666666665</v>
      </c>
      <c r="O566" s="55">
        <f>transactions[[#This Row],[Weighted]]/1000</f>
        <v>49.601433333333333</v>
      </c>
      <c r="P566" s="55">
        <f>transactions[[#This Row],[$K Unweighted]]/1000</f>
        <v>0.24800716666666664</v>
      </c>
      <c r="Q566" s="55" t="b">
        <f ca="1">transactions[[#This Row],[TransactionDate]]&gt;TODAY()</f>
        <v>1</v>
      </c>
    </row>
    <row r="567" spans="1:17" x14ac:dyDescent="0.25">
      <c r="A567">
        <v>6</v>
      </c>
      <c r="B567">
        <v>13</v>
      </c>
      <c r="C567" s="31">
        <v>48025</v>
      </c>
      <c r="D56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FY32-Q2</v>
      </c>
      <c r="E567" s="51" t="str">
        <f>"CY"&amp;RIGHT(YEAR(transactions[[#This Row],[TransactionDate]]),2)&amp;"-Q"&amp;ROUNDUP(MONTH(transactions[[#This Row],[TransactionDate]])/3, 0)</f>
        <v>CY31-Q2</v>
      </c>
      <c r="F567" s="52">
        <f>transactions[[#This Row],[UnWeighted]]*_xlfn.XLOOKUP(transactions[[#This Row],[OpportunityID]],Opportunities[ID],Opportunities[WinProbabilityValue])</f>
        <v>37550.227272727272</v>
      </c>
      <c r="G567" s="52">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567" s="51" t="str">
        <f>_xlfn.XLOOKUP(transactions[[#This Row],[OpportunityID]],Opportunities[ID],Opportunities[Status])</f>
        <v>Active</v>
      </c>
      <c r="I567" s="51" t="str">
        <f>_xlfn.XLOOKUP(transactions[[#This Row],[OpportunityID]],Opportunities[ID],Opportunities[Stage])</f>
        <v>Project Execution</v>
      </c>
      <c r="J567" s="51" t="str">
        <f>_xlfn.XLOOKUP(transactions[[#This Row],[OpportunityID]],Opportunities[ID],Opportunities[OpportunityName])</f>
        <v>Digital Transformation Project</v>
      </c>
      <c r="K567" s="51" t="str">
        <f>_xlfn.XLOOKUP(transactions[[#This Row],[CustomerId]],Customers[Id],Customers[Customer Name])</f>
        <v>Professional Services Group</v>
      </c>
      <c r="L567" s="51" t="str">
        <f>_xlfn.XLOOKUP(transactions[[#This Row],[OpportunityID]],Opportunities[ID],Opportunities[OpportunityOwner])</f>
        <v>Robert Analyst</v>
      </c>
      <c r="M567" s="51" t="str">
        <f ca="1">IF((transactions[[#This Row],[TransactionDate]]-TODAY())&lt;=366,transactions[[#This Row],[FQ]],"Out-year")</f>
        <v>Out-year</v>
      </c>
      <c r="N567" s="55">
        <f>transactions[[#This Row],[UnWeighted]]/1000</f>
        <v>75.100454545454539</v>
      </c>
      <c r="O567" s="55">
        <f>transactions[[#This Row],[Weighted]]/1000</f>
        <v>37.55022727272727</v>
      </c>
      <c r="P567" s="55">
        <f>transactions[[#This Row],[$K Unweighted]]/1000</f>
        <v>7.510045454545454E-2</v>
      </c>
      <c r="Q567" s="55" t="b">
        <f ca="1">transactions[[#This Row],[TransactionDate]]&gt;TODAY()</f>
        <v>1</v>
      </c>
    </row>
    <row r="568" spans="1:17" x14ac:dyDescent="0.25">
      <c r="A568">
        <v>40</v>
      </c>
      <c r="B568">
        <v>15</v>
      </c>
      <c r="C568" s="31">
        <v>48048</v>
      </c>
      <c r="D56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FY32-Q2</v>
      </c>
      <c r="E568" s="51" t="str">
        <f>"CY"&amp;RIGHT(YEAR(transactions[[#This Row],[TransactionDate]]),2)&amp;"-Q"&amp;ROUNDUP(MONTH(transactions[[#This Row],[TransactionDate]])/3, 0)</f>
        <v>CY31-Q3</v>
      </c>
      <c r="F568" s="52">
        <f>transactions[[#This Row],[UnWeighted]]*_xlfn.XLOOKUP(transactions[[#This Row],[OpportunityID]],Opportunities[ID],Opportunities[WinProbabilityValue])</f>
        <v>36144.450000000004</v>
      </c>
      <c r="G568" s="52">
        <f>_xlfn.XLOOKUP(transactions[[#This Row],[OpportunityID]],Opportunities[ID],Opportunities[Amount])/IF(_xlfn.XLOOKUP(transactions[[#This Row],[OpportunityID]],Opportunities[ID],Opportunities[Recurrences])=0,1,_xlfn.XLOOKUP(transactions[[#This Row],[OpportunityID]],Opportunities[ID],Opportunities[Recurrences]))</f>
        <v>40160.5</v>
      </c>
      <c r="H568" s="51" t="str">
        <f>_xlfn.XLOOKUP(transactions[[#This Row],[OpportunityID]],Opportunities[ID],Opportunities[Status])</f>
        <v>Active</v>
      </c>
      <c r="I568" s="51" t="str">
        <f>_xlfn.XLOOKUP(transactions[[#This Row],[OpportunityID]],Opportunities[ID],Opportunities[Stage])</f>
        <v>Proposal</v>
      </c>
      <c r="J568" s="51" t="str">
        <f>_xlfn.XLOOKUP(transactions[[#This Row],[OpportunityID]],Opportunities[ID],Opportunities[OpportunityName])</f>
        <v>Machine Learning Implementation</v>
      </c>
      <c r="K568" s="51" t="str">
        <f>_xlfn.XLOOKUP(transactions[[#This Row],[CustomerId]],Customers[Id],Customers[Customer Name])</f>
        <v>Pharmaceutical Research</v>
      </c>
      <c r="L568" s="51" t="str">
        <f>_xlfn.XLOOKUP(transactions[[#This Row],[OpportunityID]],Opportunities[ID],Opportunities[OpportunityOwner])</f>
        <v>Mike Consultant</v>
      </c>
      <c r="M568" s="51" t="str">
        <f ca="1">IF((transactions[[#This Row],[TransactionDate]]-TODAY())&lt;=366,transactions[[#This Row],[FQ]],"Out-year")</f>
        <v>Out-year</v>
      </c>
      <c r="N568" s="55">
        <f>transactions[[#This Row],[UnWeighted]]/1000</f>
        <v>40.160499999999999</v>
      </c>
      <c r="O568" s="55">
        <f>transactions[[#This Row],[Weighted]]/1000</f>
        <v>36.144450000000006</v>
      </c>
      <c r="P568" s="55">
        <f>transactions[[#This Row],[$K Unweighted]]/1000</f>
        <v>4.0160500000000002E-2</v>
      </c>
      <c r="Q568" s="55" t="b">
        <f ca="1">transactions[[#This Row],[TransactionDate]]&gt;TODAY()</f>
        <v>1</v>
      </c>
    </row>
    <row r="569" spans="1:17" x14ac:dyDescent="0.25">
      <c r="A569">
        <v>9</v>
      </c>
      <c r="B569">
        <v>26</v>
      </c>
      <c r="C569" s="31">
        <v>48048</v>
      </c>
      <c r="D56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FY32-Q2</v>
      </c>
      <c r="E569" s="51" t="str">
        <f>"CY"&amp;RIGHT(YEAR(transactions[[#This Row],[TransactionDate]]),2)&amp;"-Q"&amp;ROUNDUP(MONTH(transactions[[#This Row],[TransactionDate]])/3, 0)</f>
        <v>CY31-Q3</v>
      </c>
      <c r="F569" s="52">
        <f>transactions[[#This Row],[UnWeighted]]*_xlfn.XLOOKUP(transactions[[#This Row],[OpportunityID]],Opportunities[ID],Opportunities[WinProbabilityValue])</f>
        <v>37447.800000000003</v>
      </c>
      <c r="G569" s="52">
        <f>_xlfn.XLOOKUP(transactions[[#This Row],[OpportunityID]],Opportunities[ID],Opportunities[Amount])/IF(_xlfn.XLOOKUP(transactions[[#This Row],[OpportunityID]],Opportunities[ID],Opportunities[Recurrences])=0,1,_xlfn.XLOOKUP(transactions[[#This Row],[OpportunityID]],Opportunities[ID],Opportunities[Recurrences]))</f>
        <v>187239</v>
      </c>
      <c r="H569" s="51" t="str">
        <f>_xlfn.XLOOKUP(transactions[[#This Row],[OpportunityID]],Opportunities[ID],Opportunities[Status])</f>
        <v>At Risk</v>
      </c>
      <c r="I569" s="51" t="str">
        <f>_xlfn.XLOOKUP(transactions[[#This Row],[OpportunityID]],Opportunities[ID],Opportunities[Stage])</f>
        <v>Lead Qualification</v>
      </c>
      <c r="J569" s="51" t="str">
        <f>_xlfn.XLOOKUP(transactions[[#This Row],[OpportunityID]],Opportunities[ID],Opportunities[OpportunityName])</f>
        <v>Customer Portal Development</v>
      </c>
      <c r="K569" s="51" t="str">
        <f>_xlfn.XLOOKUP(transactions[[#This Row],[CustomerId]],Customers[Id],Customers[Customer Name])</f>
        <v>Publishing House</v>
      </c>
      <c r="L569" s="51" t="str">
        <f>_xlfn.XLOOKUP(transactions[[#This Row],[OpportunityID]],Opportunities[ID],Opportunities[OpportunityOwner])</f>
        <v>Lisa Engineer</v>
      </c>
      <c r="M569" s="51" t="str">
        <f ca="1">IF((transactions[[#This Row],[TransactionDate]]-TODAY())&lt;=366,transactions[[#This Row],[FQ]],"Out-year")</f>
        <v>Out-year</v>
      </c>
      <c r="N569" s="55">
        <f>transactions[[#This Row],[UnWeighted]]/1000</f>
        <v>187.239</v>
      </c>
      <c r="O569" s="55">
        <f>transactions[[#This Row],[Weighted]]/1000</f>
        <v>37.447800000000001</v>
      </c>
      <c r="P569" s="55">
        <f>transactions[[#This Row],[$K Unweighted]]/1000</f>
        <v>0.18723900000000002</v>
      </c>
      <c r="Q569" s="55" t="b">
        <f ca="1">transactions[[#This Row],[TransactionDate]]&gt;TODAY()</f>
        <v>1</v>
      </c>
    </row>
    <row r="570" spans="1:17" x14ac:dyDescent="0.25">
      <c r="A570">
        <v>4</v>
      </c>
      <c r="B570">
        <v>12</v>
      </c>
      <c r="C570" s="31">
        <v>48119</v>
      </c>
      <c r="D57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FY32-Q3</v>
      </c>
      <c r="E570" s="51" t="str">
        <f>"CY"&amp;RIGHT(YEAR(transactions[[#This Row],[TransactionDate]]),2)&amp;"-Q"&amp;ROUNDUP(MONTH(transactions[[#This Row],[TransactionDate]])/3, 0)</f>
        <v>CY31-Q3</v>
      </c>
      <c r="F570" s="52">
        <f>transactions[[#This Row],[UnWeighted]]*_xlfn.XLOOKUP(transactions[[#This Row],[OpportunityID]],Opportunities[ID],Opportunities[WinProbabilityValue])</f>
        <v>62066.583333333336</v>
      </c>
      <c r="G570" s="52">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570" s="51" t="str">
        <f>_xlfn.XLOOKUP(transactions[[#This Row],[OpportunityID]],Opportunities[ID],Opportunities[Status])</f>
        <v>Active</v>
      </c>
      <c r="I570" s="51" t="str">
        <f>_xlfn.XLOOKUP(transactions[[#This Row],[OpportunityID]],Opportunities[ID],Opportunities[Stage])</f>
        <v>Lead Qualification</v>
      </c>
      <c r="J570" s="51" t="str">
        <f>_xlfn.XLOOKUP(transactions[[#This Row],[OpportunityID]],Opportunities[ID],Opportunities[OpportunityName])</f>
        <v>Manufacturing Automation System</v>
      </c>
      <c r="K570" s="51" t="str">
        <f>_xlfn.XLOOKUP(transactions[[#This Row],[CustomerId]],Customers[Id],Customers[Customer Name])</f>
        <v>Food Service Partners</v>
      </c>
      <c r="L570" s="51" t="str">
        <f>_xlfn.XLOOKUP(transactions[[#This Row],[OpportunityID]],Opportunities[ID],Opportunities[OpportunityOwner])</f>
        <v>Robert Analyst</v>
      </c>
      <c r="M570" s="51" t="str">
        <f ca="1">IF((transactions[[#This Row],[TransactionDate]]-TODAY())&lt;=366,transactions[[#This Row],[FQ]],"Out-year")</f>
        <v>Out-year</v>
      </c>
      <c r="N570" s="55">
        <f>transactions[[#This Row],[UnWeighted]]/1000</f>
        <v>124.13316666666667</v>
      </c>
      <c r="O570" s="55">
        <f>transactions[[#This Row],[Weighted]]/1000</f>
        <v>62.066583333333334</v>
      </c>
      <c r="P570" s="55">
        <f>transactions[[#This Row],[$K Unweighted]]/1000</f>
        <v>0.12413316666666667</v>
      </c>
      <c r="Q570" s="55" t="b">
        <f ca="1">transactions[[#This Row],[TransactionDate]]&gt;TODAY()</f>
        <v>1</v>
      </c>
    </row>
    <row r="571" spans="1:17" x14ac:dyDescent="0.25">
      <c r="A571">
        <v>12</v>
      </c>
      <c r="B571">
        <v>17</v>
      </c>
      <c r="C571" s="31">
        <v>48139</v>
      </c>
      <c r="D571"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FY32-Q3</v>
      </c>
      <c r="E571" s="51" t="str">
        <f>"CY"&amp;RIGHT(YEAR(transactions[[#This Row],[TransactionDate]]),2)&amp;"-Q"&amp;ROUNDUP(MONTH(transactions[[#This Row],[TransactionDate]])/3, 0)</f>
        <v>CY31-Q4</v>
      </c>
      <c r="F571" s="52">
        <f>transactions[[#This Row],[UnWeighted]]*_xlfn.XLOOKUP(transactions[[#This Row],[OpportunityID]],Opportunities[ID],Opportunities[WinProbabilityValue])</f>
        <v>67945.3125</v>
      </c>
      <c r="G571" s="52">
        <f>_xlfn.XLOOKUP(transactions[[#This Row],[OpportunityID]],Opportunities[ID],Opportunities[Amount])/IF(_xlfn.XLOOKUP(transactions[[#This Row],[OpportunityID]],Opportunities[ID],Opportunities[Recurrences])=0,1,_xlfn.XLOOKUP(transactions[[#This Row],[OpportunityID]],Opportunities[ID],Opportunities[Recurrences]))</f>
        <v>135890.625</v>
      </c>
      <c r="H571" s="51" t="str">
        <f>_xlfn.XLOOKUP(transactions[[#This Row],[OpportunityID]],Opportunities[ID],Opportunities[Status])</f>
        <v>Active</v>
      </c>
      <c r="I571" s="51" t="str">
        <f>_xlfn.XLOOKUP(transactions[[#This Row],[OpportunityID]],Opportunities[ID],Opportunities[Stage])</f>
        <v>Project Execution</v>
      </c>
      <c r="J571" s="51" t="str">
        <f>_xlfn.XLOOKUP(transactions[[#This Row],[OpportunityID]],Opportunities[ID],Opportunities[OpportunityName])</f>
        <v>Cybersecurity Enhancement</v>
      </c>
      <c r="K571" s="51" t="str">
        <f>_xlfn.XLOOKUP(transactions[[#This Row],[CustomerId]],Customers[Id],Customers[Customer Name])</f>
        <v>Insurance Specialists</v>
      </c>
      <c r="L571" s="51" t="str">
        <f>_xlfn.XLOOKUP(transactions[[#This Row],[OpportunityID]],Opportunities[ID],Opportunities[OpportunityOwner])</f>
        <v>Dr. Tech Advisor</v>
      </c>
      <c r="M571" s="51" t="str">
        <f ca="1">IF((transactions[[#This Row],[TransactionDate]]-TODAY())&lt;=366,transactions[[#This Row],[FQ]],"Out-year")</f>
        <v>Out-year</v>
      </c>
      <c r="N571" s="55">
        <f>transactions[[#This Row],[UnWeighted]]/1000</f>
        <v>135.890625</v>
      </c>
      <c r="O571" s="55">
        <f>transactions[[#This Row],[Weighted]]/1000</f>
        <v>67.9453125</v>
      </c>
      <c r="P571" s="55">
        <f>transactions[[#This Row],[$K Unweighted]]/1000</f>
        <v>0.13589062499999999</v>
      </c>
      <c r="Q571" s="55" t="b">
        <f ca="1">transactions[[#This Row],[TransactionDate]]&gt;TODAY()</f>
        <v>1</v>
      </c>
    </row>
    <row r="572" spans="1:17" x14ac:dyDescent="0.25">
      <c r="A572">
        <v>30</v>
      </c>
      <c r="B572">
        <v>1</v>
      </c>
      <c r="C572" s="31">
        <v>48142</v>
      </c>
      <c r="D572"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FY32-Q3</v>
      </c>
      <c r="E572" s="51" t="str">
        <f>"CY"&amp;RIGHT(YEAR(transactions[[#This Row],[TransactionDate]]),2)&amp;"-Q"&amp;ROUNDUP(MONTH(transactions[[#This Row],[TransactionDate]])/3, 0)</f>
        <v>CY31-Q4</v>
      </c>
      <c r="F572" s="52">
        <f>transactions[[#This Row],[UnWeighted]]*_xlfn.XLOOKUP(transactions[[#This Row],[OpportunityID]],Opportunities[ID],Opportunities[WinProbabilityValue])</f>
        <v>73260.25</v>
      </c>
      <c r="G572" s="52">
        <f>_xlfn.XLOOKUP(transactions[[#This Row],[OpportunityID]],Opportunities[ID],Opportunities[Amount])/IF(_xlfn.XLOOKUP(transactions[[#This Row],[OpportunityID]],Opportunities[ID],Opportunities[Recurrences])=0,1,_xlfn.XLOOKUP(transactions[[#This Row],[OpportunityID]],Opportunities[ID],Opportunities[Recurrences]))</f>
        <v>146520.5</v>
      </c>
      <c r="H572" s="51" t="str">
        <f>_xlfn.XLOOKUP(transactions[[#This Row],[OpportunityID]],Opportunities[ID],Opportunities[Status])</f>
        <v>Active</v>
      </c>
      <c r="I572" s="51" t="str">
        <f>_xlfn.XLOOKUP(transactions[[#This Row],[OpportunityID]],Opportunities[ID],Opportunities[Stage])</f>
        <v>Nurturing</v>
      </c>
      <c r="J572" s="51" t="str">
        <f>_xlfn.XLOOKUP(transactions[[#This Row],[OpportunityID]],Opportunities[ID],Opportunities[OpportunityName])</f>
        <v>Customer Service Platform</v>
      </c>
      <c r="K572" s="51" t="str">
        <f>_xlfn.XLOOKUP(transactions[[#This Row],[CustomerId]],Customers[Id],Customers[Customer Name])</f>
        <v>ACME Corporation</v>
      </c>
      <c r="L572" s="51" t="str">
        <f>_xlfn.XLOOKUP(transactions[[#This Row],[OpportunityID]],Opportunities[ID],Opportunities[OpportunityOwner])</f>
        <v>Maria Coordinator</v>
      </c>
      <c r="M572" s="51" t="str">
        <f ca="1">IF((transactions[[#This Row],[TransactionDate]]-TODAY())&lt;=366,transactions[[#This Row],[FQ]],"Out-year")</f>
        <v>Out-year</v>
      </c>
      <c r="N572" s="55">
        <f>transactions[[#This Row],[UnWeighted]]/1000</f>
        <v>146.5205</v>
      </c>
      <c r="O572" s="55">
        <f>transactions[[#This Row],[Weighted]]/1000</f>
        <v>73.260249999999999</v>
      </c>
      <c r="P572" s="55">
        <f>transactions[[#This Row],[$K Unweighted]]/1000</f>
        <v>0.1465205</v>
      </c>
      <c r="Q572" s="55" t="b">
        <f ca="1">transactions[[#This Row],[TransactionDate]]&gt;TODAY()</f>
        <v>1</v>
      </c>
    </row>
    <row r="573" spans="1:17" x14ac:dyDescent="0.25">
      <c r="A573">
        <v>32</v>
      </c>
      <c r="B573">
        <v>29</v>
      </c>
      <c r="C573" s="31">
        <v>48144</v>
      </c>
      <c r="D573"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FY32-Q3</v>
      </c>
      <c r="E573" s="51" t="str">
        <f>"CY"&amp;RIGHT(YEAR(transactions[[#This Row],[TransactionDate]]),2)&amp;"-Q"&amp;ROUNDUP(MONTH(transactions[[#This Row],[TransactionDate]])/3, 0)</f>
        <v>CY31-Q4</v>
      </c>
      <c r="F573" s="52">
        <f>transactions[[#This Row],[UnWeighted]]*_xlfn.XLOOKUP(transactions[[#This Row],[OpportunityID]],Opportunities[ID],Opportunities[WinProbabilityValue])</f>
        <v>19870.314285714288</v>
      </c>
      <c r="G573" s="52">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573" s="51" t="str">
        <f>_xlfn.XLOOKUP(transactions[[#This Row],[OpportunityID]],Opportunities[ID],Opportunities[Status])</f>
        <v>Active</v>
      </c>
      <c r="I573" s="51" t="str">
        <f>_xlfn.XLOOKUP(transactions[[#This Row],[OpportunityID]],Opportunities[ID],Opportunities[Stage])</f>
        <v>Proposal</v>
      </c>
      <c r="J573" s="51" t="str">
        <f>_xlfn.XLOOKUP(transactions[[#This Row],[OpportunityID]],Opportunities[ID],Opportunities[OpportunityName])</f>
        <v>Environmental Monitoring Solution</v>
      </c>
      <c r="K573" s="51" t="str">
        <f>_xlfn.XLOOKUP(transactions[[#This Row],[CustomerId]],Customers[Id],Customers[Customer Name])</f>
        <v>Waste Management Co</v>
      </c>
      <c r="L573" s="51" t="str">
        <f>_xlfn.XLOOKUP(transactions[[#This Row],[OpportunityID]],Opportunities[ID],Opportunities[OpportunityOwner])</f>
        <v>Jennifer PM</v>
      </c>
      <c r="M573" s="51" t="str">
        <f ca="1">IF((transactions[[#This Row],[TransactionDate]]-TODAY())&lt;=366,transactions[[#This Row],[FQ]],"Out-year")</f>
        <v>Out-year</v>
      </c>
      <c r="N573" s="55">
        <f>transactions[[#This Row],[UnWeighted]]/1000</f>
        <v>99.351571428571432</v>
      </c>
      <c r="O573" s="55">
        <f>transactions[[#This Row],[Weighted]]/1000</f>
        <v>19.87031428571429</v>
      </c>
      <c r="P573" s="55">
        <f>transactions[[#This Row],[$K Unweighted]]/1000</f>
        <v>9.9351571428571428E-2</v>
      </c>
      <c r="Q573" s="55" t="b">
        <f ca="1">transactions[[#This Row],[TransactionDate]]&gt;TODAY()</f>
        <v>1</v>
      </c>
    </row>
    <row r="574" spans="1:17" x14ac:dyDescent="0.25">
      <c r="A574">
        <v>40</v>
      </c>
      <c r="B574">
        <v>15</v>
      </c>
      <c r="C574" s="31">
        <v>48232</v>
      </c>
      <c r="D574"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FY32-Q4</v>
      </c>
      <c r="E574" s="51" t="str">
        <f>"CY"&amp;RIGHT(YEAR(transactions[[#This Row],[TransactionDate]]),2)&amp;"-Q"&amp;ROUNDUP(MONTH(transactions[[#This Row],[TransactionDate]])/3, 0)</f>
        <v>CY32-Q1</v>
      </c>
      <c r="F574" s="52">
        <f>transactions[[#This Row],[UnWeighted]]*_xlfn.XLOOKUP(transactions[[#This Row],[OpportunityID]],Opportunities[ID],Opportunities[WinProbabilityValue])</f>
        <v>36144.450000000004</v>
      </c>
      <c r="G574" s="52">
        <f>_xlfn.XLOOKUP(transactions[[#This Row],[OpportunityID]],Opportunities[ID],Opportunities[Amount])/IF(_xlfn.XLOOKUP(transactions[[#This Row],[OpportunityID]],Opportunities[ID],Opportunities[Recurrences])=0,1,_xlfn.XLOOKUP(transactions[[#This Row],[OpportunityID]],Opportunities[ID],Opportunities[Recurrences]))</f>
        <v>40160.5</v>
      </c>
      <c r="H574" s="51" t="str">
        <f>_xlfn.XLOOKUP(transactions[[#This Row],[OpportunityID]],Opportunities[ID],Opportunities[Status])</f>
        <v>Active</v>
      </c>
      <c r="I574" s="51" t="str">
        <f>_xlfn.XLOOKUP(transactions[[#This Row],[OpportunityID]],Opportunities[ID],Opportunities[Stage])</f>
        <v>Proposal</v>
      </c>
      <c r="J574" s="51" t="str">
        <f>_xlfn.XLOOKUP(transactions[[#This Row],[OpportunityID]],Opportunities[ID],Opportunities[OpportunityName])</f>
        <v>Machine Learning Implementation</v>
      </c>
      <c r="K574" s="51" t="str">
        <f>_xlfn.XLOOKUP(transactions[[#This Row],[CustomerId]],Customers[Id],Customers[Customer Name])</f>
        <v>Pharmaceutical Research</v>
      </c>
      <c r="L574" s="51" t="str">
        <f>_xlfn.XLOOKUP(transactions[[#This Row],[OpportunityID]],Opportunities[ID],Opportunities[OpportunityOwner])</f>
        <v>Mike Consultant</v>
      </c>
      <c r="M574" s="51" t="str">
        <f ca="1">IF((transactions[[#This Row],[TransactionDate]]-TODAY())&lt;=366,transactions[[#This Row],[FQ]],"Out-year")</f>
        <v>Out-year</v>
      </c>
      <c r="N574" s="55">
        <f>transactions[[#This Row],[UnWeighted]]/1000</f>
        <v>40.160499999999999</v>
      </c>
      <c r="O574" s="55">
        <f>transactions[[#This Row],[Weighted]]/1000</f>
        <v>36.144450000000006</v>
      </c>
      <c r="P574" s="55">
        <f>transactions[[#This Row],[$K Unweighted]]/1000</f>
        <v>4.0160500000000002E-2</v>
      </c>
      <c r="Q574" s="55" t="b">
        <f ca="1">transactions[[#This Row],[TransactionDate]]&gt;TODAY()</f>
        <v>1</v>
      </c>
    </row>
    <row r="575" spans="1:17" x14ac:dyDescent="0.25">
      <c r="A575">
        <v>40</v>
      </c>
      <c r="B575">
        <v>15</v>
      </c>
      <c r="C575" s="31">
        <v>48414</v>
      </c>
      <c r="D575"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FY33-Q2</v>
      </c>
      <c r="E575" s="51" t="str">
        <f>"CY"&amp;RIGHT(YEAR(transactions[[#This Row],[TransactionDate]]),2)&amp;"-Q"&amp;ROUNDUP(MONTH(transactions[[#This Row],[TransactionDate]])/3, 0)</f>
        <v>CY32-Q3</v>
      </c>
      <c r="F575" s="52">
        <f>transactions[[#This Row],[UnWeighted]]*_xlfn.XLOOKUP(transactions[[#This Row],[OpportunityID]],Opportunities[ID],Opportunities[WinProbabilityValue])</f>
        <v>36144.450000000004</v>
      </c>
      <c r="G575" s="52">
        <f>_xlfn.XLOOKUP(transactions[[#This Row],[OpportunityID]],Opportunities[ID],Opportunities[Amount])/IF(_xlfn.XLOOKUP(transactions[[#This Row],[OpportunityID]],Opportunities[ID],Opportunities[Recurrences])=0,1,_xlfn.XLOOKUP(transactions[[#This Row],[OpportunityID]],Opportunities[ID],Opportunities[Recurrences]))</f>
        <v>40160.5</v>
      </c>
      <c r="H575" s="51" t="str">
        <f>_xlfn.XLOOKUP(transactions[[#This Row],[OpportunityID]],Opportunities[ID],Opportunities[Status])</f>
        <v>Active</v>
      </c>
      <c r="I575" s="51" t="str">
        <f>_xlfn.XLOOKUP(transactions[[#This Row],[OpportunityID]],Opportunities[ID],Opportunities[Stage])</f>
        <v>Proposal</v>
      </c>
      <c r="J575" s="51" t="str">
        <f>_xlfn.XLOOKUP(transactions[[#This Row],[OpportunityID]],Opportunities[ID],Opportunities[OpportunityName])</f>
        <v>Machine Learning Implementation</v>
      </c>
      <c r="K575" s="51" t="str">
        <f>_xlfn.XLOOKUP(transactions[[#This Row],[CustomerId]],Customers[Id],Customers[Customer Name])</f>
        <v>Pharmaceutical Research</v>
      </c>
      <c r="L575" s="51" t="str">
        <f>_xlfn.XLOOKUP(transactions[[#This Row],[OpportunityID]],Opportunities[ID],Opportunities[OpportunityOwner])</f>
        <v>Mike Consultant</v>
      </c>
      <c r="M575" s="51" t="str">
        <f ca="1">IF((transactions[[#This Row],[TransactionDate]]-TODAY())&lt;=366,transactions[[#This Row],[FQ]],"Out-year")</f>
        <v>Out-year</v>
      </c>
      <c r="N575" s="55">
        <f>transactions[[#This Row],[UnWeighted]]/1000</f>
        <v>40.160499999999999</v>
      </c>
      <c r="O575" s="55">
        <f>transactions[[#This Row],[Weighted]]/1000</f>
        <v>36.144450000000006</v>
      </c>
      <c r="P575" s="55">
        <f>transactions[[#This Row],[$K Unweighted]]/1000</f>
        <v>4.0160500000000002E-2</v>
      </c>
      <c r="Q575" s="55" t="b">
        <f ca="1">transactions[[#This Row],[TransactionDate]]&gt;TODAY()</f>
        <v>1</v>
      </c>
    </row>
    <row r="576" spans="1:17" x14ac:dyDescent="0.25">
      <c r="A576">
        <v>9</v>
      </c>
      <c r="B576">
        <v>26</v>
      </c>
      <c r="C576" s="31">
        <v>48414</v>
      </c>
      <c r="D576"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FY33-Q2</v>
      </c>
      <c r="E576" s="51" t="str">
        <f>"CY"&amp;RIGHT(YEAR(transactions[[#This Row],[TransactionDate]]),2)&amp;"-Q"&amp;ROUNDUP(MONTH(transactions[[#This Row],[TransactionDate]])/3, 0)</f>
        <v>CY32-Q3</v>
      </c>
      <c r="F576" s="52">
        <f>transactions[[#This Row],[UnWeighted]]*_xlfn.XLOOKUP(transactions[[#This Row],[OpportunityID]],Opportunities[ID],Opportunities[WinProbabilityValue])</f>
        <v>37447.800000000003</v>
      </c>
      <c r="G576" s="52">
        <f>_xlfn.XLOOKUP(transactions[[#This Row],[OpportunityID]],Opportunities[ID],Opportunities[Amount])/IF(_xlfn.XLOOKUP(transactions[[#This Row],[OpportunityID]],Opportunities[ID],Opportunities[Recurrences])=0,1,_xlfn.XLOOKUP(transactions[[#This Row],[OpportunityID]],Opportunities[ID],Opportunities[Recurrences]))</f>
        <v>187239</v>
      </c>
      <c r="H576" s="51" t="str">
        <f>_xlfn.XLOOKUP(transactions[[#This Row],[OpportunityID]],Opportunities[ID],Opportunities[Status])</f>
        <v>At Risk</v>
      </c>
      <c r="I576" s="51" t="str">
        <f>_xlfn.XLOOKUP(transactions[[#This Row],[OpportunityID]],Opportunities[ID],Opportunities[Stage])</f>
        <v>Lead Qualification</v>
      </c>
      <c r="J576" s="51" t="str">
        <f>_xlfn.XLOOKUP(transactions[[#This Row],[OpportunityID]],Opportunities[ID],Opportunities[OpportunityName])</f>
        <v>Customer Portal Development</v>
      </c>
      <c r="K576" s="51" t="str">
        <f>_xlfn.XLOOKUP(transactions[[#This Row],[CustomerId]],Customers[Id],Customers[Customer Name])</f>
        <v>Publishing House</v>
      </c>
      <c r="L576" s="51" t="str">
        <f>_xlfn.XLOOKUP(transactions[[#This Row],[OpportunityID]],Opportunities[ID],Opportunities[OpportunityOwner])</f>
        <v>Lisa Engineer</v>
      </c>
      <c r="M576" s="51" t="str">
        <f ca="1">IF((transactions[[#This Row],[TransactionDate]]-TODAY())&lt;=366,transactions[[#This Row],[FQ]],"Out-year")</f>
        <v>Out-year</v>
      </c>
      <c r="N576" s="55">
        <f>transactions[[#This Row],[UnWeighted]]/1000</f>
        <v>187.239</v>
      </c>
      <c r="O576" s="55">
        <f>transactions[[#This Row],[Weighted]]/1000</f>
        <v>37.447800000000001</v>
      </c>
      <c r="P576" s="55">
        <f>transactions[[#This Row],[$K Unweighted]]/1000</f>
        <v>0.18723900000000002</v>
      </c>
      <c r="Q576" s="55" t="b">
        <f ca="1">transactions[[#This Row],[TransactionDate]]&gt;TODAY()</f>
        <v>1</v>
      </c>
    </row>
    <row r="577" spans="1:17" x14ac:dyDescent="0.25">
      <c r="A577">
        <v>12</v>
      </c>
      <c r="B577">
        <v>17</v>
      </c>
      <c r="C577" s="31">
        <v>48505</v>
      </c>
      <c r="D577"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FY33-Q3</v>
      </c>
      <c r="E577" s="51" t="str">
        <f>"CY"&amp;RIGHT(YEAR(transactions[[#This Row],[TransactionDate]]),2)&amp;"-Q"&amp;ROUNDUP(MONTH(transactions[[#This Row],[TransactionDate]])/3, 0)</f>
        <v>CY32-Q4</v>
      </c>
      <c r="F577" s="52">
        <f>transactions[[#This Row],[UnWeighted]]*_xlfn.XLOOKUP(transactions[[#This Row],[OpportunityID]],Opportunities[ID],Opportunities[WinProbabilityValue])</f>
        <v>67945.3125</v>
      </c>
      <c r="G577" s="52">
        <f>_xlfn.XLOOKUP(transactions[[#This Row],[OpportunityID]],Opportunities[ID],Opportunities[Amount])/IF(_xlfn.XLOOKUP(transactions[[#This Row],[OpportunityID]],Opportunities[ID],Opportunities[Recurrences])=0,1,_xlfn.XLOOKUP(transactions[[#This Row],[OpportunityID]],Opportunities[ID],Opportunities[Recurrences]))</f>
        <v>135890.625</v>
      </c>
      <c r="H577" s="51" t="str">
        <f>_xlfn.XLOOKUP(transactions[[#This Row],[OpportunityID]],Opportunities[ID],Opportunities[Status])</f>
        <v>Active</v>
      </c>
      <c r="I577" s="51" t="str">
        <f>_xlfn.XLOOKUP(transactions[[#This Row],[OpportunityID]],Opportunities[ID],Opportunities[Stage])</f>
        <v>Project Execution</v>
      </c>
      <c r="J577" s="51" t="str">
        <f>_xlfn.XLOOKUP(transactions[[#This Row],[OpportunityID]],Opportunities[ID],Opportunities[OpportunityName])</f>
        <v>Cybersecurity Enhancement</v>
      </c>
      <c r="K577" s="51" t="str">
        <f>_xlfn.XLOOKUP(transactions[[#This Row],[CustomerId]],Customers[Id],Customers[Customer Name])</f>
        <v>Insurance Specialists</v>
      </c>
      <c r="L577" s="51" t="str">
        <f>_xlfn.XLOOKUP(transactions[[#This Row],[OpportunityID]],Opportunities[ID],Opportunities[OpportunityOwner])</f>
        <v>Dr. Tech Advisor</v>
      </c>
      <c r="M577" s="51" t="str">
        <f ca="1">IF((transactions[[#This Row],[TransactionDate]]-TODAY())&lt;=366,transactions[[#This Row],[FQ]],"Out-year")</f>
        <v>Out-year</v>
      </c>
      <c r="N577" s="55">
        <f>transactions[[#This Row],[UnWeighted]]/1000</f>
        <v>135.890625</v>
      </c>
      <c r="O577" s="55">
        <f>transactions[[#This Row],[Weighted]]/1000</f>
        <v>67.9453125</v>
      </c>
      <c r="P577" s="55">
        <f>transactions[[#This Row],[$K Unweighted]]/1000</f>
        <v>0.13589062499999999</v>
      </c>
      <c r="Q577" s="55" t="b">
        <f ca="1">transactions[[#This Row],[TransactionDate]]&gt;TODAY()</f>
        <v>1</v>
      </c>
    </row>
    <row r="578" spans="1:17" x14ac:dyDescent="0.25">
      <c r="A578">
        <v>30</v>
      </c>
      <c r="B578">
        <v>1</v>
      </c>
      <c r="C578" s="31">
        <v>48508</v>
      </c>
      <c r="D578"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FY33-Q3</v>
      </c>
      <c r="E578" s="51" t="str">
        <f>"CY"&amp;RIGHT(YEAR(transactions[[#This Row],[TransactionDate]]),2)&amp;"-Q"&amp;ROUNDUP(MONTH(transactions[[#This Row],[TransactionDate]])/3, 0)</f>
        <v>CY32-Q4</v>
      </c>
      <c r="F578" s="52">
        <f>transactions[[#This Row],[UnWeighted]]*_xlfn.XLOOKUP(transactions[[#This Row],[OpportunityID]],Opportunities[ID],Opportunities[WinProbabilityValue])</f>
        <v>73260.25</v>
      </c>
      <c r="G578" s="52">
        <f>_xlfn.XLOOKUP(transactions[[#This Row],[OpportunityID]],Opportunities[ID],Opportunities[Amount])/IF(_xlfn.XLOOKUP(transactions[[#This Row],[OpportunityID]],Opportunities[ID],Opportunities[Recurrences])=0,1,_xlfn.XLOOKUP(transactions[[#This Row],[OpportunityID]],Opportunities[ID],Opportunities[Recurrences]))</f>
        <v>146520.5</v>
      </c>
      <c r="H578" s="51" t="str">
        <f>_xlfn.XLOOKUP(transactions[[#This Row],[OpportunityID]],Opportunities[ID],Opportunities[Status])</f>
        <v>Active</v>
      </c>
      <c r="I578" s="51" t="str">
        <f>_xlfn.XLOOKUP(transactions[[#This Row],[OpportunityID]],Opportunities[ID],Opportunities[Stage])</f>
        <v>Nurturing</v>
      </c>
      <c r="J578" s="51" t="str">
        <f>_xlfn.XLOOKUP(transactions[[#This Row],[OpportunityID]],Opportunities[ID],Opportunities[OpportunityName])</f>
        <v>Customer Service Platform</v>
      </c>
      <c r="K578" s="51" t="str">
        <f>_xlfn.XLOOKUP(transactions[[#This Row],[CustomerId]],Customers[Id],Customers[Customer Name])</f>
        <v>ACME Corporation</v>
      </c>
      <c r="L578" s="51" t="str">
        <f>_xlfn.XLOOKUP(transactions[[#This Row],[OpportunityID]],Opportunities[ID],Opportunities[OpportunityOwner])</f>
        <v>Maria Coordinator</v>
      </c>
      <c r="M578" s="51" t="str">
        <f ca="1">IF((transactions[[#This Row],[TransactionDate]]-TODAY())&lt;=366,transactions[[#This Row],[FQ]],"Out-year")</f>
        <v>Out-year</v>
      </c>
      <c r="N578" s="55">
        <f>transactions[[#This Row],[UnWeighted]]/1000</f>
        <v>146.5205</v>
      </c>
      <c r="O578" s="55">
        <f>transactions[[#This Row],[Weighted]]/1000</f>
        <v>73.260249999999999</v>
      </c>
      <c r="P578" s="55">
        <f>transactions[[#This Row],[$K Unweighted]]/1000</f>
        <v>0.1465205</v>
      </c>
      <c r="Q578" s="55" t="b">
        <f ca="1">transactions[[#This Row],[TransactionDate]]&gt;TODAY()</f>
        <v>1</v>
      </c>
    </row>
    <row r="579" spans="1:17" x14ac:dyDescent="0.25">
      <c r="A579">
        <v>12</v>
      </c>
      <c r="B579">
        <v>17</v>
      </c>
      <c r="C579" s="31">
        <v>48870</v>
      </c>
      <c r="D579"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FY34-Q3</v>
      </c>
      <c r="E579" s="51" t="str">
        <f>"CY"&amp;RIGHT(YEAR(transactions[[#This Row],[TransactionDate]]),2)&amp;"-Q"&amp;ROUNDUP(MONTH(transactions[[#This Row],[TransactionDate]])/3, 0)</f>
        <v>CY33-Q4</v>
      </c>
      <c r="F579" s="52">
        <f>transactions[[#This Row],[UnWeighted]]*_xlfn.XLOOKUP(transactions[[#This Row],[OpportunityID]],Opportunities[ID],Opportunities[WinProbabilityValue])</f>
        <v>67945.3125</v>
      </c>
      <c r="G579" s="52">
        <f>_xlfn.XLOOKUP(transactions[[#This Row],[OpportunityID]],Opportunities[ID],Opportunities[Amount])/IF(_xlfn.XLOOKUP(transactions[[#This Row],[OpportunityID]],Opportunities[ID],Opportunities[Recurrences])=0,1,_xlfn.XLOOKUP(transactions[[#This Row],[OpportunityID]],Opportunities[ID],Opportunities[Recurrences]))</f>
        <v>135890.625</v>
      </c>
      <c r="H579" s="51" t="str">
        <f>_xlfn.XLOOKUP(transactions[[#This Row],[OpportunityID]],Opportunities[ID],Opportunities[Status])</f>
        <v>Active</v>
      </c>
      <c r="I579" s="51" t="str">
        <f>_xlfn.XLOOKUP(transactions[[#This Row],[OpportunityID]],Opportunities[ID],Opportunities[Stage])</f>
        <v>Project Execution</v>
      </c>
      <c r="J579" s="51" t="str">
        <f>_xlfn.XLOOKUP(transactions[[#This Row],[OpportunityID]],Opportunities[ID],Opportunities[OpportunityName])</f>
        <v>Cybersecurity Enhancement</v>
      </c>
      <c r="K579" s="51" t="str">
        <f>_xlfn.XLOOKUP(transactions[[#This Row],[CustomerId]],Customers[Id],Customers[Customer Name])</f>
        <v>Insurance Specialists</v>
      </c>
      <c r="L579" s="51" t="str">
        <f>_xlfn.XLOOKUP(transactions[[#This Row],[OpportunityID]],Opportunities[ID],Opportunities[OpportunityOwner])</f>
        <v>Dr. Tech Advisor</v>
      </c>
      <c r="M579" s="51" t="str">
        <f ca="1">IF((transactions[[#This Row],[TransactionDate]]-TODAY())&lt;=366,transactions[[#This Row],[FQ]],"Out-year")</f>
        <v>Out-year</v>
      </c>
      <c r="N579" s="55">
        <f>transactions[[#This Row],[UnWeighted]]/1000</f>
        <v>135.890625</v>
      </c>
      <c r="O579" s="55">
        <f>transactions[[#This Row],[Weighted]]/1000</f>
        <v>67.9453125</v>
      </c>
      <c r="P579" s="55">
        <f>transactions[[#This Row],[$K Unweighted]]/1000</f>
        <v>0.13589062499999999</v>
      </c>
      <c r="Q579" s="55" t="b">
        <f ca="1">transactions[[#This Row],[TransactionDate]]&gt;TODAY()</f>
        <v>1</v>
      </c>
    </row>
    <row r="580" spans="1:17" x14ac:dyDescent="0.25">
      <c r="A580">
        <v>30</v>
      </c>
      <c r="B580">
        <v>1</v>
      </c>
      <c r="C580" s="31">
        <v>48873</v>
      </c>
      <c r="D580" s="51"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FY34-Q3</v>
      </c>
      <c r="E580" s="51" t="str">
        <f>"CY"&amp;RIGHT(YEAR(transactions[[#This Row],[TransactionDate]]),2)&amp;"-Q"&amp;ROUNDUP(MONTH(transactions[[#This Row],[TransactionDate]])/3, 0)</f>
        <v>CY33-Q4</v>
      </c>
      <c r="F580" s="52">
        <f>transactions[[#This Row],[UnWeighted]]*_xlfn.XLOOKUP(transactions[[#This Row],[OpportunityID]],Opportunities[ID],Opportunities[WinProbabilityValue])</f>
        <v>73260.25</v>
      </c>
      <c r="G580" s="52">
        <f>_xlfn.XLOOKUP(transactions[[#This Row],[OpportunityID]],Opportunities[ID],Opportunities[Amount])/IF(_xlfn.XLOOKUP(transactions[[#This Row],[OpportunityID]],Opportunities[ID],Opportunities[Recurrences])=0,1,_xlfn.XLOOKUP(transactions[[#This Row],[OpportunityID]],Opportunities[ID],Opportunities[Recurrences]))</f>
        <v>146520.5</v>
      </c>
      <c r="H580" s="51" t="str">
        <f>_xlfn.XLOOKUP(transactions[[#This Row],[OpportunityID]],Opportunities[ID],Opportunities[Status])</f>
        <v>Active</v>
      </c>
      <c r="I580" s="51" t="str">
        <f>_xlfn.XLOOKUP(transactions[[#This Row],[OpportunityID]],Opportunities[ID],Opportunities[Stage])</f>
        <v>Nurturing</v>
      </c>
      <c r="J580" s="51" t="str">
        <f>_xlfn.XLOOKUP(transactions[[#This Row],[OpportunityID]],Opportunities[ID],Opportunities[OpportunityName])</f>
        <v>Customer Service Platform</v>
      </c>
      <c r="K580" s="51" t="str">
        <f>_xlfn.XLOOKUP(transactions[[#This Row],[CustomerId]],Customers[Id],Customers[Customer Name])</f>
        <v>ACME Corporation</v>
      </c>
      <c r="L580" s="51" t="str">
        <f>_xlfn.XLOOKUP(transactions[[#This Row],[OpportunityID]],Opportunities[ID],Opportunities[OpportunityOwner])</f>
        <v>Maria Coordinator</v>
      </c>
      <c r="M580" s="51" t="str">
        <f ca="1">IF((transactions[[#This Row],[TransactionDate]]-TODAY())&lt;=366,transactions[[#This Row],[FQ]],"Out-year")</f>
        <v>Out-year</v>
      </c>
      <c r="N580" s="55">
        <f>transactions[[#This Row],[UnWeighted]]/1000</f>
        <v>146.5205</v>
      </c>
      <c r="O580" s="55">
        <f>transactions[[#This Row],[Weighted]]/1000</f>
        <v>73.260249999999999</v>
      </c>
      <c r="P580" s="55">
        <f>transactions[[#This Row],[$K Unweighted]]/1000</f>
        <v>0.1465205</v>
      </c>
      <c r="Q580" s="55" t="b">
        <f ca="1">transactions[[#This Row],[TransactionDate]]&gt;TODAY()</f>
        <v>1</v>
      </c>
    </row>
  </sheetData>
  <phoneticPr fontId="4"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M41"/>
  <sheetViews>
    <sheetView topLeftCell="AB1" zoomScale="85" zoomScaleNormal="85" workbookViewId="0">
      <selection activeCell="AM3" sqref="AM3"/>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26" bestFit="1" customWidth="1"/>
    <col min="14" max="14" width="7.42578125" bestFit="1" customWidth="1"/>
    <col min="15" max="15" width="14.85546875" bestFit="1" customWidth="1"/>
    <col min="16" max="16" width="12" bestFit="1" customWidth="1"/>
    <col min="17" max="17" width="9" bestFit="1" customWidth="1"/>
    <col min="18" max="18" width="8.85546875" bestFit="1" customWidth="1"/>
    <col min="19" max="19" width="81.140625" customWidth="1"/>
    <col min="20" max="20" width="15.7109375" customWidth="1"/>
    <col min="21" max="21" width="20.7109375" customWidth="1"/>
    <col min="22" max="22" width="12.28515625" customWidth="1"/>
    <col min="23" max="23" width="16" customWidth="1"/>
    <col min="24" max="24" width="26.140625" customWidth="1"/>
    <col min="25" max="25" width="81.140625" customWidth="1"/>
    <col min="26" max="26" width="9.7109375" customWidth="1"/>
    <col min="27" max="27" width="81.140625" customWidth="1"/>
    <col min="28" max="28" width="16" customWidth="1"/>
    <col min="29" max="29" width="19.5703125" customWidth="1"/>
    <col min="30" max="30" width="17.85546875" customWidth="1"/>
    <col min="31" max="31" width="17.7109375" customWidth="1"/>
    <col min="32" max="32" width="21.85546875" customWidth="1"/>
    <col min="33" max="33" width="13.42578125" bestFit="1" customWidth="1"/>
    <col min="34" max="34" width="15.28515625" bestFit="1" customWidth="1"/>
    <col min="35" max="35" width="21" bestFit="1" customWidth="1"/>
    <col min="36" max="36" width="10.42578125" bestFit="1" customWidth="1"/>
    <col min="37" max="37" width="16.42578125" bestFit="1" customWidth="1"/>
    <col min="38" max="38" width="35.7109375" bestFit="1" customWidth="1"/>
    <col min="39" max="39" width="81.140625" bestFit="1" customWidth="1"/>
    <col min="40" max="40" width="15.7109375" bestFit="1" customWidth="1"/>
    <col min="41" max="41" width="20" bestFit="1" customWidth="1"/>
    <col min="42" max="42" width="13.42578125" bestFit="1" customWidth="1"/>
    <col min="43" max="43" width="14.5703125" bestFit="1" customWidth="1"/>
    <col min="44" max="44" width="15" bestFit="1" customWidth="1"/>
    <col min="45" max="45" width="14" bestFit="1" customWidth="1"/>
    <col min="46" max="46" width="13.28515625" bestFit="1" customWidth="1"/>
    <col min="47" max="47" width="13.85546875" bestFit="1" customWidth="1"/>
    <col min="48" max="49" width="13.42578125" bestFit="1" customWidth="1"/>
    <col min="50" max="50" width="21.85546875" bestFit="1" customWidth="1"/>
    <col min="51" max="51" width="18" bestFit="1" customWidth="1"/>
    <col min="52" max="52" width="25" bestFit="1" customWidth="1"/>
    <col min="53" max="53" width="38" bestFit="1" customWidth="1"/>
  </cols>
  <sheetData>
    <row r="1" spans="1:39" x14ac:dyDescent="0.25">
      <c r="A1" t="s">
        <v>384</v>
      </c>
      <c r="B1" t="s">
        <v>90</v>
      </c>
      <c r="C1" t="s">
        <v>13</v>
      </c>
      <c r="D1" t="s">
        <v>14</v>
      </c>
      <c r="E1" t="s">
        <v>15</v>
      </c>
      <c r="F1" t="s">
        <v>16</v>
      </c>
      <c r="G1" t="s">
        <v>34</v>
      </c>
      <c r="H1" t="s">
        <v>39</v>
      </c>
      <c r="I1" t="s">
        <v>38</v>
      </c>
      <c r="J1" t="s">
        <v>385</v>
      </c>
      <c r="K1" t="s">
        <v>45</v>
      </c>
      <c r="L1" t="s">
        <v>89</v>
      </c>
      <c r="M1" t="s">
        <v>800</v>
      </c>
      <c r="N1" t="s">
        <v>835</v>
      </c>
      <c r="O1" t="s">
        <v>801</v>
      </c>
      <c r="P1" t="s">
        <v>802</v>
      </c>
      <c r="Q1" t="s">
        <v>31</v>
      </c>
      <c r="R1" t="s">
        <v>32</v>
      </c>
      <c r="S1" t="s">
        <v>29</v>
      </c>
      <c r="T1" t="s">
        <v>35</v>
      </c>
      <c r="U1" t="s">
        <v>36</v>
      </c>
      <c r="V1" t="s">
        <v>41</v>
      </c>
      <c r="W1" t="s">
        <v>74</v>
      </c>
      <c r="X1" t="s">
        <v>85</v>
      </c>
      <c r="Y1" t="s">
        <v>142</v>
      </c>
      <c r="Z1" t="s">
        <v>44</v>
      </c>
      <c r="AA1" t="s">
        <v>377</v>
      </c>
      <c r="AB1" t="s">
        <v>30</v>
      </c>
      <c r="AC1" t="s">
        <v>387</v>
      </c>
      <c r="AD1" t="s">
        <v>399</v>
      </c>
      <c r="AE1" t="s">
        <v>28</v>
      </c>
      <c r="AF1" t="s">
        <v>813</v>
      </c>
      <c r="AG1" t="s">
        <v>836</v>
      </c>
      <c r="AH1" t="s">
        <v>838</v>
      </c>
      <c r="AI1" t="s">
        <v>839</v>
      </c>
      <c r="AJ1" t="s">
        <v>841</v>
      </c>
      <c r="AK1" t="s">
        <v>842</v>
      </c>
      <c r="AL1" t="s">
        <v>848</v>
      </c>
      <c r="AM1" t="s">
        <v>849</v>
      </c>
    </row>
    <row r="2" spans="1:39" x14ac:dyDescent="0.25">
      <c r="A2">
        <v>1</v>
      </c>
      <c r="B2" t="s">
        <v>91</v>
      </c>
      <c r="C2" t="s">
        <v>19</v>
      </c>
      <c r="D2" t="s">
        <v>20</v>
      </c>
      <c r="E2">
        <v>1488043</v>
      </c>
      <c r="F2" t="s">
        <v>84</v>
      </c>
      <c r="G2" s="31">
        <v>46157</v>
      </c>
      <c r="H2" s="31">
        <v>45898</v>
      </c>
      <c r="I2" t="s">
        <v>151</v>
      </c>
      <c r="J2">
        <v>18</v>
      </c>
      <c r="L2" t="s">
        <v>393</v>
      </c>
      <c r="M2" t="s">
        <v>803</v>
      </c>
      <c r="O2">
        <v>6</v>
      </c>
      <c r="P2" s="31">
        <v>46190</v>
      </c>
      <c r="Q2" t="str">
        <f>" FY"&amp;RIGHT(IF(MONTH(Opportunities[[#This Row],[Close]])&gt;=7,YEAR(Opportunities[[#This Row],[Close]])+1,YEAR(Opportunities[[#This Row],[Close]])),2)&amp;"-Q"&amp;IF(MONTH(Opportunities[[#This Row],[Close]])&gt;=7,CEILING((MONTH(Opportunities[[#This Row],[Close]])-6)/3,1),CEILING((MONTH(Opportunities[[#This Row],[Close]])+6)/3,1))</f>
        <v xml:space="preserve"> FY26-Q4</v>
      </c>
      <c r="R2" t="str">
        <f>"CY"&amp;RIGHT(YEAR(Opportunities[[#This Row],[Close]]),2)&amp;"-Q"&amp;ROUNDUP(MONTH(Opportunities[[#This Row],[Close]])/3, 0)</f>
        <v>CY26-Q2</v>
      </c>
      <c r="S2" t="str">
        <f>siteUrl&amp;"/Lists/"&amp;oppList&amp;"/DispForm.aspx?ID="&amp;Opportunities[[#This Row],[ID]]</f>
        <v>https://cleansheet5.sharepoint.com/sites/SalesFunnel//Lists/auto12Opportunities/DispForm.aspx?ID=1</v>
      </c>
      <c r="T2">
        <f>_xlfn.XLOOKUP(Opportunities[[#This Row],[Stage]],stage[Stage Name],stage[Index],"")</f>
        <v>1</v>
      </c>
      <c r="U2" t="str">
        <f>_xlfn.XLOOKUP(Opportunities[[#This Row],[StageNumber]],stage[Index],stage[Display])</f>
        <v>➀ - Lead Qualification</v>
      </c>
      <c r="V2">
        <f>Opportunities[[#This Row],[Amount]]*Opportunities[[#This Row],[WinProbabilityValue]]</f>
        <v>297608.60000000003</v>
      </c>
      <c r="W2" t="str" cm="1">
        <f t="array" ref="W2">_xlfn.SWITCH(Opportunities[[#This Row],[Status]],"At Risk","⚠","Active","✓","⮾")</f>
        <v>✓</v>
      </c>
      <c r="X2" t="str">
        <f>_xlfn.XLOOKUP(Opportunities[[#This Row],[CustomerId]],Customers[Id],Customers[Customer Name])</f>
        <v>Agricultural Systems</v>
      </c>
      <c r="Y2" t="str">
        <f>_xlfn.XLOOKUP(Opportunities[[#This Row],[CustomerId]],Customers[Id],Customers[CustomerRecordUrl])</f>
        <v>https://cleansheet5.sharepoint.com/sites/SalesFunnel//Lists/auto12Customers/DispForm.aspx?ID=18</v>
      </c>
      <c r="Z2">
        <f>_xlfn.XLOOKUP(Opportunities[[#This Row],[ID]],View[ID],View[Visible])</f>
        <v>1</v>
      </c>
      <c r="AA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(ERP Implementation Project)
 $1.5m • Lead Qualification • Owner: Amanda Sales</v>
      </c>
      <c r="AB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2" t="str" cm="1">
        <f t="array" ref="AD2">_xlfn.SWITCH(Opportunities[[#This Row],[Probability]],"High","↖","Medium","←","Low","↙")&amp;" " &amp;Opportunities[[#This Row],[Probability]]</f>
        <v>↙ Low</v>
      </c>
      <c r="AE2" t="b">
        <f>Opportunities[[#This Row],[Probability]]="High"</f>
        <v>0</v>
      </c>
      <c r="AF2" s="51">
        <f>_xlfn.XLOOKUP(Opportunities[[#This Row],[Probability]],prob[Win Probability],prob[Value])</f>
        <v>0.2</v>
      </c>
      <c r="AG2" s="51" cm="1">
        <f t="array" ref="AG2">Opportunities[[#This Row],[Amount]]/_xlfn.SWITCH(Opportunities[[#This Row],[RecurringRevenueModel]],"Annually",Opportunities[[#This Row],[Recurrences]],"Semi-Annually",Opportunities[[#This Row],[Recurrences]]/2,"One-time",1,"Quarterly",Opportunities[[#This Row],[Recurrences]]/4,"Monthly",Opportunities[[#This Row],[Recurrences]]/12)</f>
        <v>248007.16666666666</v>
      </c>
      <c r="AH2" s="51">
        <f ca="1">-(TODAY()-Opportunities[[#This Row],[Close]])</f>
        <v>275</v>
      </c>
      <c r="AI2" s="51">
        <f>_xlfn.XLOOKUP(Opportunities[[#This Row],[Stage]],stage[Stage Name],stage[Time To Close])</f>
        <v>270</v>
      </c>
      <c r="AJ2" s="51" t="b">
        <f ca="1">IF(Opportunities[[#This Row],[TargetDaysToClose]]=0,"",Opportunities[[#This Row],[TargetDaysToClose]]&lt;=Opportunities[[#This Row],[DaysToClose]])</f>
        <v>1</v>
      </c>
      <c r="AK2" s="51" t="str">
        <f>IF(Opportunities[[#This Row],[Close]]&lt;=Opportunities[[#This Row],[StartDate]],"✓","⚠")</f>
        <v>✓</v>
      </c>
      <c r="AL2" s="51" t="str">
        <f ca="1">IF(Opportunities[[#This Row],[Healthy]]=FALSE,ROUND(Opportunities[[#This Row],[DaysToClose]]/7,0)&amp; " weeks to close @ " &amp;Opportunities[[#This Row],[Stage]],"")</f>
        <v/>
      </c>
      <c r="AM2" s="51" t="str">
        <f>Opportunities[[#This Row],[OpportunityName]]&amp;" ("&amp;Opportunities[[#This Row],[Customer Name]]&amp;")"</f>
        <v>ERP Implementation Project (Agricultural Systems)</v>
      </c>
    </row>
    <row r="3" spans="1:39" x14ac:dyDescent="0.25">
      <c r="A3">
        <v>2</v>
      </c>
      <c r="B3" t="s">
        <v>94</v>
      </c>
      <c r="C3" t="s">
        <v>19</v>
      </c>
      <c r="D3" t="s">
        <v>22</v>
      </c>
      <c r="E3">
        <v>1781938</v>
      </c>
      <c r="F3" t="s">
        <v>82</v>
      </c>
      <c r="G3" s="31">
        <v>45975</v>
      </c>
      <c r="H3" s="31">
        <v>45904</v>
      </c>
      <c r="I3" t="s">
        <v>153</v>
      </c>
      <c r="J3">
        <v>10</v>
      </c>
      <c r="L3" t="s">
        <v>157</v>
      </c>
      <c r="M3" t="s">
        <v>804</v>
      </c>
      <c r="O3">
        <v>43</v>
      </c>
      <c r="P3" s="31">
        <v>46008</v>
      </c>
      <c r="Q3" t="str">
        <f>" FY"&amp;RIGHT(IF(MONTH(Opportunities[[#This Row],[Close]])&gt;=7,YEAR(Opportunities[[#This Row],[Close]])+1,YEAR(Opportunities[[#This Row],[Close]])),2)&amp;"-Q"&amp;IF(MONTH(Opportunities[[#This Row],[Close]])&gt;=7,CEILING((MONTH(Opportunities[[#This Row],[Close]])-6)/3,1),CEILING((MONTH(Opportunities[[#This Row],[Close]])+6)/3,1))</f>
        <v xml:space="preserve"> FY26-Q2</v>
      </c>
      <c r="R3" t="str">
        <f>"CY"&amp;RIGHT(YEAR(Opportunities[[#This Row],[Close]]),2)&amp;"-Q"&amp;ROUNDUP(MONTH(Opportunities[[#This Row],[Close]])/3, 0)</f>
        <v>CY25-Q4</v>
      </c>
      <c r="S3" t="str">
        <f>siteUrl&amp;"/Lists/"&amp;oppList&amp;"/DispForm.aspx?ID="&amp;Opportunities[[#This Row],[ID]]</f>
        <v>https://cleansheet5.sharepoint.com/sites/SalesFunnel//Lists/auto12Opportunities/DispForm.aspx?ID=2</v>
      </c>
      <c r="T3">
        <f>_xlfn.XLOOKUP(Opportunities[[#This Row],[Stage]],stage[Stage Name],stage[Index],"")</f>
        <v>3</v>
      </c>
      <c r="U3" t="str">
        <f>_xlfn.XLOOKUP(Opportunities[[#This Row],[StageNumber]],stage[Index],stage[Display])</f>
        <v>➂ - Proposal</v>
      </c>
      <c r="V3">
        <f>Opportunities[[#This Row],[Amount]]*Opportunities[[#This Row],[WinProbabilityValue]]</f>
        <v>890969</v>
      </c>
      <c r="W3" t="str" cm="1">
        <f t="array" ref="W3">_xlfn.SWITCH(Opportunities[[#This Row],[Status]],"At Risk","⚠","Active","✓","⮾")</f>
        <v>✓</v>
      </c>
      <c r="X3" t="str">
        <f>_xlfn.XLOOKUP(Opportunities[[#This Row],[CustomerId]],Customers[Id],Customers[Customer Name])</f>
        <v>Education First</v>
      </c>
      <c r="Y3" t="str">
        <f>_xlfn.XLOOKUP(Opportunities[[#This Row],[CustomerId]],Customers[Id],Customers[CustomerRecordUrl])</f>
        <v>https://cleansheet5.sharepoint.com/sites/SalesFunnel//Lists/auto12Customers/DispForm.aspx?ID=10</v>
      </c>
      <c r="Z3">
        <f>_xlfn.XLOOKUP(Opportunities[[#This Row],[ID]],View[ID],View[Visible])</f>
        <v>1</v>
      </c>
      <c r="AA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(Cloud Migration Initiative)
 $1.8m • Proposal • Owner: Robert Analyst</v>
      </c>
      <c r="AB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D3" t="str" cm="1">
        <f t="array" ref="AD3">_xlfn.SWITCH(Opportunities[[#This Row],[Probability]],"High","↖","Medium","←","Low","↙")&amp;" " &amp;Opportunities[[#This Row],[Probability]]</f>
        <v>← Medium</v>
      </c>
      <c r="AE3" t="b">
        <f>Opportunities[[#This Row],[Probability]]="High"</f>
        <v>0</v>
      </c>
      <c r="AF3" s="51">
        <f>_xlfn.XLOOKUP(Opportunities[[#This Row],[Probability]],prob[Win Probability],prob[Value])</f>
        <v>0.5</v>
      </c>
      <c r="AG3" s="51" cm="1">
        <f t="array" ref="AG3">Opportunities[[#This Row],[Amount]]/_xlfn.SWITCH(Opportunities[[#This Row],[RecurringRevenueModel]],"Annually",Opportunities[[#This Row],[Recurrences]],"Semi-Annually",Opportunities[[#This Row],[Recurrences]]/2,"One-time",1,"Quarterly",Opportunities[[#This Row],[Recurrences]]/4,"Monthly",Opportunities[[#This Row],[Recurrences]]/12)</f>
        <v>497285.02325581393</v>
      </c>
      <c r="AH3" s="51">
        <f ca="1">-(TODAY()-Opportunities[[#This Row],[Close]])</f>
        <v>93</v>
      </c>
      <c r="AI3" s="51">
        <f>_xlfn.XLOOKUP(Opportunities[[#This Row],[Stage]],stage[Stage Name],stage[Time To Close])</f>
        <v>90</v>
      </c>
      <c r="AJ3" s="51" t="b">
        <f ca="1">IF(Opportunities[[#This Row],[TargetDaysToClose]]=0,"",Opportunities[[#This Row],[TargetDaysToClose]]&lt;=Opportunities[[#This Row],[DaysToClose]])</f>
        <v>1</v>
      </c>
      <c r="AK3" s="51" t="str">
        <f>IF(Opportunities[[#This Row],[Close]]&lt;=Opportunities[[#This Row],[StartDate]],"✓","⚠")</f>
        <v>✓</v>
      </c>
      <c r="AL3" s="51" t="str">
        <f ca="1">IF(Opportunities[[#This Row],[Healthy]]=FALSE,ROUND(Opportunities[[#This Row],[DaysToClose]]/7,0)&amp; " weeks to close @ " &amp;Opportunities[[#This Row],[Stage]],"")</f>
        <v/>
      </c>
      <c r="AM3" s="51" t="str">
        <f>Opportunities[[#This Row],[OpportunityName]]&amp;" ("&amp;Opportunities[[#This Row],[Customer Name]]&amp;")"</f>
        <v>Cloud Migration Initiative (Education First)</v>
      </c>
    </row>
    <row r="4" spans="1:39" x14ac:dyDescent="0.25">
      <c r="A4">
        <v>3</v>
      </c>
      <c r="B4" t="s">
        <v>97</v>
      </c>
      <c r="C4" t="s">
        <v>19</v>
      </c>
      <c r="D4" t="s">
        <v>23</v>
      </c>
      <c r="E4">
        <v>1153725</v>
      </c>
      <c r="F4" t="s">
        <v>82</v>
      </c>
      <c r="G4" s="31">
        <v>46266</v>
      </c>
      <c r="H4" s="31">
        <v>45925</v>
      </c>
      <c r="I4" t="s">
        <v>93</v>
      </c>
      <c r="J4">
        <v>16</v>
      </c>
      <c r="L4" t="s">
        <v>166</v>
      </c>
      <c r="M4" t="s">
        <v>805</v>
      </c>
      <c r="O4">
        <v>1</v>
      </c>
      <c r="P4" s="31">
        <v>46364</v>
      </c>
      <c r="Q4" t="str">
        <f>" FY"&amp;RIGHT(IF(MONTH(Opportunities[[#This Row],[Close]])&gt;=7,YEAR(Opportunities[[#This Row],[Close]])+1,YEAR(Opportunities[[#This Row],[Close]])),2)&amp;"-Q"&amp;IF(MONTH(Opportunities[[#This Row],[Close]])&gt;=7,CEILING((MONTH(Opportunities[[#This Row],[Close]])-6)/3,1),CEILING((MONTH(Opportunities[[#This Row],[Close]])+6)/3,1))</f>
        <v xml:space="preserve"> FY27-Q1</v>
      </c>
      <c r="R4" t="str">
        <f>"CY"&amp;RIGHT(YEAR(Opportunities[[#This Row],[Close]]),2)&amp;"-Q"&amp;ROUNDUP(MONTH(Opportunities[[#This Row],[Close]])/3, 0)</f>
        <v>CY26-Q3</v>
      </c>
      <c r="S4" t="str">
        <f>siteUrl&amp;"/Lists/"&amp;oppList&amp;"/DispForm.aspx?ID="&amp;Opportunities[[#This Row],[ID]]</f>
        <v>https://cleansheet5.sharepoint.com/sites/SalesFunnel//Lists/auto12Opportunities/DispForm.aspx?ID=3</v>
      </c>
      <c r="T4">
        <f>_xlfn.XLOOKUP(Opportunities[[#This Row],[Stage]],stage[Stage Name],stage[Index],"")</f>
        <v>2</v>
      </c>
      <c r="U4" t="str">
        <f>_xlfn.XLOOKUP(Opportunities[[#This Row],[StageNumber]],stage[Index],stage[Display])</f>
        <v>➁ - Nurturing</v>
      </c>
      <c r="V4">
        <f>Opportunities[[#This Row],[Amount]]*Opportunities[[#This Row],[WinProbabilityValue]]</f>
        <v>576862.5</v>
      </c>
      <c r="W4" t="str" cm="1">
        <f t="array" ref="W4">_xlfn.SWITCH(Opportunities[[#This Row],[Status]],"At Risk","⚠","Active","✓","⮾")</f>
        <v>✓</v>
      </c>
      <c r="X4" t="str">
        <f>_xlfn.XLOOKUP(Opportunities[[#This Row],[CustomerId]],Customers[Id],Customers[Customer Name])</f>
        <v>Real Estate Ventures</v>
      </c>
      <c r="Y4" t="str">
        <f>_xlfn.XLOOKUP(Opportunities[[#This Row],[CustomerId]],Customers[Id],Customers[CustomerRecordUrl])</f>
        <v>https://cleansheet5.sharepoint.com/sites/SalesFunnel//Lists/auto12Customers/DispForm.aspx?ID=16</v>
      </c>
      <c r="Z4">
        <f>_xlfn.XLOOKUP(Opportunities[[#This Row],[ID]],View[ID],View[Visible])</f>
        <v>1</v>
      </c>
      <c r="AA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(Security Assessment &amp; Audit)
 $1.2m • Nurturing • Owner: David Specialist</v>
      </c>
      <c r="AB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4" t="str" cm="1">
        <f t="array" ref="AD4">_xlfn.SWITCH(Opportunities[[#This Row],[Probability]],"High","↖","Medium","←","Low","↙")&amp;" " &amp;Opportunities[[#This Row],[Probability]]</f>
        <v>← Medium</v>
      </c>
      <c r="AE4" t="b">
        <f>Opportunities[[#This Row],[Probability]]="High"</f>
        <v>0</v>
      </c>
      <c r="AF4" s="51">
        <f>_xlfn.XLOOKUP(Opportunities[[#This Row],[Probability]],prob[Win Probability],prob[Value])</f>
        <v>0.5</v>
      </c>
      <c r="AG4" s="51" cm="1">
        <f t="array" ref="AG4">Opportunities[[#This Row],[Amount]]/_xlfn.SWITCH(Opportunities[[#This Row],[RecurringRevenueModel]],"Annually",Opportunities[[#This Row],[Recurrences]],"Semi-Annually",Opportunities[[#This Row],[Recurrences]]/2,"One-time",1,"Quarterly",Opportunities[[#This Row],[Recurrences]]/4,"Monthly",Opportunities[[#This Row],[Recurrences]]/12)</f>
        <v>1153725</v>
      </c>
      <c r="AH4" s="51">
        <f ca="1">-(TODAY()-Opportunities[[#This Row],[Close]])</f>
        <v>384</v>
      </c>
      <c r="AI4" s="51">
        <f>_xlfn.XLOOKUP(Opportunities[[#This Row],[Stage]],stage[Stage Name],stage[Time To Close])</f>
        <v>180</v>
      </c>
      <c r="AJ4" s="51" t="b">
        <f ca="1">IF(Opportunities[[#This Row],[TargetDaysToClose]]=0,"",Opportunities[[#This Row],[TargetDaysToClose]]&lt;=Opportunities[[#This Row],[DaysToClose]])</f>
        <v>1</v>
      </c>
      <c r="AK4" s="51" t="str">
        <f>IF(Opportunities[[#This Row],[Close]]&lt;=Opportunities[[#This Row],[StartDate]],"✓","⚠")</f>
        <v>✓</v>
      </c>
      <c r="AL4" s="51" t="str">
        <f ca="1">IF(Opportunities[[#This Row],[Healthy]]=FALSE,ROUND(Opportunities[[#This Row],[DaysToClose]]/7,0)&amp; " weeks to close @ " &amp;Opportunities[[#This Row],[Stage]],"")</f>
        <v/>
      </c>
      <c r="AM4" s="51" t="str">
        <f>Opportunities[[#This Row],[OpportunityName]]&amp;" ("&amp;Opportunities[[#This Row],[Customer Name]]&amp;")"</f>
        <v>Security Assessment &amp; Audit (Real Estate Ventures)</v>
      </c>
    </row>
    <row r="5" spans="1:39" x14ac:dyDescent="0.25">
      <c r="A5">
        <v>4</v>
      </c>
      <c r="B5" t="s">
        <v>100</v>
      </c>
      <c r="C5" t="s">
        <v>19</v>
      </c>
      <c r="D5" t="s">
        <v>20</v>
      </c>
      <c r="E5">
        <v>744799</v>
      </c>
      <c r="F5" t="s">
        <v>82</v>
      </c>
      <c r="G5" s="31">
        <v>46216</v>
      </c>
      <c r="H5" s="31">
        <v>45894</v>
      </c>
      <c r="I5" t="s">
        <v>146</v>
      </c>
      <c r="J5">
        <v>12</v>
      </c>
      <c r="L5" t="s">
        <v>157</v>
      </c>
      <c r="M5" t="s">
        <v>803</v>
      </c>
      <c r="O5">
        <v>6</v>
      </c>
      <c r="P5" s="31">
        <v>46293</v>
      </c>
      <c r="Q5" t="str">
        <f>" FY"&amp;RIGHT(IF(MONTH(Opportunities[[#This Row],[Close]])&gt;=7,YEAR(Opportunities[[#This Row],[Close]])+1,YEAR(Opportunities[[#This Row],[Close]])),2)&amp;"-Q"&amp;IF(MONTH(Opportunities[[#This Row],[Close]])&gt;=7,CEILING((MONTH(Opportunities[[#This Row],[Close]])-6)/3,1),CEILING((MONTH(Opportunities[[#This Row],[Close]])+6)/3,1))</f>
        <v xml:space="preserve"> FY27-Q1</v>
      </c>
      <c r="R5" t="str">
        <f>"CY"&amp;RIGHT(YEAR(Opportunities[[#This Row],[Close]]),2)&amp;"-Q"&amp;ROUNDUP(MONTH(Opportunities[[#This Row],[Close]])/3, 0)</f>
        <v>CY26-Q3</v>
      </c>
      <c r="S5" t="str">
        <f>siteUrl&amp;"/Lists/"&amp;oppList&amp;"/DispForm.aspx?ID="&amp;Opportunities[[#This Row],[ID]]</f>
        <v>https://cleansheet5.sharepoint.com/sites/SalesFunnel//Lists/auto12Opportunities/DispForm.aspx?ID=4</v>
      </c>
      <c r="T5">
        <f>_xlfn.XLOOKUP(Opportunities[[#This Row],[Stage]],stage[Stage Name],stage[Index],"")</f>
        <v>1</v>
      </c>
      <c r="U5" t="str">
        <f>_xlfn.XLOOKUP(Opportunities[[#This Row],[StageNumber]],stage[Index],stage[Display])</f>
        <v>➀ - Lead Qualification</v>
      </c>
      <c r="V5">
        <f>Opportunities[[#This Row],[Amount]]*Opportunities[[#This Row],[WinProbabilityValue]]</f>
        <v>372399.5</v>
      </c>
      <c r="W5" t="str" cm="1">
        <f t="array" ref="W5">_xlfn.SWITCH(Opportunities[[#This Row],[Status]],"At Risk","⚠","Active","✓","⮾")</f>
        <v>✓</v>
      </c>
      <c r="X5" t="str">
        <f>_xlfn.XLOOKUP(Opportunities[[#This Row],[CustomerId]],Customers[Id],Customers[Customer Name])</f>
        <v>Food Service Partners</v>
      </c>
      <c r="Y5" t="str">
        <f>_xlfn.XLOOKUP(Opportunities[[#This Row],[CustomerId]],Customers[Id],Customers[CustomerRecordUrl])</f>
        <v>https://cleansheet5.sharepoint.com/sites/SalesFunnel//Lists/auto12Customers/DispForm.aspx?ID=12</v>
      </c>
      <c r="Z5">
        <f>_xlfn.XLOOKUP(Opportunities[[#This Row],[ID]],View[ID],View[Visible])</f>
        <v>1</v>
      </c>
      <c r="AA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(Manufacturing Automation System)
 $0.7m • Lead Qualification • Owner: Robert Analyst</v>
      </c>
      <c r="AB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5" t="str" cm="1">
        <f t="array" ref="AD5">_xlfn.SWITCH(Opportunities[[#This Row],[Probability]],"High","↖","Medium","←","Low","↙")&amp;" " &amp;Opportunities[[#This Row],[Probability]]</f>
        <v>← Medium</v>
      </c>
      <c r="AE5" t="b">
        <f>Opportunities[[#This Row],[Probability]]="High"</f>
        <v>0</v>
      </c>
      <c r="AF5" s="51">
        <f>_xlfn.XLOOKUP(Opportunities[[#This Row],[Probability]],prob[Win Probability],prob[Value])</f>
        <v>0.5</v>
      </c>
      <c r="AG5" s="51" cm="1">
        <f t="array" ref="AG5">Opportunities[[#This Row],[Amount]]/_xlfn.SWITCH(Opportunities[[#This Row],[RecurringRevenueModel]],"Annually",Opportunities[[#This Row],[Recurrences]],"Semi-Annually",Opportunities[[#This Row],[Recurrences]]/2,"One-time",1,"Quarterly",Opportunities[[#This Row],[Recurrences]]/4,"Monthly",Opportunities[[#This Row],[Recurrences]]/12)</f>
        <v>124133.16666666667</v>
      </c>
      <c r="AH5" s="51">
        <f ca="1">-(TODAY()-Opportunities[[#This Row],[Close]])</f>
        <v>334</v>
      </c>
      <c r="AI5" s="51">
        <f>_xlfn.XLOOKUP(Opportunities[[#This Row],[Stage]],stage[Stage Name],stage[Time To Close])</f>
        <v>270</v>
      </c>
      <c r="AJ5" s="51" t="b">
        <f ca="1">IF(Opportunities[[#This Row],[TargetDaysToClose]]=0,"",Opportunities[[#This Row],[TargetDaysToClose]]&lt;=Opportunities[[#This Row],[DaysToClose]])</f>
        <v>1</v>
      </c>
      <c r="AK5" s="51" t="str">
        <f>IF(Opportunities[[#This Row],[Close]]&lt;=Opportunities[[#This Row],[StartDate]],"✓","⚠")</f>
        <v>✓</v>
      </c>
      <c r="AL5" s="51" t="str">
        <f ca="1">IF(Opportunities[[#This Row],[Healthy]]=FALSE,ROUND(Opportunities[[#This Row],[DaysToClose]]/7,0)&amp; " weeks to close @ " &amp;Opportunities[[#This Row],[Stage]],"")</f>
        <v/>
      </c>
      <c r="AM5" s="51" t="str">
        <f>Opportunities[[#This Row],[OpportunityName]]&amp;" ("&amp;Opportunities[[#This Row],[Customer Name]]&amp;")"</f>
        <v>Manufacturing Automation System (Food Service Partners)</v>
      </c>
    </row>
    <row r="6" spans="1:39" x14ac:dyDescent="0.25">
      <c r="A6">
        <v>5</v>
      </c>
      <c r="B6" t="s">
        <v>103</v>
      </c>
      <c r="C6" t="s">
        <v>19</v>
      </c>
      <c r="D6" t="s">
        <v>22</v>
      </c>
      <c r="E6">
        <v>1248522</v>
      </c>
      <c r="F6" t="s">
        <v>82</v>
      </c>
      <c r="G6" s="31">
        <v>46352</v>
      </c>
      <c r="H6" s="31">
        <v>45895</v>
      </c>
      <c r="I6" t="s">
        <v>153</v>
      </c>
      <c r="J6">
        <v>12</v>
      </c>
      <c r="L6" t="s">
        <v>393</v>
      </c>
      <c r="M6" t="s">
        <v>806</v>
      </c>
      <c r="O6">
        <v>6</v>
      </c>
      <c r="P6" s="31">
        <v>46441</v>
      </c>
      <c r="Q6" t="str">
        <f>" FY"&amp;RIGHT(IF(MONTH(Opportunities[[#This Row],[Close]])&gt;=7,YEAR(Opportunities[[#This Row],[Close]])+1,YEAR(Opportunities[[#This Row],[Close]])),2)&amp;"-Q"&amp;IF(MONTH(Opportunities[[#This Row],[Close]])&gt;=7,CEILING((MONTH(Opportunities[[#This Row],[Close]])-6)/3,1),CEILING((MONTH(Opportunities[[#This Row],[Close]])+6)/3,1))</f>
        <v xml:space="preserve"> FY27-Q2</v>
      </c>
      <c r="R6" t="str">
        <f>"CY"&amp;RIGHT(YEAR(Opportunities[[#This Row],[Close]]),2)&amp;"-Q"&amp;ROUNDUP(MONTH(Opportunities[[#This Row],[Close]])/3, 0)</f>
        <v>CY26-Q4</v>
      </c>
      <c r="S6" t="str">
        <f>siteUrl&amp;"/Lists/"&amp;oppList&amp;"/DispForm.aspx?ID="&amp;Opportunities[[#This Row],[ID]]</f>
        <v>https://cleansheet5.sharepoint.com/sites/SalesFunnel//Lists/auto12Opportunities/DispForm.aspx?ID=5</v>
      </c>
      <c r="T6">
        <f>_xlfn.XLOOKUP(Opportunities[[#This Row],[Stage]],stage[Stage Name],stage[Index],"")</f>
        <v>3</v>
      </c>
      <c r="U6" t="str">
        <f>_xlfn.XLOOKUP(Opportunities[[#This Row],[StageNumber]],stage[Index],stage[Display])</f>
        <v>➂ - Proposal</v>
      </c>
      <c r="V6">
        <f>Opportunities[[#This Row],[Amount]]*Opportunities[[#This Row],[WinProbabilityValue]]</f>
        <v>624261</v>
      </c>
      <c r="W6" t="str" cm="1">
        <f t="array" ref="W6">_xlfn.SWITCH(Opportunities[[#This Row],[Status]],"At Risk","⚠","Active","✓","⮾")</f>
        <v>✓</v>
      </c>
      <c r="X6" t="str">
        <f>_xlfn.XLOOKUP(Opportunities[[#This Row],[CustomerId]],Customers[Id],Customers[Customer Name])</f>
        <v>Food Service Partners</v>
      </c>
      <c r="Y6" t="str">
        <f>_xlfn.XLOOKUP(Opportunities[[#This Row],[CustomerId]],Customers[Id],Customers[CustomerRecordUrl])</f>
        <v>https://cleansheet5.sharepoint.com/sites/SalesFunnel//Lists/auto12Customers/DispForm.aspx?ID=12</v>
      </c>
      <c r="Z6">
        <f>_xlfn.XLOOKUP(Opportunities[[#This Row],[ID]],View[ID],View[Visible])</f>
        <v>1</v>
      </c>
      <c r="AA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(Healthcare Data Analytics Platform)
 $1.2m • Proposal • Owner: Amanda Sales</v>
      </c>
      <c r="AB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6" t="str" cm="1">
        <f t="array" ref="AD6">_xlfn.SWITCH(Opportunities[[#This Row],[Probability]],"High","↖","Medium","←","Low","↙")&amp;" " &amp;Opportunities[[#This Row],[Probability]]</f>
        <v>← Medium</v>
      </c>
      <c r="AE6" t="b">
        <f>Opportunities[[#This Row],[Probability]]="High"</f>
        <v>0</v>
      </c>
      <c r="AF6" s="51">
        <f>_xlfn.XLOOKUP(Opportunities[[#This Row],[Probability]],prob[Win Probability],prob[Value])</f>
        <v>0.5</v>
      </c>
      <c r="AG6" s="51" cm="1">
        <f t="array" ref="AG6">Opportunities[[#This Row],[Amount]]/_xlfn.SWITCH(Opportunities[[#This Row],[RecurringRevenueModel]],"Annually",Opportunities[[#This Row],[Recurrences]],"Semi-Annually",Opportunities[[#This Row],[Recurrences]]/2,"One-time",1,"Quarterly",Opportunities[[#This Row],[Recurrences]]/4,"Monthly",Opportunities[[#This Row],[Recurrences]]/12)</f>
        <v>416174</v>
      </c>
      <c r="AH6" s="51">
        <f ca="1">-(TODAY()-Opportunities[[#This Row],[Close]])</f>
        <v>470</v>
      </c>
      <c r="AI6" s="51">
        <f>_xlfn.XLOOKUP(Opportunities[[#This Row],[Stage]],stage[Stage Name],stage[Time To Close])</f>
        <v>90</v>
      </c>
      <c r="AJ6" s="51" t="b">
        <f ca="1">IF(Opportunities[[#This Row],[TargetDaysToClose]]=0,"",Opportunities[[#This Row],[TargetDaysToClose]]&lt;=Opportunities[[#This Row],[DaysToClose]])</f>
        <v>1</v>
      </c>
      <c r="AK6" s="51" t="str">
        <f>IF(Opportunities[[#This Row],[Close]]&lt;=Opportunities[[#This Row],[StartDate]],"✓","⚠")</f>
        <v>✓</v>
      </c>
      <c r="AL6" s="51" t="str">
        <f ca="1">IF(Opportunities[[#This Row],[Healthy]]=FALSE,ROUND(Opportunities[[#This Row],[DaysToClose]]/7,0)&amp; " weeks to close @ " &amp;Opportunities[[#This Row],[Stage]],"")</f>
        <v/>
      </c>
      <c r="AM6" s="51" t="str">
        <f>Opportunities[[#This Row],[OpportunityName]]&amp;" ("&amp;Opportunities[[#This Row],[Customer Name]]&amp;")"</f>
        <v>Healthcare Data Analytics Platform (Food Service Partners)</v>
      </c>
    </row>
    <row r="7" spans="1:39" x14ac:dyDescent="0.25">
      <c r="A7">
        <v>6</v>
      </c>
      <c r="B7" t="s">
        <v>147</v>
      </c>
      <c r="C7" t="s">
        <v>19</v>
      </c>
      <c r="D7" t="s">
        <v>21</v>
      </c>
      <c r="E7">
        <v>826105</v>
      </c>
      <c r="F7" t="s">
        <v>82</v>
      </c>
      <c r="G7" s="31">
        <v>46140</v>
      </c>
      <c r="H7" s="31">
        <v>45898</v>
      </c>
      <c r="I7" t="s">
        <v>159</v>
      </c>
      <c r="J7">
        <v>13</v>
      </c>
      <c r="L7" t="s">
        <v>157</v>
      </c>
      <c r="M7" t="s">
        <v>806</v>
      </c>
      <c r="O7">
        <v>11</v>
      </c>
      <c r="P7" s="31">
        <v>46199</v>
      </c>
      <c r="Q7" t="str">
        <f>" FY"&amp;RIGHT(IF(MONTH(Opportunities[[#This Row],[Close]])&gt;=7,YEAR(Opportunities[[#This Row],[Close]])+1,YEAR(Opportunities[[#This Row],[Close]])),2)&amp;"-Q"&amp;IF(MONTH(Opportunities[[#This Row],[Close]])&gt;=7,CEILING((MONTH(Opportunities[[#This Row],[Close]])-6)/3,1),CEILING((MONTH(Opportunities[[#This Row],[Close]])+6)/3,1))</f>
        <v xml:space="preserve"> FY26-Q4</v>
      </c>
      <c r="R7" t="str">
        <f>"CY"&amp;RIGHT(YEAR(Opportunities[[#This Row],[Close]]),2)&amp;"-Q"&amp;ROUNDUP(MONTH(Opportunities[[#This Row],[Close]])/3, 0)</f>
        <v>CY26-Q2</v>
      </c>
      <c r="S7" t="str">
        <f>siteUrl&amp;"/Lists/"&amp;oppList&amp;"/DispForm.aspx?ID="&amp;Opportunities[[#This Row],[ID]]</f>
        <v>https://cleansheet5.sharepoint.com/sites/SalesFunnel//Lists/auto12Opportunities/DispForm.aspx?ID=6</v>
      </c>
      <c r="T7">
        <f>_xlfn.XLOOKUP(Opportunities[[#This Row],[Stage]],stage[Stage Name],stage[Index],"")</f>
        <v>5</v>
      </c>
      <c r="U7" t="str">
        <f>_xlfn.XLOOKUP(Opportunities[[#This Row],[StageNumber]],stage[Index],stage[Display])</f>
        <v>➄ - Project Execution</v>
      </c>
      <c r="V7">
        <f>Opportunities[[#This Row],[Amount]]*Opportunities[[#This Row],[WinProbabilityValue]]</f>
        <v>413052.5</v>
      </c>
      <c r="W7" t="str" cm="1">
        <f t="array" ref="W7">_xlfn.SWITCH(Opportunities[[#This Row],[Status]],"At Risk","⚠","Active","✓","⮾")</f>
        <v>✓</v>
      </c>
      <c r="X7" t="str">
        <f>_xlfn.XLOOKUP(Opportunities[[#This Row],[CustomerId]],Customers[Id],Customers[Customer Name])</f>
        <v>Professional Services Group</v>
      </c>
      <c r="Y7" t="str">
        <f>_xlfn.XLOOKUP(Opportunities[[#This Row],[CustomerId]],Customers[Id],Customers[CustomerRecordUrl])</f>
        <v>https://cleansheet5.sharepoint.com/sites/SalesFunnel//Lists/auto12Customers/DispForm.aspx?ID=13</v>
      </c>
      <c r="Z7">
        <f>_xlfn.XLOOKUP(Opportunities[[#This Row],[ID]],View[ID],View[Visible])</f>
        <v>1</v>
      </c>
      <c r="AA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(Digital Transformation Project)
 $0.8m • Project Execution • Owner: Robert Analyst</v>
      </c>
      <c r="AB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7" t="str" cm="1">
        <f t="array" ref="AD7">_xlfn.SWITCH(Opportunities[[#This Row],[Probability]],"High","↖","Medium","←","Low","↙")&amp;" " &amp;Opportunities[[#This Row],[Probability]]</f>
        <v>← Medium</v>
      </c>
      <c r="AE7" t="b">
        <f>Opportunities[[#This Row],[Probability]]="High"</f>
        <v>0</v>
      </c>
      <c r="AF7" s="51">
        <f>_xlfn.XLOOKUP(Opportunities[[#This Row],[Probability]],prob[Win Probability],prob[Value])</f>
        <v>0.5</v>
      </c>
      <c r="AG7" s="51" cm="1">
        <f t="array" ref="AG7">Opportunities[[#This Row],[Amount]]/_xlfn.SWITCH(Opportunities[[#This Row],[RecurringRevenueModel]],"Annually",Opportunities[[#This Row],[Recurrences]],"Semi-Annually",Opportunities[[#This Row],[Recurrences]]/2,"One-time",1,"Quarterly",Opportunities[[#This Row],[Recurrences]]/4,"Monthly",Opportunities[[#This Row],[Recurrences]]/12)</f>
        <v>150200.90909090909</v>
      </c>
      <c r="AH7" s="51">
        <f ca="1">-(TODAY()-Opportunities[[#This Row],[Close]])</f>
        <v>258</v>
      </c>
      <c r="AI7" s="51">
        <f>_xlfn.XLOOKUP(Opportunities[[#This Row],[Stage]],stage[Stage Name],stage[Time To Close])</f>
        <v>0</v>
      </c>
      <c r="AJ7" s="51" t="str">
        <f>IF(Opportunities[[#This Row],[TargetDaysToClose]]=0,"",Opportunities[[#This Row],[TargetDaysToClose]]&lt;=Opportunities[[#This Row],[DaysToClose]])</f>
        <v/>
      </c>
      <c r="AK7" s="51" t="str">
        <f>IF(Opportunities[[#This Row],[Close]]&lt;=Opportunities[[#This Row],[StartDate]],"✓","⚠")</f>
        <v>✓</v>
      </c>
      <c r="AL7" s="51" t="str">
        <f>IF(Opportunities[[#This Row],[Healthy]]=FALSE,ROUND(Opportunities[[#This Row],[DaysToClose]]/7,0)&amp; " weeks to close @ " &amp;Opportunities[[#This Row],[Stage]],"")</f>
        <v/>
      </c>
      <c r="AM7" s="51" t="str">
        <f>Opportunities[[#This Row],[OpportunityName]]&amp;" ("&amp;Opportunities[[#This Row],[Customer Name]]&amp;")"</f>
        <v>Digital Transformation Project (Professional Services Group)</v>
      </c>
    </row>
    <row r="8" spans="1:39" x14ac:dyDescent="0.25">
      <c r="A8">
        <v>7</v>
      </c>
      <c r="B8" t="s">
        <v>149</v>
      </c>
      <c r="C8" t="s">
        <v>19</v>
      </c>
      <c r="D8" t="s">
        <v>21</v>
      </c>
      <c r="E8">
        <v>1002514</v>
      </c>
      <c r="F8" t="s">
        <v>82</v>
      </c>
      <c r="G8" s="31">
        <v>46330</v>
      </c>
      <c r="H8" s="31">
        <v>45888</v>
      </c>
      <c r="I8" t="s">
        <v>153</v>
      </c>
      <c r="J8">
        <v>14</v>
      </c>
      <c r="L8" t="s">
        <v>104</v>
      </c>
      <c r="M8" t="s">
        <v>807</v>
      </c>
      <c r="O8">
        <v>12</v>
      </c>
      <c r="P8" s="31">
        <v>46413</v>
      </c>
      <c r="Q8" t="str">
        <f>" FY"&amp;RIGHT(IF(MONTH(Opportunities[[#This Row],[Close]])&gt;=7,YEAR(Opportunities[[#This Row],[Close]])+1,YEAR(Opportunities[[#This Row],[Close]])),2)&amp;"-Q"&amp;IF(MONTH(Opportunities[[#This Row],[Close]])&gt;=7,CEILING((MONTH(Opportunities[[#This Row],[Close]])-6)/3,1),CEILING((MONTH(Opportunities[[#This Row],[Close]])+6)/3,1))</f>
        <v xml:space="preserve"> FY27-Q2</v>
      </c>
      <c r="R8" t="str">
        <f>"CY"&amp;RIGHT(YEAR(Opportunities[[#This Row],[Close]]),2)&amp;"-Q"&amp;ROUNDUP(MONTH(Opportunities[[#This Row],[Close]])/3, 0)</f>
        <v>CY26-Q4</v>
      </c>
      <c r="S8" t="str">
        <f>siteUrl&amp;"/Lists/"&amp;oppList&amp;"/DispForm.aspx?ID="&amp;Opportunities[[#This Row],[ID]]</f>
        <v>https://cleansheet5.sharepoint.com/sites/SalesFunnel//Lists/auto12Opportunities/DispForm.aspx?ID=7</v>
      </c>
      <c r="T8">
        <f>_xlfn.XLOOKUP(Opportunities[[#This Row],[Stage]],stage[Stage Name],stage[Index],"")</f>
        <v>5</v>
      </c>
      <c r="U8" t="str">
        <f>_xlfn.XLOOKUP(Opportunities[[#This Row],[StageNumber]],stage[Index],stage[Display])</f>
        <v>➄ - Project Execution</v>
      </c>
      <c r="V8">
        <f>Opportunities[[#This Row],[Amount]]*Opportunities[[#This Row],[WinProbabilityValue]]</f>
        <v>501257</v>
      </c>
      <c r="W8" t="str" cm="1">
        <f t="array" ref="W8">_xlfn.SWITCH(Opportunities[[#This Row],[Status]],"At Risk","⚠","Active","✓","⮾")</f>
        <v>✓</v>
      </c>
      <c r="X8" t="str">
        <f>_xlfn.XLOOKUP(Opportunities[[#This Row],[CustomerId]],Customers[Id],Customers[Customer Name])</f>
        <v>Media Communications</v>
      </c>
      <c r="Y8" t="str">
        <f>_xlfn.XLOOKUP(Opportunities[[#This Row],[CustomerId]],Customers[Id],Customers[CustomerRecordUrl])</f>
        <v>https://cleansheet5.sharepoint.com/sites/SalesFunnel//Lists/auto12Customers/DispForm.aspx?ID=14</v>
      </c>
      <c r="Z8">
        <f>_xlfn.XLOOKUP(Opportunities[[#This Row],[ID]],View[ID],View[Visible])</f>
        <v>1</v>
      </c>
      <c r="AA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(Network Infrastructure Upgrade)
 $1.0m • Project Execution • Owner: Dr. Tech Advisor</v>
      </c>
      <c r="AB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8" t="str" cm="1">
        <f t="array" ref="AD8">_xlfn.SWITCH(Opportunities[[#This Row],[Probability]],"High","↖","Medium","←","Low","↙")&amp;" " &amp;Opportunities[[#This Row],[Probability]]</f>
        <v>← Medium</v>
      </c>
      <c r="AE8" t="b">
        <f>Opportunities[[#This Row],[Probability]]="High"</f>
        <v>0</v>
      </c>
      <c r="AF8" s="51">
        <f>_xlfn.XLOOKUP(Opportunities[[#This Row],[Probability]],prob[Win Probability],prob[Value])</f>
        <v>0.5</v>
      </c>
      <c r="AG8" s="51" cm="1">
        <f t="array" ref="AG8">Opportunities[[#This Row],[Amount]]/_xlfn.SWITCH(Opportunities[[#This Row],[RecurringRevenueModel]],"Annually",Opportunities[[#This Row],[Recurrences]],"Semi-Annually",Opportunities[[#This Row],[Recurrences]]/2,"One-time",1,"Quarterly",Opportunities[[#This Row],[Recurrences]]/4,"Monthly",Opportunities[[#This Row],[Recurrences]]/12)</f>
        <v>334171.33333333331</v>
      </c>
      <c r="AH8" s="51">
        <f ca="1">-(TODAY()-Opportunities[[#This Row],[Close]])</f>
        <v>448</v>
      </c>
      <c r="AI8" s="51">
        <f>_xlfn.XLOOKUP(Opportunities[[#This Row],[Stage]],stage[Stage Name],stage[Time To Close])</f>
        <v>0</v>
      </c>
      <c r="AJ8" s="51" t="str">
        <f>IF(Opportunities[[#This Row],[TargetDaysToClose]]=0,"",Opportunities[[#This Row],[TargetDaysToClose]]&lt;=Opportunities[[#This Row],[DaysToClose]])</f>
        <v/>
      </c>
      <c r="AK8" s="51" t="str">
        <f>IF(Opportunities[[#This Row],[Close]]&lt;=Opportunities[[#This Row],[StartDate]],"✓","⚠")</f>
        <v>✓</v>
      </c>
      <c r="AL8" s="51" t="str">
        <f>IF(Opportunities[[#This Row],[Healthy]]=FALSE,ROUND(Opportunities[[#This Row],[DaysToClose]]/7,0)&amp; " weeks to close @ " &amp;Opportunities[[#This Row],[Stage]],"")</f>
        <v/>
      </c>
      <c r="AM8" s="51" t="str">
        <f>Opportunities[[#This Row],[OpportunityName]]&amp;" ("&amp;Opportunities[[#This Row],[Customer Name]]&amp;")"</f>
        <v>Network Infrastructure Upgrade (Media Communications)</v>
      </c>
    </row>
    <row r="9" spans="1:39" x14ac:dyDescent="0.25">
      <c r="A9">
        <v>8</v>
      </c>
      <c r="B9" t="s">
        <v>152</v>
      </c>
      <c r="C9" t="s">
        <v>19</v>
      </c>
      <c r="D9" t="s">
        <v>24</v>
      </c>
      <c r="E9">
        <v>1003602</v>
      </c>
      <c r="F9" t="s">
        <v>82</v>
      </c>
      <c r="G9" s="31">
        <v>45537</v>
      </c>
      <c r="H9" s="31">
        <v>45897</v>
      </c>
      <c r="I9" t="s">
        <v>93</v>
      </c>
      <c r="J9">
        <v>13</v>
      </c>
      <c r="L9" t="s">
        <v>95</v>
      </c>
      <c r="M9" t="s">
        <v>806</v>
      </c>
      <c r="O9">
        <v>8</v>
      </c>
      <c r="P9" s="31">
        <v>45628</v>
      </c>
      <c r="Q9" t="str">
        <f>" FY"&amp;RIGHT(IF(MONTH(Opportunities[[#This Row],[Close]])&gt;=7,YEAR(Opportunities[[#This Row],[Close]])+1,YEAR(Opportunities[[#This Row],[Close]])),2)&amp;"-Q"&amp;IF(MONTH(Opportunities[[#This Row],[Close]])&gt;=7,CEILING((MONTH(Opportunities[[#This Row],[Close]])-6)/3,1),CEILING((MONTH(Opportunities[[#This Row],[Close]])+6)/3,1))</f>
        <v xml:space="preserve"> FY25-Q1</v>
      </c>
      <c r="R9" t="str">
        <f>"CY"&amp;RIGHT(YEAR(Opportunities[[#This Row],[Close]]),2)&amp;"-Q"&amp;ROUNDUP(MONTH(Opportunities[[#This Row],[Close]])/3, 0)</f>
        <v>CY24-Q3</v>
      </c>
      <c r="S9" t="str">
        <f>siteUrl&amp;"/Lists/"&amp;oppList&amp;"/DispForm.aspx?ID="&amp;Opportunities[[#This Row],[ID]]</f>
        <v>https://cleansheet5.sharepoint.com/sites/SalesFunnel//Lists/auto12Opportunities/DispForm.aspx?ID=8</v>
      </c>
      <c r="T9">
        <f>_xlfn.XLOOKUP(Opportunities[[#This Row],[Stage]],stage[Stage Name],stage[Index],"")</f>
        <v>6</v>
      </c>
      <c r="U9" t="str">
        <f>_xlfn.XLOOKUP(Opportunities[[#This Row],[StageNumber]],stage[Index],stage[Display])</f>
        <v>➅ - Closeout</v>
      </c>
      <c r="V9">
        <f>Opportunities[[#This Row],[Amount]]*Opportunities[[#This Row],[WinProbabilityValue]]</f>
        <v>501801</v>
      </c>
      <c r="W9" t="str" cm="1">
        <f t="array" ref="W9">_xlfn.SWITCH(Opportunities[[#This Row],[Status]],"At Risk","⚠","Active","✓","⮾")</f>
        <v>✓</v>
      </c>
      <c r="X9" t="str">
        <f>_xlfn.XLOOKUP(Opportunities[[#This Row],[CustomerId]],Customers[Id],Customers[Customer Name])</f>
        <v>Professional Services Group</v>
      </c>
      <c r="Y9" t="str">
        <f>_xlfn.XLOOKUP(Opportunities[[#This Row],[CustomerId]],Customers[Id],Customers[CustomerRecordUrl])</f>
        <v>https://cleansheet5.sharepoint.com/sites/SalesFunnel//Lists/auto12Customers/DispForm.aspx?ID=13</v>
      </c>
      <c r="Z9">
        <f>_xlfn.XLOOKUP(Opportunities[[#This Row],[ID]],View[ID],View[Visible])</f>
        <v>1</v>
      </c>
      <c r="AA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(Business Intelligence Solution)
 $1.0m • Closeout • Owner: Sarah Director</v>
      </c>
      <c r="AB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FY25-Q3</v>
      </c>
      <c r="AD9" t="str" cm="1">
        <f t="array" ref="AD9">_xlfn.SWITCH(Opportunities[[#This Row],[Probability]],"High","↖","Medium","←","Low","↙")&amp;" " &amp;Opportunities[[#This Row],[Probability]]</f>
        <v>← Medium</v>
      </c>
      <c r="AE9" t="b">
        <f>Opportunities[[#This Row],[Probability]]="High"</f>
        <v>0</v>
      </c>
      <c r="AF9" s="51">
        <f>_xlfn.XLOOKUP(Opportunities[[#This Row],[Probability]],prob[Win Probability],prob[Value])</f>
        <v>0.5</v>
      </c>
      <c r="AG9" s="51" cm="1">
        <f t="array" ref="AG9">Opportunities[[#This Row],[Amount]]/_xlfn.SWITCH(Opportunities[[#This Row],[RecurringRevenueModel]],"Annually",Opportunities[[#This Row],[Recurrences]],"Semi-Annually",Opportunities[[#This Row],[Recurrences]]/2,"One-time",1,"Quarterly",Opportunities[[#This Row],[Recurrences]]/4,"Monthly",Opportunities[[#This Row],[Recurrences]]/12)</f>
        <v>250900.5</v>
      </c>
      <c r="AH9" s="51">
        <f ca="1">-(TODAY()-Opportunities[[#This Row],[Close]])</f>
        <v>-345</v>
      </c>
      <c r="AI9" s="51">
        <f>_xlfn.XLOOKUP(Opportunities[[#This Row],[Stage]],stage[Stage Name],stage[Time To Close])</f>
        <v>0</v>
      </c>
      <c r="AJ9" s="51" t="str">
        <f>IF(Opportunities[[#This Row],[TargetDaysToClose]]=0,"",Opportunities[[#This Row],[TargetDaysToClose]]&lt;=Opportunities[[#This Row],[DaysToClose]])</f>
        <v/>
      </c>
      <c r="AK9" s="51" t="str">
        <f>IF(Opportunities[[#This Row],[Close]]&lt;=Opportunities[[#This Row],[StartDate]],"✓","⚠")</f>
        <v>✓</v>
      </c>
      <c r="AL9" s="51" t="str">
        <f>IF(Opportunities[[#This Row],[Healthy]]=FALSE,ROUND(Opportunities[[#This Row],[DaysToClose]]/7,0)&amp; " weeks to close @ " &amp;Opportunities[[#This Row],[Stage]],"")</f>
        <v/>
      </c>
      <c r="AM9" s="51" t="str">
        <f>Opportunities[[#This Row],[OpportunityName]]&amp;" ("&amp;Opportunities[[#This Row],[Customer Name]]&amp;")"</f>
        <v>Business Intelligence Solution (Professional Services Group)</v>
      </c>
    </row>
    <row r="10" spans="1:39" x14ac:dyDescent="0.25">
      <c r="A10">
        <v>9</v>
      </c>
      <c r="B10" t="s">
        <v>154</v>
      </c>
      <c r="C10" t="s">
        <v>17</v>
      </c>
      <c r="D10" t="s">
        <v>20</v>
      </c>
      <c r="E10">
        <v>1310673</v>
      </c>
      <c r="F10" t="s">
        <v>84</v>
      </c>
      <c r="G10" s="31">
        <v>46139</v>
      </c>
      <c r="H10" s="31">
        <v>45931</v>
      </c>
      <c r="I10" t="s">
        <v>99</v>
      </c>
      <c r="J10">
        <v>26</v>
      </c>
      <c r="L10" t="s">
        <v>101</v>
      </c>
      <c r="M10" t="s">
        <v>803</v>
      </c>
      <c r="O10">
        <v>7</v>
      </c>
      <c r="P10" s="31">
        <v>46222</v>
      </c>
      <c r="Q10" t="str">
        <f>" FY"&amp;RIGHT(IF(MONTH(Opportunities[[#This Row],[Close]])&gt;=7,YEAR(Opportunities[[#This Row],[Close]])+1,YEAR(Opportunities[[#This Row],[Close]])),2)&amp;"-Q"&amp;IF(MONTH(Opportunities[[#This Row],[Close]])&gt;=7,CEILING((MONTH(Opportunities[[#This Row],[Close]])-6)/3,1),CEILING((MONTH(Opportunities[[#This Row],[Close]])+6)/3,1))</f>
        <v xml:space="preserve"> FY26-Q4</v>
      </c>
      <c r="R10" t="str">
        <f>"CY"&amp;RIGHT(YEAR(Opportunities[[#This Row],[Close]]),2)&amp;"-Q"&amp;ROUNDUP(MONTH(Opportunities[[#This Row],[Close]])/3, 0)</f>
        <v>CY26-Q2</v>
      </c>
      <c r="S10" t="str">
        <f>siteUrl&amp;"/Lists/"&amp;oppList&amp;"/DispForm.aspx?ID="&amp;Opportunities[[#This Row],[ID]]</f>
        <v>https://cleansheet5.sharepoint.com/sites/SalesFunnel//Lists/auto12Opportunities/DispForm.aspx?ID=9</v>
      </c>
      <c r="T10">
        <f>_xlfn.XLOOKUP(Opportunities[[#This Row],[Stage]],stage[Stage Name],stage[Index],"")</f>
        <v>1</v>
      </c>
      <c r="U10" t="str">
        <f>_xlfn.XLOOKUP(Opportunities[[#This Row],[StageNumber]],stage[Index],stage[Display])</f>
        <v>➀ - Lead Qualification</v>
      </c>
      <c r="V10">
        <f>Opportunities[[#This Row],[Amount]]*Opportunities[[#This Row],[WinProbabilityValue]]</f>
        <v>262134.6</v>
      </c>
      <c r="W10" t="str" cm="1">
        <f t="array" ref="W10">_xlfn.SWITCH(Opportunities[[#This Row],[Status]],"At Risk","⚠","Active","✓","⮾")</f>
        <v>⚠</v>
      </c>
      <c r="X10" t="str">
        <f>_xlfn.XLOOKUP(Opportunities[[#This Row],[CustomerId]],Customers[Id],Customers[Customer Name])</f>
        <v>Publishing House</v>
      </c>
      <c r="Y10" t="str">
        <f>_xlfn.XLOOKUP(Opportunities[[#This Row],[CustomerId]],Customers[Id],Customers[CustomerRecordUrl])</f>
        <v>https://cleansheet5.sharepoint.com/sites/SalesFunnel//Lists/auto12Customers/DispForm.aspx?ID=26</v>
      </c>
      <c r="Z10">
        <f>_xlfn.XLOOKUP(Opportunities[[#This Row],[ID]],View[ID],View[Visible])</f>
        <v>1</v>
      </c>
      <c r="AA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(Customer Portal Development)
 $1.3m • Lead Qualification • Owner: Lisa Engineer</v>
      </c>
      <c r="AB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10" t="str" cm="1">
        <f t="array" ref="AD10">_xlfn.SWITCH(Opportunities[[#This Row],[Probability]],"High","↖","Medium","←","Low","↙")&amp;" " &amp;Opportunities[[#This Row],[Probability]]</f>
        <v>↙ Low</v>
      </c>
      <c r="AE10" t="b">
        <f>Opportunities[[#This Row],[Probability]]="High"</f>
        <v>0</v>
      </c>
      <c r="AF10" s="51">
        <f>_xlfn.XLOOKUP(Opportunities[[#This Row],[Probability]],prob[Win Probability],prob[Value])</f>
        <v>0.2</v>
      </c>
      <c r="AG10" s="51" cm="1">
        <f t="array" ref="AG10">Opportunities[[#This Row],[Amount]]/_xlfn.SWITCH(Opportunities[[#This Row],[RecurringRevenueModel]],"Annually",Opportunities[[#This Row],[Recurrences]],"Semi-Annually",Opportunities[[#This Row],[Recurrences]]/2,"One-time",1,"Quarterly",Opportunities[[#This Row],[Recurrences]]/4,"Monthly",Opportunities[[#This Row],[Recurrences]]/12)</f>
        <v>187239</v>
      </c>
      <c r="AH10" s="51">
        <f ca="1">-(TODAY()-Opportunities[[#This Row],[Close]])</f>
        <v>257</v>
      </c>
      <c r="AI10" s="51">
        <f>_xlfn.XLOOKUP(Opportunities[[#This Row],[Stage]],stage[Stage Name],stage[Time To Close])</f>
        <v>270</v>
      </c>
      <c r="AJ10" s="51" t="b">
        <f ca="1">IF(Opportunities[[#This Row],[TargetDaysToClose]]=0,"",Opportunities[[#This Row],[TargetDaysToClose]]&lt;=Opportunities[[#This Row],[DaysToClose]])</f>
        <v>0</v>
      </c>
      <c r="AK10" s="51" t="str">
        <f>IF(Opportunities[[#This Row],[Close]]&lt;=Opportunities[[#This Row],[StartDate]],"✓","⚠")</f>
        <v>✓</v>
      </c>
      <c r="AL10" s="51" t="str">
        <f ca="1">IF(Opportunities[[#This Row],[Healthy]]=FALSE,ROUND(Opportunities[[#This Row],[DaysToClose]]/7,0)&amp; " weeks to close @ " &amp;Opportunities[[#This Row],[Stage]],"")</f>
        <v>37 weeks to close @ Lead Qualification</v>
      </c>
      <c r="AM10" s="51" t="str">
        <f>Opportunities[[#This Row],[OpportunityName]]&amp;" ("&amp;Opportunities[[#This Row],[Customer Name]]&amp;")"</f>
        <v>Customer Portal Development (Publishing House)</v>
      </c>
    </row>
    <row r="11" spans="1:39" x14ac:dyDescent="0.25">
      <c r="A11">
        <v>10</v>
      </c>
      <c r="B11" t="s">
        <v>155</v>
      </c>
      <c r="C11" t="s">
        <v>19</v>
      </c>
      <c r="D11" t="s">
        <v>23</v>
      </c>
      <c r="E11">
        <v>1085176</v>
      </c>
      <c r="F11" t="s">
        <v>82</v>
      </c>
      <c r="G11" s="31">
        <v>46063</v>
      </c>
      <c r="H11" s="31">
        <v>45928</v>
      </c>
      <c r="I11" t="s">
        <v>99</v>
      </c>
      <c r="J11">
        <v>30</v>
      </c>
      <c r="L11" t="s">
        <v>393</v>
      </c>
      <c r="M11" t="s">
        <v>805</v>
      </c>
      <c r="O11">
        <v>1</v>
      </c>
      <c r="P11" s="31">
        <v>46118</v>
      </c>
      <c r="Q11" t="str">
        <f>" FY"&amp;RIGHT(IF(MONTH(Opportunities[[#This Row],[Close]])&gt;=7,YEAR(Opportunities[[#This Row],[Close]])+1,YEAR(Opportunities[[#This Row],[Close]])),2)&amp;"-Q"&amp;IF(MONTH(Opportunities[[#This Row],[Close]])&gt;=7,CEILING((MONTH(Opportunities[[#This Row],[Close]])-6)/3,1),CEILING((MONTH(Opportunities[[#This Row],[Close]])+6)/3,1))</f>
        <v xml:space="preserve"> FY26-Q3</v>
      </c>
      <c r="R11" t="str">
        <f>"CY"&amp;RIGHT(YEAR(Opportunities[[#This Row],[Close]]),2)&amp;"-Q"&amp;ROUNDUP(MONTH(Opportunities[[#This Row],[Close]])/3, 0)</f>
        <v>CY26-Q1</v>
      </c>
      <c r="S11" t="str">
        <f>siteUrl&amp;"/Lists/"&amp;oppList&amp;"/DispForm.aspx?ID="&amp;Opportunities[[#This Row],[ID]]</f>
        <v>https://cleansheet5.sharepoint.com/sites/SalesFunnel//Lists/auto12Opportunities/DispForm.aspx?ID=10</v>
      </c>
      <c r="T11">
        <f>_xlfn.XLOOKUP(Opportunities[[#This Row],[Stage]],stage[Stage Name],stage[Index],"")</f>
        <v>2</v>
      </c>
      <c r="U11" t="str">
        <f>_xlfn.XLOOKUP(Opportunities[[#This Row],[StageNumber]],stage[Index],stage[Display])</f>
        <v>➁ - Nurturing</v>
      </c>
      <c r="V11">
        <f>Opportunities[[#This Row],[Amount]]*Opportunities[[#This Row],[WinProbabilityValue]]</f>
        <v>542588</v>
      </c>
      <c r="W11" t="str" cm="1">
        <f t="array" ref="W11">_xlfn.SWITCH(Opportunities[[#This Row],[Status]],"At Risk","⚠","Active","✓","⮾")</f>
        <v>✓</v>
      </c>
      <c r="X11" t="str">
        <f>_xlfn.XLOOKUP(Opportunities[[#This Row],[CustomerId]],Customers[Id],Customers[Customer Name])</f>
        <v>Consulting Experts</v>
      </c>
      <c r="Y11" t="str">
        <f>_xlfn.XLOOKUP(Opportunities[[#This Row],[CustomerId]],Customers[Id],Customers[CustomerRecordUrl])</f>
        <v>https://cleansheet5.sharepoint.com/sites/SalesFunnel//Lists/auto12Customers/DispForm.aspx?ID=30</v>
      </c>
      <c r="Z11">
        <f>_xlfn.XLOOKUP(Opportunities[[#This Row],[ID]],View[ID],View[Visible])</f>
        <v>1</v>
      </c>
      <c r="AA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(Mobile Application Development)
 $1.1m • Nurturing • Owner: Amanda Sales</v>
      </c>
      <c r="AB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11" t="str" cm="1">
        <f t="array" ref="AD11">_xlfn.SWITCH(Opportunities[[#This Row],[Probability]],"High","↖","Medium","←","Low","↙")&amp;" " &amp;Opportunities[[#This Row],[Probability]]</f>
        <v>← Medium</v>
      </c>
      <c r="AE11" t="b">
        <f>Opportunities[[#This Row],[Probability]]="High"</f>
        <v>0</v>
      </c>
      <c r="AF11" s="51">
        <f>_xlfn.XLOOKUP(Opportunities[[#This Row],[Probability]],prob[Win Probability],prob[Value])</f>
        <v>0.5</v>
      </c>
      <c r="AG11" s="51" cm="1">
        <f t="array" ref="AG11">Opportunities[[#This Row],[Amount]]/_xlfn.SWITCH(Opportunities[[#This Row],[RecurringRevenueModel]],"Annually",Opportunities[[#This Row],[Recurrences]],"Semi-Annually",Opportunities[[#This Row],[Recurrences]]/2,"One-time",1,"Quarterly",Opportunities[[#This Row],[Recurrences]]/4,"Monthly",Opportunities[[#This Row],[Recurrences]]/12)</f>
        <v>1085176</v>
      </c>
      <c r="AH11" s="51">
        <f ca="1">-(TODAY()-Opportunities[[#This Row],[Close]])</f>
        <v>181</v>
      </c>
      <c r="AI11" s="51">
        <f>_xlfn.XLOOKUP(Opportunities[[#This Row],[Stage]],stage[Stage Name],stage[Time To Close])</f>
        <v>180</v>
      </c>
      <c r="AJ11" s="51" t="b">
        <f ca="1">IF(Opportunities[[#This Row],[TargetDaysToClose]]=0,"",Opportunities[[#This Row],[TargetDaysToClose]]&lt;=Opportunities[[#This Row],[DaysToClose]])</f>
        <v>1</v>
      </c>
      <c r="AK11" s="51" t="str">
        <f>IF(Opportunities[[#This Row],[Close]]&lt;=Opportunities[[#This Row],[StartDate]],"✓","⚠")</f>
        <v>✓</v>
      </c>
      <c r="AL11" s="51" t="str">
        <f ca="1">IF(Opportunities[[#This Row],[Healthy]]=FALSE,ROUND(Opportunities[[#This Row],[DaysToClose]]/7,0)&amp; " weeks to close @ " &amp;Opportunities[[#This Row],[Stage]],"")</f>
        <v/>
      </c>
      <c r="AM11" s="51" t="str">
        <f>Opportunities[[#This Row],[OpportunityName]]&amp;" ("&amp;Opportunities[[#This Row],[Customer Name]]&amp;")"</f>
        <v>Mobile Application Development (Consulting Experts)</v>
      </c>
    </row>
    <row r="12" spans="1:39" x14ac:dyDescent="0.25">
      <c r="A12">
        <v>11</v>
      </c>
      <c r="B12" t="s">
        <v>156</v>
      </c>
      <c r="C12" t="s">
        <v>17</v>
      </c>
      <c r="D12" t="s">
        <v>18</v>
      </c>
      <c r="E12">
        <v>2017080</v>
      </c>
      <c r="F12" t="s">
        <v>83</v>
      </c>
      <c r="G12" s="31">
        <v>46318</v>
      </c>
      <c r="H12" s="31">
        <v>45923</v>
      </c>
      <c r="I12" t="s">
        <v>99</v>
      </c>
      <c r="J12">
        <v>3</v>
      </c>
      <c r="L12" t="s">
        <v>166</v>
      </c>
      <c r="M12" t="s">
        <v>807</v>
      </c>
      <c r="O12">
        <v>16</v>
      </c>
      <c r="P12" s="31">
        <v>46400</v>
      </c>
      <c r="Q12" t="str">
        <f>" FY"&amp;RIGHT(IF(MONTH(Opportunities[[#This Row],[Close]])&gt;=7,YEAR(Opportunities[[#This Row],[Close]])+1,YEAR(Opportunities[[#This Row],[Close]])),2)&amp;"-Q"&amp;IF(MONTH(Opportunities[[#This Row],[Close]])&gt;=7,CEILING((MONTH(Opportunities[[#This Row],[Close]])-6)/3,1),CEILING((MONTH(Opportunities[[#This Row],[Close]])+6)/3,1))</f>
        <v xml:space="preserve"> FY27-Q2</v>
      </c>
      <c r="R12" t="str">
        <f>"CY"&amp;RIGHT(YEAR(Opportunities[[#This Row],[Close]]),2)&amp;"-Q"&amp;ROUNDUP(MONTH(Opportunities[[#This Row],[Close]])/3, 0)</f>
        <v>CY26-Q4</v>
      </c>
      <c r="S12" t="str">
        <f>siteUrl&amp;"/Lists/"&amp;oppList&amp;"/DispForm.aspx?ID="&amp;Opportunities[[#This Row],[ID]]</f>
        <v>https://cleansheet5.sharepoint.com/sites/SalesFunnel//Lists/auto12Opportunities/DispForm.aspx?ID=11</v>
      </c>
      <c r="T12">
        <f>_xlfn.XLOOKUP(Opportunities[[#This Row],[Stage]],stage[Stage Name],stage[Index],"")</f>
        <v>4</v>
      </c>
      <c r="U12" t="str">
        <f>_xlfn.XLOOKUP(Opportunities[[#This Row],[StageNumber]],stage[Index],stage[Display])</f>
        <v>➃ - Negotiation</v>
      </c>
      <c r="V12">
        <f>Opportunities[[#This Row],[Amount]]*Opportunities[[#This Row],[WinProbabilityValue]]</f>
        <v>1815372</v>
      </c>
      <c r="W12" t="str" cm="1">
        <f t="array" ref="W12">_xlfn.SWITCH(Opportunities[[#This Row],[Status]],"At Risk","⚠","Active","✓","⮾")</f>
        <v>⚠</v>
      </c>
      <c r="X12" t="str">
        <f>_xlfn.XLOOKUP(Opportunities[[#This Row],[CustomerId]],Customers[Id],Customers[Customer Name])</f>
        <v>Tech Solutions Inc</v>
      </c>
      <c r="Y12" t="str">
        <f>_xlfn.XLOOKUP(Opportunities[[#This Row],[CustomerId]],Customers[Id],Customers[CustomerRecordUrl])</f>
        <v>https://cleansheet5.sharepoint.com/sites/SalesFunnel//Lists/auto12Customers/DispForm.aspx?ID=3</v>
      </c>
      <c r="Z12">
        <f>_xlfn.XLOOKUP(Opportunities[[#This Row],[ID]],View[ID],View[Visible])</f>
        <v>1</v>
      </c>
      <c r="AA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(Data Center Consolidation)
 $2.0m • Negotiation • Owner: David Specialist</v>
      </c>
      <c r="AB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12" t="str" cm="1">
        <f t="array" ref="AD12">_xlfn.SWITCH(Opportunities[[#This Row],[Probability]],"High","↖","Medium","←","Low","↙")&amp;" " &amp;Opportunities[[#This Row],[Probability]]</f>
        <v>↖ High</v>
      </c>
      <c r="AE12" t="b">
        <f>Opportunities[[#This Row],[Probability]]="High"</f>
        <v>1</v>
      </c>
      <c r="AF12" s="51">
        <f>_xlfn.XLOOKUP(Opportunities[[#This Row],[Probability]],prob[Win Probability],prob[Value])</f>
        <v>0.9</v>
      </c>
      <c r="AG12" s="51" cm="1">
        <f t="array" ref="AG12">Opportunities[[#This Row],[Amount]]/_xlfn.SWITCH(Opportunities[[#This Row],[RecurringRevenueModel]],"Annually",Opportunities[[#This Row],[Recurrences]],"Semi-Annually",Opportunities[[#This Row],[Recurrences]]/2,"One-time",1,"Quarterly",Opportunities[[#This Row],[Recurrences]]/4,"Monthly",Opportunities[[#This Row],[Recurrences]]/12)</f>
        <v>504270</v>
      </c>
      <c r="AH12" s="51">
        <f ca="1">-(TODAY()-Opportunities[[#This Row],[Close]])</f>
        <v>436</v>
      </c>
      <c r="AI12" s="51">
        <f>_xlfn.XLOOKUP(Opportunities[[#This Row],[Stage]],stage[Stage Name],stage[Time To Close])</f>
        <v>7</v>
      </c>
      <c r="AJ12" s="51" t="b">
        <f ca="1">IF(Opportunities[[#This Row],[TargetDaysToClose]]=0,"",Opportunities[[#This Row],[TargetDaysToClose]]&lt;=Opportunities[[#This Row],[DaysToClose]])</f>
        <v>1</v>
      </c>
      <c r="AK12" s="51" t="str">
        <f>IF(Opportunities[[#This Row],[Close]]&lt;=Opportunities[[#This Row],[StartDate]],"✓","⚠")</f>
        <v>✓</v>
      </c>
      <c r="AL12" s="51" t="str">
        <f ca="1">IF(Opportunities[[#This Row],[Healthy]]=FALSE,ROUND(Opportunities[[#This Row],[DaysToClose]]/7,0)&amp; " weeks to close @ " &amp;Opportunities[[#This Row],[Stage]],"")</f>
        <v/>
      </c>
      <c r="AM12" s="51" t="str">
        <f>Opportunities[[#This Row],[OpportunityName]]&amp;" ("&amp;Opportunities[[#This Row],[Customer Name]]&amp;")"</f>
        <v>Data Center Consolidation (Tech Solutions Inc)</v>
      </c>
    </row>
    <row r="13" spans="1:39" x14ac:dyDescent="0.25">
      <c r="A13">
        <v>12</v>
      </c>
      <c r="B13" t="s">
        <v>158</v>
      </c>
      <c r="C13" t="s">
        <v>19</v>
      </c>
      <c r="D13" t="s">
        <v>21</v>
      </c>
      <c r="E13">
        <v>1087125</v>
      </c>
      <c r="F13" t="s">
        <v>82</v>
      </c>
      <c r="G13" s="31">
        <v>46226</v>
      </c>
      <c r="H13" s="31">
        <v>45910</v>
      </c>
      <c r="I13" t="s">
        <v>146</v>
      </c>
      <c r="J13">
        <v>17</v>
      </c>
      <c r="L13" t="s">
        <v>104</v>
      </c>
      <c r="M13" t="s">
        <v>803</v>
      </c>
      <c r="O13">
        <v>8</v>
      </c>
      <c r="P13" s="31">
        <v>46313</v>
      </c>
      <c r="Q13" t="str">
        <f>" FY"&amp;RIGHT(IF(MONTH(Opportunities[[#This Row],[Close]])&gt;=7,YEAR(Opportunities[[#This Row],[Close]])+1,YEAR(Opportunities[[#This Row],[Close]])),2)&amp;"-Q"&amp;IF(MONTH(Opportunities[[#This Row],[Close]])&gt;=7,CEILING((MONTH(Opportunities[[#This Row],[Close]])-6)/3,1),CEILING((MONTH(Opportunities[[#This Row],[Close]])+6)/3,1))</f>
        <v xml:space="preserve"> FY27-Q1</v>
      </c>
      <c r="R13" t="str">
        <f>"CY"&amp;RIGHT(YEAR(Opportunities[[#This Row],[Close]]),2)&amp;"-Q"&amp;ROUNDUP(MONTH(Opportunities[[#This Row],[Close]])/3, 0)</f>
        <v>CY26-Q3</v>
      </c>
      <c r="S13" t="str">
        <f>siteUrl&amp;"/Lists/"&amp;oppList&amp;"/DispForm.aspx?ID="&amp;Opportunities[[#This Row],[ID]]</f>
        <v>https://cleansheet5.sharepoint.com/sites/SalesFunnel//Lists/auto12Opportunities/DispForm.aspx?ID=12</v>
      </c>
      <c r="T13">
        <f>_xlfn.XLOOKUP(Opportunities[[#This Row],[Stage]],stage[Stage Name],stage[Index],"")</f>
        <v>5</v>
      </c>
      <c r="U13" t="str">
        <f>_xlfn.XLOOKUP(Opportunities[[#This Row],[StageNumber]],stage[Index],stage[Display])</f>
        <v>➄ - Project Execution</v>
      </c>
      <c r="V13">
        <f>Opportunities[[#This Row],[Amount]]*Opportunities[[#This Row],[WinProbabilityValue]]</f>
        <v>543562.5</v>
      </c>
      <c r="W13" t="str" cm="1">
        <f t="array" ref="W13">_xlfn.SWITCH(Opportunities[[#This Row],[Status]],"At Risk","⚠","Active","✓","⮾")</f>
        <v>✓</v>
      </c>
      <c r="X13" t="str">
        <f>_xlfn.XLOOKUP(Opportunities[[#This Row],[CustomerId]],Customers[Id],Customers[Customer Name])</f>
        <v>Insurance Specialists</v>
      </c>
      <c r="Y13" t="str">
        <f>_xlfn.XLOOKUP(Opportunities[[#This Row],[CustomerId]],Customers[Id],Customers[CustomerRecordUrl])</f>
        <v>https://cleansheet5.sharepoint.com/sites/SalesFunnel//Lists/auto12Customers/DispForm.aspx?ID=17</v>
      </c>
      <c r="Z13">
        <f>_xlfn.XLOOKUP(Opportunities[[#This Row],[ID]],View[ID],View[Visible])</f>
        <v>1</v>
      </c>
      <c r="AA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(Cybersecurity Enhancement)
 $1.1m • Project Execution • Owner: Dr. Tech Advisor</v>
      </c>
      <c r="AB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13" t="str" cm="1">
        <f t="array" ref="AD13">_xlfn.SWITCH(Opportunities[[#This Row],[Probability]],"High","↖","Medium","←","Low","↙")&amp;" " &amp;Opportunities[[#This Row],[Probability]]</f>
        <v>← Medium</v>
      </c>
      <c r="AE13" t="b">
        <f>Opportunities[[#This Row],[Probability]]="High"</f>
        <v>0</v>
      </c>
      <c r="AF13" s="51">
        <f>_xlfn.XLOOKUP(Opportunities[[#This Row],[Probability]],prob[Win Probability],prob[Value])</f>
        <v>0.5</v>
      </c>
      <c r="AG13" s="51" cm="1">
        <f t="array" ref="AG13">Opportunities[[#This Row],[Amount]]/_xlfn.SWITCH(Opportunities[[#This Row],[RecurringRevenueModel]],"Annually",Opportunities[[#This Row],[Recurrences]],"Semi-Annually",Opportunities[[#This Row],[Recurrences]]/2,"One-time",1,"Quarterly",Opportunities[[#This Row],[Recurrences]]/4,"Monthly",Opportunities[[#This Row],[Recurrences]]/12)</f>
        <v>135890.625</v>
      </c>
      <c r="AH13" s="51">
        <f ca="1">-(TODAY()-Opportunities[[#This Row],[Close]])</f>
        <v>344</v>
      </c>
      <c r="AI13" s="51">
        <f>_xlfn.XLOOKUP(Opportunities[[#This Row],[Stage]],stage[Stage Name],stage[Time To Close])</f>
        <v>0</v>
      </c>
      <c r="AJ13" s="51" t="str">
        <f>IF(Opportunities[[#This Row],[TargetDaysToClose]]=0,"",Opportunities[[#This Row],[TargetDaysToClose]]&lt;=Opportunities[[#This Row],[DaysToClose]])</f>
        <v/>
      </c>
      <c r="AK13" s="51" t="str">
        <f>IF(Opportunities[[#This Row],[Close]]&lt;=Opportunities[[#This Row],[StartDate]],"✓","⚠")</f>
        <v>✓</v>
      </c>
      <c r="AL13" s="51" t="str">
        <f>IF(Opportunities[[#This Row],[Healthy]]=FALSE,ROUND(Opportunities[[#This Row],[DaysToClose]]/7,0)&amp; " weeks to close @ " &amp;Opportunities[[#This Row],[Stage]],"")</f>
        <v/>
      </c>
      <c r="AM13" s="51" t="str">
        <f>Opportunities[[#This Row],[OpportunityName]]&amp;" ("&amp;Opportunities[[#This Row],[Customer Name]]&amp;")"</f>
        <v>Cybersecurity Enhancement (Insurance Specialists)</v>
      </c>
    </row>
    <row r="14" spans="1:39" x14ac:dyDescent="0.25">
      <c r="A14">
        <v>13</v>
      </c>
      <c r="B14" t="s">
        <v>160</v>
      </c>
      <c r="C14" t="s">
        <v>19</v>
      </c>
      <c r="D14" t="s">
        <v>18</v>
      </c>
      <c r="E14">
        <v>1236637</v>
      </c>
      <c r="F14" t="s">
        <v>82</v>
      </c>
      <c r="G14" s="31">
        <v>46246</v>
      </c>
      <c r="H14" s="31">
        <v>45939</v>
      </c>
      <c r="I14" t="s">
        <v>148</v>
      </c>
      <c r="J14">
        <v>2</v>
      </c>
      <c r="L14" t="s">
        <v>101</v>
      </c>
      <c r="M14" t="s">
        <v>804</v>
      </c>
      <c r="O14">
        <v>49</v>
      </c>
      <c r="P14" s="31">
        <v>46317</v>
      </c>
      <c r="Q14" t="str">
        <f>" FY"&amp;RIGHT(IF(MONTH(Opportunities[[#This Row],[Close]])&gt;=7,YEAR(Opportunities[[#This Row],[Close]])+1,YEAR(Opportunities[[#This Row],[Close]])),2)&amp;"-Q"&amp;IF(MONTH(Opportunities[[#This Row],[Close]])&gt;=7,CEILING((MONTH(Opportunities[[#This Row],[Close]])-6)/3,1),CEILING((MONTH(Opportunities[[#This Row],[Close]])+6)/3,1))</f>
        <v xml:space="preserve"> FY27-Q1</v>
      </c>
      <c r="R14" t="str">
        <f>"CY"&amp;RIGHT(YEAR(Opportunities[[#This Row],[Close]]),2)&amp;"-Q"&amp;ROUNDUP(MONTH(Opportunities[[#This Row],[Close]])/3, 0)</f>
        <v>CY26-Q3</v>
      </c>
      <c r="S14" t="str">
        <f>siteUrl&amp;"/Lists/"&amp;oppList&amp;"/DispForm.aspx?ID="&amp;Opportunities[[#This Row],[ID]]</f>
        <v>https://cleansheet5.sharepoint.com/sites/SalesFunnel//Lists/auto12Opportunities/DispForm.aspx?ID=13</v>
      </c>
      <c r="T14">
        <f>_xlfn.XLOOKUP(Opportunities[[#This Row],[Stage]],stage[Stage Name],stage[Index],"")</f>
        <v>4</v>
      </c>
      <c r="U14" t="str">
        <f>_xlfn.XLOOKUP(Opportunities[[#This Row],[StageNumber]],stage[Index],stage[Display])</f>
        <v>➃ - Negotiation</v>
      </c>
      <c r="V14">
        <f>Opportunities[[#This Row],[Amount]]*Opportunities[[#This Row],[WinProbabilityValue]]</f>
        <v>618318.5</v>
      </c>
      <c r="W14" t="str" cm="1">
        <f t="array" ref="W14">_xlfn.SWITCH(Opportunities[[#This Row],[Status]],"At Risk","⚠","Active","✓","⮾")</f>
        <v>✓</v>
      </c>
      <c r="X14" t="str">
        <f>_xlfn.XLOOKUP(Opportunities[[#This Row],[CustomerId]],Customers[Id],Customers[Customer Name])</f>
        <v>Global Industries</v>
      </c>
      <c r="Y14" t="str">
        <f>_xlfn.XLOOKUP(Opportunities[[#This Row],[CustomerId]],Customers[Id],Customers[CustomerRecordUrl])</f>
        <v>https://cleansheet5.sharepoint.com/sites/SalesFunnel//Lists/auto12Customers/DispForm.aspx?ID=2</v>
      </c>
      <c r="Z14">
        <f>_xlfn.XLOOKUP(Opportunities[[#This Row],[ID]],View[ID],View[Visible])</f>
        <v>1</v>
      </c>
      <c r="AA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(E-commerce Platform)
 $1.2m • Negotiation • Owner: Lisa Engineer</v>
      </c>
      <c r="AB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14" t="str" cm="1">
        <f t="array" ref="AD14">_xlfn.SWITCH(Opportunities[[#This Row],[Probability]],"High","↖","Medium","←","Low","↙")&amp;" " &amp;Opportunities[[#This Row],[Probability]]</f>
        <v>← Medium</v>
      </c>
      <c r="AE14" t="b">
        <f>Opportunities[[#This Row],[Probability]]="High"</f>
        <v>0</v>
      </c>
      <c r="AF14" s="51">
        <f>_xlfn.XLOOKUP(Opportunities[[#This Row],[Probability]],prob[Win Probability],prob[Value])</f>
        <v>0.5</v>
      </c>
      <c r="AG14" s="51" cm="1">
        <f t="array" ref="AG14">Opportunities[[#This Row],[Amount]]/_xlfn.SWITCH(Opportunities[[#This Row],[RecurringRevenueModel]],"Annually",Opportunities[[#This Row],[Recurrences]],"Semi-Annually",Opportunities[[#This Row],[Recurrences]]/2,"One-time",1,"Quarterly",Opportunities[[#This Row],[Recurrences]]/4,"Monthly",Opportunities[[#This Row],[Recurrences]]/12)</f>
        <v>302849.87755102041</v>
      </c>
      <c r="AH14" s="51">
        <f ca="1">-(TODAY()-Opportunities[[#This Row],[Close]])</f>
        <v>364</v>
      </c>
      <c r="AI14" s="51">
        <f>_xlfn.XLOOKUP(Opportunities[[#This Row],[Stage]],stage[Stage Name],stage[Time To Close])</f>
        <v>7</v>
      </c>
      <c r="AJ14" s="51" t="b">
        <f ca="1">IF(Opportunities[[#This Row],[TargetDaysToClose]]=0,"",Opportunities[[#This Row],[TargetDaysToClose]]&lt;=Opportunities[[#This Row],[DaysToClose]])</f>
        <v>1</v>
      </c>
      <c r="AK14" s="51" t="str">
        <f>IF(Opportunities[[#This Row],[Close]]&lt;=Opportunities[[#This Row],[StartDate]],"✓","⚠")</f>
        <v>✓</v>
      </c>
      <c r="AL14" s="51" t="str">
        <f ca="1">IF(Opportunities[[#This Row],[Healthy]]=FALSE,ROUND(Opportunities[[#This Row],[DaysToClose]]/7,0)&amp; " weeks to close @ " &amp;Opportunities[[#This Row],[Stage]],"")</f>
        <v/>
      </c>
      <c r="AM14" s="51" t="str">
        <f>Opportunities[[#This Row],[OpportunityName]]&amp;" ("&amp;Opportunities[[#This Row],[Customer Name]]&amp;")"</f>
        <v>E-commerce Platform (Global Industries)</v>
      </c>
    </row>
    <row r="15" spans="1:39" x14ac:dyDescent="0.25">
      <c r="A15">
        <v>14</v>
      </c>
      <c r="B15" t="s">
        <v>161</v>
      </c>
      <c r="C15" t="s">
        <v>19</v>
      </c>
      <c r="D15" t="s">
        <v>20</v>
      </c>
      <c r="E15">
        <v>1061325</v>
      </c>
      <c r="F15" t="s">
        <v>82</v>
      </c>
      <c r="G15" s="31">
        <v>46204</v>
      </c>
      <c r="H15" s="31">
        <v>45892</v>
      </c>
      <c r="I15" t="s">
        <v>148</v>
      </c>
      <c r="J15">
        <v>2</v>
      </c>
      <c r="L15" t="s">
        <v>92</v>
      </c>
      <c r="M15" t="s">
        <v>803</v>
      </c>
      <c r="O15">
        <v>3</v>
      </c>
      <c r="P15" s="31">
        <v>46235</v>
      </c>
      <c r="Q15" t="str">
        <f>" FY"&amp;RIGHT(IF(MONTH(Opportunities[[#This Row],[Close]])&gt;=7,YEAR(Opportunities[[#This Row],[Close]])+1,YEAR(Opportunities[[#This Row],[Close]])),2)&amp;"-Q"&amp;IF(MONTH(Opportunities[[#This Row],[Close]])&gt;=7,CEILING((MONTH(Opportunities[[#This Row],[Close]])-6)/3,1),CEILING((MONTH(Opportunities[[#This Row],[Close]])+6)/3,1))</f>
        <v xml:space="preserve"> FY27-Q1</v>
      </c>
      <c r="R15" t="str">
        <f>"CY"&amp;RIGHT(YEAR(Opportunities[[#This Row],[Close]]),2)&amp;"-Q"&amp;ROUNDUP(MONTH(Opportunities[[#This Row],[Close]])/3, 0)</f>
        <v>CY26-Q3</v>
      </c>
      <c r="S15" t="str">
        <f>siteUrl&amp;"/Lists/"&amp;oppList&amp;"/DispForm.aspx?ID="&amp;Opportunities[[#This Row],[ID]]</f>
        <v>https://cleansheet5.sharepoint.com/sites/SalesFunnel//Lists/auto12Opportunities/DispForm.aspx?ID=14</v>
      </c>
      <c r="T15">
        <f>_xlfn.XLOOKUP(Opportunities[[#This Row],[Stage]],stage[Stage Name],stage[Index],"")</f>
        <v>1</v>
      </c>
      <c r="U15" t="str">
        <f>_xlfn.XLOOKUP(Opportunities[[#This Row],[StageNumber]],stage[Index],stage[Display])</f>
        <v>➀ - Lead Qualification</v>
      </c>
      <c r="V15">
        <f>Opportunities[[#This Row],[Amount]]*Opportunities[[#This Row],[WinProbabilityValue]]</f>
        <v>530662.5</v>
      </c>
      <c r="W15" t="str" cm="1">
        <f t="array" ref="W15">_xlfn.SWITCH(Opportunities[[#This Row],[Status]],"At Risk","⚠","Active","✓","⮾")</f>
        <v>✓</v>
      </c>
      <c r="X15" t="str">
        <f>_xlfn.XLOOKUP(Opportunities[[#This Row],[CustomerId]],Customers[Id],Customers[Customer Name])</f>
        <v>Global Industries</v>
      </c>
      <c r="Y15" t="str">
        <f>_xlfn.XLOOKUP(Opportunities[[#This Row],[CustomerId]],Customers[Id],Customers[CustomerRecordUrl])</f>
        <v>https://cleansheet5.sharepoint.com/sites/SalesFunnel//Lists/auto12Customers/DispForm.aspx?ID=2</v>
      </c>
      <c r="Z15">
        <f>_xlfn.XLOOKUP(Opportunities[[#This Row],[ID]],View[ID],View[Visible])</f>
        <v>1</v>
      </c>
      <c r="AA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(Document Management System)
 $1.1m • Lead Qualification • Owner: John Manager</v>
      </c>
      <c r="AB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15" t="str" cm="1">
        <f t="array" ref="AD15">_xlfn.SWITCH(Opportunities[[#This Row],[Probability]],"High","↖","Medium","←","Low","↙")&amp;" " &amp;Opportunities[[#This Row],[Probability]]</f>
        <v>← Medium</v>
      </c>
      <c r="AE15" t="b">
        <f>Opportunities[[#This Row],[Probability]]="High"</f>
        <v>0</v>
      </c>
      <c r="AF15" s="51">
        <f>_xlfn.XLOOKUP(Opportunities[[#This Row],[Probability]],prob[Win Probability],prob[Value])</f>
        <v>0.5</v>
      </c>
      <c r="AG15" s="51" cm="1">
        <f t="array" ref="AG15">Opportunities[[#This Row],[Amount]]/_xlfn.SWITCH(Opportunities[[#This Row],[RecurringRevenueModel]],"Annually",Opportunities[[#This Row],[Recurrences]],"Semi-Annually",Opportunities[[#This Row],[Recurrences]]/2,"One-time",1,"Quarterly",Opportunities[[#This Row],[Recurrences]]/4,"Monthly",Opportunities[[#This Row],[Recurrences]]/12)</f>
        <v>353775</v>
      </c>
      <c r="AH15" s="51">
        <f ca="1">-(TODAY()-Opportunities[[#This Row],[Close]])</f>
        <v>322</v>
      </c>
      <c r="AI15" s="51">
        <f>_xlfn.XLOOKUP(Opportunities[[#This Row],[Stage]],stage[Stage Name],stage[Time To Close])</f>
        <v>270</v>
      </c>
      <c r="AJ15" s="51" t="b">
        <f ca="1">IF(Opportunities[[#This Row],[TargetDaysToClose]]=0,"",Opportunities[[#This Row],[TargetDaysToClose]]&lt;=Opportunities[[#This Row],[DaysToClose]])</f>
        <v>1</v>
      </c>
      <c r="AK15" s="51" t="str">
        <f>IF(Opportunities[[#This Row],[Close]]&lt;=Opportunities[[#This Row],[StartDate]],"✓","⚠")</f>
        <v>✓</v>
      </c>
      <c r="AL15" s="51" t="str">
        <f ca="1">IF(Opportunities[[#This Row],[Healthy]]=FALSE,ROUND(Opportunities[[#This Row],[DaysToClose]]/7,0)&amp; " weeks to close @ " &amp;Opportunities[[#This Row],[Stage]],"")</f>
        <v/>
      </c>
      <c r="AM15" s="51" t="str">
        <f>Opportunities[[#This Row],[OpportunityName]]&amp;" ("&amp;Opportunities[[#This Row],[Customer Name]]&amp;")"</f>
        <v>Document Management System (Global Industries)</v>
      </c>
    </row>
    <row r="16" spans="1:39" x14ac:dyDescent="0.25">
      <c r="A16">
        <v>15</v>
      </c>
      <c r="B16" t="s">
        <v>162</v>
      </c>
      <c r="C16" t="s">
        <v>19</v>
      </c>
      <c r="D16" t="s">
        <v>21</v>
      </c>
      <c r="E16">
        <v>1525787</v>
      </c>
      <c r="F16" t="s">
        <v>83</v>
      </c>
      <c r="G16" s="31">
        <v>46377</v>
      </c>
      <c r="H16" s="31">
        <v>45913</v>
      </c>
      <c r="I16" t="s">
        <v>153</v>
      </c>
      <c r="J16">
        <v>24</v>
      </c>
      <c r="L16" t="s">
        <v>95</v>
      </c>
      <c r="M16" t="s">
        <v>804</v>
      </c>
      <c r="O16">
        <v>47</v>
      </c>
      <c r="P16" s="31">
        <v>46394</v>
      </c>
      <c r="Q16" t="str">
        <f>" FY"&amp;RIGHT(IF(MONTH(Opportunities[[#This Row],[Close]])&gt;=7,YEAR(Opportunities[[#This Row],[Close]])+1,YEAR(Opportunities[[#This Row],[Close]])),2)&amp;"-Q"&amp;IF(MONTH(Opportunities[[#This Row],[Close]])&gt;=7,CEILING((MONTH(Opportunities[[#This Row],[Close]])-6)/3,1),CEILING((MONTH(Opportunities[[#This Row],[Close]])+6)/3,1))</f>
        <v xml:space="preserve"> FY27-Q2</v>
      </c>
      <c r="R16" t="str">
        <f>"CY"&amp;RIGHT(YEAR(Opportunities[[#This Row],[Close]]),2)&amp;"-Q"&amp;ROUNDUP(MONTH(Opportunities[[#This Row],[Close]])/3, 0)</f>
        <v>CY26-Q4</v>
      </c>
      <c r="S16" t="str">
        <f>siteUrl&amp;"/Lists/"&amp;oppList&amp;"/DispForm.aspx?ID="&amp;Opportunities[[#This Row],[ID]]</f>
        <v>https://cleansheet5.sharepoint.com/sites/SalesFunnel//Lists/auto12Opportunities/DispForm.aspx?ID=15</v>
      </c>
      <c r="T16">
        <f>_xlfn.XLOOKUP(Opportunities[[#This Row],[Stage]],stage[Stage Name],stage[Index],"")</f>
        <v>5</v>
      </c>
      <c r="U16" t="str">
        <f>_xlfn.XLOOKUP(Opportunities[[#This Row],[StageNumber]],stage[Index],stage[Display])</f>
        <v>➄ - Project Execution</v>
      </c>
      <c r="V16">
        <f>Opportunities[[#This Row],[Amount]]*Opportunities[[#This Row],[WinProbabilityValue]]</f>
        <v>1373208.3</v>
      </c>
      <c r="W16" t="str" cm="1">
        <f t="array" ref="W16">_xlfn.SWITCH(Opportunities[[#This Row],[Status]],"At Risk","⚠","Active","✓","⮾")</f>
        <v>✓</v>
      </c>
      <c r="X16" t="str">
        <f>_xlfn.XLOOKUP(Opportunities[[#This Row],[CustomerId]],Customers[Id],Customers[Customer Name])</f>
        <v>Security Solutions</v>
      </c>
      <c r="Y16" t="str">
        <f>_xlfn.XLOOKUP(Opportunities[[#This Row],[CustomerId]],Customers[Id],Customers[CustomerRecordUrl])</f>
        <v>https://cleansheet5.sharepoint.com/sites/SalesFunnel//Lists/auto12Customers/DispForm.aspx?ID=24</v>
      </c>
      <c r="Z16">
        <f>_xlfn.XLOOKUP(Opportunities[[#This Row],[ID]],View[ID],View[Visible])</f>
        <v>1</v>
      </c>
      <c r="AA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(Training &amp; Development Program)
 $1.5m • Project Execution • Owner: Sarah Director</v>
      </c>
      <c r="AB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16" t="str" cm="1">
        <f t="array" ref="AD16">_xlfn.SWITCH(Opportunities[[#This Row],[Probability]],"High","↖","Medium","←","Low","↙")&amp;" " &amp;Opportunities[[#This Row],[Probability]]</f>
        <v>↖ High</v>
      </c>
      <c r="AE16" t="b">
        <f>Opportunities[[#This Row],[Probability]]="High"</f>
        <v>1</v>
      </c>
      <c r="AF16" s="51">
        <f>_xlfn.XLOOKUP(Opportunities[[#This Row],[Probability]],prob[Win Probability],prob[Value])</f>
        <v>0.9</v>
      </c>
      <c r="AG16" s="51" cm="1">
        <f t="array" ref="AG16">Opportunities[[#This Row],[Amount]]/_xlfn.SWITCH(Opportunities[[#This Row],[RecurringRevenueModel]],"Annually",Opportunities[[#This Row],[Recurrences]],"Semi-Annually",Opportunities[[#This Row],[Recurrences]]/2,"One-time",1,"Quarterly",Opportunities[[#This Row],[Recurrences]]/4,"Monthly",Opportunities[[#This Row],[Recurrences]]/12)</f>
        <v>389562.63829787233</v>
      </c>
      <c r="AH16" s="51">
        <f ca="1">-(TODAY()-Opportunities[[#This Row],[Close]])</f>
        <v>495</v>
      </c>
      <c r="AI16" s="51">
        <f>_xlfn.XLOOKUP(Opportunities[[#This Row],[Stage]],stage[Stage Name],stage[Time To Close])</f>
        <v>0</v>
      </c>
      <c r="AJ16" s="51" t="str">
        <f>IF(Opportunities[[#This Row],[TargetDaysToClose]]=0,"",Opportunities[[#This Row],[TargetDaysToClose]]&lt;=Opportunities[[#This Row],[DaysToClose]])</f>
        <v/>
      </c>
      <c r="AK16" s="51" t="str">
        <f>IF(Opportunities[[#This Row],[Close]]&lt;=Opportunities[[#This Row],[StartDate]],"✓","⚠")</f>
        <v>✓</v>
      </c>
      <c r="AL16" s="51" t="str">
        <f>IF(Opportunities[[#This Row],[Healthy]]=FALSE,ROUND(Opportunities[[#This Row],[DaysToClose]]/7,0)&amp; " weeks to close @ " &amp;Opportunities[[#This Row],[Stage]],"")</f>
        <v/>
      </c>
      <c r="AM16" s="51" t="str">
        <f>Opportunities[[#This Row],[OpportunityName]]&amp;" ("&amp;Opportunities[[#This Row],[Customer Name]]&amp;")"</f>
        <v>Training &amp; Development Program (Security Solutions)</v>
      </c>
    </row>
    <row r="17" spans="1:39" x14ac:dyDescent="0.25">
      <c r="A17">
        <v>16</v>
      </c>
      <c r="B17" t="s">
        <v>163</v>
      </c>
      <c r="C17" t="s">
        <v>17</v>
      </c>
      <c r="D17" t="s">
        <v>22</v>
      </c>
      <c r="E17">
        <v>945284</v>
      </c>
      <c r="F17" t="s">
        <v>82</v>
      </c>
      <c r="G17" s="31">
        <v>46059</v>
      </c>
      <c r="H17" s="31">
        <v>45933</v>
      </c>
      <c r="I17" t="s">
        <v>102</v>
      </c>
      <c r="J17">
        <v>22</v>
      </c>
      <c r="L17" t="s">
        <v>92</v>
      </c>
      <c r="M17" t="s">
        <v>807</v>
      </c>
      <c r="O17">
        <v>8</v>
      </c>
      <c r="P17" s="31">
        <v>46123</v>
      </c>
      <c r="Q17" t="str">
        <f>" FY"&amp;RIGHT(IF(MONTH(Opportunities[[#This Row],[Close]])&gt;=7,YEAR(Opportunities[[#This Row],[Close]])+1,YEAR(Opportunities[[#This Row],[Close]])),2)&amp;"-Q"&amp;IF(MONTH(Opportunities[[#This Row],[Close]])&gt;=7,CEILING((MONTH(Opportunities[[#This Row],[Close]])-6)/3,1),CEILING((MONTH(Opportunities[[#This Row],[Close]])+6)/3,1))</f>
        <v xml:space="preserve"> FY26-Q3</v>
      </c>
      <c r="R17" t="str">
        <f>"CY"&amp;RIGHT(YEAR(Opportunities[[#This Row],[Close]]),2)&amp;"-Q"&amp;ROUNDUP(MONTH(Opportunities[[#This Row],[Close]])/3, 0)</f>
        <v>CY26-Q1</v>
      </c>
      <c r="S17" t="str">
        <f>siteUrl&amp;"/Lists/"&amp;oppList&amp;"/DispForm.aspx?ID="&amp;Opportunities[[#This Row],[ID]]</f>
        <v>https://cleansheet5.sharepoint.com/sites/SalesFunnel//Lists/auto12Opportunities/DispForm.aspx?ID=16</v>
      </c>
      <c r="T17">
        <f>_xlfn.XLOOKUP(Opportunities[[#This Row],[Stage]],stage[Stage Name],stage[Index],"")</f>
        <v>3</v>
      </c>
      <c r="U17" t="str">
        <f>_xlfn.XLOOKUP(Opportunities[[#This Row],[StageNumber]],stage[Index],stage[Display])</f>
        <v>➂ - Proposal</v>
      </c>
      <c r="V17">
        <f>Opportunities[[#This Row],[Amount]]*Opportunities[[#This Row],[WinProbabilityValue]]</f>
        <v>472642</v>
      </c>
      <c r="W17" t="str" cm="1">
        <f t="array" ref="W17">_xlfn.SWITCH(Opportunities[[#This Row],[Status]],"At Risk","⚠","Active","✓","⮾")</f>
        <v>⚠</v>
      </c>
      <c r="X17" t="str">
        <f>_xlfn.XLOOKUP(Opportunities[[#This Row],[CustomerId]],Customers[Id],Customers[Customer Name])</f>
        <v>Environmental Services</v>
      </c>
      <c r="Y17" t="str">
        <f>_xlfn.XLOOKUP(Opportunities[[#This Row],[CustomerId]],Customers[Id],Customers[CustomerRecordUrl])</f>
        <v>https://cleansheet5.sharepoint.com/sites/SalesFunnel//Lists/auto12Customers/DispForm.aspx?ID=22</v>
      </c>
      <c r="Z17">
        <f>_xlfn.XLOOKUP(Opportunities[[#This Row],[ID]],View[ID],View[Visible])</f>
        <v>1</v>
      </c>
      <c r="AA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(Quality Management System)
 $0.9m • Proposal • Owner: John Manager</v>
      </c>
      <c r="AB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17" t="str" cm="1">
        <f t="array" ref="AD17">_xlfn.SWITCH(Opportunities[[#This Row],[Probability]],"High","↖","Medium","←","Low","↙")&amp;" " &amp;Opportunities[[#This Row],[Probability]]</f>
        <v>← Medium</v>
      </c>
      <c r="AE17" t="b">
        <f>Opportunities[[#This Row],[Probability]]="High"</f>
        <v>0</v>
      </c>
      <c r="AF17" s="51">
        <f>_xlfn.XLOOKUP(Opportunities[[#This Row],[Probability]],prob[Win Probability],prob[Value])</f>
        <v>0.5</v>
      </c>
      <c r="AG17" s="51" cm="1">
        <f t="array" ref="AG17">Opportunities[[#This Row],[Amount]]/_xlfn.SWITCH(Opportunities[[#This Row],[RecurringRevenueModel]],"Annually",Opportunities[[#This Row],[Recurrences]],"Semi-Annually",Opportunities[[#This Row],[Recurrences]]/2,"One-time",1,"Quarterly",Opportunities[[#This Row],[Recurrences]]/4,"Monthly",Opportunities[[#This Row],[Recurrences]]/12)</f>
        <v>472642</v>
      </c>
      <c r="AH17" s="51">
        <f ca="1">-(TODAY()-Opportunities[[#This Row],[Close]])</f>
        <v>177</v>
      </c>
      <c r="AI17" s="51">
        <f>_xlfn.XLOOKUP(Opportunities[[#This Row],[Stage]],stage[Stage Name],stage[Time To Close])</f>
        <v>90</v>
      </c>
      <c r="AJ17" s="51" t="b">
        <f ca="1">IF(Opportunities[[#This Row],[TargetDaysToClose]]=0,"",Opportunities[[#This Row],[TargetDaysToClose]]&lt;=Opportunities[[#This Row],[DaysToClose]])</f>
        <v>1</v>
      </c>
      <c r="AK17" s="51" t="str">
        <f>IF(Opportunities[[#This Row],[Close]]&lt;=Opportunities[[#This Row],[StartDate]],"✓","⚠")</f>
        <v>✓</v>
      </c>
      <c r="AL17" s="51" t="str">
        <f ca="1">IF(Opportunities[[#This Row],[Healthy]]=FALSE,ROUND(Opportunities[[#This Row],[DaysToClose]]/7,0)&amp; " weeks to close @ " &amp;Opportunities[[#This Row],[Stage]],"")</f>
        <v/>
      </c>
      <c r="AM17" s="51" t="str">
        <f>Opportunities[[#This Row],[OpportunityName]]&amp;" ("&amp;Opportunities[[#This Row],[Customer Name]]&amp;")"</f>
        <v>Quality Management System (Environmental Services)</v>
      </c>
    </row>
    <row r="18" spans="1:39" x14ac:dyDescent="0.25">
      <c r="A18">
        <v>17</v>
      </c>
      <c r="B18" t="s">
        <v>164</v>
      </c>
      <c r="C18" t="s">
        <v>19</v>
      </c>
      <c r="D18" t="s">
        <v>18</v>
      </c>
      <c r="E18">
        <v>1668102</v>
      </c>
      <c r="F18" t="s">
        <v>84</v>
      </c>
      <c r="G18" s="31">
        <v>45957</v>
      </c>
      <c r="H18" s="31">
        <v>45925</v>
      </c>
      <c r="I18" t="s">
        <v>93</v>
      </c>
      <c r="J18">
        <v>19</v>
      </c>
      <c r="L18" t="s">
        <v>145</v>
      </c>
      <c r="M18" t="s">
        <v>804</v>
      </c>
      <c r="O18">
        <v>36</v>
      </c>
      <c r="P18" s="31">
        <v>46000</v>
      </c>
      <c r="Q18" t="str">
        <f>" FY"&amp;RIGHT(IF(MONTH(Opportunities[[#This Row],[Close]])&gt;=7,YEAR(Opportunities[[#This Row],[Close]])+1,YEAR(Opportunities[[#This Row],[Close]])),2)&amp;"-Q"&amp;IF(MONTH(Opportunities[[#This Row],[Close]])&gt;=7,CEILING((MONTH(Opportunities[[#This Row],[Close]])-6)/3,1),CEILING((MONTH(Opportunities[[#This Row],[Close]])+6)/3,1))</f>
        <v xml:space="preserve"> FY26-Q2</v>
      </c>
      <c r="R18" t="str">
        <f>"CY"&amp;RIGHT(YEAR(Opportunities[[#This Row],[Close]]),2)&amp;"-Q"&amp;ROUNDUP(MONTH(Opportunities[[#This Row],[Close]])/3, 0)</f>
        <v>CY25-Q4</v>
      </c>
      <c r="S18" t="str">
        <f>siteUrl&amp;"/Lists/"&amp;oppList&amp;"/DispForm.aspx?ID="&amp;Opportunities[[#This Row],[ID]]</f>
        <v>https://cleansheet5.sharepoint.com/sites/SalesFunnel//Lists/auto12Opportunities/DispForm.aspx?ID=17</v>
      </c>
      <c r="T18">
        <f>_xlfn.XLOOKUP(Opportunities[[#This Row],[Stage]],stage[Stage Name],stage[Index],"")</f>
        <v>4</v>
      </c>
      <c r="U18" t="str">
        <f>_xlfn.XLOOKUP(Opportunities[[#This Row],[StageNumber]],stage[Index],stage[Display])</f>
        <v>➃ - Negotiation</v>
      </c>
      <c r="V18">
        <f>Opportunities[[#This Row],[Amount]]*Opportunities[[#This Row],[WinProbabilityValue]]</f>
        <v>333620.40000000002</v>
      </c>
      <c r="W18" t="str" cm="1">
        <f t="array" ref="W18">_xlfn.SWITCH(Opportunities[[#This Row],[Status]],"At Risk","⚠","Active","✓","⮾")</f>
        <v>✓</v>
      </c>
      <c r="X18" t="str">
        <f>_xlfn.XLOOKUP(Opportunities[[#This Row],[CustomerId]],Customers[Id],Customers[Customer Name])</f>
        <v>Hotel Management Group</v>
      </c>
      <c r="Y18" t="str">
        <f>_xlfn.XLOOKUP(Opportunities[[#This Row],[CustomerId]],Customers[Id],Customers[CustomerRecordUrl])</f>
        <v>https://cleansheet5.sharepoint.com/sites/SalesFunnel//Lists/auto12Customers/DispForm.aspx?ID=19</v>
      </c>
      <c r="Z18">
        <f>_xlfn.XLOOKUP(Opportunities[[#This Row],[ID]],View[ID],View[Visible])</f>
        <v>1</v>
      </c>
      <c r="AA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(Supply Chain Optimization)
 $1.7m • Negotiation • Owner: Jennifer PM</v>
      </c>
      <c r="AB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18" t="str" cm="1">
        <f t="array" ref="AD18">_xlfn.SWITCH(Opportunities[[#This Row],[Probability]],"High","↖","Medium","←","Low","↙")&amp;" " &amp;Opportunities[[#This Row],[Probability]]</f>
        <v>↙ Low</v>
      </c>
      <c r="AE18" t="b">
        <f>Opportunities[[#This Row],[Probability]]="High"</f>
        <v>0</v>
      </c>
      <c r="AF18" s="51">
        <f>_xlfn.XLOOKUP(Opportunities[[#This Row],[Probability]],prob[Win Probability],prob[Value])</f>
        <v>0.2</v>
      </c>
      <c r="AG18" s="51" cm="1">
        <f t="array" ref="AG18">Opportunities[[#This Row],[Amount]]/_xlfn.SWITCH(Opportunities[[#This Row],[RecurringRevenueModel]],"Annually",Opportunities[[#This Row],[Recurrences]],"Semi-Annually",Opportunities[[#This Row],[Recurrences]]/2,"One-time",1,"Quarterly",Opportunities[[#This Row],[Recurrences]]/4,"Monthly",Opportunities[[#This Row],[Recurrences]]/12)</f>
        <v>556034</v>
      </c>
      <c r="AH18" s="51">
        <f ca="1">-(TODAY()-Opportunities[[#This Row],[Close]])</f>
        <v>75</v>
      </c>
      <c r="AI18" s="51">
        <f>_xlfn.XLOOKUP(Opportunities[[#This Row],[Stage]],stage[Stage Name],stage[Time To Close])</f>
        <v>7</v>
      </c>
      <c r="AJ18" s="51" t="b">
        <f ca="1">IF(Opportunities[[#This Row],[TargetDaysToClose]]=0,"",Opportunities[[#This Row],[TargetDaysToClose]]&lt;=Opportunities[[#This Row],[DaysToClose]])</f>
        <v>1</v>
      </c>
      <c r="AK18" s="51" t="str">
        <f>IF(Opportunities[[#This Row],[Close]]&lt;=Opportunities[[#This Row],[StartDate]],"✓","⚠")</f>
        <v>✓</v>
      </c>
      <c r="AL18" s="51" t="str">
        <f ca="1">IF(Opportunities[[#This Row],[Healthy]]=FALSE,ROUND(Opportunities[[#This Row],[DaysToClose]]/7,0)&amp; " weeks to close @ " &amp;Opportunities[[#This Row],[Stage]],"")</f>
        <v/>
      </c>
      <c r="AM18" s="51" t="str">
        <f>Opportunities[[#This Row],[OpportunityName]]&amp;" ("&amp;Opportunities[[#This Row],[Customer Name]]&amp;")"</f>
        <v>Supply Chain Optimization (Hotel Management Group)</v>
      </c>
    </row>
    <row r="19" spans="1:39" x14ac:dyDescent="0.25">
      <c r="A19">
        <v>18</v>
      </c>
      <c r="B19" t="s">
        <v>165</v>
      </c>
      <c r="C19" t="s">
        <v>19</v>
      </c>
      <c r="D19" t="s">
        <v>20</v>
      </c>
      <c r="E19">
        <v>2218128</v>
      </c>
      <c r="F19" t="s">
        <v>82</v>
      </c>
      <c r="G19" s="31">
        <v>46153</v>
      </c>
      <c r="H19" s="31">
        <v>45926</v>
      </c>
      <c r="I19" t="s">
        <v>105</v>
      </c>
      <c r="J19">
        <v>9</v>
      </c>
      <c r="L19" t="s">
        <v>104</v>
      </c>
      <c r="M19" t="s">
        <v>806</v>
      </c>
      <c r="O19">
        <v>10</v>
      </c>
      <c r="P19" s="31">
        <v>46231</v>
      </c>
      <c r="Q19" t="str">
        <f>" FY"&amp;RIGHT(IF(MONTH(Opportunities[[#This Row],[Close]])&gt;=7,YEAR(Opportunities[[#This Row],[Close]])+1,YEAR(Opportunities[[#This Row],[Close]])),2)&amp;"-Q"&amp;IF(MONTH(Opportunities[[#This Row],[Close]])&gt;=7,CEILING((MONTH(Opportunities[[#This Row],[Close]])-6)/3,1),CEILING((MONTH(Opportunities[[#This Row],[Close]])+6)/3,1))</f>
        <v xml:space="preserve"> FY26-Q4</v>
      </c>
      <c r="R19" t="str">
        <f>"CY"&amp;RIGHT(YEAR(Opportunities[[#This Row],[Close]]),2)&amp;"-Q"&amp;ROUNDUP(MONTH(Opportunities[[#This Row],[Close]])/3, 0)</f>
        <v>CY26-Q2</v>
      </c>
      <c r="S19" t="str">
        <f>siteUrl&amp;"/Lists/"&amp;oppList&amp;"/DispForm.aspx?ID="&amp;Opportunities[[#This Row],[ID]]</f>
        <v>https://cleansheet5.sharepoint.com/sites/SalesFunnel//Lists/auto12Opportunities/DispForm.aspx?ID=18</v>
      </c>
      <c r="T19">
        <f>_xlfn.XLOOKUP(Opportunities[[#This Row],[Stage]],stage[Stage Name],stage[Index],"")</f>
        <v>1</v>
      </c>
      <c r="U19" t="str">
        <f>_xlfn.XLOOKUP(Opportunities[[#This Row],[StageNumber]],stage[Index],stage[Display])</f>
        <v>➀ - Lead Qualification</v>
      </c>
      <c r="V19">
        <f>Opportunities[[#This Row],[Amount]]*Opportunities[[#This Row],[WinProbabilityValue]]</f>
        <v>1109064</v>
      </c>
      <c r="W19" t="str" cm="1">
        <f t="array" ref="W19">_xlfn.SWITCH(Opportunities[[#This Row],[Status]],"At Risk","⚠","Active","✓","⮾")</f>
        <v>✓</v>
      </c>
      <c r="X19" t="str">
        <f>_xlfn.XLOOKUP(Opportunities[[#This Row],[CustomerId]],Customers[Id],Customers[Customer Name])</f>
        <v>Construction Dynamics</v>
      </c>
      <c r="Y19" t="str">
        <f>_xlfn.XLOOKUP(Opportunities[[#This Row],[CustomerId]],Customers[Id],Customers[CustomerRecordUrl])</f>
        <v>https://cleansheet5.sharepoint.com/sites/SalesFunnel//Lists/auto12Customers/DispForm.aspx?ID=9</v>
      </c>
      <c r="Z19">
        <f>_xlfn.XLOOKUP(Opportunities[[#This Row],[ID]],View[ID],View[Visible])</f>
        <v>1</v>
      </c>
      <c r="AA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(Financial Planning Software)
 $2.2m • Lead Qualification • Owner: Dr. Tech Advisor</v>
      </c>
      <c r="AB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19" t="str" cm="1">
        <f t="array" ref="AD19">_xlfn.SWITCH(Opportunities[[#This Row],[Probability]],"High","↖","Medium","←","Low","↙")&amp;" " &amp;Opportunities[[#This Row],[Probability]]</f>
        <v>← Medium</v>
      </c>
      <c r="AE19" t="b">
        <f>Opportunities[[#This Row],[Probability]]="High"</f>
        <v>0</v>
      </c>
      <c r="AF19" s="51">
        <f>_xlfn.XLOOKUP(Opportunities[[#This Row],[Probability]],prob[Win Probability],prob[Value])</f>
        <v>0.5</v>
      </c>
      <c r="AG19" s="51" cm="1">
        <f t="array" ref="AG19">Opportunities[[#This Row],[Amount]]/_xlfn.SWITCH(Opportunities[[#This Row],[RecurringRevenueModel]],"Annually",Opportunities[[#This Row],[Recurrences]],"Semi-Annually",Opportunities[[#This Row],[Recurrences]]/2,"One-time",1,"Quarterly",Opportunities[[#This Row],[Recurrences]]/4,"Monthly",Opportunities[[#This Row],[Recurrences]]/12)</f>
        <v>443625.6</v>
      </c>
      <c r="AH19" s="51">
        <f ca="1">-(TODAY()-Opportunities[[#This Row],[Close]])</f>
        <v>271</v>
      </c>
      <c r="AI19" s="51">
        <f>_xlfn.XLOOKUP(Opportunities[[#This Row],[Stage]],stage[Stage Name],stage[Time To Close])</f>
        <v>270</v>
      </c>
      <c r="AJ19" s="51" t="b">
        <f ca="1">IF(Opportunities[[#This Row],[TargetDaysToClose]]=0,"",Opportunities[[#This Row],[TargetDaysToClose]]&lt;=Opportunities[[#This Row],[DaysToClose]])</f>
        <v>1</v>
      </c>
      <c r="AK19" s="51" t="str">
        <f>IF(Opportunities[[#This Row],[Close]]&lt;=Opportunities[[#This Row],[StartDate]],"✓","⚠")</f>
        <v>✓</v>
      </c>
      <c r="AL19" s="51" t="str">
        <f ca="1">IF(Opportunities[[#This Row],[Healthy]]=FALSE,ROUND(Opportunities[[#This Row],[DaysToClose]]/7,0)&amp; " weeks to close @ " &amp;Opportunities[[#This Row],[Stage]],"")</f>
        <v/>
      </c>
      <c r="AM19" s="51" t="str">
        <f>Opportunities[[#This Row],[OpportunityName]]&amp;" ("&amp;Opportunities[[#This Row],[Customer Name]]&amp;")"</f>
        <v>Financial Planning Software (Construction Dynamics)</v>
      </c>
    </row>
    <row r="20" spans="1:39" x14ac:dyDescent="0.25">
      <c r="A20">
        <v>19</v>
      </c>
      <c r="B20" t="s">
        <v>167</v>
      </c>
      <c r="C20" t="s">
        <v>19</v>
      </c>
      <c r="D20" t="s">
        <v>18</v>
      </c>
      <c r="E20">
        <v>890632</v>
      </c>
      <c r="F20" t="s">
        <v>83</v>
      </c>
      <c r="G20" s="31">
        <v>45943</v>
      </c>
      <c r="H20" s="31">
        <v>45886</v>
      </c>
      <c r="I20" t="s">
        <v>159</v>
      </c>
      <c r="J20">
        <v>23</v>
      </c>
      <c r="L20" t="s">
        <v>150</v>
      </c>
      <c r="M20" t="s">
        <v>805</v>
      </c>
      <c r="O20">
        <v>1</v>
      </c>
      <c r="P20" s="31">
        <v>46023</v>
      </c>
      <c r="Q20" t="str">
        <f>" FY"&amp;RIGHT(IF(MONTH(Opportunities[[#This Row],[Close]])&gt;=7,YEAR(Opportunities[[#This Row],[Close]])+1,YEAR(Opportunities[[#This Row],[Close]])),2)&amp;"-Q"&amp;IF(MONTH(Opportunities[[#This Row],[Close]])&gt;=7,CEILING((MONTH(Opportunities[[#This Row],[Close]])-6)/3,1),CEILING((MONTH(Opportunities[[#This Row],[Close]])+6)/3,1))</f>
        <v xml:space="preserve"> FY26-Q2</v>
      </c>
      <c r="R20" t="str">
        <f>"CY"&amp;RIGHT(YEAR(Opportunities[[#This Row],[Close]]),2)&amp;"-Q"&amp;ROUNDUP(MONTH(Opportunities[[#This Row],[Close]])/3, 0)</f>
        <v>CY25-Q4</v>
      </c>
      <c r="S20" t="str">
        <f>siteUrl&amp;"/Lists/"&amp;oppList&amp;"/DispForm.aspx?ID="&amp;Opportunities[[#This Row],[ID]]</f>
        <v>https://cleansheet5.sharepoint.com/sites/SalesFunnel//Lists/auto12Opportunities/DispForm.aspx?ID=19</v>
      </c>
      <c r="T20">
        <f>_xlfn.XLOOKUP(Opportunities[[#This Row],[Stage]],stage[Stage Name],stage[Index],"")</f>
        <v>4</v>
      </c>
      <c r="U20" t="str">
        <f>_xlfn.XLOOKUP(Opportunities[[#This Row],[StageNumber]],stage[Index],stage[Display])</f>
        <v>➃ - Negotiation</v>
      </c>
      <c r="V20">
        <f>Opportunities[[#This Row],[Amount]]*Opportunities[[#This Row],[WinProbabilityValue]]</f>
        <v>801568.8</v>
      </c>
      <c r="W20" t="str" cm="1">
        <f t="array" ref="W20">_xlfn.SWITCH(Opportunities[[#This Row],[Status]],"At Risk","⚠","Active","✓","⮾")</f>
        <v>✓</v>
      </c>
      <c r="X20" t="str">
        <f>_xlfn.XLOOKUP(Opportunities[[#This Row],[CustomerId]],Customers[Id],Customers[Customer Name])</f>
        <v>Sports &amp; Recreation</v>
      </c>
      <c r="Y20" t="str">
        <f>_xlfn.XLOOKUP(Opportunities[[#This Row],[CustomerId]],Customers[Id],Customers[CustomerRecordUrl])</f>
        <v>https://cleansheet5.sharepoint.com/sites/SalesFunnel//Lists/auto12Customers/DispForm.aspx?ID=23</v>
      </c>
      <c r="Z20">
        <f>_xlfn.XLOOKUP(Opportunities[[#This Row],[ID]],View[ID],View[Visible])</f>
        <v>1</v>
      </c>
      <c r="AA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(HR Management System)
 $0.9m • Negotiation • Owner: Maria Coordinator</v>
      </c>
      <c r="AB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20" t="str" cm="1">
        <f t="array" ref="AD20">_xlfn.SWITCH(Opportunities[[#This Row],[Probability]],"High","↖","Medium","←","Low","↙")&amp;" " &amp;Opportunities[[#This Row],[Probability]]</f>
        <v>↖ High</v>
      </c>
      <c r="AE20" t="b">
        <f>Opportunities[[#This Row],[Probability]]="High"</f>
        <v>1</v>
      </c>
      <c r="AF20" s="51">
        <f>_xlfn.XLOOKUP(Opportunities[[#This Row],[Probability]],prob[Win Probability],prob[Value])</f>
        <v>0.9</v>
      </c>
      <c r="AG20" s="51" cm="1">
        <f t="array" ref="AG20">Opportunities[[#This Row],[Amount]]/_xlfn.SWITCH(Opportunities[[#This Row],[RecurringRevenueModel]],"Annually",Opportunities[[#This Row],[Recurrences]],"Semi-Annually",Opportunities[[#This Row],[Recurrences]]/2,"One-time",1,"Quarterly",Opportunities[[#This Row],[Recurrences]]/4,"Monthly",Opportunities[[#This Row],[Recurrences]]/12)</f>
        <v>890632</v>
      </c>
      <c r="AH20" s="51">
        <f ca="1">-(TODAY()-Opportunities[[#This Row],[Close]])</f>
        <v>61</v>
      </c>
      <c r="AI20" s="51">
        <f>_xlfn.XLOOKUP(Opportunities[[#This Row],[Stage]],stage[Stage Name],stage[Time To Close])</f>
        <v>7</v>
      </c>
      <c r="AJ20" s="51" t="b">
        <f ca="1">IF(Opportunities[[#This Row],[TargetDaysToClose]]=0,"",Opportunities[[#This Row],[TargetDaysToClose]]&lt;=Opportunities[[#This Row],[DaysToClose]])</f>
        <v>1</v>
      </c>
      <c r="AK20" s="51" t="str">
        <f>IF(Opportunities[[#This Row],[Close]]&lt;=Opportunities[[#This Row],[StartDate]],"✓","⚠")</f>
        <v>✓</v>
      </c>
      <c r="AL20" s="51" t="str">
        <f ca="1">IF(Opportunities[[#This Row],[Healthy]]=FALSE,ROUND(Opportunities[[#This Row],[DaysToClose]]/7,0)&amp; " weeks to close @ " &amp;Opportunities[[#This Row],[Stage]],"")</f>
        <v/>
      </c>
      <c r="AM20" s="51" t="str">
        <f>Opportunities[[#This Row],[OpportunityName]]&amp;" ("&amp;Opportunities[[#This Row],[Customer Name]]&amp;")"</f>
        <v>HR Management System (Sports &amp; Recreation)</v>
      </c>
    </row>
    <row r="21" spans="1:39" x14ac:dyDescent="0.25">
      <c r="A21">
        <v>20</v>
      </c>
      <c r="B21" t="s">
        <v>168</v>
      </c>
      <c r="C21" t="s">
        <v>25</v>
      </c>
      <c r="D21" t="s">
        <v>22</v>
      </c>
      <c r="E21">
        <v>1161426</v>
      </c>
      <c r="F21" t="s">
        <v>84</v>
      </c>
      <c r="G21" s="31">
        <v>46016</v>
      </c>
      <c r="H21" s="31">
        <v>45890</v>
      </c>
      <c r="I21" t="s">
        <v>159</v>
      </c>
      <c r="J21">
        <v>28</v>
      </c>
      <c r="L21" t="s">
        <v>393</v>
      </c>
      <c r="M21" t="s">
        <v>803</v>
      </c>
      <c r="O21">
        <v>5</v>
      </c>
      <c r="P21" s="31">
        <v>46106</v>
      </c>
      <c r="Q21" t="str">
        <f>" FY"&amp;RIGHT(IF(MONTH(Opportunities[[#This Row],[Close]])&gt;=7,YEAR(Opportunities[[#This Row],[Close]])+1,YEAR(Opportunities[[#This Row],[Close]])),2)&amp;"-Q"&amp;IF(MONTH(Opportunities[[#This Row],[Close]])&gt;=7,CEILING((MONTH(Opportunities[[#This Row],[Close]])-6)/3,1),CEILING((MONTH(Opportunities[[#This Row],[Close]])+6)/3,1))</f>
        <v xml:space="preserve"> FY26-Q2</v>
      </c>
      <c r="R21" t="str">
        <f>"CY"&amp;RIGHT(YEAR(Opportunities[[#This Row],[Close]]),2)&amp;"-Q"&amp;ROUNDUP(MONTH(Opportunities[[#This Row],[Close]])/3, 0)</f>
        <v>CY25-Q4</v>
      </c>
      <c r="S21" t="str">
        <f>siteUrl&amp;"/Lists/"&amp;oppList&amp;"/DispForm.aspx?ID="&amp;Opportunities[[#This Row],[ID]]</f>
        <v>https://cleansheet5.sharepoint.com/sites/SalesFunnel//Lists/auto12Opportunities/DispForm.aspx?ID=20</v>
      </c>
      <c r="T21">
        <f>_xlfn.XLOOKUP(Opportunities[[#This Row],[Stage]],stage[Stage Name],stage[Index],"")</f>
        <v>3</v>
      </c>
      <c r="U21" t="str">
        <f>_xlfn.XLOOKUP(Opportunities[[#This Row],[StageNumber]],stage[Index],stage[Display])</f>
        <v>➂ - Proposal</v>
      </c>
      <c r="V21">
        <f>Opportunities[[#This Row],[Amount]]*Opportunities[[#This Row],[WinProbabilityValue]]</f>
        <v>232285.2</v>
      </c>
      <c r="W21" t="str" cm="1">
        <f t="array" ref="W21">_xlfn.SWITCH(Opportunities[[#This Row],[Status]],"At Risk","⚠","Active","✓","⮾")</f>
        <v>⮾</v>
      </c>
      <c r="X21" t="str">
        <f>_xlfn.XLOOKUP(Opportunities[[#This Row],[CustomerId]],Customers[Id],Customers[Customer Name])</f>
        <v>Telecommunications Inc</v>
      </c>
      <c r="Y21" t="str">
        <f>_xlfn.XLOOKUP(Opportunities[[#This Row],[CustomerId]],Customers[Id],Customers[CustomerRecordUrl])</f>
        <v>https://cleansheet5.sharepoint.com/sites/SalesFunnel//Lists/auto12Customers/DispForm.aspx?ID=28</v>
      </c>
      <c r="Z21">
        <f>_xlfn.XLOOKUP(Opportunities[[#This Row],[ID]],View[ID],View[Visible])</f>
        <v>1</v>
      </c>
      <c r="AA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(Marketing Automation Platform)
 $1.2m • Proposal • Owner: Amanda Sales</v>
      </c>
      <c r="AB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D21" t="str" cm="1">
        <f t="array" ref="AD21">_xlfn.SWITCH(Opportunities[[#This Row],[Probability]],"High","↖","Medium","←","Low","↙")&amp;" " &amp;Opportunities[[#This Row],[Probability]]</f>
        <v>↙ Low</v>
      </c>
      <c r="AE21" t="b">
        <f>Opportunities[[#This Row],[Probability]]="High"</f>
        <v>0</v>
      </c>
      <c r="AF21" s="51">
        <f>_xlfn.XLOOKUP(Opportunities[[#This Row],[Probability]],prob[Win Probability],prob[Value])</f>
        <v>0.2</v>
      </c>
      <c r="AG21" s="51" cm="1">
        <f t="array" ref="AG21">Opportunities[[#This Row],[Amount]]/_xlfn.SWITCH(Opportunities[[#This Row],[RecurringRevenueModel]],"Annually",Opportunities[[#This Row],[Recurrences]],"Semi-Annually",Opportunities[[#This Row],[Recurrences]]/2,"One-time",1,"Quarterly",Opportunities[[#This Row],[Recurrences]]/4,"Monthly",Opportunities[[#This Row],[Recurrences]]/12)</f>
        <v>232285.2</v>
      </c>
      <c r="AH21" s="51">
        <f ca="1">-(TODAY()-Opportunities[[#This Row],[Close]])</f>
        <v>134</v>
      </c>
      <c r="AI21" s="51">
        <f>_xlfn.XLOOKUP(Opportunities[[#This Row],[Stage]],stage[Stage Name],stage[Time To Close])</f>
        <v>90</v>
      </c>
      <c r="AJ21" s="51" t="b">
        <f ca="1">IF(Opportunities[[#This Row],[TargetDaysToClose]]=0,"",Opportunities[[#This Row],[TargetDaysToClose]]&lt;=Opportunities[[#This Row],[DaysToClose]])</f>
        <v>1</v>
      </c>
      <c r="AK21" s="51" t="str">
        <f>IF(Opportunities[[#This Row],[Close]]&lt;=Opportunities[[#This Row],[StartDate]],"✓","⚠")</f>
        <v>✓</v>
      </c>
      <c r="AL21" s="51" t="str">
        <f ca="1">IF(Opportunities[[#This Row],[Healthy]]=FALSE,ROUND(Opportunities[[#This Row],[DaysToClose]]/7,0)&amp; " weeks to close @ " &amp;Opportunities[[#This Row],[Stage]],"")</f>
        <v/>
      </c>
      <c r="AM21" s="51" t="str">
        <f>Opportunities[[#This Row],[OpportunityName]]&amp;" ("&amp;Opportunities[[#This Row],[Customer Name]]&amp;")"</f>
        <v>Marketing Automation Platform (Telecommunications Inc)</v>
      </c>
    </row>
    <row r="22" spans="1:39" x14ac:dyDescent="0.25">
      <c r="A22">
        <v>21</v>
      </c>
      <c r="B22" t="s">
        <v>169</v>
      </c>
      <c r="C22" t="s">
        <v>19</v>
      </c>
      <c r="D22" t="s">
        <v>24</v>
      </c>
      <c r="E22">
        <v>1002288</v>
      </c>
      <c r="F22" t="s">
        <v>83</v>
      </c>
      <c r="G22" s="31">
        <v>45017</v>
      </c>
      <c r="H22" s="31">
        <v>45939</v>
      </c>
      <c r="I22" t="s">
        <v>151</v>
      </c>
      <c r="J22">
        <v>1</v>
      </c>
      <c r="L22" t="s">
        <v>145</v>
      </c>
      <c r="M22" t="s">
        <v>806</v>
      </c>
      <c r="O22">
        <v>7</v>
      </c>
      <c r="P22" s="31">
        <v>45078</v>
      </c>
      <c r="Q22" t="str">
        <f>" FY"&amp;RIGHT(IF(MONTH(Opportunities[[#This Row],[Close]])&gt;=7,YEAR(Opportunities[[#This Row],[Close]])+1,YEAR(Opportunities[[#This Row],[Close]])),2)&amp;"-Q"&amp;IF(MONTH(Opportunities[[#This Row],[Close]])&gt;=7,CEILING((MONTH(Opportunities[[#This Row],[Close]])-6)/3,1),CEILING((MONTH(Opportunities[[#This Row],[Close]])+6)/3,1))</f>
        <v xml:space="preserve"> FY23-Q4</v>
      </c>
      <c r="R22" t="str">
        <f>"CY"&amp;RIGHT(YEAR(Opportunities[[#This Row],[Close]]),2)&amp;"-Q"&amp;ROUNDUP(MONTH(Opportunities[[#This Row],[Close]])/3, 0)</f>
        <v>CY23-Q2</v>
      </c>
      <c r="S22" t="str">
        <f>siteUrl&amp;"/Lists/"&amp;oppList&amp;"/DispForm.aspx?ID="&amp;Opportunities[[#This Row],[ID]]</f>
        <v>https://cleansheet5.sharepoint.com/sites/SalesFunnel//Lists/auto12Opportunities/DispForm.aspx?ID=21</v>
      </c>
      <c r="T22">
        <f>_xlfn.XLOOKUP(Opportunities[[#This Row],[Stage]],stage[Stage Name],stage[Index],"")</f>
        <v>6</v>
      </c>
      <c r="U22" t="str">
        <f>_xlfn.XLOOKUP(Opportunities[[#This Row],[StageNumber]],stage[Index],stage[Display])</f>
        <v>➅ - Closeout</v>
      </c>
      <c r="V22">
        <f>Opportunities[[#This Row],[Amount]]*Opportunities[[#This Row],[WinProbabilityValue]]</f>
        <v>902059.20000000007</v>
      </c>
      <c r="W22" t="str" cm="1">
        <f t="array" ref="W22">_xlfn.SWITCH(Opportunities[[#This Row],[Status]],"At Risk","⚠","Active","✓","⮾")</f>
        <v>✓</v>
      </c>
      <c r="X22" t="str">
        <f>_xlfn.XLOOKUP(Opportunities[[#This Row],[CustomerId]],Customers[Id],Customers[Customer Name])</f>
        <v>ACME Corporation</v>
      </c>
      <c r="Y22" t="str">
        <f>_xlfn.XLOOKUP(Opportunities[[#This Row],[CustomerId]],Customers[Id],Customers[CustomerRecordUrl])</f>
        <v>https://cleansheet5.sharepoint.com/sites/SalesFunnel//Lists/auto12Customers/DispForm.aspx?ID=1</v>
      </c>
      <c r="Z22">
        <f>_xlfn.XLOOKUP(Opportunities[[#This Row],[ID]],View[ID],View[Visible])</f>
        <v>1</v>
      </c>
      <c r="AA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$1.0m • Closeout • Owner: Jennifer PM</v>
      </c>
      <c r="AB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FY24-Q1</v>
      </c>
      <c r="AD22" t="str" cm="1">
        <f t="array" ref="AD22">_xlfn.SWITCH(Opportunities[[#This Row],[Probability]],"High","↖","Medium","←","Low","↙")&amp;" " &amp;Opportunities[[#This Row],[Probability]]</f>
        <v>↖ High</v>
      </c>
      <c r="AE22" t="b">
        <f>Opportunities[[#This Row],[Probability]]="High"</f>
        <v>1</v>
      </c>
      <c r="AF22" s="51">
        <f>_xlfn.XLOOKUP(Opportunities[[#This Row],[Probability]],prob[Win Probability],prob[Value])</f>
        <v>0.9</v>
      </c>
      <c r="AG22" s="51" cm="1">
        <f t="array" ref="AG22">Opportunities[[#This Row],[Amount]]/_xlfn.SWITCH(Opportunities[[#This Row],[RecurringRevenueModel]],"Annually",Opportunities[[#This Row],[Recurrences]],"Semi-Annually",Opportunities[[#This Row],[Recurrences]]/2,"One-time",1,"Quarterly",Opportunities[[#This Row],[Recurrences]]/4,"Monthly",Opportunities[[#This Row],[Recurrences]]/12)</f>
        <v>286368</v>
      </c>
      <c r="AH22" s="51">
        <f ca="1">-(TODAY()-Opportunities[[#This Row],[Close]])</f>
        <v>-865</v>
      </c>
      <c r="AI22" s="51">
        <f>_xlfn.XLOOKUP(Opportunities[[#This Row],[Stage]],stage[Stage Name],stage[Time To Close])</f>
        <v>0</v>
      </c>
      <c r="AJ22" s="51" t="str">
        <f>IF(Opportunities[[#This Row],[TargetDaysToClose]]=0,"",Opportunities[[#This Row],[TargetDaysToClose]]&lt;=Opportunities[[#This Row],[DaysToClose]])</f>
        <v/>
      </c>
      <c r="AK22" s="51" t="str">
        <f>IF(Opportunities[[#This Row],[Close]]&lt;=Opportunities[[#This Row],[StartDate]],"✓","⚠")</f>
        <v>✓</v>
      </c>
      <c r="AL22" s="51" t="str">
        <f>IF(Opportunities[[#This Row],[Healthy]]=FALSE,ROUND(Opportunities[[#This Row],[DaysToClose]]/7,0)&amp; " weeks to close @ " &amp;Opportunities[[#This Row],[Stage]],"")</f>
        <v/>
      </c>
      <c r="AM22" s="51" t="str">
        <f>Opportunities[[#This Row],[OpportunityName]]&amp;" ("&amp;Opportunities[[#This Row],[Customer Name]]&amp;")"</f>
        <v>CRM System Upgrade (ACME Corporation)</v>
      </c>
    </row>
    <row r="23" spans="1:39" x14ac:dyDescent="0.25">
      <c r="A23">
        <v>22</v>
      </c>
      <c r="B23" t="s">
        <v>170</v>
      </c>
      <c r="C23" t="s">
        <v>19</v>
      </c>
      <c r="D23" t="s">
        <v>23</v>
      </c>
      <c r="E23">
        <v>1524787</v>
      </c>
      <c r="F23" t="s">
        <v>83</v>
      </c>
      <c r="G23" s="31">
        <v>46167</v>
      </c>
      <c r="H23" s="31">
        <v>45928</v>
      </c>
      <c r="I23" t="s">
        <v>102</v>
      </c>
      <c r="J23">
        <v>11</v>
      </c>
      <c r="L23" t="s">
        <v>95</v>
      </c>
      <c r="M23" t="s">
        <v>804</v>
      </c>
      <c r="O23">
        <v>52</v>
      </c>
      <c r="P23" s="31">
        <v>46245</v>
      </c>
      <c r="Q23" t="str">
        <f>" FY"&amp;RIGHT(IF(MONTH(Opportunities[[#This Row],[Close]])&gt;=7,YEAR(Opportunities[[#This Row],[Close]])+1,YEAR(Opportunities[[#This Row],[Close]])),2)&amp;"-Q"&amp;IF(MONTH(Opportunities[[#This Row],[Close]])&gt;=7,CEILING((MONTH(Opportunities[[#This Row],[Close]])-6)/3,1),CEILING((MONTH(Opportunities[[#This Row],[Close]])+6)/3,1))</f>
        <v xml:space="preserve"> FY26-Q4</v>
      </c>
      <c r="R23" t="str">
        <f>"CY"&amp;RIGHT(YEAR(Opportunities[[#This Row],[Close]]),2)&amp;"-Q"&amp;ROUNDUP(MONTH(Opportunities[[#This Row],[Close]])/3, 0)</f>
        <v>CY26-Q2</v>
      </c>
      <c r="S23" t="str">
        <f>siteUrl&amp;"/Lists/"&amp;oppList&amp;"/DispForm.aspx?ID="&amp;Opportunities[[#This Row],[ID]]</f>
        <v>https://cleansheet5.sharepoint.com/sites/SalesFunnel//Lists/auto12Opportunities/DispForm.aspx?ID=22</v>
      </c>
      <c r="T23">
        <f>_xlfn.XLOOKUP(Opportunities[[#This Row],[Stage]],stage[Stage Name],stage[Index],"")</f>
        <v>2</v>
      </c>
      <c r="U23" t="str">
        <f>_xlfn.XLOOKUP(Opportunities[[#This Row],[StageNumber]],stage[Index],stage[Display])</f>
        <v>➁ - Nurturing</v>
      </c>
      <c r="V23">
        <f>Opportunities[[#This Row],[Amount]]*Opportunities[[#This Row],[WinProbabilityValue]]</f>
        <v>1372308.3</v>
      </c>
      <c r="W23" t="str" cm="1">
        <f t="array" ref="W23">_xlfn.SWITCH(Opportunities[[#This Row],[Status]],"At Risk","⚠","Active","✓","⮾")</f>
        <v>✓</v>
      </c>
      <c r="X23" t="str">
        <f>_xlfn.XLOOKUP(Opportunities[[#This Row],[CustomerId]],Customers[Id],Customers[Customer Name])</f>
        <v>Transport Logistics</v>
      </c>
      <c r="Y23" t="str">
        <f>_xlfn.XLOOKUP(Opportunities[[#This Row],[CustomerId]],Customers[Id],Customers[CustomerRecordUrl])</f>
        <v>https://cleansheet5.sharepoint.com/sites/SalesFunnel//Lists/auto12Customers/DispForm.aspx?ID=11</v>
      </c>
      <c r="Z23">
        <f>_xlfn.XLOOKUP(Opportunities[[#This Row],[ID]],View[ID],View[Visible])</f>
        <v>1</v>
      </c>
      <c r="AA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(Inventory Management Solution)
 $1.5m • Nurturing • Owner: Sarah Director</v>
      </c>
      <c r="AB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23" t="str" cm="1">
        <f t="array" ref="AD23">_xlfn.SWITCH(Opportunities[[#This Row],[Probability]],"High","↖","Medium","←","Low","↙")&amp;" " &amp;Opportunities[[#This Row],[Probability]]</f>
        <v>↖ High</v>
      </c>
      <c r="AE23" t="b">
        <f>Opportunities[[#This Row],[Probability]]="High"</f>
        <v>1</v>
      </c>
      <c r="AF23" s="51">
        <f>_xlfn.XLOOKUP(Opportunities[[#This Row],[Probability]],prob[Win Probability],prob[Value])</f>
        <v>0.9</v>
      </c>
      <c r="AG23" s="51" cm="1">
        <f t="array" ref="AG23">Opportunities[[#This Row],[Amount]]/_xlfn.SWITCH(Opportunities[[#This Row],[RecurringRevenueModel]],"Annually",Opportunities[[#This Row],[Recurrences]],"Semi-Annually",Opportunities[[#This Row],[Recurrences]]/2,"One-time",1,"Quarterly",Opportunities[[#This Row],[Recurrences]]/4,"Monthly",Opportunities[[#This Row],[Recurrences]]/12)</f>
        <v>351873.92307692312</v>
      </c>
      <c r="AH23" s="51">
        <f ca="1">-(TODAY()-Opportunities[[#This Row],[Close]])</f>
        <v>285</v>
      </c>
      <c r="AI23" s="51">
        <f>_xlfn.XLOOKUP(Opportunities[[#This Row],[Stage]],stage[Stage Name],stage[Time To Close])</f>
        <v>180</v>
      </c>
      <c r="AJ23" s="51" t="b">
        <f ca="1">IF(Opportunities[[#This Row],[TargetDaysToClose]]=0,"",Opportunities[[#This Row],[TargetDaysToClose]]&lt;=Opportunities[[#This Row],[DaysToClose]])</f>
        <v>1</v>
      </c>
      <c r="AK23" s="51" t="str">
        <f>IF(Opportunities[[#This Row],[Close]]&lt;=Opportunities[[#This Row],[StartDate]],"✓","⚠")</f>
        <v>✓</v>
      </c>
      <c r="AL23" s="51" t="str">
        <f ca="1">IF(Opportunities[[#This Row],[Healthy]]=FALSE,ROUND(Opportunities[[#This Row],[DaysToClose]]/7,0)&amp; " weeks to close @ " &amp;Opportunities[[#This Row],[Stage]],"")</f>
        <v/>
      </c>
      <c r="AM23" s="51" t="str">
        <f>Opportunities[[#This Row],[OpportunityName]]&amp;" ("&amp;Opportunities[[#This Row],[Customer Name]]&amp;")"</f>
        <v>Inventory Management Solution (Transport Logistics)</v>
      </c>
    </row>
    <row r="24" spans="1:39" x14ac:dyDescent="0.25">
      <c r="A24">
        <v>23</v>
      </c>
      <c r="B24" t="s">
        <v>171</v>
      </c>
      <c r="C24" t="s">
        <v>25</v>
      </c>
      <c r="D24" t="s">
        <v>18</v>
      </c>
      <c r="E24">
        <v>1136222</v>
      </c>
      <c r="F24" t="s">
        <v>84</v>
      </c>
      <c r="G24" s="31">
        <v>45909</v>
      </c>
      <c r="H24" s="31">
        <v>45923</v>
      </c>
      <c r="I24" t="s">
        <v>99</v>
      </c>
      <c r="J24">
        <v>11</v>
      </c>
      <c r="L24" t="s">
        <v>166</v>
      </c>
      <c r="M24" t="s">
        <v>806</v>
      </c>
      <c r="O24">
        <v>9</v>
      </c>
      <c r="P24" s="31">
        <v>45981</v>
      </c>
      <c r="Q24" t="str">
        <f>" FY"&amp;RIGHT(IF(MONTH(Opportunities[[#This Row],[Close]])&gt;=7,YEAR(Opportunities[[#This Row],[Close]])+1,YEAR(Opportunities[[#This Row],[Close]])),2)&amp;"-Q"&amp;IF(MONTH(Opportunities[[#This Row],[Close]])&gt;=7,CEILING((MONTH(Opportunities[[#This Row],[Close]])-6)/3,1),CEILING((MONTH(Opportunities[[#This Row],[Close]])+6)/3,1))</f>
        <v xml:space="preserve"> FY26-Q1</v>
      </c>
      <c r="R24" t="str">
        <f>"CY"&amp;RIGHT(YEAR(Opportunities[[#This Row],[Close]]),2)&amp;"-Q"&amp;ROUNDUP(MONTH(Opportunities[[#This Row],[Close]])/3, 0)</f>
        <v>CY25-Q3</v>
      </c>
      <c r="S24" t="str">
        <f>siteUrl&amp;"/Lists/"&amp;oppList&amp;"/DispForm.aspx?ID="&amp;Opportunities[[#This Row],[ID]]</f>
        <v>https://cleansheet5.sharepoint.com/sites/SalesFunnel//Lists/auto12Opportunities/DispForm.aspx?ID=23</v>
      </c>
      <c r="T24">
        <f>_xlfn.XLOOKUP(Opportunities[[#This Row],[Stage]],stage[Stage Name],stage[Index],"")</f>
        <v>4</v>
      </c>
      <c r="U24" t="str">
        <f>_xlfn.XLOOKUP(Opportunities[[#This Row],[StageNumber]],stage[Index],stage[Display])</f>
        <v>➃ - Negotiation</v>
      </c>
      <c r="V24">
        <f>Opportunities[[#This Row],[Amount]]*Opportunities[[#This Row],[WinProbabilityValue]]</f>
        <v>227244.40000000002</v>
      </c>
      <c r="W24" t="str" cm="1">
        <f t="array" ref="W24">_xlfn.SWITCH(Opportunities[[#This Row],[Status]],"At Risk","⚠","Active","✓","⮾")</f>
        <v>⮾</v>
      </c>
      <c r="X24" t="str">
        <f>_xlfn.XLOOKUP(Opportunities[[#This Row],[CustomerId]],Customers[Id],Customers[Customer Name])</f>
        <v>Transport Logistics</v>
      </c>
      <c r="Y24" t="str">
        <f>_xlfn.XLOOKUP(Opportunities[[#This Row],[CustomerId]],Customers[Id],Customers[CustomerRecordUrl])</f>
        <v>https://cleansheet5.sharepoint.com/sites/SalesFunnel//Lists/auto12Customers/DispForm.aspx?ID=11</v>
      </c>
      <c r="Z24">
        <f>_xlfn.XLOOKUP(Opportunities[[#This Row],[ID]],View[ID],View[Visible])</f>
        <v>1</v>
      </c>
      <c r="AA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(Point of Sale System)
 $1.1m • Negotiation • Owner: David Specialist</v>
      </c>
      <c r="AB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24" t="str" cm="1">
        <f t="array" ref="AD24">_xlfn.SWITCH(Opportunities[[#This Row],[Probability]],"High","↖","Medium","←","Low","↙")&amp;" " &amp;Opportunities[[#This Row],[Probability]]</f>
        <v>↙ Low</v>
      </c>
      <c r="AE24" t="b">
        <f>Opportunities[[#This Row],[Probability]]="High"</f>
        <v>0</v>
      </c>
      <c r="AF24" s="51">
        <f>_xlfn.XLOOKUP(Opportunities[[#This Row],[Probability]],prob[Win Probability],prob[Value])</f>
        <v>0.2</v>
      </c>
      <c r="AG24" s="51" cm="1">
        <f t="array" ref="AG24">Opportunities[[#This Row],[Amount]]/_xlfn.SWITCH(Opportunities[[#This Row],[RecurringRevenueModel]],"Annually",Opportunities[[#This Row],[Recurrences]],"Semi-Annually",Opportunities[[#This Row],[Recurrences]]/2,"One-time",1,"Quarterly",Opportunities[[#This Row],[Recurrences]]/4,"Monthly",Opportunities[[#This Row],[Recurrences]]/12)</f>
        <v>252493.77777777778</v>
      </c>
      <c r="AH24" s="51">
        <f ca="1">-(TODAY()-Opportunities[[#This Row],[Close]])</f>
        <v>27</v>
      </c>
      <c r="AI24" s="51">
        <f>_xlfn.XLOOKUP(Opportunities[[#This Row],[Stage]],stage[Stage Name],stage[Time To Close])</f>
        <v>7</v>
      </c>
      <c r="AJ24" s="51" t="b">
        <f ca="1">IF(Opportunities[[#This Row],[TargetDaysToClose]]=0,"",Opportunities[[#This Row],[TargetDaysToClose]]&lt;=Opportunities[[#This Row],[DaysToClose]])</f>
        <v>1</v>
      </c>
      <c r="AK24" s="51" t="str">
        <f>IF(Opportunities[[#This Row],[Close]]&lt;=Opportunities[[#This Row],[StartDate]],"✓","⚠")</f>
        <v>✓</v>
      </c>
      <c r="AL24" s="51" t="str">
        <f ca="1">IF(Opportunities[[#This Row],[Healthy]]=FALSE,ROUND(Opportunities[[#This Row],[DaysToClose]]/7,0)&amp; " weeks to close @ " &amp;Opportunities[[#This Row],[Stage]],"")</f>
        <v/>
      </c>
      <c r="AM24" s="51" t="str">
        <f>Opportunities[[#This Row],[OpportunityName]]&amp;" ("&amp;Opportunities[[#This Row],[Customer Name]]&amp;")"</f>
        <v>Point of Sale System (Transport Logistics)</v>
      </c>
    </row>
    <row r="25" spans="1:39" x14ac:dyDescent="0.25">
      <c r="A25">
        <v>24</v>
      </c>
      <c r="B25" t="s">
        <v>172</v>
      </c>
      <c r="C25" t="s">
        <v>19</v>
      </c>
      <c r="D25" t="s">
        <v>23</v>
      </c>
      <c r="E25">
        <v>994882</v>
      </c>
      <c r="F25" t="s">
        <v>84</v>
      </c>
      <c r="G25" s="31">
        <v>46031</v>
      </c>
      <c r="H25" s="31">
        <v>45907</v>
      </c>
      <c r="I25" t="s">
        <v>96</v>
      </c>
      <c r="J25">
        <v>27</v>
      </c>
      <c r="L25" t="s">
        <v>104</v>
      </c>
      <c r="M25" t="s">
        <v>803</v>
      </c>
      <c r="O25">
        <v>6</v>
      </c>
      <c r="P25" s="31">
        <v>46087</v>
      </c>
      <c r="Q25" t="str">
        <f>" FY"&amp;RIGHT(IF(MONTH(Opportunities[[#This Row],[Close]])&gt;=7,YEAR(Opportunities[[#This Row],[Close]])+1,YEAR(Opportunities[[#This Row],[Close]])),2)&amp;"-Q"&amp;IF(MONTH(Opportunities[[#This Row],[Close]])&gt;=7,CEILING((MONTH(Opportunities[[#This Row],[Close]])-6)/3,1),CEILING((MONTH(Opportunities[[#This Row],[Close]])+6)/3,1))</f>
        <v xml:space="preserve"> FY26-Q3</v>
      </c>
      <c r="R25" t="str">
        <f>"CY"&amp;RIGHT(YEAR(Opportunities[[#This Row],[Close]]),2)&amp;"-Q"&amp;ROUNDUP(MONTH(Opportunities[[#This Row],[Close]])/3, 0)</f>
        <v>CY26-Q1</v>
      </c>
      <c r="S25" t="str">
        <f>siteUrl&amp;"/Lists/"&amp;oppList&amp;"/DispForm.aspx?ID="&amp;Opportunities[[#This Row],[ID]]</f>
        <v>https://cleansheet5.sharepoint.com/sites/SalesFunnel//Lists/auto12Opportunities/DispForm.aspx?ID=24</v>
      </c>
      <c r="T25">
        <f>_xlfn.XLOOKUP(Opportunities[[#This Row],[Stage]],stage[Stage Name],stage[Index],"")</f>
        <v>2</v>
      </c>
      <c r="U25" t="str">
        <f>_xlfn.XLOOKUP(Opportunities[[#This Row],[StageNumber]],stage[Index],stage[Display])</f>
        <v>➁ - Nurturing</v>
      </c>
      <c r="V25">
        <f>Opportunities[[#This Row],[Amount]]*Opportunities[[#This Row],[WinProbabilityValue]]</f>
        <v>198976.40000000002</v>
      </c>
      <c r="W25" t="str" cm="1">
        <f t="array" ref="W25">_xlfn.SWITCH(Opportunities[[#This Row],[Status]],"At Risk","⚠","Active","✓","⮾")</f>
        <v>✓</v>
      </c>
      <c r="X25" t="str">
        <f>_xlfn.XLOOKUP(Opportunities[[#This Row],[CustomerId]],Customers[Id],Customers[Customer Name])</f>
        <v>Mining Operations</v>
      </c>
      <c r="Y25" t="str">
        <f>_xlfn.XLOOKUP(Opportunities[[#This Row],[CustomerId]],Customers[Id],Customers[CustomerRecordUrl])</f>
        <v>https://cleansheet5.sharepoint.com/sites/SalesFunnel//Lists/auto12Customers/DispForm.aspx?ID=27</v>
      </c>
      <c r="Z25">
        <f>_xlfn.XLOOKUP(Opportunities[[#This Row],[ID]],View[ID],View[Visible])</f>
        <v>1</v>
      </c>
      <c r="AA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(Compliance Management Tool)
 $1.0m • Nurturing • Owner: Dr. Tech Advisor</v>
      </c>
      <c r="AB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D25" t="str" cm="1">
        <f t="array" ref="AD25">_xlfn.SWITCH(Opportunities[[#This Row],[Probability]],"High","↖","Medium","←","Low","↙")&amp;" " &amp;Opportunities[[#This Row],[Probability]]</f>
        <v>↙ Low</v>
      </c>
      <c r="AE25" t="b">
        <f>Opportunities[[#This Row],[Probability]]="High"</f>
        <v>0</v>
      </c>
      <c r="AF25" s="51">
        <f>_xlfn.XLOOKUP(Opportunities[[#This Row],[Probability]],prob[Win Probability],prob[Value])</f>
        <v>0.2</v>
      </c>
      <c r="AG25" s="51" cm="1">
        <f t="array" ref="AG25">Opportunities[[#This Row],[Amount]]/_xlfn.SWITCH(Opportunities[[#This Row],[RecurringRevenueModel]],"Annually",Opportunities[[#This Row],[Recurrences]],"Semi-Annually",Opportunities[[#This Row],[Recurrences]]/2,"One-time",1,"Quarterly",Opportunities[[#This Row],[Recurrences]]/4,"Monthly",Opportunities[[#This Row],[Recurrences]]/12)</f>
        <v>165813.66666666666</v>
      </c>
      <c r="AH25" s="51">
        <f ca="1">-(TODAY()-Opportunities[[#This Row],[Close]])</f>
        <v>149</v>
      </c>
      <c r="AI25" s="51">
        <f>_xlfn.XLOOKUP(Opportunities[[#This Row],[Stage]],stage[Stage Name],stage[Time To Close])</f>
        <v>180</v>
      </c>
      <c r="AJ25" s="51" t="b">
        <f ca="1">IF(Opportunities[[#This Row],[TargetDaysToClose]]=0,"",Opportunities[[#This Row],[TargetDaysToClose]]&lt;=Opportunities[[#This Row],[DaysToClose]])</f>
        <v>0</v>
      </c>
      <c r="AK25" s="51" t="str">
        <f>IF(Opportunities[[#This Row],[Close]]&lt;=Opportunities[[#This Row],[StartDate]],"✓","⚠")</f>
        <v>✓</v>
      </c>
      <c r="AL25" s="51" t="str">
        <f ca="1">IF(Opportunities[[#This Row],[Healthy]]=FALSE,ROUND(Opportunities[[#This Row],[DaysToClose]]/7,0)&amp; " weeks to close @ " &amp;Opportunities[[#This Row],[Stage]],"")</f>
        <v>21 weeks to close @ Nurturing</v>
      </c>
      <c r="AM25" s="51" t="str">
        <f>Opportunities[[#This Row],[OpportunityName]]&amp;" ("&amp;Opportunities[[#This Row],[Customer Name]]&amp;")"</f>
        <v>Compliance Management Tool (Mining Operations)</v>
      </c>
    </row>
    <row r="26" spans="1:39" x14ac:dyDescent="0.25">
      <c r="A26">
        <v>25</v>
      </c>
      <c r="B26" t="s">
        <v>173</v>
      </c>
      <c r="C26" t="s">
        <v>19</v>
      </c>
      <c r="D26" t="s">
        <v>20</v>
      </c>
      <c r="E26">
        <v>1052288</v>
      </c>
      <c r="F26" t="s">
        <v>82</v>
      </c>
      <c r="G26" s="31">
        <v>46380</v>
      </c>
      <c r="H26" s="31">
        <v>45919</v>
      </c>
      <c r="I26" t="s">
        <v>153</v>
      </c>
      <c r="J26">
        <v>14</v>
      </c>
      <c r="L26" t="s">
        <v>393</v>
      </c>
      <c r="M26" t="s">
        <v>807</v>
      </c>
      <c r="O26">
        <v>15</v>
      </c>
      <c r="P26" s="31">
        <v>46427</v>
      </c>
      <c r="Q26" t="str">
        <f>" FY"&amp;RIGHT(IF(MONTH(Opportunities[[#This Row],[Close]])&gt;=7,YEAR(Opportunities[[#This Row],[Close]])+1,YEAR(Opportunities[[#This Row],[Close]])),2)&amp;"-Q"&amp;IF(MONTH(Opportunities[[#This Row],[Close]])&gt;=7,CEILING((MONTH(Opportunities[[#This Row],[Close]])-6)/3,1),CEILING((MONTH(Opportunities[[#This Row],[Close]])+6)/3,1))</f>
        <v xml:space="preserve"> FY27-Q2</v>
      </c>
      <c r="R26" t="str">
        <f>"CY"&amp;RIGHT(YEAR(Opportunities[[#This Row],[Close]]),2)&amp;"-Q"&amp;ROUNDUP(MONTH(Opportunities[[#This Row],[Close]])/3, 0)</f>
        <v>CY26-Q4</v>
      </c>
      <c r="S26" t="str">
        <f>siteUrl&amp;"/Lists/"&amp;oppList&amp;"/DispForm.aspx?ID="&amp;Opportunities[[#This Row],[ID]]</f>
        <v>https://cleansheet5.sharepoint.com/sites/SalesFunnel//Lists/auto12Opportunities/DispForm.aspx?ID=25</v>
      </c>
      <c r="T26">
        <f>_xlfn.XLOOKUP(Opportunities[[#This Row],[Stage]],stage[Stage Name],stage[Index],"")</f>
        <v>1</v>
      </c>
      <c r="U26" t="str">
        <f>_xlfn.XLOOKUP(Opportunities[[#This Row],[StageNumber]],stage[Index],stage[Display])</f>
        <v>➀ - Lead Qualification</v>
      </c>
      <c r="V26">
        <f>Opportunities[[#This Row],[Amount]]*Opportunities[[#This Row],[WinProbabilityValue]]</f>
        <v>526144</v>
      </c>
      <c r="W26" t="str" cm="1">
        <f t="array" ref="W26">_xlfn.SWITCH(Opportunities[[#This Row],[Status]],"At Risk","⚠","Active","✓","⮾")</f>
        <v>✓</v>
      </c>
      <c r="X26" t="str">
        <f>_xlfn.XLOOKUP(Opportunities[[#This Row],[CustomerId]],Customers[Id],Customers[Customer Name])</f>
        <v>Media Communications</v>
      </c>
      <c r="Y26" t="str">
        <f>_xlfn.XLOOKUP(Opportunities[[#This Row],[CustomerId]],Customers[Id],Customers[CustomerRecordUrl])</f>
        <v>https://cleansheet5.sharepoint.com/sites/SalesFunnel//Lists/auto12Customers/DispForm.aspx?ID=14</v>
      </c>
      <c r="Z26">
        <f>_xlfn.XLOOKUP(Opportunities[[#This Row],[ID]],View[ID],View[Visible])</f>
        <v>1</v>
      </c>
      <c r="AA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(Project Management Software)
 $1.1m • Lead Qualification • Owner: Amanda Sales</v>
      </c>
      <c r="AB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26" t="str" cm="1">
        <f t="array" ref="AD26">_xlfn.SWITCH(Opportunities[[#This Row],[Probability]],"High","↖","Medium","←","Low","↙")&amp;" " &amp;Opportunities[[#This Row],[Probability]]</f>
        <v>← Medium</v>
      </c>
      <c r="AE26" t="b">
        <f>Opportunities[[#This Row],[Probability]]="High"</f>
        <v>0</v>
      </c>
      <c r="AF26" s="51">
        <f>_xlfn.XLOOKUP(Opportunities[[#This Row],[Probability]],prob[Win Probability],prob[Value])</f>
        <v>0.5</v>
      </c>
      <c r="AG26" s="51" cm="1">
        <f t="array" ref="AG26">Opportunities[[#This Row],[Amount]]/_xlfn.SWITCH(Opportunities[[#This Row],[RecurringRevenueModel]],"Annually",Opportunities[[#This Row],[Recurrences]],"Semi-Annually",Opportunities[[#This Row],[Recurrences]]/2,"One-time",1,"Quarterly",Opportunities[[#This Row],[Recurrences]]/4,"Monthly",Opportunities[[#This Row],[Recurrences]]/12)</f>
        <v>280610.13333333336</v>
      </c>
      <c r="AH26" s="51">
        <f ca="1">-(TODAY()-Opportunities[[#This Row],[Close]])</f>
        <v>498</v>
      </c>
      <c r="AI26" s="51">
        <f>_xlfn.XLOOKUP(Opportunities[[#This Row],[Stage]],stage[Stage Name],stage[Time To Close])</f>
        <v>270</v>
      </c>
      <c r="AJ26" s="51" t="b">
        <f ca="1">IF(Opportunities[[#This Row],[TargetDaysToClose]]=0,"",Opportunities[[#This Row],[TargetDaysToClose]]&lt;=Opportunities[[#This Row],[DaysToClose]])</f>
        <v>1</v>
      </c>
      <c r="AK26" s="51" t="str">
        <f>IF(Opportunities[[#This Row],[Close]]&lt;=Opportunities[[#This Row],[StartDate]],"✓","⚠")</f>
        <v>✓</v>
      </c>
      <c r="AL26" s="51" t="str">
        <f ca="1">IF(Opportunities[[#This Row],[Healthy]]=FALSE,ROUND(Opportunities[[#This Row],[DaysToClose]]/7,0)&amp; " weeks to close @ " &amp;Opportunities[[#This Row],[Stage]],"")</f>
        <v/>
      </c>
      <c r="AM26" s="51" t="str">
        <f>Opportunities[[#This Row],[OpportunityName]]&amp;" ("&amp;Opportunities[[#This Row],[Customer Name]]&amp;")"</f>
        <v>Project Management Software (Media Communications)</v>
      </c>
    </row>
    <row r="27" spans="1:39" x14ac:dyDescent="0.25">
      <c r="A27">
        <v>26</v>
      </c>
      <c r="B27" t="s">
        <v>174</v>
      </c>
      <c r="C27" t="s">
        <v>19</v>
      </c>
      <c r="D27" t="s">
        <v>18</v>
      </c>
      <c r="E27">
        <v>816454</v>
      </c>
      <c r="F27" t="s">
        <v>82</v>
      </c>
      <c r="G27" s="31">
        <v>45895</v>
      </c>
      <c r="H27" s="31">
        <v>45561</v>
      </c>
      <c r="I27" t="s">
        <v>105</v>
      </c>
      <c r="J27">
        <v>1</v>
      </c>
      <c r="L27" t="s">
        <v>98</v>
      </c>
      <c r="M27" t="s">
        <v>804</v>
      </c>
      <c r="O27">
        <v>36</v>
      </c>
      <c r="P27" s="31">
        <v>46296</v>
      </c>
      <c r="Q27" t="str">
        <f>" FY"&amp;RIGHT(IF(MONTH(Opportunities[[#This Row],[Close]])&gt;=7,YEAR(Opportunities[[#This Row],[Close]])+1,YEAR(Opportunities[[#This Row],[Close]])),2)&amp;"-Q"&amp;IF(MONTH(Opportunities[[#This Row],[Close]])&gt;=7,CEILING((MONTH(Opportunities[[#This Row],[Close]])-6)/3,1),CEILING((MONTH(Opportunities[[#This Row],[Close]])+6)/3,1))</f>
        <v xml:space="preserve"> FY26-Q1</v>
      </c>
      <c r="R27" t="str">
        <f>"CY"&amp;RIGHT(YEAR(Opportunities[[#This Row],[Close]]),2)&amp;"-Q"&amp;ROUNDUP(MONTH(Opportunities[[#This Row],[Close]])/3, 0)</f>
        <v>CY25-Q3</v>
      </c>
      <c r="S27" t="str">
        <f>siteUrl&amp;"/Lists/"&amp;oppList&amp;"/DispForm.aspx?ID="&amp;Opportunities[[#This Row],[ID]]</f>
        <v>https://cleansheet5.sharepoint.com/sites/SalesFunnel//Lists/auto12Opportunities/DispForm.aspx?ID=26</v>
      </c>
      <c r="T27">
        <f>_xlfn.XLOOKUP(Opportunities[[#This Row],[Stage]],stage[Stage Name],stage[Index],"")</f>
        <v>4</v>
      </c>
      <c r="U27" t="str">
        <f>_xlfn.XLOOKUP(Opportunities[[#This Row],[StageNumber]],stage[Index],stage[Display])</f>
        <v>➃ - Negotiation</v>
      </c>
      <c r="V27">
        <f>Opportunities[[#This Row],[Amount]]*Opportunities[[#This Row],[WinProbabilityValue]]</f>
        <v>408227</v>
      </c>
      <c r="W27" t="str" cm="1">
        <f t="array" ref="W27">_xlfn.SWITCH(Opportunities[[#This Row],[Status]],"At Risk","⚠","Active","✓","⮾")</f>
        <v>✓</v>
      </c>
      <c r="X27" t="str">
        <f>_xlfn.XLOOKUP(Opportunities[[#This Row],[CustomerId]],Customers[Id],Customers[Customer Name])</f>
        <v>ACME Corporation</v>
      </c>
      <c r="Y27" t="str">
        <f>_xlfn.XLOOKUP(Opportunities[[#This Row],[CustomerId]],Customers[Id],Customers[CustomerRecordUrl])</f>
        <v>https://cleansheet5.sharepoint.com/sites/SalesFunnel//Lists/auto12Customers/DispForm.aspx?ID=1</v>
      </c>
      <c r="Z27">
        <f>_xlfn.XLOOKUP(Opportunities[[#This Row],[ID]],View[ID],View[Visible])</f>
        <v>1</v>
      </c>
      <c r="AA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(Video Conferencing Solution)
 $0.8m • Negotiation • Owner: Mike Consultant</v>
      </c>
      <c r="AB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27" t="str" cm="1">
        <f t="array" ref="AD27">_xlfn.SWITCH(Opportunities[[#This Row],[Probability]],"High","↖","Medium","←","Low","↙")&amp;" " &amp;Opportunities[[#This Row],[Probability]]</f>
        <v>← Medium</v>
      </c>
      <c r="AE27" t="b">
        <f>Opportunities[[#This Row],[Probability]]="High"</f>
        <v>0</v>
      </c>
      <c r="AF27" s="51">
        <f>_xlfn.XLOOKUP(Opportunities[[#This Row],[Probability]],prob[Win Probability],prob[Value])</f>
        <v>0.5</v>
      </c>
      <c r="AG27" s="51" cm="1">
        <f t="array" ref="AG27">Opportunities[[#This Row],[Amount]]/_xlfn.SWITCH(Opportunities[[#This Row],[RecurringRevenueModel]],"Annually",Opportunities[[#This Row],[Recurrences]],"Semi-Annually",Opportunities[[#This Row],[Recurrences]]/2,"One-time",1,"Quarterly",Opportunities[[#This Row],[Recurrences]]/4,"Monthly",Opportunities[[#This Row],[Recurrences]]/12)</f>
        <v>272151.33333333331</v>
      </c>
      <c r="AH27" s="51">
        <f ca="1">-(TODAY()-Opportunities[[#This Row],[Close]])</f>
        <v>13</v>
      </c>
      <c r="AI27" s="51">
        <f>_xlfn.XLOOKUP(Opportunities[[#This Row],[Stage]],stage[Stage Name],stage[Time To Close])</f>
        <v>7</v>
      </c>
      <c r="AJ27" s="51" t="b">
        <f ca="1">IF(Opportunities[[#This Row],[TargetDaysToClose]]=0,"",Opportunities[[#This Row],[TargetDaysToClose]]&lt;=Opportunities[[#This Row],[DaysToClose]])</f>
        <v>1</v>
      </c>
      <c r="AK27" s="51" t="str">
        <f>IF(Opportunities[[#This Row],[Close]]&lt;=Opportunities[[#This Row],[StartDate]],"✓","⚠")</f>
        <v>✓</v>
      </c>
      <c r="AL27" s="51" t="str">
        <f ca="1">IF(Opportunities[[#This Row],[Healthy]]=FALSE,ROUND(Opportunities[[#This Row],[DaysToClose]]/7,0)&amp; " weeks to close @ " &amp;Opportunities[[#This Row],[Stage]],"")</f>
        <v/>
      </c>
      <c r="AM27" s="51" t="str">
        <f>Opportunities[[#This Row],[OpportunityName]]&amp;" ("&amp;Opportunities[[#This Row],[Customer Name]]&amp;")"</f>
        <v>Video Conferencing Solution (ACME Corporation)</v>
      </c>
    </row>
    <row r="28" spans="1:39" x14ac:dyDescent="0.25">
      <c r="A28">
        <v>27</v>
      </c>
      <c r="B28" t="s">
        <v>175</v>
      </c>
      <c r="C28" t="s">
        <v>19</v>
      </c>
      <c r="D28" t="s">
        <v>20</v>
      </c>
      <c r="E28">
        <v>1666344</v>
      </c>
      <c r="F28" t="s">
        <v>82</v>
      </c>
      <c r="G28" s="31">
        <v>46185</v>
      </c>
      <c r="H28" s="31">
        <v>45904</v>
      </c>
      <c r="I28" t="s">
        <v>146</v>
      </c>
      <c r="J28">
        <v>2</v>
      </c>
      <c r="L28" t="s">
        <v>393</v>
      </c>
      <c r="M28" t="s">
        <v>807</v>
      </c>
      <c r="O28">
        <v>18</v>
      </c>
      <c r="P28" s="31">
        <v>46251</v>
      </c>
      <c r="Q28" t="str">
        <f>" FY"&amp;RIGHT(IF(MONTH(Opportunities[[#This Row],[Close]])&gt;=7,YEAR(Opportunities[[#This Row],[Close]])+1,YEAR(Opportunities[[#This Row],[Close]])),2)&amp;"-Q"&amp;IF(MONTH(Opportunities[[#This Row],[Close]])&gt;=7,CEILING((MONTH(Opportunities[[#This Row],[Close]])-6)/3,1),CEILING((MONTH(Opportunities[[#This Row],[Close]])+6)/3,1))</f>
        <v xml:space="preserve"> FY26-Q4</v>
      </c>
      <c r="R28" t="str">
        <f>"CY"&amp;RIGHT(YEAR(Opportunities[[#This Row],[Close]]),2)&amp;"-Q"&amp;ROUNDUP(MONTH(Opportunities[[#This Row],[Close]])/3, 0)</f>
        <v>CY26-Q2</v>
      </c>
      <c r="S28" t="str">
        <f>siteUrl&amp;"/Lists/"&amp;oppList&amp;"/DispForm.aspx?ID="&amp;Opportunities[[#This Row],[ID]]</f>
        <v>https://cleansheet5.sharepoint.com/sites/SalesFunnel//Lists/auto12Opportunities/DispForm.aspx?ID=27</v>
      </c>
      <c r="T28">
        <f>_xlfn.XLOOKUP(Opportunities[[#This Row],[Stage]],stage[Stage Name],stage[Index],"")</f>
        <v>1</v>
      </c>
      <c r="U28" t="str">
        <f>_xlfn.XLOOKUP(Opportunities[[#This Row],[StageNumber]],stage[Index],stage[Display])</f>
        <v>➀ - Lead Qualification</v>
      </c>
      <c r="V28">
        <f>Opportunities[[#This Row],[Amount]]*Opportunities[[#This Row],[WinProbabilityValue]]</f>
        <v>833172</v>
      </c>
      <c r="W28" t="str" cm="1">
        <f t="array" ref="W28">_xlfn.SWITCH(Opportunities[[#This Row],[Status]],"At Risk","⚠","Active","✓","⮾")</f>
        <v>✓</v>
      </c>
      <c r="X28" t="str">
        <f>_xlfn.XLOOKUP(Opportunities[[#This Row],[CustomerId]],Customers[Id],Customers[Customer Name])</f>
        <v>Global Industries</v>
      </c>
      <c r="Y28" t="str">
        <f>_xlfn.XLOOKUP(Opportunities[[#This Row],[CustomerId]],Customers[Id],Customers[CustomerRecordUrl])</f>
        <v>https://cleansheet5.sharepoint.com/sites/SalesFunnel//Lists/auto12Customers/DispForm.aspx?ID=2</v>
      </c>
      <c r="Z28">
        <f>_xlfn.XLOOKUP(Opportunities[[#This Row],[ID]],View[ID],View[Visible])</f>
        <v>1</v>
      </c>
      <c r="AA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(Backup &amp; Recovery System)
 $1.7m • Lead Qualification • Owner: Amanda Sales</v>
      </c>
      <c r="AB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28" t="str" cm="1">
        <f t="array" ref="AD28">_xlfn.SWITCH(Opportunities[[#This Row],[Probability]],"High","↖","Medium","←","Low","↙")&amp;" " &amp;Opportunities[[#This Row],[Probability]]</f>
        <v>← Medium</v>
      </c>
      <c r="AE28" t="b">
        <f>Opportunities[[#This Row],[Probability]]="High"</f>
        <v>0</v>
      </c>
      <c r="AF28" s="51">
        <f>_xlfn.XLOOKUP(Opportunities[[#This Row],[Probability]],prob[Win Probability],prob[Value])</f>
        <v>0.5</v>
      </c>
      <c r="AG28" s="51" cm="1">
        <f t="array" ref="AG28">Opportunities[[#This Row],[Amount]]/_xlfn.SWITCH(Opportunities[[#This Row],[RecurringRevenueModel]],"Annually",Opportunities[[#This Row],[Recurrences]],"Semi-Annually",Opportunities[[#This Row],[Recurrences]]/2,"One-time",1,"Quarterly",Opportunities[[#This Row],[Recurrences]]/4,"Monthly",Opportunities[[#This Row],[Recurrences]]/12)</f>
        <v>370298.66666666669</v>
      </c>
      <c r="AH28" s="51">
        <f ca="1">-(TODAY()-Opportunities[[#This Row],[Close]])</f>
        <v>303</v>
      </c>
      <c r="AI28" s="51">
        <f>_xlfn.XLOOKUP(Opportunities[[#This Row],[Stage]],stage[Stage Name],stage[Time To Close])</f>
        <v>270</v>
      </c>
      <c r="AJ28" s="51" t="b">
        <f ca="1">IF(Opportunities[[#This Row],[TargetDaysToClose]]=0,"",Opportunities[[#This Row],[TargetDaysToClose]]&lt;=Opportunities[[#This Row],[DaysToClose]])</f>
        <v>1</v>
      </c>
      <c r="AK28" s="51" t="str">
        <f>IF(Opportunities[[#This Row],[Close]]&lt;=Opportunities[[#This Row],[StartDate]],"✓","⚠")</f>
        <v>✓</v>
      </c>
      <c r="AL28" s="51" t="str">
        <f ca="1">IF(Opportunities[[#This Row],[Healthy]]=FALSE,ROUND(Opportunities[[#This Row],[DaysToClose]]/7,0)&amp; " weeks to close @ " &amp;Opportunities[[#This Row],[Stage]],"")</f>
        <v/>
      </c>
      <c r="AM28" s="51" t="str">
        <f>Opportunities[[#This Row],[OpportunityName]]&amp;" ("&amp;Opportunities[[#This Row],[Customer Name]]&amp;")"</f>
        <v>Backup &amp; Recovery System (Global Industries)</v>
      </c>
    </row>
    <row r="29" spans="1:39" x14ac:dyDescent="0.25">
      <c r="A29">
        <v>28</v>
      </c>
      <c r="B29" t="s">
        <v>176</v>
      </c>
      <c r="C29" t="s">
        <v>19</v>
      </c>
      <c r="D29" t="s">
        <v>20</v>
      </c>
      <c r="E29">
        <v>1213430</v>
      </c>
      <c r="F29" t="s">
        <v>82</v>
      </c>
      <c r="G29" s="31">
        <v>46325</v>
      </c>
      <c r="H29" s="31">
        <v>45897</v>
      </c>
      <c r="I29" t="s">
        <v>99</v>
      </c>
      <c r="J29">
        <v>1</v>
      </c>
      <c r="L29" t="s">
        <v>101</v>
      </c>
      <c r="M29" t="s">
        <v>807</v>
      </c>
      <c r="O29">
        <v>15</v>
      </c>
      <c r="P29" s="31">
        <v>46342</v>
      </c>
      <c r="Q29" t="str">
        <f>" FY"&amp;RIGHT(IF(MONTH(Opportunities[[#This Row],[Close]])&gt;=7,YEAR(Opportunities[[#This Row],[Close]])+1,YEAR(Opportunities[[#This Row],[Close]])),2)&amp;"-Q"&amp;IF(MONTH(Opportunities[[#This Row],[Close]])&gt;=7,CEILING((MONTH(Opportunities[[#This Row],[Close]])-6)/3,1),CEILING((MONTH(Opportunities[[#This Row],[Close]])+6)/3,1))</f>
        <v xml:space="preserve"> FY27-Q2</v>
      </c>
      <c r="R29" t="str">
        <f>"CY"&amp;RIGHT(YEAR(Opportunities[[#This Row],[Close]]),2)&amp;"-Q"&amp;ROUNDUP(MONTH(Opportunities[[#This Row],[Close]])/3, 0)</f>
        <v>CY26-Q4</v>
      </c>
      <c r="S29" t="str">
        <f>siteUrl&amp;"/Lists/"&amp;oppList&amp;"/DispForm.aspx?ID="&amp;Opportunities[[#This Row],[ID]]</f>
        <v>https://cleansheet5.sharepoint.com/sites/SalesFunnel//Lists/auto12Opportunities/DispForm.aspx?ID=28</v>
      </c>
      <c r="T29">
        <f>_xlfn.XLOOKUP(Opportunities[[#This Row],[Stage]],stage[Stage Name],stage[Index],"")</f>
        <v>1</v>
      </c>
      <c r="U29" t="str">
        <f>_xlfn.XLOOKUP(Opportunities[[#This Row],[StageNumber]],stage[Index],stage[Display])</f>
        <v>➀ - Lead Qualification</v>
      </c>
      <c r="V29">
        <f>Opportunities[[#This Row],[Amount]]*Opportunities[[#This Row],[WinProbabilityValue]]</f>
        <v>606715</v>
      </c>
      <c r="W29" t="str" cm="1">
        <f t="array" ref="W29">_xlfn.SWITCH(Opportunities[[#This Row],[Status]],"At Risk","⚠","Active","✓","⮾")</f>
        <v>✓</v>
      </c>
      <c r="X29" t="str">
        <f>_xlfn.XLOOKUP(Opportunities[[#This Row],[CustomerId]],Customers[Id],Customers[Customer Name])</f>
        <v>ACME Corporation</v>
      </c>
      <c r="Y29" t="str">
        <f>_xlfn.XLOOKUP(Opportunities[[#This Row],[CustomerId]],Customers[Id],Customers[CustomerRecordUrl])</f>
        <v>https://cleansheet5.sharepoint.com/sites/SalesFunnel//Lists/auto12Customers/DispForm.aspx?ID=1</v>
      </c>
      <c r="Z29">
        <f>_xlfn.XLOOKUP(Opportunities[[#This Row],[ID]],View[ID],View[Visible])</f>
        <v>1</v>
      </c>
      <c r="AA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(Website Redesign Project)
 $1.2m • Lead Qualification • Owner: Lisa Engineer</v>
      </c>
      <c r="AB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29" t="str" cm="1">
        <f t="array" ref="AD29">_xlfn.SWITCH(Opportunities[[#This Row],[Probability]],"High","↖","Medium","←","Low","↙")&amp;" " &amp;Opportunities[[#This Row],[Probability]]</f>
        <v>← Medium</v>
      </c>
      <c r="AE29" t="b">
        <f>Opportunities[[#This Row],[Probability]]="High"</f>
        <v>0</v>
      </c>
      <c r="AF29" s="51">
        <f>_xlfn.XLOOKUP(Opportunities[[#This Row],[Probability]],prob[Win Probability],prob[Value])</f>
        <v>0.5</v>
      </c>
      <c r="AG29" s="51" cm="1">
        <f t="array" ref="AG29">Opportunities[[#This Row],[Amount]]/_xlfn.SWITCH(Opportunities[[#This Row],[RecurringRevenueModel]],"Annually",Opportunities[[#This Row],[Recurrences]],"Semi-Annually",Opportunities[[#This Row],[Recurrences]]/2,"One-time",1,"Quarterly",Opportunities[[#This Row],[Recurrences]]/4,"Monthly",Opportunities[[#This Row],[Recurrences]]/12)</f>
        <v>323581.33333333331</v>
      </c>
      <c r="AH29" s="51">
        <f ca="1">-(TODAY()-Opportunities[[#This Row],[Close]])</f>
        <v>443</v>
      </c>
      <c r="AI29" s="51">
        <f>_xlfn.XLOOKUP(Opportunities[[#This Row],[Stage]],stage[Stage Name],stage[Time To Close])</f>
        <v>270</v>
      </c>
      <c r="AJ29" s="51" t="b">
        <f ca="1">IF(Opportunities[[#This Row],[TargetDaysToClose]]=0,"",Opportunities[[#This Row],[TargetDaysToClose]]&lt;=Opportunities[[#This Row],[DaysToClose]])</f>
        <v>1</v>
      </c>
      <c r="AK29" s="51" t="str">
        <f>IF(Opportunities[[#This Row],[Close]]&lt;=Opportunities[[#This Row],[StartDate]],"✓","⚠")</f>
        <v>✓</v>
      </c>
      <c r="AL29" s="51" t="str">
        <f ca="1">IF(Opportunities[[#This Row],[Healthy]]=FALSE,ROUND(Opportunities[[#This Row],[DaysToClose]]/7,0)&amp; " weeks to close @ " &amp;Opportunities[[#This Row],[Stage]],"")</f>
        <v/>
      </c>
      <c r="AM29" s="51" t="str">
        <f>Opportunities[[#This Row],[OpportunityName]]&amp;" ("&amp;Opportunities[[#This Row],[Customer Name]]&amp;")"</f>
        <v>Website Redesign Project (ACME Corporation)</v>
      </c>
    </row>
    <row r="30" spans="1:39" x14ac:dyDescent="0.25">
      <c r="A30">
        <v>29</v>
      </c>
      <c r="B30" t="s">
        <v>177</v>
      </c>
      <c r="C30" t="s">
        <v>19</v>
      </c>
      <c r="D30" t="s">
        <v>21</v>
      </c>
      <c r="E30">
        <v>1805761</v>
      </c>
      <c r="F30" t="s">
        <v>82</v>
      </c>
      <c r="G30" s="31">
        <v>45614</v>
      </c>
      <c r="H30" s="31">
        <v>45908</v>
      </c>
      <c r="I30" t="s">
        <v>159</v>
      </c>
      <c r="J30">
        <v>10</v>
      </c>
      <c r="L30" t="s">
        <v>150</v>
      </c>
      <c r="M30" t="s">
        <v>803</v>
      </c>
      <c r="O30">
        <v>6</v>
      </c>
      <c r="P30" s="31">
        <v>46150</v>
      </c>
      <c r="Q30" t="str">
        <f>" FY"&amp;RIGHT(IF(MONTH(Opportunities[[#This Row],[Close]])&gt;=7,YEAR(Opportunities[[#This Row],[Close]])+1,YEAR(Opportunities[[#This Row],[Close]])),2)&amp;"-Q"&amp;IF(MONTH(Opportunities[[#This Row],[Close]])&gt;=7,CEILING((MONTH(Opportunities[[#This Row],[Close]])-6)/3,1),CEILING((MONTH(Opportunities[[#This Row],[Close]])+6)/3,1))</f>
        <v xml:space="preserve"> FY25-Q2</v>
      </c>
      <c r="R30" t="str">
        <f>"CY"&amp;RIGHT(YEAR(Opportunities[[#This Row],[Close]]),2)&amp;"-Q"&amp;ROUNDUP(MONTH(Opportunities[[#This Row],[Close]])/3, 0)</f>
        <v>CY24-Q4</v>
      </c>
      <c r="S30" t="str">
        <f>siteUrl&amp;"/Lists/"&amp;oppList&amp;"/DispForm.aspx?ID="&amp;Opportunities[[#This Row],[ID]]</f>
        <v>https://cleansheet5.sharepoint.com/sites/SalesFunnel//Lists/auto12Opportunities/DispForm.aspx?ID=29</v>
      </c>
      <c r="T30">
        <f>_xlfn.XLOOKUP(Opportunities[[#This Row],[Stage]],stage[Stage Name],stage[Index],"")</f>
        <v>5</v>
      </c>
      <c r="U30" t="str">
        <f>_xlfn.XLOOKUP(Opportunities[[#This Row],[StageNumber]],stage[Index],stage[Display])</f>
        <v>➄ - Project Execution</v>
      </c>
      <c r="V30">
        <f>Opportunities[[#This Row],[Amount]]*Opportunities[[#This Row],[WinProbabilityValue]]</f>
        <v>902880.5</v>
      </c>
      <c r="W30" t="str" cm="1">
        <f t="array" ref="W30">_xlfn.SWITCH(Opportunities[[#This Row],[Status]],"At Risk","⚠","Active","✓","⮾")</f>
        <v>✓</v>
      </c>
      <c r="X30" t="str">
        <f>_xlfn.XLOOKUP(Opportunities[[#This Row],[CustomerId]],Customers[Id],Customers[Customer Name])</f>
        <v>Education First</v>
      </c>
      <c r="Y30" t="str">
        <f>_xlfn.XLOOKUP(Opportunities[[#This Row],[CustomerId]],Customers[Id],Customers[CustomerRecordUrl])</f>
        <v>https://cleansheet5.sharepoint.com/sites/SalesFunnel//Lists/auto12Customers/DispForm.aspx?ID=10</v>
      </c>
      <c r="Z30">
        <f>_xlfn.XLOOKUP(Opportunities[[#This Row],[ID]],View[ID],View[Visible])</f>
        <v>1</v>
      </c>
      <c r="AA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(Social Media Management Tool)
 $1.8m • Project Execution • Owner: Maria Coordinator</v>
      </c>
      <c r="AB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FY25-Q4</v>
      </c>
      <c r="AD30" t="str" cm="1">
        <f t="array" ref="AD30">_xlfn.SWITCH(Opportunities[[#This Row],[Probability]],"High","↖","Medium","←","Low","↙")&amp;" " &amp;Opportunities[[#This Row],[Probability]]</f>
        <v>← Medium</v>
      </c>
      <c r="AE30" t="b">
        <f>Opportunities[[#This Row],[Probability]]="High"</f>
        <v>0</v>
      </c>
      <c r="AF30" s="51">
        <f>_xlfn.XLOOKUP(Opportunities[[#This Row],[Probability]],prob[Win Probability],prob[Value])</f>
        <v>0.5</v>
      </c>
      <c r="AG30" s="51" cm="1">
        <f t="array" ref="AG30">Opportunities[[#This Row],[Amount]]/_xlfn.SWITCH(Opportunities[[#This Row],[RecurringRevenueModel]],"Annually",Opportunities[[#This Row],[Recurrences]],"Semi-Annually",Opportunities[[#This Row],[Recurrences]]/2,"One-time",1,"Quarterly",Opportunities[[#This Row],[Recurrences]]/4,"Monthly",Opportunities[[#This Row],[Recurrences]]/12)</f>
        <v>300960.16666666669</v>
      </c>
      <c r="AH30" s="51">
        <f ca="1">-(TODAY()-Opportunities[[#This Row],[Close]])</f>
        <v>-268</v>
      </c>
      <c r="AI30" s="51">
        <f>_xlfn.XLOOKUP(Opportunities[[#This Row],[Stage]],stage[Stage Name],stage[Time To Close])</f>
        <v>0</v>
      </c>
      <c r="AJ30" s="51" t="str">
        <f>IF(Opportunities[[#This Row],[TargetDaysToClose]]=0,"",Opportunities[[#This Row],[TargetDaysToClose]]&lt;=Opportunities[[#This Row],[DaysToClose]])</f>
        <v/>
      </c>
      <c r="AK30" s="51" t="str">
        <f>IF(Opportunities[[#This Row],[Close]]&lt;=Opportunities[[#This Row],[StartDate]],"✓","⚠")</f>
        <v>✓</v>
      </c>
      <c r="AL30" s="51" t="str">
        <f>IF(Opportunities[[#This Row],[Healthy]]=FALSE,ROUND(Opportunities[[#This Row],[DaysToClose]]/7,0)&amp; " weeks to close @ " &amp;Opportunities[[#This Row],[Stage]],"")</f>
        <v/>
      </c>
      <c r="AM30" s="51" t="str">
        <f>Opportunities[[#This Row],[OpportunityName]]&amp;" ("&amp;Opportunities[[#This Row],[Customer Name]]&amp;")"</f>
        <v>Social Media Management Tool (Education First)</v>
      </c>
    </row>
    <row r="31" spans="1:39" x14ac:dyDescent="0.25">
      <c r="A31">
        <v>30</v>
      </c>
      <c r="B31" t="s">
        <v>178</v>
      </c>
      <c r="C31" t="s">
        <v>19</v>
      </c>
      <c r="D31" t="s">
        <v>23</v>
      </c>
      <c r="E31">
        <v>1172164</v>
      </c>
      <c r="F31" t="s">
        <v>82</v>
      </c>
      <c r="G31" s="31">
        <v>46233</v>
      </c>
      <c r="H31" s="31">
        <v>45917</v>
      </c>
      <c r="I31" t="s">
        <v>93</v>
      </c>
      <c r="J31">
        <v>1</v>
      </c>
      <c r="L31" t="s">
        <v>150</v>
      </c>
      <c r="M31" t="s">
        <v>803</v>
      </c>
      <c r="O31">
        <v>8</v>
      </c>
      <c r="P31" s="31">
        <v>46316</v>
      </c>
      <c r="Q31" t="str">
        <f>" FY"&amp;RIGHT(IF(MONTH(Opportunities[[#This Row],[Close]])&gt;=7,YEAR(Opportunities[[#This Row],[Close]])+1,YEAR(Opportunities[[#This Row],[Close]])),2)&amp;"-Q"&amp;IF(MONTH(Opportunities[[#This Row],[Close]])&gt;=7,CEILING((MONTH(Opportunities[[#This Row],[Close]])-6)/3,1),CEILING((MONTH(Opportunities[[#This Row],[Close]])+6)/3,1))</f>
        <v xml:space="preserve"> FY27-Q1</v>
      </c>
      <c r="R31" t="str">
        <f>"CY"&amp;RIGHT(YEAR(Opportunities[[#This Row],[Close]]),2)&amp;"-Q"&amp;ROUNDUP(MONTH(Opportunities[[#This Row],[Close]])/3, 0)</f>
        <v>CY26-Q3</v>
      </c>
      <c r="S31" t="str">
        <f>siteUrl&amp;"/Lists/"&amp;oppList&amp;"/DispForm.aspx?ID="&amp;Opportunities[[#This Row],[ID]]</f>
        <v>https://cleansheet5.sharepoint.com/sites/SalesFunnel//Lists/auto12Opportunities/DispForm.aspx?ID=30</v>
      </c>
      <c r="T31">
        <f>_xlfn.XLOOKUP(Opportunities[[#This Row],[Stage]],stage[Stage Name],stage[Index],"")</f>
        <v>2</v>
      </c>
      <c r="U31" t="str">
        <f>_xlfn.XLOOKUP(Opportunities[[#This Row],[StageNumber]],stage[Index],stage[Display])</f>
        <v>➁ - Nurturing</v>
      </c>
      <c r="V31">
        <f>Opportunities[[#This Row],[Amount]]*Opportunities[[#This Row],[WinProbabilityValue]]</f>
        <v>586082</v>
      </c>
      <c r="W31" t="str" cm="1">
        <f t="array" ref="W31">_xlfn.SWITCH(Opportunities[[#This Row],[Status]],"At Risk","⚠","Active","✓","⮾")</f>
        <v>✓</v>
      </c>
      <c r="X31" t="str">
        <f>_xlfn.XLOOKUP(Opportunities[[#This Row],[CustomerId]],Customers[Id],Customers[Customer Name])</f>
        <v>ACME Corporation</v>
      </c>
      <c r="Y31" t="str">
        <f>_xlfn.XLOOKUP(Opportunities[[#This Row],[CustomerId]],Customers[Id],Customers[CustomerRecordUrl])</f>
        <v>https://cleansheet5.sharepoint.com/sites/SalesFunnel//Lists/auto12Customers/DispForm.aspx?ID=1</v>
      </c>
      <c r="Z31">
        <f>_xlfn.XLOOKUP(Opportunities[[#This Row],[ID]],View[ID],View[Visible])</f>
        <v>1</v>
      </c>
      <c r="AA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$1.2m • Nurturing • Owner: Maria Coordinator</v>
      </c>
      <c r="AB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31" t="str" cm="1">
        <f t="array" ref="AD31">_xlfn.SWITCH(Opportunities[[#This Row],[Probability]],"High","↖","Medium","←","Low","↙")&amp;" " &amp;Opportunities[[#This Row],[Probability]]</f>
        <v>← Medium</v>
      </c>
      <c r="AE31" t="b">
        <f>Opportunities[[#This Row],[Probability]]="High"</f>
        <v>0</v>
      </c>
      <c r="AF31" s="51">
        <f>_xlfn.XLOOKUP(Opportunities[[#This Row],[Probability]],prob[Win Probability],prob[Value])</f>
        <v>0.5</v>
      </c>
      <c r="AG31" s="51" cm="1">
        <f t="array" ref="AG31">Opportunities[[#This Row],[Amount]]/_xlfn.SWITCH(Opportunities[[#This Row],[RecurringRevenueModel]],"Annually",Opportunities[[#This Row],[Recurrences]],"Semi-Annually",Opportunities[[#This Row],[Recurrences]]/2,"One-time",1,"Quarterly",Opportunities[[#This Row],[Recurrences]]/4,"Monthly",Opportunities[[#This Row],[Recurrences]]/12)</f>
        <v>146520.5</v>
      </c>
      <c r="AH31" s="51">
        <f ca="1">-(TODAY()-Opportunities[[#This Row],[Close]])</f>
        <v>351</v>
      </c>
      <c r="AI31" s="51">
        <f>_xlfn.XLOOKUP(Opportunities[[#This Row],[Stage]],stage[Stage Name],stage[Time To Close])</f>
        <v>180</v>
      </c>
      <c r="AJ31" s="51" t="b">
        <f ca="1">IF(Opportunities[[#This Row],[TargetDaysToClose]]=0,"",Opportunities[[#This Row],[TargetDaysToClose]]&lt;=Opportunities[[#This Row],[DaysToClose]])</f>
        <v>1</v>
      </c>
      <c r="AK31" s="51" t="str">
        <f>IF(Opportunities[[#This Row],[Close]]&lt;=Opportunities[[#This Row],[StartDate]],"✓","⚠")</f>
        <v>✓</v>
      </c>
      <c r="AL31" s="51" t="str">
        <f ca="1">IF(Opportunities[[#This Row],[Healthy]]=FALSE,ROUND(Opportunities[[#This Row],[DaysToClose]]/7,0)&amp; " weeks to close @ " &amp;Opportunities[[#This Row],[Stage]],"")</f>
        <v/>
      </c>
      <c r="AM31" s="51" t="str">
        <f>Opportunities[[#This Row],[OpportunityName]]&amp;" ("&amp;Opportunities[[#This Row],[Customer Name]]&amp;")"</f>
        <v>Customer Service Platform (ACME Corporation)</v>
      </c>
    </row>
    <row r="32" spans="1:39" x14ac:dyDescent="0.25">
      <c r="A32">
        <v>31</v>
      </c>
      <c r="B32" t="s">
        <v>179</v>
      </c>
      <c r="C32" t="s">
        <v>17</v>
      </c>
      <c r="D32" t="s">
        <v>18</v>
      </c>
      <c r="E32">
        <v>768865</v>
      </c>
      <c r="F32" t="s">
        <v>84</v>
      </c>
      <c r="G32" s="31">
        <v>46099</v>
      </c>
      <c r="H32" s="31">
        <v>45923</v>
      </c>
      <c r="I32" t="s">
        <v>99</v>
      </c>
      <c r="J32">
        <v>15</v>
      </c>
      <c r="L32" t="s">
        <v>393</v>
      </c>
      <c r="M32" t="s">
        <v>806</v>
      </c>
      <c r="O32">
        <v>8</v>
      </c>
      <c r="P32" s="31">
        <v>46164</v>
      </c>
      <c r="Q32" t="str">
        <f>" FY"&amp;RIGHT(IF(MONTH(Opportunities[[#This Row],[Close]])&gt;=7,YEAR(Opportunities[[#This Row],[Close]])+1,YEAR(Opportunities[[#This Row],[Close]])),2)&amp;"-Q"&amp;IF(MONTH(Opportunities[[#This Row],[Close]])&gt;=7,CEILING((MONTH(Opportunities[[#This Row],[Close]])-6)/3,1),CEILING((MONTH(Opportunities[[#This Row],[Close]])+6)/3,1))</f>
        <v xml:space="preserve"> FY26-Q3</v>
      </c>
      <c r="R32" t="str">
        <f>"CY"&amp;RIGHT(YEAR(Opportunities[[#This Row],[Close]]),2)&amp;"-Q"&amp;ROUNDUP(MONTH(Opportunities[[#This Row],[Close]])/3, 0)</f>
        <v>CY26-Q1</v>
      </c>
      <c r="S32" t="str">
        <f>siteUrl&amp;"/Lists/"&amp;oppList&amp;"/DispForm.aspx?ID="&amp;Opportunities[[#This Row],[ID]]</f>
        <v>https://cleansheet5.sharepoint.com/sites/SalesFunnel//Lists/auto12Opportunities/DispForm.aspx?ID=31</v>
      </c>
      <c r="T32">
        <f>_xlfn.XLOOKUP(Opportunities[[#This Row],[Stage]],stage[Stage Name],stage[Index],"")</f>
        <v>4</v>
      </c>
      <c r="U32" t="str">
        <f>_xlfn.XLOOKUP(Opportunities[[#This Row],[StageNumber]],stage[Index],stage[Display])</f>
        <v>➃ - Negotiation</v>
      </c>
      <c r="V32">
        <f>Opportunities[[#This Row],[Amount]]*Opportunities[[#This Row],[WinProbabilityValue]]</f>
        <v>153773</v>
      </c>
      <c r="W32" t="str" cm="1">
        <f t="array" ref="W32">_xlfn.SWITCH(Opportunities[[#This Row],[Status]],"At Risk","⚠","Active","✓","⮾")</f>
        <v>⚠</v>
      </c>
      <c r="X32" t="str">
        <f>_xlfn.XLOOKUP(Opportunities[[#This Row],[CustomerId]],Customers[Id],Customers[Customer Name])</f>
        <v>Pharmaceutical Research</v>
      </c>
      <c r="Y32" t="str">
        <f>_xlfn.XLOOKUP(Opportunities[[#This Row],[CustomerId]],Customers[Id],Customers[CustomerRecordUrl])</f>
        <v>https://cleansheet5.sharepoint.com/sites/SalesFunnel//Lists/auto12Customers/DispForm.aspx?ID=15</v>
      </c>
      <c r="Z32">
        <f>_xlfn.XLOOKUP(Opportunities[[#This Row],[ID]],View[ID],View[Visible])</f>
        <v>1</v>
      </c>
      <c r="AA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(Fleet Management System)
 $0.8m • Negotiation • Owner: Amanda Sales</v>
      </c>
      <c r="AB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32" t="str" cm="1">
        <f t="array" ref="AD32">_xlfn.SWITCH(Opportunities[[#This Row],[Probability]],"High","↖","Medium","←","Low","↙")&amp;" " &amp;Opportunities[[#This Row],[Probability]]</f>
        <v>↙ Low</v>
      </c>
      <c r="AE32" t="b">
        <f>Opportunities[[#This Row],[Probability]]="High"</f>
        <v>0</v>
      </c>
      <c r="AF32" s="51">
        <f>_xlfn.XLOOKUP(Opportunities[[#This Row],[Probability]],prob[Win Probability],prob[Value])</f>
        <v>0.2</v>
      </c>
      <c r="AG32" s="51" cm="1">
        <f t="array" ref="AG32">Opportunities[[#This Row],[Amount]]/_xlfn.SWITCH(Opportunities[[#This Row],[RecurringRevenueModel]],"Annually",Opportunities[[#This Row],[Recurrences]],"Semi-Annually",Opportunities[[#This Row],[Recurrences]]/2,"One-time",1,"Quarterly",Opportunities[[#This Row],[Recurrences]]/4,"Monthly",Opportunities[[#This Row],[Recurrences]]/12)</f>
        <v>192216.25</v>
      </c>
      <c r="AH32" s="51">
        <f ca="1">-(TODAY()-Opportunities[[#This Row],[Close]])</f>
        <v>217</v>
      </c>
      <c r="AI32" s="51">
        <f>_xlfn.XLOOKUP(Opportunities[[#This Row],[Stage]],stage[Stage Name],stage[Time To Close])</f>
        <v>7</v>
      </c>
      <c r="AJ32" s="51" t="b">
        <f ca="1">IF(Opportunities[[#This Row],[TargetDaysToClose]]=0,"",Opportunities[[#This Row],[TargetDaysToClose]]&lt;=Opportunities[[#This Row],[DaysToClose]])</f>
        <v>1</v>
      </c>
      <c r="AK32" s="51" t="str">
        <f>IF(Opportunities[[#This Row],[Close]]&lt;=Opportunities[[#This Row],[StartDate]],"✓","⚠")</f>
        <v>✓</v>
      </c>
      <c r="AL32" s="51" t="str">
        <f ca="1">IF(Opportunities[[#This Row],[Healthy]]=FALSE,ROUND(Opportunities[[#This Row],[DaysToClose]]/7,0)&amp; " weeks to close @ " &amp;Opportunities[[#This Row],[Stage]],"")</f>
        <v/>
      </c>
      <c r="AM32" s="51" t="str">
        <f>Opportunities[[#This Row],[OpportunityName]]&amp;" ("&amp;Opportunities[[#This Row],[Customer Name]]&amp;")"</f>
        <v>Fleet Management System (Pharmaceutical Research)</v>
      </c>
    </row>
    <row r="33" spans="1:39" x14ac:dyDescent="0.25">
      <c r="A33">
        <v>32</v>
      </c>
      <c r="B33" t="s">
        <v>180</v>
      </c>
      <c r="C33" t="s">
        <v>19</v>
      </c>
      <c r="D33" t="s">
        <v>22</v>
      </c>
      <c r="E33">
        <v>695461</v>
      </c>
      <c r="F33" t="s">
        <v>84</v>
      </c>
      <c r="G33" s="31">
        <v>45904</v>
      </c>
      <c r="H33" s="31">
        <v>45935</v>
      </c>
      <c r="I33" t="s">
        <v>99</v>
      </c>
      <c r="J33">
        <v>29</v>
      </c>
      <c r="L33" t="s">
        <v>145</v>
      </c>
      <c r="M33" t="s">
        <v>803</v>
      </c>
      <c r="O33">
        <v>7</v>
      </c>
      <c r="P33" s="31">
        <v>45953</v>
      </c>
      <c r="Q33" t="str">
        <f>" FY"&amp;RIGHT(IF(MONTH(Opportunities[[#This Row],[Close]])&gt;=7,YEAR(Opportunities[[#This Row],[Close]])+1,YEAR(Opportunities[[#This Row],[Close]])),2)&amp;"-Q"&amp;IF(MONTH(Opportunities[[#This Row],[Close]])&gt;=7,CEILING((MONTH(Opportunities[[#This Row],[Close]])-6)/3,1),CEILING((MONTH(Opportunities[[#This Row],[Close]])+6)/3,1))</f>
        <v xml:space="preserve"> FY26-Q1</v>
      </c>
      <c r="R33" t="str">
        <f>"CY"&amp;RIGHT(YEAR(Opportunities[[#This Row],[Close]]),2)&amp;"-Q"&amp;ROUNDUP(MONTH(Opportunities[[#This Row],[Close]])/3, 0)</f>
        <v>CY25-Q3</v>
      </c>
      <c r="S33" t="str">
        <f>siteUrl&amp;"/Lists/"&amp;oppList&amp;"/DispForm.aspx?ID="&amp;Opportunities[[#This Row],[ID]]</f>
        <v>https://cleansheet5.sharepoint.com/sites/SalesFunnel//Lists/auto12Opportunities/DispForm.aspx?ID=32</v>
      </c>
      <c r="T33">
        <f>_xlfn.XLOOKUP(Opportunities[[#This Row],[Stage]],stage[Stage Name],stage[Index],"")</f>
        <v>3</v>
      </c>
      <c r="U33" t="str">
        <f>_xlfn.XLOOKUP(Opportunities[[#This Row],[StageNumber]],stage[Index],stage[Display])</f>
        <v>➂ - Proposal</v>
      </c>
      <c r="V33">
        <f>Opportunities[[#This Row],[Amount]]*Opportunities[[#This Row],[WinProbabilityValue]]</f>
        <v>139092.20000000001</v>
      </c>
      <c r="W33" t="str" cm="1">
        <f t="array" ref="W33">_xlfn.SWITCH(Opportunities[[#This Row],[Status]],"At Risk","⚠","Active","✓","⮾")</f>
        <v>✓</v>
      </c>
      <c r="X33" t="str">
        <f>_xlfn.XLOOKUP(Opportunities[[#This Row],[CustomerId]],Customers[Id],Customers[Customer Name])</f>
        <v>Waste Management Co</v>
      </c>
      <c r="Y33" t="str">
        <f>_xlfn.XLOOKUP(Opportunities[[#This Row],[CustomerId]],Customers[Id],Customers[CustomerRecordUrl])</f>
        <v>https://cleansheet5.sharepoint.com/sites/SalesFunnel//Lists/auto12Customers/DispForm.aspx?ID=29</v>
      </c>
      <c r="Z33">
        <f>_xlfn.XLOOKUP(Opportunities[[#This Row],[ID]],View[ID],View[Visible])</f>
        <v>1</v>
      </c>
      <c r="AA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(Environmental Monitoring Solution)
 $0.7m • Proposal • Owner: Jennifer PM</v>
      </c>
      <c r="AB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33" t="str" cm="1">
        <f t="array" ref="AD33">_xlfn.SWITCH(Opportunities[[#This Row],[Probability]],"High","↖","Medium","←","Low","↙")&amp;" " &amp;Opportunities[[#This Row],[Probability]]</f>
        <v>↙ Low</v>
      </c>
      <c r="AE33" t="b">
        <f>Opportunities[[#This Row],[Probability]]="High"</f>
        <v>0</v>
      </c>
      <c r="AF33" s="51">
        <f>_xlfn.XLOOKUP(Opportunities[[#This Row],[Probability]],prob[Win Probability],prob[Value])</f>
        <v>0.2</v>
      </c>
      <c r="AG33" s="51" cm="1">
        <f t="array" ref="AG33">Opportunities[[#This Row],[Amount]]/_xlfn.SWITCH(Opportunities[[#This Row],[RecurringRevenueModel]],"Annually",Opportunities[[#This Row],[Recurrences]],"Semi-Annually",Opportunities[[#This Row],[Recurrences]]/2,"One-time",1,"Quarterly",Opportunities[[#This Row],[Recurrences]]/4,"Monthly",Opportunities[[#This Row],[Recurrences]]/12)</f>
        <v>99351.571428571435</v>
      </c>
      <c r="AH33" s="51">
        <f ca="1">-(TODAY()-Opportunities[[#This Row],[Close]])</f>
        <v>22</v>
      </c>
      <c r="AI33" s="51">
        <f>_xlfn.XLOOKUP(Opportunities[[#This Row],[Stage]],stage[Stage Name],stage[Time To Close])</f>
        <v>90</v>
      </c>
      <c r="AJ33" s="51" t="b">
        <f ca="1">IF(Opportunities[[#This Row],[TargetDaysToClose]]=0,"",Opportunities[[#This Row],[TargetDaysToClose]]&lt;=Opportunities[[#This Row],[DaysToClose]])</f>
        <v>0</v>
      </c>
      <c r="AK33" s="51" t="str">
        <f>IF(Opportunities[[#This Row],[Close]]&lt;=Opportunities[[#This Row],[StartDate]],"✓","⚠")</f>
        <v>✓</v>
      </c>
      <c r="AL33" s="51" t="str">
        <f ca="1">IF(Opportunities[[#This Row],[Healthy]]=FALSE,ROUND(Opportunities[[#This Row],[DaysToClose]]/7,0)&amp; " weeks to close @ " &amp;Opportunities[[#This Row],[Stage]],"")</f>
        <v>3 weeks to close @ Proposal</v>
      </c>
      <c r="AM33" s="51" t="str">
        <f>Opportunities[[#This Row],[OpportunityName]]&amp;" ("&amp;Opportunities[[#This Row],[Customer Name]]&amp;")"</f>
        <v>Environmental Monitoring Solution (Waste Management Co)</v>
      </c>
    </row>
    <row r="34" spans="1:39" x14ac:dyDescent="0.25">
      <c r="A34">
        <v>33</v>
      </c>
      <c r="B34" t="s">
        <v>181</v>
      </c>
      <c r="C34" t="s">
        <v>19</v>
      </c>
      <c r="D34" t="s">
        <v>22</v>
      </c>
      <c r="E34">
        <v>1958261</v>
      </c>
      <c r="F34" t="s">
        <v>82</v>
      </c>
      <c r="G34" s="31">
        <v>45954</v>
      </c>
      <c r="H34" s="31">
        <v>45888</v>
      </c>
      <c r="I34" t="s">
        <v>153</v>
      </c>
      <c r="J34">
        <v>3</v>
      </c>
      <c r="L34" t="s">
        <v>104</v>
      </c>
      <c r="M34" t="s">
        <v>803</v>
      </c>
      <c r="O34">
        <v>3</v>
      </c>
      <c r="P34" s="31">
        <v>46013</v>
      </c>
      <c r="Q34" t="str">
        <f>" FY"&amp;RIGHT(IF(MONTH(Opportunities[[#This Row],[Close]])&gt;=7,YEAR(Opportunities[[#This Row],[Close]])+1,YEAR(Opportunities[[#This Row],[Close]])),2)&amp;"-Q"&amp;IF(MONTH(Opportunities[[#This Row],[Close]])&gt;=7,CEILING((MONTH(Opportunities[[#This Row],[Close]])-6)/3,1),CEILING((MONTH(Opportunities[[#This Row],[Close]])+6)/3,1))</f>
        <v xml:space="preserve"> FY26-Q2</v>
      </c>
      <c r="R34" t="str">
        <f>"CY"&amp;RIGHT(YEAR(Opportunities[[#This Row],[Close]]),2)&amp;"-Q"&amp;ROUNDUP(MONTH(Opportunities[[#This Row],[Close]])/3, 0)</f>
        <v>CY25-Q4</v>
      </c>
      <c r="S34" t="str">
        <f>siteUrl&amp;"/Lists/"&amp;oppList&amp;"/DispForm.aspx?ID="&amp;Opportunities[[#This Row],[ID]]</f>
        <v>https://cleansheet5.sharepoint.com/sites/SalesFunnel//Lists/auto12Opportunities/DispForm.aspx?ID=33</v>
      </c>
      <c r="T34">
        <f>_xlfn.XLOOKUP(Opportunities[[#This Row],[Stage]],stage[Stage Name],stage[Index],"")</f>
        <v>3</v>
      </c>
      <c r="U34" t="str">
        <f>_xlfn.XLOOKUP(Opportunities[[#This Row],[StageNumber]],stage[Index],stage[Display])</f>
        <v>➂ - Proposal</v>
      </c>
      <c r="V34">
        <f>Opportunities[[#This Row],[Amount]]*Opportunities[[#This Row],[WinProbabilityValue]]</f>
        <v>979130.5</v>
      </c>
      <c r="W34" t="str" cm="1">
        <f t="array" ref="W34">_xlfn.SWITCH(Opportunities[[#This Row],[Status]],"At Risk","⚠","Active","✓","⮾")</f>
        <v>✓</v>
      </c>
      <c r="X34" t="str">
        <f>_xlfn.XLOOKUP(Opportunities[[#This Row],[CustomerId]],Customers[Id],Customers[Customer Name])</f>
        <v>Tech Solutions Inc</v>
      </c>
      <c r="Y34" t="str">
        <f>_xlfn.XLOOKUP(Opportunities[[#This Row],[CustomerId]],Customers[Id],Customers[CustomerRecordUrl])</f>
        <v>https://cleansheet5.sharepoint.com/sites/SalesFunnel//Lists/auto12Customers/DispForm.aspx?ID=3</v>
      </c>
      <c r="Z34">
        <f>_xlfn.XLOOKUP(Opportunities[[#This Row],[ID]],View[ID],View[Visible])</f>
        <v>1</v>
      </c>
      <c r="AA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(Safety Management System)
 $2.0m • Proposal • Owner: Dr. Tech Advisor</v>
      </c>
      <c r="AB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34" t="str" cm="1">
        <f t="array" ref="AD34">_xlfn.SWITCH(Opportunities[[#This Row],[Probability]],"High","↖","Medium","←","Low","↙")&amp;" " &amp;Opportunities[[#This Row],[Probability]]</f>
        <v>← Medium</v>
      </c>
      <c r="AE34" t="b">
        <f>Opportunities[[#This Row],[Probability]]="High"</f>
        <v>0</v>
      </c>
      <c r="AF34" s="51">
        <f>_xlfn.XLOOKUP(Opportunities[[#This Row],[Probability]],prob[Win Probability],prob[Value])</f>
        <v>0.5</v>
      </c>
      <c r="AG34" s="51" cm="1">
        <f t="array" ref="AG34">Opportunities[[#This Row],[Amount]]/_xlfn.SWITCH(Opportunities[[#This Row],[RecurringRevenueModel]],"Annually",Opportunities[[#This Row],[Recurrences]],"Semi-Annually",Opportunities[[#This Row],[Recurrences]]/2,"One-time",1,"Quarterly",Opportunities[[#This Row],[Recurrences]]/4,"Monthly",Opportunities[[#This Row],[Recurrences]]/12)</f>
        <v>652753.66666666663</v>
      </c>
      <c r="AH34" s="51">
        <f ca="1">-(TODAY()-Opportunities[[#This Row],[Close]])</f>
        <v>72</v>
      </c>
      <c r="AI34" s="51">
        <f>_xlfn.XLOOKUP(Opportunities[[#This Row],[Stage]],stage[Stage Name],stage[Time To Close])</f>
        <v>90</v>
      </c>
      <c r="AJ34" s="51" t="b">
        <f ca="1">IF(Opportunities[[#This Row],[TargetDaysToClose]]=0,"",Opportunities[[#This Row],[TargetDaysToClose]]&lt;=Opportunities[[#This Row],[DaysToClose]])</f>
        <v>0</v>
      </c>
      <c r="AK34" s="51" t="str">
        <f>IF(Opportunities[[#This Row],[Close]]&lt;=Opportunities[[#This Row],[StartDate]],"✓","⚠")</f>
        <v>✓</v>
      </c>
      <c r="AL34" s="51" t="str">
        <f ca="1">IF(Opportunities[[#This Row],[Healthy]]=FALSE,ROUND(Opportunities[[#This Row],[DaysToClose]]/7,0)&amp; " weeks to close @ " &amp;Opportunities[[#This Row],[Stage]],"")</f>
        <v>10 weeks to close @ Proposal</v>
      </c>
      <c r="AM34" s="51" t="str">
        <f>Opportunities[[#This Row],[OpportunityName]]&amp;" ("&amp;Opportunities[[#This Row],[Customer Name]]&amp;")"</f>
        <v>Safety Management System (Tech Solutions Inc)</v>
      </c>
    </row>
    <row r="35" spans="1:39" x14ac:dyDescent="0.25">
      <c r="A35">
        <v>34</v>
      </c>
      <c r="B35" t="s">
        <v>182</v>
      </c>
      <c r="C35" t="s">
        <v>19</v>
      </c>
      <c r="D35" t="s">
        <v>23</v>
      </c>
      <c r="E35">
        <v>800336</v>
      </c>
      <c r="F35" t="s">
        <v>83</v>
      </c>
      <c r="G35" s="31">
        <v>46192</v>
      </c>
      <c r="H35" s="31">
        <v>45923</v>
      </c>
      <c r="I35" t="s">
        <v>148</v>
      </c>
      <c r="J35">
        <v>25</v>
      </c>
      <c r="L35" t="s">
        <v>150</v>
      </c>
      <c r="M35" t="s">
        <v>805</v>
      </c>
      <c r="O35">
        <v>1</v>
      </c>
      <c r="P35" s="31">
        <v>46266</v>
      </c>
      <c r="Q35" t="str">
        <f>" FY"&amp;RIGHT(IF(MONTH(Opportunities[[#This Row],[Close]])&gt;=7,YEAR(Opportunities[[#This Row],[Close]])+1,YEAR(Opportunities[[#This Row],[Close]])),2)&amp;"-Q"&amp;IF(MONTH(Opportunities[[#This Row],[Close]])&gt;=7,CEILING((MONTH(Opportunities[[#This Row],[Close]])-6)/3,1),CEILING((MONTH(Opportunities[[#This Row],[Close]])+6)/3,1))</f>
        <v xml:space="preserve"> FY26-Q4</v>
      </c>
      <c r="R35" t="str">
        <f>"CY"&amp;RIGHT(YEAR(Opportunities[[#This Row],[Close]]),2)&amp;"-Q"&amp;ROUNDUP(MONTH(Opportunities[[#This Row],[Close]])/3, 0)</f>
        <v>CY26-Q2</v>
      </c>
      <c r="S35" t="str">
        <f>siteUrl&amp;"/Lists/"&amp;oppList&amp;"/DispForm.aspx?ID="&amp;Opportunities[[#This Row],[ID]]</f>
        <v>https://cleansheet5.sharepoint.com/sites/SalesFunnel//Lists/auto12Opportunities/DispForm.aspx?ID=34</v>
      </c>
      <c r="T35">
        <f>_xlfn.XLOOKUP(Opportunities[[#This Row],[Stage]],stage[Stage Name],stage[Index],"")</f>
        <v>2</v>
      </c>
      <c r="U35" t="str">
        <f>_xlfn.XLOOKUP(Opportunities[[#This Row],[StageNumber]],stage[Index],stage[Display])</f>
        <v>➁ - Nurturing</v>
      </c>
      <c r="V35">
        <f>Opportunities[[#This Row],[Amount]]*Opportunities[[#This Row],[WinProbabilityValue]]</f>
        <v>720302.4</v>
      </c>
      <c r="W35" t="str" cm="1">
        <f t="array" ref="W35">_xlfn.SWITCH(Opportunities[[#This Row],[Status]],"At Risk","⚠","Active","✓","⮾")</f>
        <v>✓</v>
      </c>
      <c r="X35" t="str">
        <f>_xlfn.XLOOKUP(Opportunities[[#This Row],[CustomerId]],Customers[Id],Customers[Customer Name])</f>
        <v>Chemical Processing</v>
      </c>
      <c r="Y35" t="str">
        <f>_xlfn.XLOOKUP(Opportunities[[#This Row],[CustomerId]],Customers[Id],Customers[CustomerRecordUrl])</f>
        <v>https://cleansheet5.sharepoint.com/sites/SalesFunnel//Lists/auto12Customers/DispForm.aspx?ID=25</v>
      </c>
      <c r="Z35">
        <f>_xlfn.XLOOKUP(Opportunities[[#This Row],[ID]],View[ID],View[Visible])</f>
        <v>1</v>
      </c>
      <c r="AA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(Performance Analytics Dashboard)
 $0.8m • Nurturing • Owner: Maria Coordinator</v>
      </c>
      <c r="AB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35" t="str" cm="1">
        <f t="array" ref="AD35">_xlfn.SWITCH(Opportunities[[#This Row],[Probability]],"High","↖","Medium","←","Low","↙")&amp;" " &amp;Opportunities[[#This Row],[Probability]]</f>
        <v>↖ High</v>
      </c>
      <c r="AE35" t="b">
        <f>Opportunities[[#This Row],[Probability]]="High"</f>
        <v>1</v>
      </c>
      <c r="AF35" s="51">
        <f>_xlfn.XLOOKUP(Opportunities[[#This Row],[Probability]],prob[Win Probability],prob[Value])</f>
        <v>0.9</v>
      </c>
      <c r="AG35" s="51" cm="1">
        <f t="array" ref="AG35">Opportunities[[#This Row],[Amount]]/_xlfn.SWITCH(Opportunities[[#This Row],[RecurringRevenueModel]],"Annually",Opportunities[[#This Row],[Recurrences]],"Semi-Annually",Opportunities[[#This Row],[Recurrences]]/2,"One-time",1,"Quarterly",Opportunities[[#This Row],[Recurrences]]/4,"Monthly",Opportunities[[#This Row],[Recurrences]]/12)</f>
        <v>800336</v>
      </c>
      <c r="AH35" s="51">
        <f ca="1">-(TODAY()-Opportunities[[#This Row],[Close]])</f>
        <v>310</v>
      </c>
      <c r="AI35" s="51">
        <f>_xlfn.XLOOKUP(Opportunities[[#This Row],[Stage]],stage[Stage Name],stage[Time To Close])</f>
        <v>180</v>
      </c>
      <c r="AJ35" s="51" t="b">
        <f ca="1">IF(Opportunities[[#This Row],[TargetDaysToClose]]=0,"",Opportunities[[#This Row],[TargetDaysToClose]]&lt;=Opportunities[[#This Row],[DaysToClose]])</f>
        <v>1</v>
      </c>
      <c r="AK35" s="51" t="str">
        <f>IF(Opportunities[[#This Row],[Close]]&lt;=Opportunities[[#This Row],[StartDate]],"✓","⚠")</f>
        <v>✓</v>
      </c>
      <c r="AL35" s="51" t="str">
        <f ca="1">IF(Opportunities[[#This Row],[Healthy]]=FALSE,ROUND(Opportunities[[#This Row],[DaysToClose]]/7,0)&amp; " weeks to close @ " &amp;Opportunities[[#This Row],[Stage]],"")</f>
        <v/>
      </c>
      <c r="AM35" s="51" t="str">
        <f>Opportunities[[#This Row],[OpportunityName]]&amp;" ("&amp;Opportunities[[#This Row],[Customer Name]]&amp;")"</f>
        <v>Performance Analytics Dashboard (Chemical Processing)</v>
      </c>
    </row>
    <row r="36" spans="1:39" x14ac:dyDescent="0.25">
      <c r="A36">
        <v>35</v>
      </c>
      <c r="B36" t="s">
        <v>183</v>
      </c>
      <c r="C36" t="s">
        <v>19</v>
      </c>
      <c r="D36" t="s">
        <v>23</v>
      </c>
      <c r="E36">
        <v>1834664</v>
      </c>
      <c r="F36" t="s">
        <v>84</v>
      </c>
      <c r="G36" s="31">
        <v>46392</v>
      </c>
      <c r="H36" s="31">
        <v>45896</v>
      </c>
      <c r="I36" t="s">
        <v>102</v>
      </c>
      <c r="J36">
        <v>9</v>
      </c>
      <c r="L36" t="s">
        <v>393</v>
      </c>
      <c r="M36" t="s">
        <v>805</v>
      </c>
      <c r="O36">
        <v>1</v>
      </c>
      <c r="P36" s="31">
        <v>46412</v>
      </c>
      <c r="Q36" t="str">
        <f>" FY"&amp;RIGHT(IF(MONTH(Opportunities[[#This Row],[Close]])&gt;=7,YEAR(Opportunities[[#This Row],[Close]])+1,YEAR(Opportunities[[#This Row],[Close]])),2)&amp;"-Q"&amp;IF(MONTH(Opportunities[[#This Row],[Close]])&gt;=7,CEILING((MONTH(Opportunities[[#This Row],[Close]])-6)/3,1),CEILING((MONTH(Opportunities[[#This Row],[Close]])+6)/3,1))</f>
        <v xml:space="preserve"> FY27-Q3</v>
      </c>
      <c r="R36" t="str">
        <f>"CY"&amp;RIGHT(YEAR(Opportunities[[#This Row],[Close]]),2)&amp;"-Q"&amp;ROUNDUP(MONTH(Opportunities[[#This Row],[Close]])/3, 0)</f>
        <v>CY27-Q1</v>
      </c>
      <c r="S36" t="str">
        <f>siteUrl&amp;"/Lists/"&amp;oppList&amp;"/DispForm.aspx?ID="&amp;Opportunities[[#This Row],[ID]]</f>
        <v>https://cleansheet5.sharepoint.com/sites/SalesFunnel//Lists/auto12Opportunities/DispForm.aspx?ID=35</v>
      </c>
      <c r="T36">
        <f>_xlfn.XLOOKUP(Opportunities[[#This Row],[Stage]],stage[Stage Name],stage[Index],"")</f>
        <v>2</v>
      </c>
      <c r="U36" t="str">
        <f>_xlfn.XLOOKUP(Opportunities[[#This Row],[StageNumber]],stage[Index],stage[Display])</f>
        <v>➁ - Nurturing</v>
      </c>
      <c r="V36">
        <f>Opportunities[[#This Row],[Amount]]*Opportunities[[#This Row],[WinProbabilityValue]]</f>
        <v>366932.80000000005</v>
      </c>
      <c r="W36" t="str" cm="1">
        <f t="array" ref="W36">_xlfn.SWITCH(Opportunities[[#This Row],[Status]],"At Risk","⚠","Active","✓","⮾")</f>
        <v>✓</v>
      </c>
      <c r="X36" t="str">
        <f>_xlfn.XLOOKUP(Opportunities[[#This Row],[CustomerId]],Customers[Id],Customers[Customer Name])</f>
        <v>Construction Dynamics</v>
      </c>
      <c r="Y36" t="str">
        <f>_xlfn.XLOOKUP(Opportunities[[#This Row],[CustomerId]],Customers[Id],Customers[CustomerRecordUrl])</f>
        <v>https://cleansheet5.sharepoint.com/sites/SalesFunnel//Lists/auto12Customers/DispForm.aspx?ID=9</v>
      </c>
      <c r="Z36">
        <f>_xlfn.XLOOKUP(Opportunities[[#This Row],[ID]],View[ID],View[Visible])</f>
        <v>1</v>
      </c>
      <c r="AA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(Workflow Automation Tool)
 $1.8m • Nurturing • Owner: Amanda Sales</v>
      </c>
      <c r="AB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36" t="str" cm="1">
        <f t="array" ref="AD36">_xlfn.SWITCH(Opportunities[[#This Row],[Probability]],"High","↖","Medium","←","Low","↙")&amp;" " &amp;Opportunities[[#This Row],[Probability]]</f>
        <v>↙ Low</v>
      </c>
      <c r="AE36" t="b">
        <f>Opportunities[[#This Row],[Probability]]="High"</f>
        <v>0</v>
      </c>
      <c r="AF36" s="51">
        <f>_xlfn.XLOOKUP(Opportunities[[#This Row],[Probability]],prob[Win Probability],prob[Value])</f>
        <v>0.2</v>
      </c>
      <c r="AG36" s="51" cm="1">
        <f t="array" ref="AG36">Opportunities[[#This Row],[Amount]]/_xlfn.SWITCH(Opportunities[[#This Row],[RecurringRevenueModel]],"Annually",Opportunities[[#This Row],[Recurrences]],"Semi-Annually",Opportunities[[#This Row],[Recurrences]]/2,"One-time",1,"Quarterly",Opportunities[[#This Row],[Recurrences]]/4,"Monthly",Opportunities[[#This Row],[Recurrences]]/12)</f>
        <v>1834664</v>
      </c>
      <c r="AH36" s="51">
        <f ca="1">-(TODAY()-Opportunities[[#This Row],[Close]])</f>
        <v>510</v>
      </c>
      <c r="AI36" s="51">
        <f>_xlfn.XLOOKUP(Opportunities[[#This Row],[Stage]],stage[Stage Name],stage[Time To Close])</f>
        <v>180</v>
      </c>
      <c r="AJ36" s="51" t="b">
        <f ca="1">IF(Opportunities[[#This Row],[TargetDaysToClose]]=0,"",Opportunities[[#This Row],[TargetDaysToClose]]&lt;=Opportunities[[#This Row],[DaysToClose]])</f>
        <v>1</v>
      </c>
      <c r="AK36" s="51" t="str">
        <f>IF(Opportunities[[#This Row],[Close]]&lt;=Opportunities[[#This Row],[StartDate]],"✓","⚠")</f>
        <v>✓</v>
      </c>
      <c r="AL36" s="51" t="str">
        <f ca="1">IF(Opportunities[[#This Row],[Healthy]]=FALSE,ROUND(Opportunities[[#This Row],[DaysToClose]]/7,0)&amp; " weeks to close @ " &amp;Opportunities[[#This Row],[Stage]],"")</f>
        <v/>
      </c>
      <c r="AM36" s="51" t="str">
        <f>Opportunities[[#This Row],[OpportunityName]]&amp;" ("&amp;Opportunities[[#This Row],[Customer Name]]&amp;")"</f>
        <v>Workflow Automation Tool (Construction Dynamics)</v>
      </c>
    </row>
    <row r="37" spans="1:39" x14ac:dyDescent="0.25">
      <c r="A37">
        <v>36</v>
      </c>
      <c r="B37" t="s">
        <v>184</v>
      </c>
      <c r="C37" t="s">
        <v>19</v>
      </c>
      <c r="D37" t="s">
        <v>20</v>
      </c>
      <c r="E37">
        <v>1199227</v>
      </c>
      <c r="F37" t="s">
        <v>82</v>
      </c>
      <c r="G37" s="31">
        <v>46367</v>
      </c>
      <c r="H37" s="31">
        <v>45929</v>
      </c>
      <c r="I37" t="s">
        <v>159</v>
      </c>
      <c r="J37">
        <v>1</v>
      </c>
      <c r="L37" t="s">
        <v>393</v>
      </c>
      <c r="M37" t="s">
        <v>804</v>
      </c>
      <c r="O37">
        <v>24</v>
      </c>
      <c r="P37" s="31">
        <v>46452</v>
      </c>
      <c r="Q37" t="str">
        <f>" FY"&amp;RIGHT(IF(MONTH(Opportunities[[#This Row],[Close]])&gt;=7,YEAR(Opportunities[[#This Row],[Close]])+1,YEAR(Opportunities[[#This Row],[Close]])),2)&amp;"-Q"&amp;IF(MONTH(Opportunities[[#This Row],[Close]])&gt;=7,CEILING((MONTH(Opportunities[[#This Row],[Close]])-6)/3,1),CEILING((MONTH(Opportunities[[#This Row],[Close]])+6)/3,1))</f>
        <v xml:space="preserve"> FY27-Q2</v>
      </c>
      <c r="R37" t="str">
        <f>"CY"&amp;RIGHT(YEAR(Opportunities[[#This Row],[Close]]),2)&amp;"-Q"&amp;ROUNDUP(MONTH(Opportunities[[#This Row],[Close]])/3, 0)</f>
        <v>CY26-Q4</v>
      </c>
      <c r="S37" t="str">
        <f>siteUrl&amp;"/Lists/"&amp;oppList&amp;"/DispForm.aspx?ID="&amp;Opportunities[[#This Row],[ID]]</f>
        <v>https://cleansheet5.sharepoint.com/sites/SalesFunnel//Lists/auto12Opportunities/DispForm.aspx?ID=36</v>
      </c>
      <c r="T37">
        <f>_xlfn.XLOOKUP(Opportunities[[#This Row],[Stage]],stage[Stage Name],stage[Index],"")</f>
        <v>1</v>
      </c>
      <c r="U37" t="str">
        <f>_xlfn.XLOOKUP(Opportunities[[#This Row],[StageNumber]],stage[Index],stage[Display])</f>
        <v>➀ - Lead Qualification</v>
      </c>
      <c r="V37">
        <f>Opportunities[[#This Row],[Amount]]*Opportunities[[#This Row],[WinProbabilityValue]]</f>
        <v>599613.5</v>
      </c>
      <c r="W37" t="str" cm="1">
        <f t="array" ref="W37">_xlfn.SWITCH(Opportunities[[#This Row],[Status]],"At Risk","⚠","Active","✓","⮾")</f>
        <v>✓</v>
      </c>
      <c r="X37" t="str">
        <f>_xlfn.XLOOKUP(Opportunities[[#This Row],[CustomerId]],Customers[Id],Customers[Customer Name])</f>
        <v>ACME Corporation</v>
      </c>
      <c r="Y37" t="str">
        <f>_xlfn.XLOOKUP(Opportunities[[#This Row],[CustomerId]],Customers[Id],Customers[CustomerRecordUrl])</f>
        <v>https://cleansheet5.sharepoint.com/sites/SalesFunnel//Lists/auto12Customers/DispForm.aspx?ID=1</v>
      </c>
      <c r="Z37">
        <f>_xlfn.XLOOKUP(Opportunities[[#This Row],[ID]],View[ID],View[Visible])</f>
        <v>1</v>
      </c>
      <c r="AA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(Integration Services Project)
 $1.2m • Lead Qualification • Owner: Amanda Sales</v>
      </c>
      <c r="AB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37" t="str" cm="1">
        <f t="array" ref="AD37">_xlfn.SWITCH(Opportunities[[#This Row],[Probability]],"High","↖","Medium","←","Low","↙")&amp;" " &amp;Opportunities[[#This Row],[Probability]]</f>
        <v>← Medium</v>
      </c>
      <c r="AE37" t="b">
        <f>Opportunities[[#This Row],[Probability]]="High"</f>
        <v>0</v>
      </c>
      <c r="AF37" s="51">
        <f>_xlfn.XLOOKUP(Opportunities[[#This Row],[Probability]],prob[Win Probability],prob[Value])</f>
        <v>0.5</v>
      </c>
      <c r="AG37" s="51" cm="1">
        <f t="array" ref="AG37">Opportunities[[#This Row],[Amount]]/_xlfn.SWITCH(Opportunities[[#This Row],[RecurringRevenueModel]],"Annually",Opportunities[[#This Row],[Recurrences]],"Semi-Annually",Opportunities[[#This Row],[Recurrences]]/2,"One-time",1,"Quarterly",Opportunities[[#This Row],[Recurrences]]/4,"Monthly",Opportunities[[#This Row],[Recurrences]]/12)</f>
        <v>599613.5</v>
      </c>
      <c r="AH37" s="51">
        <f ca="1">-(TODAY()-Opportunities[[#This Row],[Close]])</f>
        <v>485</v>
      </c>
      <c r="AI37" s="51">
        <f>_xlfn.XLOOKUP(Opportunities[[#This Row],[Stage]],stage[Stage Name],stage[Time To Close])</f>
        <v>270</v>
      </c>
      <c r="AJ37" s="51" t="b">
        <f ca="1">IF(Opportunities[[#This Row],[TargetDaysToClose]]=0,"",Opportunities[[#This Row],[TargetDaysToClose]]&lt;=Opportunities[[#This Row],[DaysToClose]])</f>
        <v>1</v>
      </c>
      <c r="AK37" s="51" t="str">
        <f>IF(Opportunities[[#This Row],[Close]]&lt;=Opportunities[[#This Row],[StartDate]],"✓","⚠")</f>
        <v>✓</v>
      </c>
      <c r="AL37" s="51" t="str">
        <f ca="1">IF(Opportunities[[#This Row],[Healthy]]=FALSE,ROUND(Opportunities[[#This Row],[DaysToClose]]/7,0)&amp; " weeks to close @ " &amp;Opportunities[[#This Row],[Stage]],"")</f>
        <v/>
      </c>
      <c r="AM37" s="51" t="str">
        <f>Opportunities[[#This Row],[OpportunityName]]&amp;" ("&amp;Opportunities[[#This Row],[Customer Name]]&amp;")"</f>
        <v>Integration Services Project (ACME Corporation)</v>
      </c>
    </row>
    <row r="38" spans="1:39" x14ac:dyDescent="0.25">
      <c r="A38">
        <v>37</v>
      </c>
      <c r="B38" t="s">
        <v>185</v>
      </c>
      <c r="C38" t="s">
        <v>19</v>
      </c>
      <c r="D38" t="s">
        <v>23</v>
      </c>
      <c r="E38">
        <v>1236123</v>
      </c>
      <c r="F38" t="s">
        <v>82</v>
      </c>
      <c r="G38" s="31">
        <v>45972</v>
      </c>
      <c r="H38" s="31">
        <v>45891</v>
      </c>
      <c r="I38" t="s">
        <v>148</v>
      </c>
      <c r="J38">
        <v>20</v>
      </c>
      <c r="L38" t="s">
        <v>101</v>
      </c>
      <c r="M38" t="s">
        <v>806</v>
      </c>
      <c r="O38">
        <v>6</v>
      </c>
      <c r="P38" s="31">
        <v>45979</v>
      </c>
      <c r="Q38" t="str">
        <f>" FY"&amp;RIGHT(IF(MONTH(Opportunities[[#This Row],[Close]])&gt;=7,YEAR(Opportunities[[#This Row],[Close]])+1,YEAR(Opportunities[[#This Row],[Close]])),2)&amp;"-Q"&amp;IF(MONTH(Opportunities[[#This Row],[Close]])&gt;=7,CEILING((MONTH(Opportunities[[#This Row],[Close]])-6)/3,1),CEILING((MONTH(Opportunities[[#This Row],[Close]])+6)/3,1))</f>
        <v xml:space="preserve"> FY26-Q2</v>
      </c>
      <c r="R38" t="str">
        <f>"CY"&amp;RIGHT(YEAR(Opportunities[[#This Row],[Close]]),2)&amp;"-Q"&amp;ROUNDUP(MONTH(Opportunities[[#This Row],[Close]])/3, 0)</f>
        <v>CY25-Q4</v>
      </c>
      <c r="S38" t="str">
        <f>siteUrl&amp;"/Lists/"&amp;oppList&amp;"/DispForm.aspx?ID="&amp;Opportunities[[#This Row],[ID]]</f>
        <v>https://cleansheet5.sharepoint.com/sites/SalesFunnel//Lists/auto12Opportunities/DispForm.aspx?ID=37</v>
      </c>
      <c r="T38">
        <f>_xlfn.XLOOKUP(Opportunities[[#This Row],[Stage]],stage[Stage Name],stage[Index],"")</f>
        <v>2</v>
      </c>
      <c r="U38" t="str">
        <f>_xlfn.XLOOKUP(Opportunities[[#This Row],[StageNumber]],stage[Index],stage[Display])</f>
        <v>➁ - Nurturing</v>
      </c>
      <c r="V38">
        <f>Opportunities[[#This Row],[Amount]]*Opportunities[[#This Row],[WinProbabilityValue]]</f>
        <v>618061.5</v>
      </c>
      <c r="W38" t="str" cm="1">
        <f t="array" ref="W38">_xlfn.SWITCH(Opportunities[[#This Row],[Status]],"At Risk","⚠","Active","✓","⮾")</f>
        <v>✓</v>
      </c>
      <c r="X38" t="str">
        <f>_xlfn.XLOOKUP(Opportunities[[#This Row],[CustomerId]],Customers[Id],Customers[Customer Name])</f>
        <v>Automotive Parts Plus</v>
      </c>
      <c r="Y38" t="str">
        <f>_xlfn.XLOOKUP(Opportunities[[#This Row],[CustomerId]],Customers[Id],Customers[CustomerRecordUrl])</f>
        <v>https://cleansheet5.sharepoint.com/sites/SalesFunnel//Lists/auto12Customers/DispForm.aspx?ID=20</v>
      </c>
      <c r="Z38">
        <f>_xlfn.XLOOKUP(Opportunities[[#This Row],[ID]],View[ID],View[Visible])</f>
        <v>1</v>
      </c>
      <c r="AA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(Database Migration Project)
 $1.2m • Nurturing • Owner: Lisa Engineer</v>
      </c>
      <c r="AB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D38" t="str" cm="1">
        <f t="array" ref="AD38">_xlfn.SWITCH(Opportunities[[#This Row],[Probability]],"High","↖","Medium","←","Low","↙")&amp;" " &amp;Opportunities[[#This Row],[Probability]]</f>
        <v>← Medium</v>
      </c>
      <c r="AE38" t="b">
        <f>Opportunities[[#This Row],[Probability]]="High"</f>
        <v>0</v>
      </c>
      <c r="AF38" s="51">
        <f>_xlfn.XLOOKUP(Opportunities[[#This Row],[Probability]],prob[Win Probability],prob[Value])</f>
        <v>0.5</v>
      </c>
      <c r="AG38" s="51" cm="1">
        <f t="array" ref="AG38">Opportunities[[#This Row],[Amount]]/_xlfn.SWITCH(Opportunities[[#This Row],[RecurringRevenueModel]],"Annually",Opportunities[[#This Row],[Recurrences]],"Semi-Annually",Opportunities[[#This Row],[Recurrences]]/2,"One-time",1,"Quarterly",Opportunities[[#This Row],[Recurrences]]/4,"Monthly",Opportunities[[#This Row],[Recurrences]]/12)</f>
        <v>412041</v>
      </c>
      <c r="AH38" s="51">
        <f ca="1">-(TODAY()-Opportunities[[#This Row],[Close]])</f>
        <v>90</v>
      </c>
      <c r="AI38" s="51">
        <f>_xlfn.XLOOKUP(Opportunities[[#This Row],[Stage]],stage[Stage Name],stage[Time To Close])</f>
        <v>180</v>
      </c>
      <c r="AJ38" s="51" t="b">
        <f ca="1">IF(Opportunities[[#This Row],[TargetDaysToClose]]=0,"",Opportunities[[#This Row],[TargetDaysToClose]]&lt;=Opportunities[[#This Row],[DaysToClose]])</f>
        <v>0</v>
      </c>
      <c r="AK38" s="51" t="str">
        <f>IF(Opportunities[[#This Row],[Close]]&lt;=Opportunities[[#This Row],[StartDate]],"✓","⚠")</f>
        <v>✓</v>
      </c>
      <c r="AL38" s="51" t="str">
        <f ca="1">IF(Opportunities[[#This Row],[Healthy]]=FALSE,ROUND(Opportunities[[#This Row],[DaysToClose]]/7,0)&amp; " weeks to close @ " &amp;Opportunities[[#This Row],[Stage]],"")</f>
        <v>13 weeks to close @ Nurturing</v>
      </c>
      <c r="AM38" s="51" t="str">
        <f>Opportunities[[#This Row],[OpportunityName]]&amp;" ("&amp;Opportunities[[#This Row],[Customer Name]]&amp;")"</f>
        <v>Database Migration Project (Automotive Parts Plus)</v>
      </c>
    </row>
    <row r="39" spans="1:39" x14ac:dyDescent="0.25">
      <c r="A39">
        <v>38</v>
      </c>
      <c r="B39" t="s">
        <v>186</v>
      </c>
      <c r="C39" t="s">
        <v>19</v>
      </c>
      <c r="D39" t="s">
        <v>22</v>
      </c>
      <c r="E39">
        <v>914805</v>
      </c>
      <c r="F39" t="s">
        <v>82</v>
      </c>
      <c r="G39" s="31">
        <v>46339</v>
      </c>
      <c r="H39" s="31">
        <v>45934</v>
      </c>
      <c r="I39" t="s">
        <v>102</v>
      </c>
      <c r="J39">
        <v>21</v>
      </c>
      <c r="L39" t="s">
        <v>101</v>
      </c>
      <c r="M39" t="s">
        <v>806</v>
      </c>
      <c r="O39">
        <v>9</v>
      </c>
      <c r="P39" s="31">
        <v>46386</v>
      </c>
      <c r="Q39" t="str">
        <f>" FY"&amp;RIGHT(IF(MONTH(Opportunities[[#This Row],[Close]])&gt;=7,YEAR(Opportunities[[#This Row],[Close]])+1,YEAR(Opportunities[[#This Row],[Close]])),2)&amp;"-Q"&amp;IF(MONTH(Opportunities[[#This Row],[Close]])&gt;=7,CEILING((MONTH(Opportunities[[#This Row],[Close]])-6)/3,1),CEILING((MONTH(Opportunities[[#This Row],[Close]])+6)/3,1))</f>
        <v xml:space="preserve"> FY27-Q2</v>
      </c>
      <c r="R39" t="str">
        <f>"CY"&amp;RIGHT(YEAR(Opportunities[[#This Row],[Close]]),2)&amp;"-Q"&amp;ROUNDUP(MONTH(Opportunities[[#This Row],[Close]])/3, 0)</f>
        <v>CY26-Q4</v>
      </c>
      <c r="S39" t="str">
        <f>siteUrl&amp;"/Lists/"&amp;oppList&amp;"/DispForm.aspx?ID="&amp;Opportunities[[#This Row],[ID]]</f>
        <v>https://cleansheet5.sharepoint.com/sites/SalesFunnel//Lists/auto12Opportunities/DispForm.aspx?ID=38</v>
      </c>
      <c r="T39">
        <f>_xlfn.XLOOKUP(Opportunities[[#This Row],[Stage]],stage[Stage Name],stage[Index],"")</f>
        <v>3</v>
      </c>
      <c r="U39" t="str">
        <f>_xlfn.XLOOKUP(Opportunities[[#This Row],[StageNumber]],stage[Index],stage[Display])</f>
        <v>➂ - Proposal</v>
      </c>
      <c r="V39">
        <f>Opportunities[[#This Row],[Amount]]*Opportunities[[#This Row],[WinProbabilityValue]]</f>
        <v>457402.5</v>
      </c>
      <c r="W39" t="str" cm="1">
        <f t="array" ref="W39">_xlfn.SWITCH(Opportunities[[#This Row],[Status]],"At Risk","⚠","Active","✓","⮾")</f>
        <v>✓</v>
      </c>
      <c r="X39" t="str">
        <f>_xlfn.XLOOKUP(Opportunities[[#This Row],[CustomerId]],Customers[Id],Customers[Customer Name])</f>
        <v>Textile Manufacturing</v>
      </c>
      <c r="Y39" t="str">
        <f>_xlfn.XLOOKUP(Opportunities[[#This Row],[CustomerId]],Customers[Id],Customers[CustomerRecordUrl])</f>
        <v>https://cleansheet5.sharepoint.com/sites/SalesFunnel//Lists/auto12Customers/DispForm.aspx?ID=21</v>
      </c>
      <c r="Z39">
        <f>_xlfn.XLOOKUP(Opportunities[[#This Row],[ID]],View[ID],View[Visible])</f>
        <v>1</v>
      </c>
      <c r="AA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(Legacy System Modernization)
 $0.9m • Proposal • Owner: Lisa Engineer</v>
      </c>
      <c r="AB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39" t="str" cm="1">
        <f t="array" ref="AD39">_xlfn.SWITCH(Opportunities[[#This Row],[Probability]],"High","↖","Medium","←","Low","↙")&amp;" " &amp;Opportunities[[#This Row],[Probability]]</f>
        <v>← Medium</v>
      </c>
      <c r="AE39" t="b">
        <f>Opportunities[[#This Row],[Probability]]="High"</f>
        <v>0</v>
      </c>
      <c r="AF39" s="51">
        <f>_xlfn.XLOOKUP(Opportunities[[#This Row],[Probability]],prob[Win Probability],prob[Value])</f>
        <v>0.5</v>
      </c>
      <c r="AG39" s="51" cm="1">
        <f t="array" ref="AG39">Opportunities[[#This Row],[Amount]]/_xlfn.SWITCH(Opportunities[[#This Row],[RecurringRevenueModel]],"Annually",Opportunities[[#This Row],[Recurrences]],"Semi-Annually",Opportunities[[#This Row],[Recurrences]]/2,"One-time",1,"Quarterly",Opportunities[[#This Row],[Recurrences]]/4,"Monthly",Opportunities[[#This Row],[Recurrences]]/12)</f>
        <v>203290</v>
      </c>
      <c r="AH39" s="51">
        <f ca="1">-(TODAY()-Opportunities[[#This Row],[Close]])</f>
        <v>457</v>
      </c>
      <c r="AI39" s="51">
        <f>_xlfn.XLOOKUP(Opportunities[[#This Row],[Stage]],stage[Stage Name],stage[Time To Close])</f>
        <v>90</v>
      </c>
      <c r="AJ39" s="51" t="b">
        <f ca="1">IF(Opportunities[[#This Row],[TargetDaysToClose]]=0,"",Opportunities[[#This Row],[TargetDaysToClose]]&lt;=Opportunities[[#This Row],[DaysToClose]])</f>
        <v>1</v>
      </c>
      <c r="AK39" s="51" t="str">
        <f>IF(Opportunities[[#This Row],[Close]]&lt;=Opportunities[[#This Row],[StartDate]],"✓","⚠")</f>
        <v>✓</v>
      </c>
      <c r="AL39" s="51" t="str">
        <f ca="1">IF(Opportunities[[#This Row],[Healthy]]=FALSE,ROUND(Opportunities[[#This Row],[DaysToClose]]/7,0)&amp; " weeks to close @ " &amp;Opportunities[[#This Row],[Stage]],"")</f>
        <v/>
      </c>
      <c r="AM39" s="51" t="str">
        <f>Opportunities[[#This Row],[OpportunityName]]&amp;" ("&amp;Opportunities[[#This Row],[Customer Name]]&amp;")"</f>
        <v>Legacy System Modernization (Textile Manufacturing)</v>
      </c>
    </row>
    <row r="40" spans="1:39" x14ac:dyDescent="0.25">
      <c r="A40">
        <v>39</v>
      </c>
      <c r="B40" t="s">
        <v>187</v>
      </c>
      <c r="C40" t="s">
        <v>19</v>
      </c>
      <c r="D40" t="s">
        <v>21</v>
      </c>
      <c r="E40">
        <v>2176632</v>
      </c>
      <c r="F40" t="s">
        <v>82</v>
      </c>
      <c r="G40" s="31">
        <v>46253</v>
      </c>
      <c r="H40" s="31">
        <v>45908</v>
      </c>
      <c r="I40" t="s">
        <v>102</v>
      </c>
      <c r="J40">
        <v>3</v>
      </c>
      <c r="L40" t="s">
        <v>145</v>
      </c>
      <c r="M40" t="s">
        <v>804</v>
      </c>
      <c r="O40">
        <v>52</v>
      </c>
      <c r="P40" s="31">
        <v>46268</v>
      </c>
      <c r="Q40" t="str">
        <f>" FY"&amp;RIGHT(IF(MONTH(Opportunities[[#This Row],[Close]])&gt;=7,YEAR(Opportunities[[#This Row],[Close]])+1,YEAR(Opportunities[[#This Row],[Close]])),2)&amp;"-Q"&amp;IF(MONTH(Opportunities[[#This Row],[Close]])&gt;=7,CEILING((MONTH(Opportunities[[#This Row],[Close]])-6)/3,1),CEILING((MONTH(Opportunities[[#This Row],[Close]])+6)/3,1))</f>
        <v xml:space="preserve"> FY27-Q1</v>
      </c>
      <c r="R40" t="str">
        <f>"CY"&amp;RIGHT(YEAR(Opportunities[[#This Row],[Close]]),2)&amp;"-Q"&amp;ROUNDUP(MONTH(Opportunities[[#This Row],[Close]])/3, 0)</f>
        <v>CY26-Q3</v>
      </c>
      <c r="S40" t="str">
        <f>siteUrl&amp;"/Lists/"&amp;oppList&amp;"/DispForm.aspx?ID="&amp;Opportunities[[#This Row],[ID]]</f>
        <v>https://cleansheet5.sharepoint.com/sites/SalesFunnel//Lists/auto12Opportunities/DispForm.aspx?ID=39</v>
      </c>
      <c r="T40">
        <f>_xlfn.XLOOKUP(Opportunities[[#This Row],[Stage]],stage[Stage Name],stage[Index],"")</f>
        <v>5</v>
      </c>
      <c r="U40" t="str">
        <f>_xlfn.XLOOKUP(Opportunities[[#This Row],[StageNumber]],stage[Index],stage[Display])</f>
        <v>➄ - Project Execution</v>
      </c>
      <c r="V40">
        <f>Opportunities[[#This Row],[Amount]]*Opportunities[[#This Row],[WinProbabilityValue]]</f>
        <v>1088316</v>
      </c>
      <c r="W40" t="str" cm="1">
        <f t="array" ref="W40">_xlfn.SWITCH(Opportunities[[#This Row],[Status]],"At Risk","⚠","Active","✓","⮾")</f>
        <v>✓</v>
      </c>
      <c r="X40" t="str">
        <f>_xlfn.XLOOKUP(Opportunities[[#This Row],[CustomerId]],Customers[Id],Customers[Customer Name])</f>
        <v>Tech Solutions Inc</v>
      </c>
      <c r="Y40" t="str">
        <f>_xlfn.XLOOKUP(Opportunities[[#This Row],[CustomerId]],Customers[Id],Customers[CustomerRecordUrl])</f>
        <v>https://cleansheet5.sharepoint.com/sites/SalesFunnel//Lists/auto12Customers/DispForm.aspx?ID=3</v>
      </c>
      <c r="Z40">
        <f>_xlfn.XLOOKUP(Opportunities[[#This Row],[ID]],View[ID],View[Visible])</f>
        <v>1</v>
      </c>
      <c r="AA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$2.2m • Project Execution • Owner: Jennifer PM</v>
      </c>
      <c r="AB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40" t="str" cm="1">
        <f t="array" ref="AD40">_xlfn.SWITCH(Opportunities[[#This Row],[Probability]],"High","↖","Medium","←","Low","↙")&amp;" " &amp;Opportunities[[#This Row],[Probability]]</f>
        <v>← Medium</v>
      </c>
      <c r="AE40" t="b">
        <f>Opportunities[[#This Row],[Probability]]="High"</f>
        <v>0</v>
      </c>
      <c r="AF40" s="51">
        <f>_xlfn.XLOOKUP(Opportunities[[#This Row],[Probability]],prob[Win Probability],prob[Value])</f>
        <v>0.5</v>
      </c>
      <c r="AG40" s="51" cm="1">
        <f t="array" ref="AG40">Opportunities[[#This Row],[Amount]]/_xlfn.SWITCH(Opportunities[[#This Row],[RecurringRevenueModel]],"Annually",Opportunities[[#This Row],[Recurrences]],"Semi-Annually",Opportunities[[#This Row],[Recurrences]]/2,"One-time",1,"Quarterly",Opportunities[[#This Row],[Recurrences]]/4,"Monthly",Opportunities[[#This Row],[Recurrences]]/12)</f>
        <v>502299.69230769237</v>
      </c>
      <c r="AH40" s="51">
        <f ca="1">-(TODAY()-Opportunities[[#This Row],[Close]])</f>
        <v>371</v>
      </c>
      <c r="AI40" s="51">
        <f>_xlfn.XLOOKUP(Opportunities[[#This Row],[Stage]],stage[Stage Name],stage[Time To Close])</f>
        <v>0</v>
      </c>
      <c r="AJ40" s="51" t="str">
        <f>IF(Opportunities[[#This Row],[TargetDaysToClose]]=0,"",Opportunities[[#This Row],[TargetDaysToClose]]&lt;=Opportunities[[#This Row],[DaysToClose]])</f>
        <v/>
      </c>
      <c r="AK40" s="51" t="str">
        <f>IF(Opportunities[[#This Row],[Close]]&lt;=Opportunities[[#This Row],[StartDate]],"✓","⚠")</f>
        <v>✓</v>
      </c>
      <c r="AL40" s="51" t="str">
        <f>IF(Opportunities[[#This Row],[Healthy]]=FALSE,ROUND(Opportunities[[#This Row],[DaysToClose]]/7,0)&amp; " weeks to close @ " &amp;Opportunities[[#This Row],[Stage]],"")</f>
        <v/>
      </c>
      <c r="AM40" s="51" t="str">
        <f>Opportunities[[#This Row],[OpportunityName]]&amp;" ("&amp;Opportunities[[#This Row],[Customer Name]]&amp;")"</f>
        <v>API Development Project (Tech Solutions Inc)</v>
      </c>
    </row>
    <row r="41" spans="1:39" x14ac:dyDescent="0.25">
      <c r="A41">
        <v>40</v>
      </c>
      <c r="B41" t="s">
        <v>188</v>
      </c>
      <c r="C41" t="s">
        <v>19</v>
      </c>
      <c r="D41" t="s">
        <v>22</v>
      </c>
      <c r="E41">
        <v>481926</v>
      </c>
      <c r="F41" t="s">
        <v>83</v>
      </c>
      <c r="G41" s="31">
        <v>46338</v>
      </c>
      <c r="H41" s="31">
        <v>45897</v>
      </c>
      <c r="I41" t="s">
        <v>96</v>
      </c>
      <c r="J41">
        <v>15</v>
      </c>
      <c r="L41" t="s">
        <v>98</v>
      </c>
      <c r="M41" t="s">
        <v>806</v>
      </c>
      <c r="O41">
        <v>12</v>
      </c>
      <c r="P41" s="31">
        <v>46406</v>
      </c>
      <c r="Q41" t="str">
        <f>" FY"&amp;RIGHT(IF(MONTH(Opportunities[[#This Row],[Close]])&gt;=7,YEAR(Opportunities[[#This Row],[Close]])+1,YEAR(Opportunities[[#This Row],[Close]])),2)&amp;"-Q"&amp;IF(MONTH(Opportunities[[#This Row],[Close]])&gt;=7,CEILING((MONTH(Opportunities[[#This Row],[Close]])-6)/3,1),CEILING((MONTH(Opportunities[[#This Row],[Close]])+6)/3,1))</f>
        <v xml:space="preserve"> FY27-Q2</v>
      </c>
      <c r="R41" t="str">
        <f>"CY"&amp;RIGHT(YEAR(Opportunities[[#This Row],[Close]]),2)&amp;"-Q"&amp;ROUNDUP(MONTH(Opportunities[[#This Row],[Close]])/3, 0)</f>
        <v>CY26-Q4</v>
      </c>
      <c r="S41" t="str">
        <f>siteUrl&amp;"/Lists/"&amp;oppList&amp;"/DispForm.aspx?ID="&amp;Opportunities[[#This Row],[ID]]</f>
        <v>https://cleansheet5.sharepoint.com/sites/SalesFunnel//Lists/auto12Opportunities/DispForm.aspx?ID=40</v>
      </c>
      <c r="T41">
        <f>_xlfn.XLOOKUP(Opportunities[[#This Row],[Stage]],stage[Stage Name],stage[Index],"")</f>
        <v>3</v>
      </c>
      <c r="U41" t="str">
        <f>_xlfn.XLOOKUP(Opportunities[[#This Row],[StageNumber]],stage[Index],stage[Display])</f>
        <v>➂ - Proposal</v>
      </c>
      <c r="V41">
        <f>Opportunities[[#This Row],[Amount]]*Opportunities[[#This Row],[WinProbabilityValue]]</f>
        <v>433733.4</v>
      </c>
      <c r="W41" t="str" cm="1">
        <f t="array" ref="W41">_xlfn.SWITCH(Opportunities[[#This Row],[Status]],"At Risk","⚠","Active","✓","⮾")</f>
        <v>✓</v>
      </c>
      <c r="X41" t="str">
        <f>_xlfn.XLOOKUP(Opportunities[[#This Row],[CustomerId]],Customers[Id],Customers[Customer Name])</f>
        <v>Pharmaceutical Research</v>
      </c>
      <c r="Y41" t="str">
        <f>_xlfn.XLOOKUP(Opportunities[[#This Row],[CustomerId]],Customers[Id],Customers[CustomerRecordUrl])</f>
        <v>https://cleansheet5.sharepoint.com/sites/SalesFunnel//Lists/auto12Customers/DispForm.aspx?ID=15</v>
      </c>
      <c r="Z41">
        <f>_xlfn.XLOOKUP(Opportunities[[#This Row],[ID]],View[ID],View[Visible])</f>
        <v>1</v>
      </c>
      <c r="AA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(Machine Learning Implementation)
 $0.5m • Proposal • Owner: Mike Consultant</v>
      </c>
      <c r="AB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41" t="str" cm="1">
        <f t="array" ref="AD41">_xlfn.SWITCH(Opportunities[[#This Row],[Probability]],"High","↖","Medium","←","Low","↙")&amp;" " &amp;Opportunities[[#This Row],[Probability]]</f>
        <v>↖ High</v>
      </c>
      <c r="AE41" t="b">
        <f>Opportunities[[#This Row],[Probability]]="High"</f>
        <v>1</v>
      </c>
      <c r="AF41" s="51">
        <f>_xlfn.XLOOKUP(Opportunities[[#This Row],[Probability]],prob[Win Probability],prob[Value])</f>
        <v>0.9</v>
      </c>
      <c r="AG41" s="51" cm="1">
        <f t="array" ref="AG41">Opportunities[[#This Row],[Amount]]/_xlfn.SWITCH(Opportunities[[#This Row],[RecurringRevenueModel]],"Annually",Opportunities[[#This Row],[Recurrences]],"Semi-Annually",Opportunities[[#This Row],[Recurrences]]/2,"One-time",1,"Quarterly",Opportunities[[#This Row],[Recurrences]]/4,"Monthly",Opportunities[[#This Row],[Recurrences]]/12)</f>
        <v>80321</v>
      </c>
      <c r="AH41" s="51">
        <f ca="1">-(TODAY()-Opportunities[[#This Row],[Close]])</f>
        <v>456</v>
      </c>
      <c r="AI41" s="51">
        <f>_xlfn.XLOOKUP(Opportunities[[#This Row],[Stage]],stage[Stage Name],stage[Time To Close])</f>
        <v>90</v>
      </c>
      <c r="AJ41" s="51" t="b">
        <f ca="1">IF(Opportunities[[#This Row],[TargetDaysToClose]]=0,"",Opportunities[[#This Row],[TargetDaysToClose]]&lt;=Opportunities[[#This Row],[DaysToClose]])</f>
        <v>1</v>
      </c>
      <c r="AK41" s="51" t="str">
        <f>IF(Opportunities[[#This Row],[Close]]&lt;=Opportunities[[#This Row],[StartDate]],"✓","⚠")</f>
        <v>✓</v>
      </c>
      <c r="AL41" s="51" t="str">
        <f ca="1">IF(Opportunities[[#This Row],[Healthy]]=FALSE,ROUND(Opportunities[[#This Row],[DaysToClose]]/7,0)&amp; " weeks to close @ " &amp;Opportunities[[#This Row],[Stage]],"")</f>
        <v/>
      </c>
      <c r="AM41" s="51" t="str">
        <f>Opportunities[[#This Row],[OpportunityName]]&amp;" ("&amp;Opportunities[[#This Row],[Customer Name]]&amp;")"</f>
        <v>Machine Learning Implementation (Pharmaceutical Research)</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AA6" sqref="AA6"/>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85</v>
      </c>
      <c r="C1" t="s">
        <v>3</v>
      </c>
      <c r="D1" t="s">
        <v>4</v>
      </c>
      <c r="E1" t="s">
        <v>5</v>
      </c>
      <c r="F1" t="s">
        <v>6</v>
      </c>
      <c r="G1" t="s">
        <v>7</v>
      </c>
      <c r="H1" t="s">
        <v>8</v>
      </c>
      <c r="I1" t="s">
        <v>72</v>
      </c>
      <c r="J1" t="s">
        <v>2</v>
      </c>
      <c r="K1" t="s">
        <v>1</v>
      </c>
      <c r="L1" t="s">
        <v>73</v>
      </c>
      <c r="M1" t="s">
        <v>386</v>
      </c>
      <c r="N1" t="s">
        <v>141</v>
      </c>
      <c r="O1" t="s">
        <v>51</v>
      </c>
    </row>
    <row r="2" spans="1:22" x14ac:dyDescent="0.25">
      <c r="A2">
        <v>1</v>
      </c>
      <c r="B2" t="s">
        <v>106</v>
      </c>
      <c r="C2" t="s">
        <v>108</v>
      </c>
      <c r="D2" t="s">
        <v>9</v>
      </c>
      <c r="E2" t="s">
        <v>109</v>
      </c>
      <c r="F2" t="s">
        <v>110</v>
      </c>
      <c r="G2" t="s">
        <v>111</v>
      </c>
      <c r="H2" t="s">
        <v>10</v>
      </c>
      <c r="I2" t="s">
        <v>107</v>
      </c>
      <c r="J2" t="s">
        <v>770</v>
      </c>
      <c r="K2" t="s">
        <v>770</v>
      </c>
      <c r="L2" t="str">
        <f>siteUrl&amp;"/Lists/"&amp;custList&amp;"/DispForm.aspx?ID="&amp;Customers[[#This Row],[Id]]</f>
        <v>https://cleansheet5.sharepoint.com/sites/SalesFunnel//Lists/auto12Customers/DispForm.aspx?ID=1</v>
      </c>
      <c r="M2" t="e">
        <f>_xlfn.XLOOKUP(Customers[[#This Row],[Id]],Customers[Id],#REF!)</f>
        <v>#REF!</v>
      </c>
      <c r="N2" t="str">
        <f>_xlfn.XLOOKUP(Customers[[#This Row],[Id]],Customers[Id],Customers[url2])</f>
        <v>https://cleansheet5.sharepoint.com/sites/SalesFunnel//Lists/auto12Customers/DispForm.aspx?ID=1</v>
      </c>
      <c r="O2" t="s">
        <v>52</v>
      </c>
    </row>
    <row r="3" spans="1:22" x14ac:dyDescent="0.25">
      <c r="A3">
        <v>2</v>
      </c>
      <c r="B3" t="s">
        <v>88</v>
      </c>
      <c r="C3" t="s">
        <v>113</v>
      </c>
      <c r="D3" t="s">
        <v>114</v>
      </c>
      <c r="E3" t="s">
        <v>115</v>
      </c>
      <c r="F3" t="s">
        <v>116</v>
      </c>
      <c r="G3" t="s">
        <v>117</v>
      </c>
      <c r="H3" t="s">
        <v>118</v>
      </c>
      <c r="I3" t="s">
        <v>112</v>
      </c>
      <c r="J3" t="s">
        <v>771</v>
      </c>
      <c r="K3" t="s">
        <v>771</v>
      </c>
      <c r="L3" t="str">
        <f>siteUrl&amp;"/Lists/"&amp;custList&amp;"/DispForm.aspx?ID="&amp;Customers[[#This Row],[Id]]</f>
        <v>https://cleansheet5.sharepoint.com/sites/SalesFunnel//Lists/auto12Customers/DispForm.aspx?ID=2</v>
      </c>
      <c r="M3" t="e">
        <f>_xlfn.XLOOKUP(Customers[[#This Row],[Id]],Customers[Id],#REF!)</f>
        <v>#REF!</v>
      </c>
      <c r="N3" t="str">
        <f>_xlfn.XLOOKUP(Customers[[#This Row],[Id]],Customers[Id],Customers[url2])</f>
        <v>https://cleansheet5.sharepoint.com/sites/SalesFunnel//Lists/auto12Customers/DispForm.aspx?ID=2</v>
      </c>
      <c r="V3" t="s">
        <v>53</v>
      </c>
    </row>
    <row r="4" spans="1:22" x14ac:dyDescent="0.25">
      <c r="A4">
        <v>3</v>
      </c>
      <c r="B4" t="s">
        <v>119</v>
      </c>
      <c r="C4" t="s">
        <v>12</v>
      </c>
      <c r="D4" t="s">
        <v>121</v>
      </c>
      <c r="E4" t="s">
        <v>122</v>
      </c>
      <c r="F4" t="s">
        <v>123</v>
      </c>
      <c r="G4" t="s">
        <v>124</v>
      </c>
      <c r="H4" t="s">
        <v>125</v>
      </c>
      <c r="I4" t="s">
        <v>120</v>
      </c>
      <c r="J4" t="s">
        <v>772</v>
      </c>
      <c r="K4" t="s">
        <v>772</v>
      </c>
      <c r="L4" t="str">
        <f>siteUrl&amp;"/Lists/"&amp;custList&amp;"/DispForm.aspx?ID="&amp;Customers[[#This Row],[Id]]</f>
        <v>https://cleansheet5.sharepoint.com/sites/SalesFunnel//Lists/auto12Customers/DispForm.aspx?ID=3</v>
      </c>
      <c r="M4" t="e">
        <f>_xlfn.XLOOKUP(Customers[[#This Row],[Id]],Customers[Id],#REF!)</f>
        <v>#REF!</v>
      </c>
      <c r="N4" t="str">
        <f>_xlfn.XLOOKUP(Customers[[#This Row],[Id]],Customers[Id],Customers[url2])</f>
        <v>https://cleansheet5.sharepoint.com/sites/SalesFunnel//Lists/auto12Customers/DispForm.aspx?ID=3</v>
      </c>
      <c r="V4" t="s">
        <v>61</v>
      </c>
    </row>
    <row r="5" spans="1:22" x14ac:dyDescent="0.25">
      <c r="A5">
        <v>4</v>
      </c>
      <c r="B5" t="s">
        <v>126</v>
      </c>
      <c r="C5" t="s">
        <v>128</v>
      </c>
      <c r="D5" t="s">
        <v>129</v>
      </c>
      <c r="E5" t="s">
        <v>130</v>
      </c>
      <c r="F5" t="s">
        <v>131</v>
      </c>
      <c r="G5" t="s">
        <v>132</v>
      </c>
      <c r="H5" t="s">
        <v>133</v>
      </c>
      <c r="I5" t="s">
        <v>127</v>
      </c>
      <c r="J5" t="s">
        <v>773</v>
      </c>
      <c r="K5" t="s">
        <v>773</v>
      </c>
      <c r="L5" t="str">
        <f>siteUrl&amp;"/Lists/"&amp;custList&amp;"/DispForm.aspx?ID="&amp;Customers[[#This Row],[Id]]</f>
        <v>https://cleansheet5.sharepoint.com/sites/SalesFunnel//Lists/auto12Customers/DispForm.aspx?ID=4</v>
      </c>
      <c r="M5" t="e">
        <f>_xlfn.XLOOKUP(Customers[[#This Row],[Id]],Customers[Id],#REF!)</f>
        <v>#REF!</v>
      </c>
      <c r="N5" t="str">
        <f>_xlfn.XLOOKUP(Customers[[#This Row],[Id]],Customers[Id],Customers[url2])</f>
        <v>https://cleansheet5.sharepoint.com/sites/SalesFunnel//Lists/auto12Customers/DispForm.aspx?ID=4</v>
      </c>
      <c r="V5" t="s">
        <v>54</v>
      </c>
    </row>
    <row r="6" spans="1:22" x14ac:dyDescent="0.25">
      <c r="A6">
        <v>5</v>
      </c>
      <c r="B6" t="s">
        <v>134</v>
      </c>
      <c r="C6" t="s">
        <v>136</v>
      </c>
      <c r="D6" t="s">
        <v>11</v>
      </c>
      <c r="E6" t="s">
        <v>137</v>
      </c>
      <c r="F6" t="s">
        <v>138</v>
      </c>
      <c r="G6" t="s">
        <v>139</v>
      </c>
      <c r="H6" t="s">
        <v>140</v>
      </c>
      <c r="I6" t="s">
        <v>135</v>
      </c>
      <c r="J6" t="s">
        <v>774</v>
      </c>
      <c r="K6" t="s">
        <v>774</v>
      </c>
      <c r="L6" t="str">
        <f>siteUrl&amp;"/Lists/"&amp;custList&amp;"/DispForm.aspx?ID="&amp;Customers[[#This Row],[Id]]</f>
        <v>https://cleansheet5.sharepoint.com/sites/SalesFunnel//Lists/auto12Customers/DispForm.aspx?ID=5</v>
      </c>
      <c r="M6" t="e">
        <f>_xlfn.XLOOKUP(Customers[[#This Row],[Id]],Customers[Id],#REF!)</f>
        <v>#REF!</v>
      </c>
      <c r="N6" t="str">
        <f>_xlfn.XLOOKUP(Customers[[#This Row],[Id]],Customers[Id],Customers[url2])</f>
        <v>https://cleansheet5.sharepoint.com/sites/SalesFunnel//Lists/auto12Customers/DispForm.aspx?ID=5</v>
      </c>
      <c r="V6" t="s">
        <v>55</v>
      </c>
    </row>
    <row r="7" spans="1:22" x14ac:dyDescent="0.25">
      <c r="A7">
        <v>6</v>
      </c>
      <c r="B7" t="s">
        <v>274</v>
      </c>
      <c r="C7" t="s">
        <v>276</v>
      </c>
      <c r="D7" t="s">
        <v>277</v>
      </c>
      <c r="E7" t="s">
        <v>278</v>
      </c>
      <c r="F7" t="s">
        <v>279</v>
      </c>
      <c r="G7" t="s">
        <v>280</v>
      </c>
      <c r="H7" t="s">
        <v>125</v>
      </c>
      <c r="I7" t="s">
        <v>275</v>
      </c>
      <c r="J7" t="s">
        <v>775</v>
      </c>
      <c r="K7" t="s">
        <v>775</v>
      </c>
      <c r="L7" t="str">
        <f>siteUrl&amp;"/Lists/"&amp;custList&amp;"/DispForm.aspx?ID="&amp;Customers[[#This Row],[Id]]</f>
        <v>https://cleansheet5.sharepoint.com/sites/SalesFunnel//Lists/auto12Customers/DispForm.aspx?ID=6</v>
      </c>
      <c r="M7" t="e">
        <f>_xlfn.XLOOKUP(Customers[[#This Row],[Id]],Customers[Id],#REF!)</f>
        <v>#REF!</v>
      </c>
      <c r="N7" t="str">
        <f>_xlfn.XLOOKUP(Customers[[#This Row],[Id]],Customers[Id],Customers[url2])</f>
        <v>https://cleansheet5.sharepoint.com/sites/SalesFunnel//Lists/auto12Customers/DispForm.aspx?ID=6</v>
      </c>
      <c r="V7" t="s">
        <v>62</v>
      </c>
    </row>
    <row r="8" spans="1:22" x14ac:dyDescent="0.25">
      <c r="A8">
        <v>7</v>
      </c>
      <c r="B8" t="s">
        <v>281</v>
      </c>
      <c r="C8" t="s">
        <v>283</v>
      </c>
      <c r="D8" t="s">
        <v>192</v>
      </c>
      <c r="E8" t="s">
        <v>284</v>
      </c>
      <c r="F8" t="s">
        <v>285</v>
      </c>
      <c r="G8" t="s">
        <v>286</v>
      </c>
      <c r="H8" t="s">
        <v>287</v>
      </c>
      <c r="I8" t="s">
        <v>282</v>
      </c>
      <c r="J8" t="s">
        <v>776</v>
      </c>
      <c r="K8" t="s">
        <v>776</v>
      </c>
      <c r="L8" t="str">
        <f>siteUrl&amp;"/Lists/"&amp;custList&amp;"/DispForm.aspx?ID="&amp;Customers[[#This Row],[Id]]</f>
        <v>https://cleansheet5.sharepoint.com/sites/SalesFunnel//Lists/auto12Customers/DispForm.aspx?ID=7</v>
      </c>
      <c r="M8" t="e">
        <f>_xlfn.XLOOKUP(Customers[[#This Row],[Id]],Customers[Id],#REF!)</f>
        <v>#REF!</v>
      </c>
      <c r="N8" t="str">
        <f>_xlfn.XLOOKUP(Customers[[#This Row],[Id]],Customers[Id],Customers[url2])</f>
        <v>https://cleansheet5.sharepoint.com/sites/SalesFunnel//Lists/auto12Customers/DispForm.aspx?ID=7</v>
      </c>
      <c r="V8" t="s">
        <v>56</v>
      </c>
    </row>
    <row r="9" spans="1:22" x14ac:dyDescent="0.25">
      <c r="A9">
        <v>8</v>
      </c>
      <c r="B9" t="s">
        <v>288</v>
      </c>
      <c r="C9" t="s">
        <v>290</v>
      </c>
      <c r="D9" t="s">
        <v>291</v>
      </c>
      <c r="E9" t="s">
        <v>292</v>
      </c>
      <c r="F9" t="s">
        <v>271</v>
      </c>
      <c r="G9" t="s">
        <v>293</v>
      </c>
      <c r="H9" t="s">
        <v>248</v>
      </c>
      <c r="I9" t="s">
        <v>289</v>
      </c>
      <c r="J9" t="s">
        <v>777</v>
      </c>
      <c r="K9" t="s">
        <v>777</v>
      </c>
      <c r="L9" t="str">
        <f>siteUrl&amp;"/Lists/"&amp;custList&amp;"/DispForm.aspx?ID="&amp;Customers[[#This Row],[Id]]</f>
        <v>https://cleansheet5.sharepoint.com/sites/SalesFunnel//Lists/auto12Customers/DispForm.aspx?ID=8</v>
      </c>
      <c r="M9" t="e">
        <f>_xlfn.XLOOKUP(Customers[[#This Row],[Id]],Customers[Id],#REF!)</f>
        <v>#REF!</v>
      </c>
      <c r="N9" t="str">
        <f>_xlfn.XLOOKUP(Customers[[#This Row],[Id]],Customers[Id],Customers[url2])</f>
        <v>https://cleansheet5.sharepoint.com/sites/SalesFunnel//Lists/auto12Customers/DispForm.aspx?ID=8</v>
      </c>
      <c r="V9" t="s">
        <v>57</v>
      </c>
    </row>
    <row r="10" spans="1:22" x14ac:dyDescent="0.25">
      <c r="A10">
        <v>9</v>
      </c>
      <c r="B10" t="s">
        <v>294</v>
      </c>
      <c r="C10" t="s">
        <v>296</v>
      </c>
      <c r="D10" t="s">
        <v>297</v>
      </c>
      <c r="E10" t="s">
        <v>298</v>
      </c>
      <c r="F10" t="s">
        <v>299</v>
      </c>
      <c r="G10" t="s">
        <v>300</v>
      </c>
      <c r="H10" t="s">
        <v>301</v>
      </c>
      <c r="I10" t="s">
        <v>295</v>
      </c>
      <c r="J10" t="s">
        <v>778</v>
      </c>
      <c r="K10" t="s">
        <v>778</v>
      </c>
      <c r="L10" t="str">
        <f>siteUrl&amp;"/Lists/"&amp;custList&amp;"/DispForm.aspx?ID="&amp;Customers[[#This Row],[Id]]</f>
        <v>https://cleansheet5.sharepoint.com/sites/SalesFunnel//Lists/auto12Customers/DispForm.aspx?ID=9</v>
      </c>
      <c r="M10" t="e">
        <f>_xlfn.XLOOKUP(Customers[[#This Row],[Id]],Customers[Id],#REF!)</f>
        <v>#REF!</v>
      </c>
      <c r="N10" t="str">
        <f>_xlfn.XLOOKUP(Customers[[#This Row],[Id]],Customers[Id],Customers[url2])</f>
        <v>https://cleansheet5.sharepoint.com/sites/SalesFunnel//Lists/auto12Customers/DispForm.aspx?ID=9</v>
      </c>
      <c r="V10" t="s">
        <v>53</v>
      </c>
    </row>
    <row r="11" spans="1:22" x14ac:dyDescent="0.25">
      <c r="A11">
        <v>10</v>
      </c>
      <c r="B11" t="s">
        <v>302</v>
      </c>
      <c r="C11" t="s">
        <v>304</v>
      </c>
      <c r="D11" t="s">
        <v>305</v>
      </c>
      <c r="E11" t="s">
        <v>306</v>
      </c>
      <c r="F11" t="s">
        <v>307</v>
      </c>
      <c r="G11" t="s">
        <v>308</v>
      </c>
      <c r="H11" t="s">
        <v>309</v>
      </c>
      <c r="I11" t="s">
        <v>303</v>
      </c>
      <c r="J11" t="s">
        <v>779</v>
      </c>
      <c r="K11" t="s">
        <v>779</v>
      </c>
      <c r="L11" t="str">
        <f>siteUrl&amp;"/Lists/"&amp;custList&amp;"/DispForm.aspx?ID="&amp;Customers[[#This Row],[Id]]</f>
        <v>https://cleansheet5.sharepoint.com/sites/SalesFunnel//Lists/auto12Customers/DispForm.aspx?ID=10</v>
      </c>
      <c r="M11" t="e">
        <f>_xlfn.XLOOKUP(Customers[[#This Row],[Id]],Customers[Id],#REF!)</f>
        <v>#REF!</v>
      </c>
      <c r="N11" t="str">
        <f>_xlfn.XLOOKUP(Customers[[#This Row],[Id]],Customers[Id],Customers[url2])</f>
        <v>https://cleansheet5.sharepoint.com/sites/SalesFunnel//Lists/auto12Customers/DispForm.aspx?ID=10</v>
      </c>
      <c r="V11" t="s">
        <v>63</v>
      </c>
    </row>
    <row r="12" spans="1:22" x14ac:dyDescent="0.25">
      <c r="A12">
        <v>11</v>
      </c>
      <c r="B12" t="s">
        <v>310</v>
      </c>
      <c r="C12" t="s">
        <v>312</v>
      </c>
      <c r="D12" t="s">
        <v>313</v>
      </c>
      <c r="E12" t="s">
        <v>314</v>
      </c>
      <c r="F12" t="s">
        <v>226</v>
      </c>
      <c r="G12" t="s">
        <v>315</v>
      </c>
      <c r="H12" t="s">
        <v>316</v>
      </c>
      <c r="I12" t="s">
        <v>311</v>
      </c>
      <c r="J12" t="s">
        <v>780</v>
      </c>
      <c r="K12" t="s">
        <v>780</v>
      </c>
      <c r="L12" t="str">
        <f>siteUrl&amp;"/Lists/"&amp;custList&amp;"/DispForm.aspx?ID="&amp;Customers[[#This Row],[Id]]</f>
        <v>https://cleansheet5.sharepoint.com/sites/SalesFunnel//Lists/auto12Customers/DispForm.aspx?ID=11</v>
      </c>
      <c r="M12" t="e">
        <f>_xlfn.XLOOKUP(Customers[[#This Row],[Id]],Customers[Id],#REF!)</f>
        <v>#REF!</v>
      </c>
      <c r="N12" t="str">
        <f>_xlfn.XLOOKUP(Customers[[#This Row],[Id]],Customers[Id],Customers[url2])</f>
        <v>https://cleansheet5.sharepoint.com/sites/SalesFunnel//Lists/auto12Customers/DispForm.aspx?ID=11</v>
      </c>
      <c r="V12" t="s">
        <v>54</v>
      </c>
    </row>
    <row r="13" spans="1:22" x14ac:dyDescent="0.25">
      <c r="A13">
        <v>12</v>
      </c>
      <c r="B13" t="s">
        <v>317</v>
      </c>
      <c r="C13" t="s">
        <v>319</v>
      </c>
      <c r="D13" t="s">
        <v>297</v>
      </c>
      <c r="E13" t="s">
        <v>320</v>
      </c>
      <c r="F13" t="s">
        <v>321</v>
      </c>
      <c r="G13" t="s">
        <v>322</v>
      </c>
      <c r="H13" t="s">
        <v>323</v>
      </c>
      <c r="I13" t="s">
        <v>318</v>
      </c>
      <c r="J13" t="s">
        <v>781</v>
      </c>
      <c r="K13" t="s">
        <v>781</v>
      </c>
      <c r="L13" t="str">
        <f>siteUrl&amp;"/Lists/"&amp;custList&amp;"/DispForm.aspx?ID="&amp;Customers[[#This Row],[Id]]</f>
        <v>https://cleansheet5.sharepoint.com/sites/SalesFunnel//Lists/auto12Customers/DispForm.aspx?ID=12</v>
      </c>
      <c r="M13" t="e">
        <f>_xlfn.XLOOKUP(Customers[[#This Row],[Id]],Customers[Id],#REF!)</f>
        <v>#REF!</v>
      </c>
      <c r="N13" t="str">
        <f>_xlfn.XLOOKUP(Customers[[#This Row],[Id]],Customers[Id],Customers[url2])</f>
        <v>https://cleansheet5.sharepoint.com/sites/SalesFunnel//Lists/auto12Customers/DispForm.aspx?ID=12</v>
      </c>
      <c r="V13" t="s">
        <v>64</v>
      </c>
    </row>
    <row r="14" spans="1:22" x14ac:dyDescent="0.25">
      <c r="A14">
        <v>13</v>
      </c>
      <c r="B14" t="s">
        <v>324</v>
      </c>
      <c r="C14" t="s">
        <v>326</v>
      </c>
      <c r="D14" t="s">
        <v>327</v>
      </c>
      <c r="E14" t="s">
        <v>328</v>
      </c>
      <c r="F14" t="s">
        <v>329</v>
      </c>
      <c r="G14" t="s">
        <v>330</v>
      </c>
      <c r="H14" t="s">
        <v>226</v>
      </c>
      <c r="I14" t="s">
        <v>325</v>
      </c>
      <c r="J14" t="s">
        <v>782</v>
      </c>
      <c r="K14" t="s">
        <v>782</v>
      </c>
      <c r="L14" t="str">
        <f>siteUrl&amp;"/Lists/"&amp;custList&amp;"/DispForm.aspx?ID="&amp;Customers[[#This Row],[Id]]</f>
        <v>https://cleansheet5.sharepoint.com/sites/SalesFunnel//Lists/auto12Customers/DispForm.aspx?ID=13</v>
      </c>
      <c r="M14" t="e">
        <f>_xlfn.XLOOKUP(Customers[[#This Row],[Id]],Customers[Id],#REF!)</f>
        <v>#REF!</v>
      </c>
      <c r="N14" t="str">
        <f>_xlfn.XLOOKUP(Customers[[#This Row],[Id]],Customers[Id],Customers[url2])</f>
        <v>https://cleansheet5.sharepoint.com/sites/SalesFunnel//Lists/auto12Customers/DispForm.aspx?ID=13</v>
      </c>
      <c r="V14" t="s">
        <v>65</v>
      </c>
    </row>
    <row r="15" spans="1:22" x14ac:dyDescent="0.25">
      <c r="A15">
        <v>14</v>
      </c>
      <c r="B15" t="s">
        <v>331</v>
      </c>
      <c r="C15" t="s">
        <v>333</v>
      </c>
      <c r="D15" t="s">
        <v>334</v>
      </c>
      <c r="E15" t="s">
        <v>335</v>
      </c>
      <c r="F15" t="s">
        <v>200</v>
      </c>
      <c r="G15" t="s">
        <v>336</v>
      </c>
      <c r="H15" t="s">
        <v>337</v>
      </c>
      <c r="I15" t="s">
        <v>332</v>
      </c>
      <c r="J15" t="s">
        <v>783</v>
      </c>
      <c r="K15" t="s">
        <v>783</v>
      </c>
      <c r="L15" t="str">
        <f>siteUrl&amp;"/Lists/"&amp;custList&amp;"/DispForm.aspx?ID="&amp;Customers[[#This Row],[Id]]</f>
        <v>https://cleansheet5.sharepoint.com/sites/SalesFunnel//Lists/auto12Customers/DispForm.aspx?ID=14</v>
      </c>
      <c r="M15" t="e">
        <f>_xlfn.XLOOKUP(Customers[[#This Row],[Id]],Customers[Id],#REF!)</f>
        <v>#REF!</v>
      </c>
      <c r="N15" t="str">
        <f>_xlfn.XLOOKUP(Customers[[#This Row],[Id]],Customers[Id],Customers[url2])</f>
        <v>https://cleansheet5.sharepoint.com/sites/SalesFunnel//Lists/auto12Customers/DispForm.aspx?ID=14</v>
      </c>
      <c r="V15" t="s">
        <v>56</v>
      </c>
    </row>
    <row r="16" spans="1:22" x14ac:dyDescent="0.25">
      <c r="A16">
        <v>15</v>
      </c>
      <c r="B16" t="s">
        <v>338</v>
      </c>
      <c r="C16" t="s">
        <v>340</v>
      </c>
      <c r="D16" t="s">
        <v>341</v>
      </c>
      <c r="E16" t="s">
        <v>342</v>
      </c>
      <c r="F16" t="s">
        <v>343</v>
      </c>
      <c r="G16" t="s">
        <v>344</v>
      </c>
      <c r="H16" t="s">
        <v>345</v>
      </c>
      <c r="I16" t="s">
        <v>339</v>
      </c>
      <c r="J16" t="s">
        <v>784</v>
      </c>
      <c r="K16" t="s">
        <v>784</v>
      </c>
      <c r="L16" t="str">
        <f>siteUrl&amp;"/Lists/"&amp;custList&amp;"/DispForm.aspx?ID="&amp;Customers[[#This Row],[Id]]</f>
        <v>https://cleansheet5.sharepoint.com/sites/SalesFunnel//Lists/auto12Customers/DispForm.aspx?ID=15</v>
      </c>
      <c r="M16" t="e">
        <f>_xlfn.XLOOKUP(Customers[[#This Row],[Id]],Customers[Id],#REF!)</f>
        <v>#REF!</v>
      </c>
      <c r="N16" t="str">
        <f>_xlfn.XLOOKUP(Customers[[#This Row],[Id]],Customers[Id],Customers[url2])</f>
        <v>https://cleansheet5.sharepoint.com/sites/SalesFunnel//Lists/auto12Customers/DispForm.aspx?ID=15</v>
      </c>
      <c r="V16" t="s">
        <v>57</v>
      </c>
    </row>
    <row r="17" spans="1:40" x14ac:dyDescent="0.25">
      <c r="A17">
        <v>16</v>
      </c>
      <c r="B17" t="s">
        <v>346</v>
      </c>
      <c r="C17" t="s">
        <v>348</v>
      </c>
      <c r="D17" t="s">
        <v>349</v>
      </c>
      <c r="E17" t="s">
        <v>350</v>
      </c>
      <c r="F17" t="s">
        <v>351</v>
      </c>
      <c r="G17" t="s">
        <v>352</v>
      </c>
      <c r="H17" t="s">
        <v>353</v>
      </c>
      <c r="I17" t="s">
        <v>347</v>
      </c>
      <c r="J17" t="s">
        <v>785</v>
      </c>
      <c r="K17" t="s">
        <v>785</v>
      </c>
      <c r="L17" t="str">
        <f>siteUrl&amp;"/Lists/"&amp;custList&amp;"/DispForm.aspx?ID="&amp;Customers[[#This Row],[Id]]</f>
        <v>https://cleansheet5.sharepoint.com/sites/SalesFunnel//Lists/auto12Customers/DispForm.aspx?ID=16</v>
      </c>
      <c r="M17" t="e">
        <f>_xlfn.XLOOKUP(Customers[[#This Row],[Id]],Customers[Id],#REF!)</f>
        <v>#REF!</v>
      </c>
      <c r="N17" t="str">
        <f>_xlfn.XLOOKUP(Customers[[#This Row],[Id]],Customers[Id],Customers[url2])</f>
        <v>https://cleansheet5.sharepoint.com/sites/SalesFunnel//Lists/auto12Customers/DispForm.aspx?ID=16</v>
      </c>
      <c r="V17" t="s">
        <v>53</v>
      </c>
    </row>
    <row r="18" spans="1:40" x14ac:dyDescent="0.25">
      <c r="A18">
        <v>17</v>
      </c>
      <c r="B18" t="s">
        <v>354</v>
      </c>
      <c r="C18" t="s">
        <v>356</v>
      </c>
      <c r="D18" t="s">
        <v>357</v>
      </c>
      <c r="E18" t="s">
        <v>358</v>
      </c>
      <c r="F18" t="s">
        <v>359</v>
      </c>
      <c r="G18" t="s">
        <v>360</v>
      </c>
      <c r="H18" t="s">
        <v>361</v>
      </c>
      <c r="I18" t="s">
        <v>355</v>
      </c>
      <c r="J18" t="s">
        <v>786</v>
      </c>
      <c r="K18" t="s">
        <v>786</v>
      </c>
      <c r="L18" t="str">
        <f>siteUrl&amp;"/Lists/"&amp;custList&amp;"/DispForm.aspx?ID="&amp;Customers[[#This Row],[Id]]</f>
        <v>https://cleansheet5.sharepoint.com/sites/SalesFunnel//Lists/auto12Customers/DispForm.aspx?ID=17</v>
      </c>
      <c r="M18" t="e">
        <f>_xlfn.XLOOKUP(Customers[[#This Row],[Id]],Customers[Id],#REF!)</f>
        <v>#REF!</v>
      </c>
      <c r="N18" t="str">
        <f>_xlfn.XLOOKUP(Customers[[#This Row],[Id]],Customers[Id],Customers[url2])</f>
        <v>https://cleansheet5.sharepoint.com/sites/SalesFunnel//Lists/auto12Customers/DispForm.aspx?ID=17</v>
      </c>
      <c r="V18" t="s">
        <v>66</v>
      </c>
    </row>
    <row r="19" spans="1:40" x14ac:dyDescent="0.25">
      <c r="A19">
        <v>18</v>
      </c>
      <c r="B19" t="s">
        <v>362</v>
      </c>
      <c r="C19" t="s">
        <v>364</v>
      </c>
      <c r="D19" t="s">
        <v>365</v>
      </c>
      <c r="E19" t="s">
        <v>366</v>
      </c>
      <c r="F19" t="s">
        <v>367</v>
      </c>
      <c r="G19" t="s">
        <v>368</v>
      </c>
      <c r="H19" t="s">
        <v>369</v>
      </c>
      <c r="I19" t="s">
        <v>363</v>
      </c>
      <c r="J19" t="s">
        <v>787</v>
      </c>
      <c r="K19" t="s">
        <v>787</v>
      </c>
      <c r="L19" t="str">
        <f>siteUrl&amp;"/Lists/"&amp;custList&amp;"/DispForm.aspx?ID="&amp;Customers[[#This Row],[Id]]</f>
        <v>https://cleansheet5.sharepoint.com/sites/SalesFunnel//Lists/auto12Customers/DispForm.aspx?ID=18</v>
      </c>
      <c r="M19" t="e">
        <f>_xlfn.XLOOKUP(Customers[[#This Row],[Id]],Customers[Id],#REF!)</f>
        <v>#REF!</v>
      </c>
      <c r="N19" t="str">
        <f>_xlfn.XLOOKUP(Customers[[#This Row],[Id]],Customers[Id],Customers[url2])</f>
        <v>https://cleansheet5.sharepoint.com/sites/SalesFunnel//Lists/auto12Customers/DispForm.aspx?ID=18</v>
      </c>
      <c r="V19" t="s">
        <v>54</v>
      </c>
    </row>
    <row r="20" spans="1:40" x14ac:dyDescent="0.25">
      <c r="A20">
        <v>19</v>
      </c>
      <c r="B20" t="s">
        <v>370</v>
      </c>
      <c r="C20" t="s">
        <v>372</v>
      </c>
      <c r="D20" t="s">
        <v>297</v>
      </c>
      <c r="E20" t="s">
        <v>373</v>
      </c>
      <c r="F20" t="s">
        <v>374</v>
      </c>
      <c r="G20" t="s">
        <v>375</v>
      </c>
      <c r="H20" t="s">
        <v>376</v>
      </c>
      <c r="I20" t="s">
        <v>371</v>
      </c>
      <c r="J20" t="s">
        <v>788</v>
      </c>
      <c r="K20" t="s">
        <v>788</v>
      </c>
      <c r="L20" t="str">
        <f>siteUrl&amp;"/Lists/"&amp;custList&amp;"/DispForm.aspx?ID="&amp;Customers[[#This Row],[Id]]</f>
        <v>https://cleansheet5.sharepoint.com/sites/SalesFunnel//Lists/auto12Customers/DispForm.aspx?ID=19</v>
      </c>
      <c r="M20" t="e">
        <f>_xlfn.XLOOKUP(Customers[[#This Row],[Id]],Customers[Id],#REF!)</f>
        <v>#REF!</v>
      </c>
      <c r="N20" t="str">
        <f>_xlfn.XLOOKUP(Customers[[#This Row],[Id]],Customers[Id],Customers[url2])</f>
        <v>https://cleansheet5.sharepoint.com/sites/SalesFunnel//Lists/auto12Customers/DispForm.aspx?ID=19</v>
      </c>
      <c r="V20" t="s">
        <v>67</v>
      </c>
    </row>
    <row r="21" spans="1:40" x14ac:dyDescent="0.25">
      <c r="A21">
        <v>20</v>
      </c>
      <c r="B21" t="s">
        <v>189</v>
      </c>
      <c r="C21" t="s">
        <v>191</v>
      </c>
      <c r="D21" t="s">
        <v>192</v>
      </c>
      <c r="E21" t="s">
        <v>193</v>
      </c>
      <c r="F21" t="s">
        <v>194</v>
      </c>
      <c r="G21" t="s">
        <v>195</v>
      </c>
      <c r="H21" t="s">
        <v>196</v>
      </c>
      <c r="I21" t="s">
        <v>190</v>
      </c>
      <c r="J21" t="s">
        <v>789</v>
      </c>
      <c r="K21" t="s">
        <v>789</v>
      </c>
      <c r="L21" t="str">
        <f>siteUrl&amp;"/Lists/"&amp;custList&amp;"/DispForm.aspx?ID="&amp;Customers[[#This Row],[Id]]</f>
        <v>https://cleansheet5.sharepoint.com/sites/SalesFunnel//Lists/auto12Customers/DispForm.aspx?ID=20</v>
      </c>
      <c r="M21" t="e">
        <f>_xlfn.XLOOKUP(Customers[[#This Row],[Id]],Customers[Id],#REF!)</f>
        <v>#REF!</v>
      </c>
      <c r="N21" t="str">
        <f>_xlfn.XLOOKUP(Customers[[#This Row],[Id]],Customers[Id],Customers[url2])</f>
        <v>https://cleansheet5.sharepoint.com/sites/SalesFunnel//Lists/auto12Customers/DispForm.aspx?ID=20</v>
      </c>
      <c r="V21" t="s">
        <v>68</v>
      </c>
    </row>
    <row r="22" spans="1:40" x14ac:dyDescent="0.25">
      <c r="A22">
        <v>21</v>
      </c>
      <c r="B22" t="s">
        <v>197</v>
      </c>
      <c r="C22" t="s">
        <v>199</v>
      </c>
      <c r="D22" t="s">
        <v>200</v>
      </c>
      <c r="E22" t="s">
        <v>201</v>
      </c>
      <c r="F22" t="s">
        <v>202</v>
      </c>
      <c r="G22" t="s">
        <v>203</v>
      </c>
      <c r="H22" t="s">
        <v>204</v>
      </c>
      <c r="I22" t="s">
        <v>198</v>
      </c>
      <c r="J22" t="s">
        <v>790</v>
      </c>
      <c r="K22" t="s">
        <v>790</v>
      </c>
      <c r="L22" t="str">
        <f>siteUrl&amp;"/Lists/"&amp;custList&amp;"/DispForm.aspx?ID="&amp;Customers[[#This Row],[Id]]</f>
        <v>https://cleansheet5.sharepoint.com/sites/SalesFunnel//Lists/auto12Customers/DispForm.aspx?ID=21</v>
      </c>
      <c r="M22" t="e">
        <f>_xlfn.XLOOKUP(Customers[[#This Row],[Id]],Customers[Id],#REF!)</f>
        <v>#REF!</v>
      </c>
      <c r="N22" t="str">
        <f>_xlfn.XLOOKUP(Customers[[#This Row],[Id]],Customers[Id],Customers[url2])</f>
        <v>https://cleansheet5.sharepoint.com/sites/SalesFunnel//Lists/auto12Customers/DispForm.aspx?ID=21</v>
      </c>
      <c r="V22" t="s">
        <v>56</v>
      </c>
    </row>
    <row r="23" spans="1:40" x14ac:dyDescent="0.25">
      <c r="A23">
        <v>22</v>
      </c>
      <c r="B23" t="s">
        <v>205</v>
      </c>
      <c r="C23" t="s">
        <v>207</v>
      </c>
      <c r="D23" t="s">
        <v>208</v>
      </c>
      <c r="E23" t="s">
        <v>209</v>
      </c>
      <c r="F23" t="s">
        <v>210</v>
      </c>
      <c r="G23" t="s">
        <v>211</v>
      </c>
      <c r="H23" t="s">
        <v>212</v>
      </c>
      <c r="I23" t="s">
        <v>206</v>
      </c>
      <c r="J23" t="s">
        <v>791</v>
      </c>
      <c r="K23" t="s">
        <v>791</v>
      </c>
      <c r="L23" t="str">
        <f>siteUrl&amp;"/Lists/"&amp;custList&amp;"/DispForm.aspx?ID="&amp;Customers[[#This Row],[Id]]</f>
        <v>https://cleansheet5.sharepoint.com/sites/SalesFunnel//Lists/auto12Customers/DispForm.aspx?ID=22</v>
      </c>
      <c r="M23" t="e">
        <f>_xlfn.XLOOKUP(Customers[[#This Row],[Id]],Customers[Id],#REF!)</f>
        <v>#REF!</v>
      </c>
      <c r="N23" t="str">
        <f>_xlfn.XLOOKUP(Customers[[#This Row],[Id]],Customers[Id],Customers[url2])</f>
        <v>https://cleansheet5.sharepoint.com/sites/SalesFunnel//Lists/auto12Customers/DispForm.aspx?ID=22</v>
      </c>
      <c r="V23" t="s">
        <v>57</v>
      </c>
    </row>
    <row r="24" spans="1:40" x14ac:dyDescent="0.25">
      <c r="A24">
        <v>23</v>
      </c>
      <c r="B24" t="s">
        <v>213</v>
      </c>
      <c r="C24" t="s">
        <v>215</v>
      </c>
      <c r="D24" t="s">
        <v>216</v>
      </c>
      <c r="E24" t="s">
        <v>217</v>
      </c>
      <c r="F24" t="s">
        <v>218</v>
      </c>
      <c r="G24" t="s">
        <v>219</v>
      </c>
      <c r="H24" t="s">
        <v>220</v>
      </c>
      <c r="I24" t="s">
        <v>214</v>
      </c>
      <c r="J24" t="s">
        <v>792</v>
      </c>
      <c r="K24" t="s">
        <v>792</v>
      </c>
      <c r="L24" t="str">
        <f>siteUrl&amp;"/Lists/"&amp;custList&amp;"/DispForm.aspx?ID="&amp;Customers[[#This Row],[Id]]</f>
        <v>https://cleansheet5.sharepoint.com/sites/SalesFunnel//Lists/auto12Customers/DispForm.aspx?ID=23</v>
      </c>
      <c r="M24" t="e">
        <f>_xlfn.XLOOKUP(Customers[[#This Row],[Id]],Customers[Id],#REF!)</f>
        <v>#REF!</v>
      </c>
      <c r="N24" t="str">
        <f>_xlfn.XLOOKUP(Customers[[#This Row],[Id]],Customers[Id],Customers[url2])</f>
        <v>https://cleansheet5.sharepoint.com/sites/SalesFunnel//Lists/auto12Customers/DispForm.aspx?ID=23</v>
      </c>
      <c r="V24" t="s">
        <v>53</v>
      </c>
    </row>
    <row r="25" spans="1:40" x14ac:dyDescent="0.25">
      <c r="A25">
        <v>24</v>
      </c>
      <c r="B25" t="s">
        <v>221</v>
      </c>
      <c r="C25" t="s">
        <v>223</v>
      </c>
      <c r="D25" t="s">
        <v>224</v>
      </c>
      <c r="E25" t="s">
        <v>225</v>
      </c>
      <c r="F25" t="s">
        <v>226</v>
      </c>
      <c r="G25" t="s">
        <v>227</v>
      </c>
      <c r="H25" t="s">
        <v>228</v>
      </c>
      <c r="I25" t="s">
        <v>222</v>
      </c>
      <c r="J25" t="s">
        <v>793</v>
      </c>
      <c r="K25" t="s">
        <v>793</v>
      </c>
      <c r="L25" t="str">
        <f>siteUrl&amp;"/Lists/"&amp;custList&amp;"/DispForm.aspx?ID="&amp;Customers[[#This Row],[Id]]</f>
        <v>https://cleansheet5.sharepoint.com/sites/SalesFunnel//Lists/auto12Customers/DispForm.aspx?ID=24</v>
      </c>
      <c r="M25" t="e">
        <f>_xlfn.XLOOKUP(Customers[[#This Row],[Id]],Customers[Id],#REF!)</f>
        <v>#REF!</v>
      </c>
      <c r="N25" t="str">
        <f>_xlfn.XLOOKUP(Customers[[#This Row],[Id]],Customers[Id],Customers[url2])</f>
        <v>https://cleansheet5.sharepoint.com/sites/SalesFunnel//Lists/auto12Customers/DispForm.aspx?ID=24</v>
      </c>
      <c r="V25" t="s">
        <v>69</v>
      </c>
    </row>
    <row r="26" spans="1:40" x14ac:dyDescent="0.25">
      <c r="A26">
        <v>25</v>
      </c>
      <c r="B26" t="s">
        <v>229</v>
      </c>
      <c r="C26" t="s">
        <v>231</v>
      </c>
      <c r="D26" t="s">
        <v>129</v>
      </c>
      <c r="E26" t="s">
        <v>232</v>
      </c>
      <c r="F26" t="s">
        <v>233</v>
      </c>
      <c r="G26" t="s">
        <v>234</v>
      </c>
      <c r="H26" t="s">
        <v>235</v>
      </c>
      <c r="I26" t="s">
        <v>230</v>
      </c>
      <c r="J26" t="s">
        <v>794</v>
      </c>
      <c r="K26" t="s">
        <v>794</v>
      </c>
      <c r="L26" t="str">
        <f>siteUrl&amp;"/Lists/"&amp;custList&amp;"/DispForm.aspx?ID="&amp;Customers[[#This Row],[Id]]</f>
        <v>https://cleansheet5.sharepoint.com/sites/SalesFunnel//Lists/auto12Customers/DispForm.aspx?ID=25</v>
      </c>
      <c r="M26" t="e">
        <f>_xlfn.XLOOKUP(Customers[[#This Row],[Id]],Customers[Id],#REF!)</f>
        <v>#REF!</v>
      </c>
      <c r="N26" t="str">
        <f>_xlfn.XLOOKUP(Customers[[#This Row],[Id]],Customers[Id],Customers[url2])</f>
        <v>https://cleansheet5.sharepoint.com/sites/SalesFunnel//Lists/auto12Customers/DispForm.aspx?ID=25</v>
      </c>
      <c r="V26" t="s">
        <v>54</v>
      </c>
    </row>
    <row r="27" spans="1:40" x14ac:dyDescent="0.25">
      <c r="A27">
        <v>26</v>
      </c>
      <c r="B27" t="s">
        <v>236</v>
      </c>
      <c r="C27" t="s">
        <v>238</v>
      </c>
      <c r="D27" t="s">
        <v>239</v>
      </c>
      <c r="E27" t="s">
        <v>240</v>
      </c>
      <c r="F27" t="s">
        <v>200</v>
      </c>
      <c r="G27" t="s">
        <v>241</v>
      </c>
      <c r="H27" t="s">
        <v>242</v>
      </c>
      <c r="I27" t="s">
        <v>237</v>
      </c>
      <c r="J27" t="s">
        <v>795</v>
      </c>
      <c r="K27" t="s">
        <v>795</v>
      </c>
      <c r="L27" t="str">
        <f>siteUrl&amp;"/Lists/"&amp;custList&amp;"/DispForm.aspx?ID="&amp;Customers[[#This Row],[Id]]</f>
        <v>https://cleansheet5.sharepoint.com/sites/SalesFunnel//Lists/auto12Customers/DispForm.aspx?ID=26</v>
      </c>
      <c r="M27" t="e">
        <f>_xlfn.XLOOKUP(Customers[[#This Row],[Id]],Customers[Id],#REF!)</f>
        <v>#REF!</v>
      </c>
      <c r="N27" t="str">
        <f>_xlfn.XLOOKUP(Customers[[#This Row],[Id]],Customers[Id],Customers[url2])</f>
        <v>https://cleansheet5.sharepoint.com/sites/SalesFunnel//Lists/auto12Customers/DispForm.aspx?ID=26</v>
      </c>
      <c r="V27" t="s">
        <v>70</v>
      </c>
    </row>
    <row r="28" spans="1:40" x14ac:dyDescent="0.25">
      <c r="A28">
        <v>27</v>
      </c>
      <c r="B28" t="s">
        <v>243</v>
      </c>
      <c r="C28" t="s">
        <v>245</v>
      </c>
      <c r="D28" t="s">
        <v>246</v>
      </c>
      <c r="E28" t="s">
        <v>247</v>
      </c>
      <c r="F28" t="s">
        <v>248</v>
      </c>
      <c r="G28" t="s">
        <v>249</v>
      </c>
      <c r="H28" t="s">
        <v>250</v>
      </c>
      <c r="I28" t="s">
        <v>244</v>
      </c>
      <c r="J28" t="s">
        <v>796</v>
      </c>
      <c r="K28" t="s">
        <v>796</v>
      </c>
      <c r="L28" t="str">
        <f>siteUrl&amp;"/Lists/"&amp;custList&amp;"/DispForm.aspx?ID="&amp;Customers[[#This Row],[Id]]</f>
        <v>https://cleansheet5.sharepoint.com/sites/SalesFunnel//Lists/auto12Customers/DispForm.aspx?ID=27</v>
      </c>
      <c r="M28" t="e">
        <f>_xlfn.XLOOKUP(Customers[[#This Row],[Id]],Customers[Id],#REF!)</f>
        <v>#REF!</v>
      </c>
      <c r="N28" t="str">
        <f>_xlfn.XLOOKUP(Customers[[#This Row],[Id]],Customers[Id],Customers[url2])</f>
        <v>https://cleansheet5.sharepoint.com/sites/SalesFunnel//Lists/auto12Customers/DispForm.aspx?ID=27</v>
      </c>
      <c r="V28" t="s">
        <v>71</v>
      </c>
    </row>
    <row r="29" spans="1:40" x14ac:dyDescent="0.25">
      <c r="A29">
        <v>28</v>
      </c>
      <c r="B29" t="s">
        <v>251</v>
      </c>
      <c r="C29" t="s">
        <v>253</v>
      </c>
      <c r="D29" t="s">
        <v>254</v>
      </c>
      <c r="E29" t="s">
        <v>255</v>
      </c>
      <c r="F29" t="s">
        <v>256</v>
      </c>
      <c r="G29" t="s">
        <v>257</v>
      </c>
      <c r="H29" t="s">
        <v>258</v>
      </c>
      <c r="I29" t="s">
        <v>252</v>
      </c>
      <c r="J29" t="s">
        <v>797</v>
      </c>
      <c r="K29" t="s">
        <v>797</v>
      </c>
      <c r="L29" t="str">
        <f>siteUrl&amp;"/Lists/"&amp;custList&amp;"/DispForm.aspx?ID="&amp;Customers[[#This Row],[Id]]</f>
        <v>https://cleansheet5.sharepoint.com/sites/SalesFunnel//Lists/auto12Customers/DispForm.aspx?ID=28</v>
      </c>
      <c r="M29" t="e">
        <f>_xlfn.XLOOKUP(Customers[[#This Row],[Id]],Customers[Id],#REF!)</f>
        <v>#REF!</v>
      </c>
      <c r="N29" t="str">
        <f>_xlfn.XLOOKUP(Customers[[#This Row],[Id]],Customers[Id],Customers[url2])</f>
        <v>https://cleansheet5.sharepoint.com/sites/SalesFunnel//Lists/auto12Customers/DispForm.aspx?ID=28</v>
      </c>
      <c r="V29" t="s">
        <v>56</v>
      </c>
    </row>
    <row r="30" spans="1:40" x14ac:dyDescent="0.25">
      <c r="A30">
        <v>29</v>
      </c>
      <c r="B30" t="s">
        <v>259</v>
      </c>
      <c r="C30" t="s">
        <v>261</v>
      </c>
      <c r="D30" t="s">
        <v>131</v>
      </c>
      <c r="E30" t="s">
        <v>262</v>
      </c>
      <c r="F30" t="s">
        <v>263</v>
      </c>
      <c r="G30" t="s">
        <v>264</v>
      </c>
      <c r="H30" t="s">
        <v>265</v>
      </c>
      <c r="I30" t="s">
        <v>260</v>
      </c>
      <c r="J30" t="s">
        <v>798</v>
      </c>
      <c r="K30" t="s">
        <v>798</v>
      </c>
      <c r="L30" t="str">
        <f>siteUrl&amp;"/Lists/"&amp;custList&amp;"/DispForm.aspx?ID="&amp;Customers[[#This Row],[Id]]</f>
        <v>https://cleansheet5.sharepoint.com/sites/SalesFunnel//Lists/auto12Customers/DispForm.aspx?ID=29</v>
      </c>
      <c r="M30" t="e">
        <f>_xlfn.XLOOKUP(Customers[[#This Row],[Id]],Customers[Id],#REF!)</f>
        <v>#REF!</v>
      </c>
      <c r="N30" t="str">
        <f>_xlfn.XLOOKUP(Customers[[#This Row],[Id]],Customers[Id],Customers[url2])</f>
        <v>https://cleansheet5.sharepoint.com/sites/SalesFunnel//Lists/auto12Customers/DispForm.aspx?ID=29</v>
      </c>
      <c r="V30" t="s">
        <v>58</v>
      </c>
    </row>
    <row r="31" spans="1:40" x14ac:dyDescent="0.25">
      <c r="A31">
        <v>30</v>
      </c>
      <c r="B31" t="s">
        <v>266</v>
      </c>
      <c r="C31" t="s">
        <v>268</v>
      </c>
      <c r="D31" t="s">
        <v>269</v>
      </c>
      <c r="E31" t="s">
        <v>270</v>
      </c>
      <c r="F31" t="s">
        <v>271</v>
      </c>
      <c r="G31" t="s">
        <v>272</v>
      </c>
      <c r="H31" t="s">
        <v>273</v>
      </c>
      <c r="I31" t="s">
        <v>267</v>
      </c>
      <c r="J31" t="s">
        <v>799</v>
      </c>
      <c r="K31" t="s">
        <v>799</v>
      </c>
      <c r="L31" t="str">
        <f>siteUrl&amp;"/Lists/"&amp;custList&amp;"/DispForm.aspx?ID="&amp;Customers[[#This Row],[Id]]</f>
        <v>https://cleansheet5.sharepoint.com/sites/SalesFunnel//Lists/auto12Customers/DispForm.aspx?ID=30</v>
      </c>
      <c r="M31" t="e">
        <f>_xlfn.XLOOKUP(Customers[[#This Row],[Id]],Customers[Id],#REF!)</f>
        <v>#REF!</v>
      </c>
      <c r="N31" t="str">
        <f>_xlfn.XLOOKUP(Customers[[#This Row],[Id]],Customers[Id],Customers[url2])</f>
        <v>https://cleansheet5.sharepoint.com/sites/SalesFunnel//Lists/auto12Customers/DispForm.aspx?ID=30</v>
      </c>
      <c r="V31" t="s">
        <v>59</v>
      </c>
    </row>
    <row r="32" spans="1:40" x14ac:dyDescent="0.25">
      <c r="AN32" t="s">
        <v>60</v>
      </c>
    </row>
  </sheetData>
  <phoneticPr fontId="4"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topLeftCell="C1" zoomScaleNormal="100" workbookViewId="0">
      <selection activeCell="E2" sqref="E2"/>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44" x14ac:dyDescent="0.25">
      <c r="I1" t="str" cm="1">
        <f t="array" aca="1" ref="I1:O1" ca="1">TRANSPOSE(_xlfn.UNIQUE(_xlfn._xlws.FILTER(_xlfn.SORTBY(View[Close Quarter],View[Close],1),View[Visible]=1)))</f>
        <v>FY26-Q3</v>
      </c>
      <c r="J1" t="str">
        <f ca="1"/>
        <v>FY26-Q4</v>
      </c>
      <c r="K1" t="str">
        <f ca="1"/>
        <v>FY27-Q1</v>
      </c>
      <c r="L1" t="str">
        <f ca="1"/>
        <v>FY27-Q2</v>
      </c>
      <c r="M1" t="str">
        <f ca="1"/>
        <v>FY27-Q3</v>
      </c>
      <c r="N1" t="str">
        <f ca="1"/>
        <v>FY27-Q4</v>
      </c>
      <c r="O1" t="e">
        <f ca="1"/>
        <v>#VALUE!</v>
      </c>
      <c r="R1" t="e" cm="1">
        <f t="array" aca="1" ref="R1:X1" ca="1">TRANSPOSE(_xlfn.UNIQUE(_xlfn._xlws.FILTER(_xlfn.SORTBY(View[Close Quarter],View[Close],-1),View[Visible]=1)))</f>
        <v>#VALUE!</v>
      </c>
      <c r="S1" t="str">
        <f ca="1"/>
        <v>FY27-Q4</v>
      </c>
      <c r="T1" t="str">
        <f ca="1"/>
        <v>FY27-Q3</v>
      </c>
      <c r="U1" t="str">
        <f ca="1"/>
        <v>FY27-Q2</v>
      </c>
      <c r="V1" t="str">
        <f ca="1"/>
        <v>FY27-Q1</v>
      </c>
      <c r="W1" t="str">
        <f ca="1"/>
        <v>FY26-Q4</v>
      </c>
      <c r="X1" t="str">
        <f ca="1"/>
        <v>FY26-Q3</v>
      </c>
      <c r="AH1" t="str" cm="1">
        <f t="array" aca="1" ref="AH1:AR1" ca="1">TRANSPOSE(_xlfn.UNIQUE(transactions[FQDisplay]))</f>
        <v>FY24-Q2</v>
      </c>
      <c r="AI1" t="str">
        <f ca="1"/>
        <v>FY24-Q4</v>
      </c>
      <c r="AJ1" t="str">
        <f ca="1"/>
        <v>FY25-Q2</v>
      </c>
      <c r="AK1" t="str">
        <f ca="1"/>
        <v>FY25-Q4</v>
      </c>
      <c r="AL1" t="str">
        <f ca="1"/>
        <v>FY26-Q2</v>
      </c>
      <c r="AM1" t="str">
        <f ca="1"/>
        <v>FY26-Q3</v>
      </c>
      <c r="AN1" t="str">
        <f ca="1"/>
        <v>FY26-Q4</v>
      </c>
      <c r="AO1" t="str">
        <f ca="1"/>
        <v>FY27-Q1</v>
      </c>
      <c r="AP1" t="str">
        <f ca="1"/>
        <v>FY27-Q2</v>
      </c>
      <c r="AQ1" t="str">
        <f ca="1"/>
        <v>FY27-Q3</v>
      </c>
      <c r="AR1" t="str">
        <f ca="1"/>
        <v>Out-year</v>
      </c>
    </row>
    <row r="2" spans="1:44" x14ac:dyDescent="0.25">
      <c r="B2" s="10">
        <f>SUBTOTAL(9, View[Unweighted])/1000</f>
        <v>49.90754299999999</v>
      </c>
      <c r="C2" s="11">
        <f>SUBTOTAL(3,View[[🔗Customer ]])</f>
        <v>40</v>
      </c>
      <c r="D2" s="12">
        <f>(B2-(SUBTOTAL(9,View[Estmated Revenue])/1000))/B2</f>
        <v>0.50040809462409308</v>
      </c>
      <c r="E2" s="14">
        <f>SUMIFS(Opportunities[Amount],Opportunities[High Probability],TRUE,View[Visible],1)/1000/1000</f>
        <v>8.2428359999999987</v>
      </c>
      <c r="H2" t="s">
        <v>48</v>
      </c>
      <c r="I2">
        <f ca="1">IF(I1="","",COUNTIFS(View[Visible],1,View[Close Quarter],graphics!I1))</f>
        <v>6</v>
      </c>
      <c r="J2">
        <f ca="1">IF(J1="","",COUNTIFS(View[Visible],1,View[Close Quarter],graphics!J1))</f>
        <v>4</v>
      </c>
      <c r="K2">
        <f ca="1">IF(K1="","",COUNTIFS(View[Visible],1,View[Close Quarter],graphics!K1))</f>
        <v>5</v>
      </c>
      <c r="L2">
        <f ca="1">IF(L1="","",COUNTIFS(View[Visible],1,View[Close Quarter],graphics!L1))</f>
        <v>9</v>
      </c>
      <c r="M2">
        <f ca="1">IF(M1="","",COUNTIFS(View[Visible],1,View[Close Quarter],graphics!M1))</f>
        <v>5</v>
      </c>
      <c r="N2">
        <f ca="1">IF(N1="","",COUNTIFS(View[Visible],1,View[Close Quarter],graphics!N1))</f>
        <v>8</v>
      </c>
      <c r="Q2" t="str" cm="1">
        <f t="array" ref="Q2:Q7">(_xlfn._xlws.SORT(_xlfn.UNIQUE(View[Stage])))</f>
        <v>➀ - Lead Qualification</v>
      </c>
      <c r="R2" t="e">
        <f ca="1">IF(R$1="","",SUMIFS(View[Unweighted],View[Close Quarter],R$1,View[Stage],$Q2,View[Visible],1)/1000)</f>
        <v>#VALUE!</v>
      </c>
      <c r="S2">
        <f ca="1">IF(S$1="","",SUMIFS(View[Unweighted],View[Close Quarter],S$1,View[Stage],$Q2,View[Visible],1)/1000)</f>
        <v>2.2515150000000004</v>
      </c>
      <c r="T2">
        <f ca="1">IF(T$1="","",SUMIFS(View[Unweighted],View[Close Quarter],T$1,View[Stage],$Q2,View[Visible],1)/1000)</f>
        <v>1.21343</v>
      </c>
      <c r="U2">
        <f ca="1">IF(U$1="","",SUMIFS(View[Unweighted],View[Close Quarter],U$1,View[Stage],$Q2,View[Visible],1)/1000)</f>
        <v>7.1786390000000004</v>
      </c>
      <c r="V2">
        <f ca="1">IF(V$1="","",SUMIFS(View[Unweighted],View[Close Quarter],V$1,View[Stage],$Q2,View[Visible],1)/1000)</f>
        <v>1.310673</v>
      </c>
      <c r="W2">
        <f ca="1">IF(W$1="","",SUMIFS(View[Unweighted],View[Close Quarter],W$1,View[Stage],$Q2,View[Visible],1)/1000)</f>
        <v>0</v>
      </c>
      <c r="AF2" t="s">
        <v>76</v>
      </c>
      <c r="AG2" t="s">
        <v>25</v>
      </c>
      <c r="AH2" s="57">
        <f ca="1">SUMIFS(transactions[$m Unweighted],transactions[FQDisplay],AH$1,transactions[OpportunityStatus],$AG2)</f>
        <v>0</v>
      </c>
      <c r="AI2" s="57">
        <f ca="1">SUMIFS(transactions[$m Unweighted],transactions[FQDisplay],AI$1,transactions[OpportunityStatus],$AG2)</f>
        <v>0</v>
      </c>
      <c r="AJ2" s="57">
        <f ca="1">SUMIFS(transactions[$m Unweighted],transactions[FQDisplay],AJ$1,transactions[OpportunityStatus],$AG2)</f>
        <v>0</v>
      </c>
      <c r="AK2" s="57">
        <f ca="1">SUMIFS(transactions[$m Unweighted],transactions[FQDisplay],AK$1,transactions[OpportunityStatus],$AG2)</f>
        <v>0</v>
      </c>
      <c r="AL2" s="57">
        <f ca="1">SUMIFS(transactions[$m Unweighted],transactions[FQDisplay],AL$1,transactions[OpportunityStatus],$AG2)</f>
        <v>0</v>
      </c>
      <c r="AM2" s="57">
        <f ca="1">SUMIFS(transactions[$m Unweighted],transactions[FQDisplay],AM$1,transactions[OpportunityStatus],$AG2)</f>
        <v>0</v>
      </c>
    </row>
    <row r="3" spans="1:44" x14ac:dyDescent="0.25">
      <c r="B3" s="9" t="s">
        <v>26</v>
      </c>
      <c r="C3" s="9" t="s">
        <v>48</v>
      </c>
      <c r="D3" s="9" t="s">
        <v>27</v>
      </c>
      <c r="E3" s="62" t="s">
        <v>28</v>
      </c>
      <c r="H3" t="s">
        <v>43</v>
      </c>
      <c r="I3" s="4">
        <f ca="1">IF(I1="","",SUMIFS(View[Unweighted],View[Visible],1,View[Close Quarter],graphics!I$1)/1000)</f>
        <v>7.1651319999999998</v>
      </c>
      <c r="J3" s="4">
        <f ca="1">IF(J1="","",SUMIFS(View[Unweighted],View[Visible],1,View[Close Quarter],graphics!J$1)/1000)</f>
        <v>5.1743689999999996</v>
      </c>
      <c r="K3" s="4">
        <f ca="1">IF(K1="","",SUMIFS(View[Unweighted],View[Visible],1,View[Close Quarter],graphics!K$1)/1000)</f>
        <v>4.9361029999999992</v>
      </c>
      <c r="L3" s="4">
        <f ca="1">IF(L1="","",SUMIFS(View[Unweighted],View[Visible],1,View[Close Quarter],graphics!L$1)/1000)</f>
        <v>11.763051000000003</v>
      </c>
      <c r="M3" s="4">
        <f ca="1">IF(M1="","",SUMIFS(View[Unweighted],View[Visible],1,View[Close Quarter],graphics!M$1)/1000)</f>
        <v>7.7975040000000009</v>
      </c>
      <c r="N3" s="4">
        <f ca="1">IF(N1="","",SUMIFS(View[Unweighted],View[Visible],1,View[Close Quarter],graphics!N$1)/1000)</f>
        <v>9.2597330000000007</v>
      </c>
      <c r="Q3" t="str">
        <v>➁ - Nurturing</v>
      </c>
      <c r="R3" t="e">
        <f ca="1">IF(R$1="","",SUMIFS(View[Unweighted],View[Close Quarter],R$1,View[Stage],$Q3,View[Visible],1)/1000)</f>
        <v>#VALUE!</v>
      </c>
      <c r="S3">
        <f ca="1">IF(S$1="","",SUMIFS(View[Unweighted],View[Close Quarter],S$1,View[Stage],$Q3,View[Visible],1)/1000)</f>
        <v>1.8346640000000001</v>
      </c>
      <c r="T3">
        <f ca="1">IF(T$1="","",SUMIFS(View[Unweighted],View[Close Quarter],T$1,View[Stage],$Q3,View[Visible],1)/1000)</f>
        <v>1.1537249999999999</v>
      </c>
      <c r="U3">
        <f ca="1">IF(U$1="","",SUMIFS(View[Unweighted],View[Close Quarter],U$1,View[Stage],$Q3,View[Visible],1)/1000)</f>
        <v>3.4972870000000005</v>
      </c>
      <c r="V3">
        <f ca="1">IF(V$1="","",SUMIFS(View[Unweighted],View[Close Quarter],V$1,View[Stage],$Q3,View[Visible],1)/1000)</f>
        <v>1.0851759999999999</v>
      </c>
      <c r="W3">
        <f ca="1">IF(W$1="","",SUMIFS(View[Unweighted],View[Close Quarter],W$1,View[Stage],$Q3,View[Visible],1)/1000)</f>
        <v>2.2310050000000001</v>
      </c>
      <c r="AF3" t="s">
        <v>77</v>
      </c>
      <c r="AG3" t="s">
        <v>17</v>
      </c>
      <c r="AH3" s="57">
        <f ca="1">SUMIFS(transactions[$m Unweighted],transactions[FQDisplay],AH$1,transactions[OpportunityStatus],$AG3)</f>
        <v>0</v>
      </c>
      <c r="AI3" s="57">
        <f ca="1">SUMIFS(transactions[$m Unweighted],transactions[FQDisplay],AI$1,transactions[OpportunityStatus],$AG3)</f>
        <v>0</v>
      </c>
      <c r="AJ3" s="57">
        <f ca="1">SUMIFS(transactions[$m Unweighted],transactions[FQDisplay],AJ$1,transactions[OpportunityStatus],$AG3)</f>
        <v>0</v>
      </c>
      <c r="AK3" s="57">
        <f ca="1">SUMIFS(transactions[$m Unweighted],transactions[FQDisplay],AK$1,transactions[OpportunityStatus],$AG3)</f>
        <v>0</v>
      </c>
      <c r="AL3" s="57">
        <f ca="1">SUMIFS(transactions[$m Unweighted],transactions[FQDisplay],AL$1,transactions[OpportunityStatus],$AG3)</f>
        <v>0</v>
      </c>
      <c r="AM3" s="57">
        <f ca="1">SUMIFS(transactions[$m Unweighted],transactions[FQDisplay],AM$1,transactions[OpportunityStatus],$AG3)</f>
        <v>0</v>
      </c>
    </row>
    <row r="4" spans="1:44" x14ac:dyDescent="0.25">
      <c r="E4" s="63"/>
      <c r="H4" t="s">
        <v>41</v>
      </c>
      <c r="I4" s="4">
        <f ca="1">IF(I1="","",SUMIFS(View[Estmated Revenue],View[Visible],1,View[Close Quarter],graphics!I$1)/1000)</f>
        <v>2.8888832999999994</v>
      </c>
      <c r="J4" s="4">
        <f ca="1">IF(J1="","",SUMIFS(View[Estmated Revenue],View[Visible],1,View[Close Quarter],graphics!J$1)/1000)</f>
        <v>1.9402921000000002</v>
      </c>
      <c r="K4" s="4">
        <f ca="1">IF(K1="","",SUMIFS(View[Estmated Revenue],View[Visible],1,View[Close Quarter],graphics!K$1)/1000)</f>
        <v>1.8441901000000001</v>
      </c>
      <c r="L4" s="4">
        <f ca="1">IF(L1="","",SUMIFS(View[Estmated Revenue],View[Visible],1,View[Close Quarter],graphics!L$1)/1000)</f>
        <v>6.3651618000000019</v>
      </c>
      <c r="M4" s="4">
        <f ca="1">IF(M1="","",SUMIFS(View[Estmated Revenue],View[Visible],1,View[Close Quarter],graphics!M$1)/1000)</f>
        <v>4.7055840000000009</v>
      </c>
      <c r="N4" s="4">
        <f ca="1">IF(N1="","",SUMIFS(View[Estmated Revenue],View[Visible],1,View[Close Quarter],graphics!N$1)/1000)</f>
        <v>4.8825525000000001</v>
      </c>
      <c r="Q4" t="str">
        <v>➂ - Proposal</v>
      </c>
      <c r="R4" t="e">
        <f ca="1">IF(R$1="","",SUMIFS(View[Unweighted],View[Close Quarter],R$1,View[Stage],$Q4,View[Visible],1)/1000)</f>
        <v>#VALUE!</v>
      </c>
      <c r="S4">
        <f ca="1">IF(S$1="","",SUMIFS(View[Unweighted],View[Close Quarter],S$1,View[Stage],$Q4,View[Visible],1)/1000)</f>
        <v>2.6452529999999999</v>
      </c>
      <c r="T4">
        <f ca="1">IF(T$1="","",SUMIFS(View[Unweighted],View[Close Quarter],T$1,View[Stage],$Q4,View[Visible],1)/1000)</f>
        <v>0</v>
      </c>
      <c r="U4">
        <f ca="1">IF(U$1="","",SUMIFS(View[Unweighted],View[Close Quarter],U$1,View[Stage],$Q4,View[Visible],1)/1000)</f>
        <v>0</v>
      </c>
      <c r="V4">
        <f ca="1">IF(V$1="","",SUMIFS(View[Unweighted],View[Close Quarter],V$1,View[Stage],$Q4,View[Visible],1)/1000)</f>
        <v>0.94528400000000001</v>
      </c>
      <c r="W4">
        <f ca="1">IF(W$1="","",SUMIFS(View[Unweighted],View[Close Quarter],W$1,View[Stage],$Q4,View[Visible],1)/1000)</f>
        <v>2.9433639999999999</v>
      </c>
      <c r="AF4" t="s">
        <v>78</v>
      </c>
      <c r="AG4" t="s">
        <v>19</v>
      </c>
      <c r="AH4" s="57">
        <f ca="1">SUMIFS(transactions[$m Unweighted],transactions[FQDisplay],AH$1,transactions[OpportunityStatus],$AG4)</f>
        <v>0.14318400000000001</v>
      </c>
      <c r="AI4" s="57">
        <f ca="1">SUMIFS(transactions[$m Unweighted],transactions[FQDisplay],AI$1,transactions[OpportunityStatus],$AG4)</f>
        <v>0.14318400000000001</v>
      </c>
      <c r="AJ4" s="57">
        <f ca="1">SUMIFS(transactions[$m Unweighted],transactions[FQDisplay],AJ$1,transactions[OpportunityStatus],$AG4)</f>
        <v>0.14318400000000001</v>
      </c>
      <c r="AK4" s="57">
        <f ca="1">SUMIFS(transactions[$m Unweighted],transactions[FQDisplay],AK$1,transactions[OpportunityStatus],$AG4)</f>
        <v>0.26863424999999996</v>
      </c>
      <c r="AL4" s="57">
        <f ca="1">SUMIFS(transactions[$m Unweighted],transactions[FQDisplay],AL$1,transactions[OpportunityStatus],$AG4)</f>
        <v>0.26863424999999996</v>
      </c>
      <c r="AM4" s="57">
        <f ca="1">SUMIFS(transactions[$m Unweighted],transactions[FQDisplay],AM$1,transactions[OpportunityStatus],$AG4)</f>
        <v>9.9351571428571428E-2</v>
      </c>
    </row>
    <row r="5" spans="1:44" x14ac:dyDescent="0.25">
      <c r="Q5" t="str">
        <v>➃ - Negotiation</v>
      </c>
      <c r="R5" t="e">
        <f ca="1">IF(R$1="","",SUMIFS(View[Unweighted],View[Close Quarter],R$1,View[Stage],$Q5,View[Visible],1)/1000)</f>
        <v>#VALUE!</v>
      </c>
      <c r="S5">
        <f ca="1">IF(S$1="","",SUMIFS(View[Unweighted],View[Close Quarter],S$1,View[Stage],$Q5,View[Visible],1)/1000)</f>
        <v>0</v>
      </c>
      <c r="T5">
        <f ca="1">IF(T$1="","",SUMIFS(View[Unweighted],View[Close Quarter],T$1,View[Stage],$Q5,View[Visible],1)/1000)</f>
        <v>3.2537169999999995</v>
      </c>
      <c r="U5">
        <f ca="1">IF(U$1="","",SUMIFS(View[Unweighted],View[Close Quarter],U$1,View[Stage],$Q5,View[Visible],1)/1000)</f>
        <v>0</v>
      </c>
      <c r="V5">
        <f ca="1">IF(V$1="","",SUMIFS(View[Unweighted],View[Close Quarter],V$1,View[Stage],$Q5,View[Visible],1)/1000)</f>
        <v>0.76886500000000002</v>
      </c>
      <c r="W5">
        <f ca="1">IF(W$1="","",SUMIFS(View[Unweighted],View[Close Quarter],W$1,View[Stage],$Q5,View[Visible],1)/1000)</f>
        <v>0</v>
      </c>
    </row>
    <row r="6" spans="1:44" x14ac:dyDescent="0.25">
      <c r="Q6" t="str">
        <v>➄ - Project Execution</v>
      </c>
      <c r="R6" t="e">
        <f ca="1">IF(R$1="","",SUMIFS(View[Unweighted],View[Close Quarter],R$1,View[Stage],$Q6,View[Visible],1)/1000)</f>
        <v>#VALUE!</v>
      </c>
      <c r="S6">
        <f ca="1">IF(S$1="","",SUMIFS(View[Unweighted],View[Close Quarter],S$1,View[Stage],$Q6,View[Visible],1)/1000)</f>
        <v>2.5283009999999999</v>
      </c>
      <c r="T6">
        <f ca="1">IF(T$1="","",SUMIFS(View[Unweighted],View[Close Quarter],T$1,View[Stage],$Q6,View[Visible],1)/1000)</f>
        <v>2.1766320000000001</v>
      </c>
      <c r="U6">
        <f ca="1">IF(U$1="","",SUMIFS(View[Unweighted],View[Close Quarter],U$1,View[Stage],$Q6,View[Visible],1)/1000)</f>
        <v>1.0871249999999999</v>
      </c>
      <c r="V6">
        <f ca="1">IF(V$1="","",SUMIFS(View[Unweighted],View[Close Quarter],V$1,View[Stage],$Q6,View[Visible],1)/1000)</f>
        <v>0.82610499999999998</v>
      </c>
      <c r="W6">
        <f ca="1">IF(W$1="","",SUMIFS(View[Unweighted],View[Close Quarter],W$1,View[Stage],$Q6,View[Visible],1)/1000)</f>
        <v>0</v>
      </c>
    </row>
    <row r="7" spans="1:44" x14ac:dyDescent="0.25">
      <c r="Q7" t="str">
        <v>➅ - Closeout</v>
      </c>
      <c r="R7" t="e">
        <f ca="1">IF(R$1="","",SUMIFS(View[Unweighted],View[Close Quarter],R$1,View[Stage],$Q7,View[Visible],1)/1000)</f>
        <v>#VALUE!</v>
      </c>
      <c r="S7">
        <f ca="1">IF(S$1="","",SUMIFS(View[Unweighted],View[Close Quarter],S$1,View[Stage],$Q7,View[Visible],1)/1000)</f>
        <v>0</v>
      </c>
      <c r="T7">
        <f ca="1">IF(T$1="","",SUMIFS(View[Unweighted],View[Close Quarter],T$1,View[Stage],$Q7,View[Visible],1)/1000)</f>
        <v>0</v>
      </c>
      <c r="U7">
        <f ca="1">IF(U$1="","",SUMIFS(View[Unweighted],View[Close Quarter],U$1,View[Stage],$Q7,View[Visible],1)/1000)</f>
        <v>0</v>
      </c>
      <c r="V7">
        <f ca="1">IF(V$1="","",SUMIFS(View[Unweighted],View[Close Quarter],V$1,View[Stage],$Q7,View[Visible],1)/1000)</f>
        <v>0</v>
      </c>
      <c r="W7">
        <f ca="1">IF(W$1="","",SUMIFS(View[Unweighted],View[Close Quarter],W$1,View[Stage],$Q7,View[Visible],1)/1000)</f>
        <v>0</v>
      </c>
    </row>
    <row r="10" spans="1:44" x14ac:dyDescent="0.25">
      <c r="B10" t="s">
        <v>14</v>
      </c>
      <c r="C10" t="s">
        <v>48</v>
      </c>
      <c r="D10" t="s">
        <v>15</v>
      </c>
    </row>
    <row r="11" spans="1:44" x14ac:dyDescent="0.25">
      <c r="A11" t="str">
        <f>_xlfn.XLOOKUP(B11,stage[Display],stage[Stage Name])</f>
        <v>Lead Qualification</v>
      </c>
      <c r="B11" t="s">
        <v>378</v>
      </c>
      <c r="C11">
        <f>COUNTIFS(View[Stage],B11,View[Visible],1)</f>
        <v>9</v>
      </c>
      <c r="D11" s="17">
        <f>SUMIFS(View[Opp Value],View[Stage],B11,View[Visible],1)/1000</f>
        <v>11.954257000000002</v>
      </c>
    </row>
    <row r="12" spans="1:44" x14ac:dyDescent="0.25">
      <c r="A12" t="str">
        <f>_xlfn.XLOOKUP(B12,stage[Display],stage[Stage Name])</f>
        <v>Nurturing</v>
      </c>
      <c r="B12" t="s">
        <v>379</v>
      </c>
      <c r="C12">
        <f>COUNTIF(View[Stage],B12)</f>
        <v>8</v>
      </c>
      <c r="D12" s="17">
        <f>SUMIFS(View[Opp Value],View[Stage],B12,View[Visible],1)/1000</f>
        <v>9.801857</v>
      </c>
    </row>
    <row r="13" spans="1:44" x14ac:dyDescent="0.25">
      <c r="A13" t="str">
        <f>_xlfn.XLOOKUP(B13,stage[Display],stage[Stage Name])</f>
        <v>Proposal</v>
      </c>
      <c r="B13" t="s">
        <v>380</v>
      </c>
      <c r="C13">
        <f>COUNTIF(View[Stage],B13)</f>
        <v>8</v>
      </c>
      <c r="D13" s="17">
        <f>SUMIFS(View[Opp Value],View[Stage],B13,View[Visible],1)/1000</f>
        <v>9.1876230000000003</v>
      </c>
    </row>
    <row r="14" spans="1:44" x14ac:dyDescent="0.25">
      <c r="A14" t="str">
        <f>_xlfn.XLOOKUP(B14,stage[Display],stage[Stage Name])</f>
        <v>Negotiation</v>
      </c>
      <c r="B14" t="s">
        <v>381</v>
      </c>
      <c r="C14">
        <f>COUNTIF(View[Stage],B14)</f>
        <v>7</v>
      </c>
      <c r="D14" s="17">
        <f>SUMIFS(View[Opp Value],View[Stage],B14,View[Visible],1)/1000</f>
        <v>8.5339919999999978</v>
      </c>
    </row>
    <row r="15" spans="1:44" x14ac:dyDescent="0.25">
      <c r="A15" t="str">
        <f>_xlfn.XLOOKUP(B15,stage[Display],stage[Stage Name])</f>
        <v>Project Execution</v>
      </c>
      <c r="B15" t="s">
        <v>382</v>
      </c>
      <c r="C15">
        <f>COUNTIF(View[Stage],B15)</f>
        <v>6</v>
      </c>
      <c r="D15" s="17">
        <f>SUMIFS(View[Opp Value],View[Stage],B15,View[Visible],1)/1000</f>
        <v>8.4239240000000013</v>
      </c>
    </row>
    <row r="16" spans="1:44" x14ac:dyDescent="0.25">
      <c r="A16" t="str">
        <f>_xlfn.XLOOKUP(B16,stage[Display],stage[Stage Name])</f>
        <v>Closeout</v>
      </c>
      <c r="B16" t="s">
        <v>383</v>
      </c>
      <c r="C16">
        <f>COUNTIF(View[Stage],B16)</f>
        <v>2</v>
      </c>
      <c r="D16" s="17">
        <f>SUMIFS(View[Opp Value],View[Stage],B16,View[Visible],1)/1000</f>
        <v>2.00589</v>
      </c>
    </row>
    <row r="37" spans="47:53" s="32" customFormat="1" ht="52.5" customHeight="1" x14ac:dyDescent="0.25"/>
    <row r="38" spans="47:53" s="32" customFormat="1" ht="52.5" customHeight="1" x14ac:dyDescent="0.25"/>
    <row r="39" spans="47:53" s="32" customFormat="1" ht="52.5" customHeight="1" x14ac:dyDescent="0.25"/>
    <row r="40" spans="47:53" s="32" customFormat="1" ht="52.5" customHeight="1" x14ac:dyDescent="0.25">
      <c r="AU40" s="33"/>
      <c r="AV40" s="33"/>
      <c r="AW40" s="33"/>
      <c r="AX40" s="33"/>
      <c r="AY40" s="33"/>
      <c r="AZ40" s="33"/>
      <c r="BA40" s="33"/>
    </row>
    <row r="41" spans="47:53" s="32" customFormat="1" ht="52.5" customHeight="1" x14ac:dyDescent="0.25">
      <c r="AU41" s="33"/>
      <c r="AV41" s="33"/>
      <c r="AW41" s="33"/>
      <c r="AX41" s="33"/>
      <c r="AY41" s="33"/>
      <c r="AZ41" s="33"/>
      <c r="BA41" s="33"/>
    </row>
    <row r="42" spans="47:53" s="32" customFormat="1" ht="52.5" customHeight="1" x14ac:dyDescent="0.25">
      <c r="AU42" s="33"/>
      <c r="AV42" s="33"/>
      <c r="AW42" s="33"/>
      <c r="AX42" s="33"/>
      <c r="AY42" s="33"/>
      <c r="AZ42" s="33"/>
      <c r="BA42" s="33"/>
    </row>
    <row r="43" spans="47:53" s="32" customFormat="1" ht="52.5" customHeight="1" x14ac:dyDescent="0.25">
      <c r="AU43" s="33"/>
      <c r="AV43" s="33"/>
      <c r="AW43" s="33"/>
      <c r="AX43" s="33"/>
      <c r="AY43" s="33"/>
      <c r="AZ43" s="33"/>
      <c r="BA43" s="33"/>
    </row>
    <row r="44" spans="47:53" s="32" customFormat="1" ht="52.5" customHeight="1" x14ac:dyDescent="0.25">
      <c r="AU44" s="33"/>
      <c r="AV44" s="33"/>
      <c r="AW44" s="33"/>
      <c r="AX44" s="33"/>
      <c r="AY44" s="33"/>
      <c r="AZ44" s="33"/>
      <c r="BA44" s="33"/>
    </row>
    <row r="45" spans="47:53" s="32" customFormat="1" ht="52.5" customHeight="1" x14ac:dyDescent="0.25">
      <c r="AU45" s="33"/>
      <c r="AV45" s="33"/>
      <c r="AW45" s="33"/>
      <c r="AX45" s="33"/>
      <c r="AY45" s="33"/>
      <c r="AZ45" s="33"/>
      <c r="BA45" s="33"/>
    </row>
    <row r="46" spans="47:53" s="32" customFormat="1" ht="52.5" customHeight="1" x14ac:dyDescent="0.25">
      <c r="AU46" s="33"/>
      <c r="AV46" s="33"/>
      <c r="AW46" s="33"/>
      <c r="AX46" s="33"/>
      <c r="AY46" s="33"/>
      <c r="AZ46" s="33"/>
      <c r="BA46" s="33"/>
    </row>
    <row r="47" spans="47:53" s="32" customFormat="1" ht="52.5" customHeight="1" x14ac:dyDescent="0.25">
      <c r="AU47" s="33"/>
      <c r="AV47" s="33"/>
      <c r="AW47" s="33"/>
      <c r="AX47" s="33"/>
      <c r="AY47" s="33"/>
      <c r="AZ47" s="33"/>
      <c r="BA47" s="33"/>
    </row>
    <row r="48" spans="47:53" s="32" customFormat="1" ht="52.5" customHeight="1" x14ac:dyDescent="0.25">
      <c r="AU48" s="33"/>
      <c r="AV48" s="33"/>
      <c r="AW48" s="33"/>
      <c r="AX48" s="33"/>
      <c r="AY48" s="33"/>
      <c r="AZ48" s="33"/>
      <c r="BA48" s="33"/>
    </row>
    <row r="49" spans="47:53" s="32" customFormat="1" ht="52.5" customHeight="1" x14ac:dyDescent="0.25">
      <c r="AU49" s="33"/>
      <c r="AV49" s="33"/>
      <c r="AW49" s="33"/>
      <c r="AX49" s="33"/>
      <c r="AY49" s="33"/>
      <c r="AZ49" s="33"/>
      <c r="BA49" s="33"/>
    </row>
  </sheetData>
  <conditionalFormatting sqref="B2">
    <cfRule type="expression" dxfId="77" priority="6">
      <formula>deployType="Citizen"</formula>
    </cfRule>
  </conditionalFormatting>
  <conditionalFormatting sqref="C2">
    <cfRule type="expression" dxfId="76" priority="5">
      <formula>deployType="Citizen"</formula>
    </cfRule>
  </conditionalFormatting>
  <conditionalFormatting sqref="D2">
    <cfRule type="expression" dxfId="75" priority="4">
      <formula>deployType="Citizen"</formula>
    </cfRule>
  </conditionalFormatting>
  <conditionalFormatting sqref="E2">
    <cfRule type="expression" dxfId="74" priority="2">
      <formula>deployType="Citizen"</formula>
    </cfRule>
  </conditionalFormatting>
  <conditionalFormatting sqref="B3:E3">
    <cfRule type="expression" dxfId="73" priority="1">
      <formula>deployType="Citizen"</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2"/>
  <sheetViews>
    <sheetView workbookViewId="0"/>
  </sheetViews>
  <sheetFormatPr defaultRowHeight="15" x14ac:dyDescent="0.25"/>
  <cols>
    <col min="1" max="1" width="43.140625" style="34" bestFit="1" customWidth="1"/>
    <col min="6" max="12" width="53" style="33" customWidth="1"/>
  </cols>
  <sheetData>
    <row r="1" spans="1:12" x14ac:dyDescent="0.25">
      <c r="A1" s="34" t="str" cm="1">
        <f t="array" ref="A1:A9">_xlfn.VSTACK("Critical",_xlfn._xlws.FILTER(Opportunities[Display],Opportunities[Status]="Critical"),"","At Risk",_xlfn._xlws.FILTER(Opportunities[Display],Opportunities[Status]="At Risk"))</f>
        <v>Critical</v>
      </c>
      <c r="F1" s="35" t="str" cm="1">
        <f t="array" aca="1" ref="F1:L1" ca="1">TRANSPOSE(_xlfn.UNIQUE((_xlfn.SORTBY(View[Close Quarter],View[Close],1))))</f>
        <v>FY26-Q3</v>
      </c>
      <c r="G1" s="35" t="str">
        <f ca="1"/>
        <v>FY26-Q4</v>
      </c>
      <c r="H1" s="35" t="str">
        <f ca="1"/>
        <v>FY27-Q1</v>
      </c>
      <c r="I1" s="35" t="str">
        <f ca="1"/>
        <v>FY27-Q2</v>
      </c>
      <c r="J1" s="35" t="str">
        <f ca="1"/>
        <v>FY27-Q3</v>
      </c>
      <c r="K1" s="35" t="str">
        <f ca="1"/>
        <v>FY27-Q4</v>
      </c>
      <c r="L1" s="35" t="e">
        <f ca="1"/>
        <v>#VALUE!</v>
      </c>
    </row>
    <row r="2" spans="1:12" ht="45" x14ac:dyDescent="0.25">
      <c r="A2" s="34" t="str">
        <v>⮾ Telecommunications Inc
(Marketing Automation Platform)
 $1.2m • Proposal • Owner: Amanda Sales</v>
      </c>
      <c r="F2" s="33" t="str" cm="1">
        <f t="array" aca="1" ref="F2:F7" ca="1">_xlfn._xlws.FILTER(Opportunities[Display],Opportunities[Close Quarter]=tables!F1)</f>
        <v>✓ Hotel Management Group
(Supply Chain Optimization)
 $1.7m • Negotiation • Owner: Jennifer PM</v>
      </c>
      <c r="G2" s="33" t="str" cm="1">
        <f t="array" aca="1" ref="G2:G5" ca="1">_xlfn._xlws.FILTER(Opportunities[Display],Opportunities[Close Quarter]=tables!G1)</f>
        <v>✓ Education First
(Cloud Migration Initiative)
 $1.8m • Proposal • Owner: Robert Analyst</v>
      </c>
      <c r="H2" s="33" t="str" cm="1">
        <f t="array" aca="1" ref="H2:H6" ca="1">_xlfn._xlws.FILTER(Opportunities[Display],Opportunities[Close Quarter]=tables!H1)</f>
        <v>✓ Professional Services Group
(Digital Transformation Project)
 $0.8m • Project Execution • Owner: Robert Analyst</v>
      </c>
      <c r="I2" s="33" t="str" cm="1">
        <f t="array" aca="1" ref="I2:I10" ca="1">_xlfn._xlws.FILTER(Opportunities[Display],Opportunities[Close Quarter]=tables!I1)</f>
        <v>✓ Agricultural Systems
(ERP Implementation Project)
 $1.5m • Lead Qualification • Owner: Amanda Sales</v>
      </c>
      <c r="J2" s="33" t="str" cm="1">
        <f t="array" aca="1" ref="J2:J6" ca="1">_xlfn._xlws.FILTER(Opportunities[Display],Opportunities[Close Quarter]=tables!J1)</f>
        <v>✓ Real Estate Ventures
(Security Assessment &amp; Audit)
 $1.2m • Nurturing • Owner: David Specialist</v>
      </c>
      <c r="K2" s="33" t="str" cm="1">
        <f t="array" aca="1" ref="K2:K9" ca="1">_xlfn._xlws.FILTER(Opportunities[Display],Opportunities[Close Quarter]=tables!K1)</f>
        <v>✓ Food Service Partners
(Healthcare Data Analytics Platform)
 $1.2m • Proposal • Owner: Amanda Sales</v>
      </c>
      <c r="L2" s="33" t="e" cm="1">
        <f t="array" aca="1" ref="L2" ca="1">_xlfn._xlws.FILTER(Opportunities[Display],Opportunities[Close Quarter]=tables!L1)</f>
        <v>#VALUE!</v>
      </c>
    </row>
    <row r="3" spans="1:12" ht="45" x14ac:dyDescent="0.25">
      <c r="A3" s="34" t="str">
        <v>⮾ Transport Logistics
(Point of Sale System)
 $1.1m • Negotiation • Owner: David Specialist</v>
      </c>
      <c r="F3" s="33" t="str">
        <f ca="1"/>
        <v>✓ Sports &amp; Recreation
(HR Management System)
 $0.9m • Negotiation • Owner: Maria Coordinator</v>
      </c>
      <c r="G3" s="33" t="str">
        <f ca="1"/>
        <v>⮾ Telecommunications Inc
(Marketing Automation Platform)
 $1.2m • Proposal • Owner: Amanda Sales</v>
      </c>
      <c r="H3" s="33" t="str">
        <f ca="1"/>
        <v>⚠ Publishing House
(Customer Portal Development)
 $1.3m • Lead Qualification • Owner: Lisa Engineer</v>
      </c>
      <c r="I3" s="33" t="str">
        <f ca="1"/>
        <v>✓ Food Service Partners
(Manufacturing Automation System)
 $0.7m • Lead Qualification • Owner: Robert Analyst</v>
      </c>
      <c r="J3" s="33" t="str">
        <f ca="1"/>
        <v>⚠ Tech Solutions Inc
(Data Center Consolidation)
 $2.0m • Negotiation • Owner: David Specialist</v>
      </c>
      <c r="K3" s="33" t="str">
        <f ca="1"/>
        <v>✓ Media Communications
(Network Infrastructure Upgrade)
 $1.0m • Project Execution • Owner: Dr. Tech Advisor</v>
      </c>
    </row>
    <row r="4" spans="1:12" ht="45" x14ac:dyDescent="0.25">
      <c r="A4" s="34" t="str">
        <v/>
      </c>
      <c r="F4" s="33" t="str">
        <f ca="1"/>
        <v>⮾ Transport Logistics
(Point of Sale System)
 $1.1m • Negotiation • Owner: David Specialist</v>
      </c>
      <c r="G4" s="33" t="str">
        <f ca="1"/>
        <v>✓ Mining Operations
(Compliance Management Tool)
 $1.0m • Nurturing • Owner: Dr. Tech Advisor</v>
      </c>
      <c r="H4" s="33" t="str">
        <f ca="1"/>
        <v>✓ Consulting Experts
(Mobile Application Development)
 $1.1m • Nurturing • Owner: Amanda Sales</v>
      </c>
      <c r="I4" s="33" t="str">
        <f ca="1"/>
        <v>✓ Insurance Specialists
(Cybersecurity Enhancement)
 $1.1m • Project Execution • Owner: Dr. Tech Advisor</v>
      </c>
      <c r="J4" s="33" t="str">
        <f ca="1"/>
        <v>✓ Global Industries
(E-commerce Platform)
 $1.2m • Negotiation • Owner: Lisa Engineer</v>
      </c>
      <c r="K4" s="33" t="str">
        <f ca="1"/>
        <v>✓ Security Solutions
(Training &amp; Development Program)
 $1.5m • Project Execution • Owner: Sarah Director</v>
      </c>
    </row>
    <row r="5" spans="1:12" ht="60" x14ac:dyDescent="0.25">
      <c r="A5" s="34" t="str">
        <v>At Risk</v>
      </c>
      <c r="F5" s="33" t="str">
        <f ca="1"/>
        <v>✓ ACME Corporation
(Video Conferencing Solution)
 $0.8m • Negotiation • Owner: Mike Consultant</v>
      </c>
      <c r="G5" s="33" t="str">
        <f ca="1"/>
        <v>✓ Automotive Parts Plus
(Database Migration Project)
 $1.2m • Nurturing • Owner: Lisa Engineer</v>
      </c>
      <c r="H5" s="33" t="str">
        <f ca="1"/>
        <v>⚠ Environmental Services
(Quality Management System)
 $0.9m • Proposal • Owner: John Manager</v>
      </c>
      <c r="I5" s="33" t="str">
        <f ca="1"/>
        <v>✓ Global Industries
(Document Management System)
 $1.1m • Lead Qualification • Owner: John Manager</v>
      </c>
      <c r="J5" s="33" t="str">
        <f ca="1"/>
        <v>✓ ACME Corporation
(Website Redesign Project)
 $1.2m • Lead Qualification • Owner: Lisa Engineer</v>
      </c>
      <c r="K5" s="33" t="str">
        <f ca="1"/>
        <v>✓ Media Communications
(Project Management Software)
 $1.1m • Lead Qualification • Owner: Amanda Sales</v>
      </c>
    </row>
    <row r="6" spans="1:12" ht="45" x14ac:dyDescent="0.25">
      <c r="A6" s="34" t="str">
        <v>⚠ Publishing House
(Customer Portal Development)
 $1.3m • Lead Qualification • Owner: Lisa Engineer</v>
      </c>
      <c r="F6" s="33" t="str">
        <f ca="1"/>
        <v>✓ Waste Management Co
(Environmental Monitoring Solution)
 $0.7m • Proposal • Owner: Jennifer PM</v>
      </c>
      <c r="H6" s="33" t="str">
        <f ca="1"/>
        <v>⚠ Pharmaceutical Research
(Fleet Management System)
 $0.8m • Negotiation • Owner: Amanda Sales</v>
      </c>
      <c r="I6" s="33" t="str">
        <f ca="1"/>
        <v>✓ Construction Dynamics
(Financial Planning Software)
 $2.2m • Lead Qualification • Owner: Dr. Tech Advisor</v>
      </c>
      <c r="J6" s="33" t="str">
        <f ca="1"/>
        <v>✓ Tech Solutions Inc
(API Development Project)
 $2.2m • Project Execution • Owner: Jennifer PM</v>
      </c>
      <c r="K6" s="33" t="str">
        <f ca="1"/>
        <v>✓ Construction Dynamics
(Workflow Automation Tool)
 $1.8m • Nurturing • Owner: Amanda Sales</v>
      </c>
    </row>
    <row r="7" spans="1:12" ht="45" x14ac:dyDescent="0.25">
      <c r="A7" s="34" t="str">
        <v>⚠ Tech Solutions Inc
(Data Center Consolidation)
 $2.0m • Negotiation • Owner: David Specialist</v>
      </c>
      <c r="F7" s="33" t="str">
        <f ca="1"/>
        <v>✓ Tech Solutions Inc
(Safety Management System)
 $2.0m • Proposal • Owner: Dr. Tech Advisor</v>
      </c>
      <c r="I7" s="33" t="str">
        <f ca="1"/>
        <v>✓ Transport Logistics
(Inventory Management Solution)
 $1.5m • Nurturing • Owner: Sarah Director</v>
      </c>
      <c r="K7" s="33" t="str">
        <f ca="1"/>
        <v>✓ ACME Corporation
(Integration Services Project)
 $1.2m • Lead Qualification • Owner: Amanda Sales</v>
      </c>
    </row>
    <row r="8" spans="1:12" ht="45" x14ac:dyDescent="0.25">
      <c r="A8" s="34" t="str">
        <v>⚠ Environmental Services
(Quality Management System)
 $0.9m • Proposal • Owner: John Manager</v>
      </c>
      <c r="I8" s="33" t="str">
        <f ca="1"/>
        <v>✓ Global Industries
(Backup &amp; Recovery System)
 $1.7m • Lead Qualification • Owner: Amanda Sales</v>
      </c>
      <c r="K8" s="33" t="str">
        <f ca="1"/>
        <v>✓ Textile Manufacturing
(Legacy System Modernization)
 $0.9m • Proposal • Owner: Lisa Engineer</v>
      </c>
    </row>
    <row r="9" spans="1:12" ht="45" x14ac:dyDescent="0.25">
      <c r="A9" s="34" t="str">
        <v>⚠ Pharmaceutical Research
(Fleet Management System)
 $0.8m • Negotiation • Owner: Amanda Sales</v>
      </c>
      <c r="I9" s="33" t="str">
        <f ca="1"/>
        <v>✓ ACME Corporation
(Customer Service Platform)
 $1.2m • Nurturing • Owner: Maria Coordinator</v>
      </c>
      <c r="K9" s="33" t="str">
        <f ca="1"/>
        <v>✓ Pharmaceutical Research
(Machine Learning Implementation)
 $0.5m • Proposal • Owner: Mike Consultant</v>
      </c>
    </row>
    <row r="10" spans="1:12" ht="45" x14ac:dyDescent="0.25">
      <c r="I10" s="33" t="str">
        <f ca="1"/>
        <v>✓ Chemical Processing
(Performance Analytics Dashboard)
 $0.8m • Nurturing • Owner: Maria Coordinator</v>
      </c>
    </row>
    <row r="11" spans="1:12" ht="45" x14ac:dyDescent="0.25"/>
    <row r="12"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 Pipeline</vt:lpstr>
      <vt:lpstr>Roadmap</vt:lpstr>
      <vt:lpstr>Contacts</vt:lpstr>
      <vt:lpstr>Milestones</vt:lpstr>
      <vt:lpstr>⚡Risk Report </vt:lpstr>
      <vt:lpstr>⚙️ Settings</vt:lpstr>
      <vt:lpstr>🚀 Deploy</vt:lpstr>
      <vt:lpstr>recurrence</vt:lpstr>
      <vt:lpstr>Opportunities</vt:lpstr>
      <vt:lpstr>Customers</vt:lpstr>
      <vt:lpstr>graphics</vt:lpstr>
      <vt:lpstr>tables</vt:lpstr>
      <vt:lpstr>calendarType</vt:lpstr>
      <vt:lpstr>clientId</vt:lpstr>
      <vt:lpstr>contactList</vt:lpstr>
      <vt:lpstr>contactListAppend</vt:lpstr>
      <vt:lpstr>custList</vt:lpstr>
      <vt:lpstr>custListAppend</vt:lpstr>
      <vt:lpstr>dateRange</vt:lpstr>
      <vt:lpstr>deployType</vt:lpstr>
      <vt:lpstr>fqStart</vt:lpstr>
      <vt:lpstr>listPrefix</vt:lpstr>
      <vt:lpstr>milestoneList</vt:lpstr>
      <vt:lpstr>milestoneListAppend</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2025-08-13T19:27:40Z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