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
    </mc:Choice>
  </mc:AlternateContent>
  <xr:revisionPtr revIDLastSave="0" documentId="13_ncr:1_{2CBE8070-9C22-4FE7-A726-9ADD32C15DD0}" xr6:coauthVersionLast="47" xr6:coauthVersionMax="47" xr10:uidLastSave="{00000000-0000-0000-0000-000000000000}"/>
  <bookViews>
    <workbookView xWindow="19090" yWindow="-110" windowWidth="38620" windowHeight="21100" xr2:uid="{CDF61347-1E32-4F62-9AD6-B33051915A35}"/>
  </bookViews>
  <sheets>
    <sheet name="Pipeline" sheetId="4" r:id="rId1"/>
    <sheet name="Settings" sheetId="6" r:id="rId2"/>
    <sheet name="Opportunities" sheetId="3" state="hidden" r:id="rId3"/>
    <sheet name="Customers" sheetId="2" state="hidden" r:id="rId4"/>
    <sheet name="graphics" sheetId="5" state="hidden" r:id="rId5"/>
  </sheets>
  <definedNames>
    <definedName name="_xlchart.v2.0" hidden="1">graphics!$A$11:$A$16</definedName>
    <definedName name="_xlchart.v2.1" hidden="1">graphics!$C$11:$C$16</definedName>
    <definedName name="calendarType">Pipeline!$B$2</definedName>
    <definedName name="custList">Settings!$F$3</definedName>
    <definedName name="custListAppend">Settings!$E$3</definedName>
    <definedName name="dateRange">Pipeline!$D$2</definedName>
    <definedName name="ExternalData_1" localSheetId="3" hidden="1">'Customers'!$A$1:$N$6</definedName>
    <definedName name="ExternalData_2" localSheetId="2" hidden="1">Opportunities!$A$1:$T$6</definedName>
    <definedName name="ExternalData_3" localSheetId="0" hidden="1">Pipeline!$N$7:$N$12</definedName>
    <definedName name="fqStart">Settings!$B$1</definedName>
    <definedName name="listPrefix">Settings!$F$2</definedName>
    <definedName name="oppList">Settings!$F$4</definedName>
    <definedName name="oppListAppend">Settings!$E$4</definedName>
    <definedName name="pipelineType">Pipeline!$B$3</definedName>
    <definedName name="probabilityThreshold">Settings!$B$2</definedName>
    <definedName name="siteUrl">Settings!$F$1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4" l="1"/>
  <c r="D9" i="4"/>
  <c r="D10" i="4"/>
  <c r="D11" i="4"/>
  <c r="T11" i="4" s="1"/>
  <c r="D12" i="4"/>
  <c r="E8" i="4"/>
  <c r="E9" i="4"/>
  <c r="E10" i="4"/>
  <c r="E11" i="4"/>
  <c r="E12" i="4"/>
  <c r="F8" i="4"/>
  <c r="F9" i="4"/>
  <c r="F10" i="4"/>
  <c r="F11" i="4"/>
  <c r="F12" i="4"/>
  <c r="H8" i="4"/>
  <c r="H9" i="4"/>
  <c r="H10" i="4"/>
  <c r="H11" i="4"/>
  <c r="H12" i="4"/>
  <c r="I8" i="4"/>
  <c r="I9" i="4"/>
  <c r="I10" i="4"/>
  <c r="I11" i="4"/>
  <c r="I12" i="4"/>
  <c r="J8" i="4"/>
  <c r="J9" i="4"/>
  <c r="J10" i="4"/>
  <c r="S10" i="4" s="1"/>
  <c r="J11" i="4"/>
  <c r="J12" i="4"/>
  <c r="L8" i="4"/>
  <c r="P8" i="4" s="1"/>
  <c r="L9" i="4"/>
  <c r="P9" i="4" s="1"/>
  <c r="L10" i="4"/>
  <c r="L11" i="4"/>
  <c r="L12" i="4"/>
  <c r="P12" i="4" s="1"/>
  <c r="M8" i="4"/>
  <c r="M9" i="4"/>
  <c r="M10" i="4"/>
  <c r="M11" i="4"/>
  <c r="M12" i="4"/>
  <c r="O8" i="4"/>
  <c r="O9" i="4"/>
  <c r="O10" i="4"/>
  <c r="O11" i="4"/>
  <c r="O12" i="4"/>
  <c r="P10" i="4"/>
  <c r="P11" i="4"/>
  <c r="Q8" i="4"/>
  <c r="K8" i="4" s="1"/>
  <c r="Q9" i="4"/>
  <c r="K9" i="4" s="1"/>
  <c r="Q10" i="4"/>
  <c r="K10" i="4" s="1"/>
  <c r="Q11" i="4"/>
  <c r="K11" i="4" s="1"/>
  <c r="Q12" i="4"/>
  <c r="K12" i="4" s="1"/>
  <c r="R8" i="4"/>
  <c r="R9" i="4"/>
  <c r="R10" i="4"/>
  <c r="R11" i="4"/>
  <c r="R12" i="4"/>
  <c r="S8" i="4"/>
  <c r="S9" i="4"/>
  <c r="S11" i="4"/>
  <c r="S12" i="4"/>
  <c r="T8" i="4"/>
  <c r="T9" i="4"/>
  <c r="T10" i="4"/>
  <c r="T12" i="4"/>
  <c r="O2" i="2"/>
  <c r="O3" i="2"/>
  <c r="O4" i="2"/>
  <c r="O5" i="2"/>
  <c r="O6" i="2"/>
  <c r="P2" i="2"/>
  <c r="P3" i="2"/>
  <c r="P4" i="2"/>
  <c r="P5" i="2"/>
  <c r="P6" i="2"/>
  <c r="Q2" i="2"/>
  <c r="Q3" i="2"/>
  <c r="Q4" i="2"/>
  <c r="Q5" i="2"/>
  <c r="Q6" i="2"/>
  <c r="U2" i="3"/>
  <c r="U3" i="3"/>
  <c r="U4" i="3"/>
  <c r="U5" i="3"/>
  <c r="U6" i="3"/>
  <c r="V2" i="3"/>
  <c r="V3" i="3"/>
  <c r="V4" i="3"/>
  <c r="V5" i="3"/>
  <c r="V6" i="3"/>
  <c r="W2" i="3"/>
  <c r="W3" i="3"/>
  <c r="W4" i="3"/>
  <c r="W5" i="3"/>
  <c r="W6" i="3"/>
  <c r="X2" i="3"/>
  <c r="Y2" i="3" s="1"/>
  <c r="X3" i="3"/>
  <c r="X4" i="3"/>
  <c r="X5" i="3"/>
  <c r="X6" i="3"/>
  <c r="Y6" i="3" s="1"/>
  <c r="Y3" i="3"/>
  <c r="Y4" i="3"/>
  <c r="Y5" i="3"/>
  <c r="Z2" i="3"/>
  <c r="Z3" i="3"/>
  <c r="Z4" i="3"/>
  <c r="Z5" i="3"/>
  <c r="Z6" i="3"/>
  <c r="AA2" i="3" a="1"/>
  <c r="AA2" i="3" s="1"/>
  <c r="AA3" i="3" a="1"/>
  <c r="AA3" i="3"/>
  <c r="AA4" i="3" a="1"/>
  <c r="AA4" i="3" s="1"/>
  <c r="AA5" i="3" a="1"/>
  <c r="AA5" i="3"/>
  <c r="AA6" i="3" a="1"/>
  <c r="AA6" i="3" s="1"/>
  <c r="AB2" i="3"/>
  <c r="AB3" i="3"/>
  <c r="AB4" i="3"/>
  <c r="AB5" i="3"/>
  <c r="AB6" i="3"/>
  <c r="AC2" i="3"/>
  <c r="AC3" i="3"/>
  <c r="AC4" i="3"/>
  <c r="AC5" i="3"/>
  <c r="AC6" i="3"/>
  <c r="F3" i="6"/>
  <c r="D3" i="6" s="1"/>
  <c r="F4" i="6"/>
  <c r="D4" i="6" l="1"/>
  <c r="M4" i="4"/>
  <c r="M3" i="4"/>
  <c r="Q2" i="5" a="1"/>
  <c r="Q2" i="5" s="1"/>
  <c r="AH1" i="5" a="1"/>
  <c r="I1" i="5" a="1"/>
  <c r="R1" i="5" a="1"/>
  <c r="W7" i="5" l="1"/>
  <c r="S7" i="5"/>
  <c r="U6" i="5"/>
  <c r="W5" i="5"/>
  <c r="S5" i="5"/>
  <c r="U4" i="5"/>
  <c r="W3" i="5"/>
  <c r="S3" i="5"/>
  <c r="U2" i="5"/>
  <c r="V7" i="5"/>
  <c r="T6" i="5"/>
  <c r="V5" i="5"/>
  <c r="T4" i="5"/>
  <c r="V3" i="5"/>
  <c r="T2" i="5"/>
  <c r="V6" i="5"/>
  <c r="V4" i="5"/>
  <c r="T3" i="5"/>
  <c r="U7" i="5"/>
  <c r="W6" i="5"/>
  <c r="S6" i="5"/>
  <c r="U5" i="5"/>
  <c r="W4" i="5"/>
  <c r="S4" i="5"/>
  <c r="U3" i="5"/>
  <c r="W2" i="5"/>
  <c r="S2" i="5"/>
  <c r="T5" i="5"/>
  <c r="T7" i="5"/>
  <c r="V2" i="5"/>
  <c r="AH1" i="5"/>
  <c r="AK2" i="5"/>
  <c r="AI3" i="5"/>
  <c r="AM3" i="5"/>
  <c r="AK4" i="5"/>
  <c r="AL2" i="5"/>
  <c r="AJ3" i="5"/>
  <c r="AL4" i="5"/>
  <c r="AI2" i="5"/>
  <c r="AM2" i="5"/>
  <c r="AK3" i="5"/>
  <c r="AI4" i="5"/>
  <c r="AM4" i="5"/>
  <c r="AJ2" i="5"/>
  <c r="AL3" i="5"/>
  <c r="AJ4" i="5"/>
  <c r="I1" i="5"/>
  <c r="K2" i="5"/>
  <c r="L4" i="5"/>
  <c r="M3" i="5"/>
  <c r="M2" i="5"/>
  <c r="N4" i="5"/>
  <c r="J4" i="5"/>
  <c r="K3" i="5"/>
  <c r="L2" i="5"/>
  <c r="N3" i="5"/>
  <c r="N2" i="5"/>
  <c r="J2" i="5"/>
  <c r="K4" i="5"/>
  <c r="L3" i="5"/>
  <c r="M4" i="5"/>
  <c r="J3" i="5"/>
  <c r="R1" i="5"/>
  <c r="R6" i="5" l="1"/>
  <c r="R2" i="5"/>
  <c r="R7" i="5"/>
  <c r="R5" i="5"/>
  <c r="R3" i="5"/>
  <c r="R4" i="5"/>
  <c r="AH3" i="5"/>
  <c r="AH2" i="5"/>
  <c r="AH4" i="5"/>
  <c r="I2" i="5"/>
  <c r="I4" i="5"/>
  <c r="I3" i="5"/>
  <c r="C2" i="5" l="1"/>
  <c r="B11" i="5" a="1"/>
  <c r="E2" i="5"/>
  <c r="B2" i="5"/>
  <c r="D2" i="4"/>
  <c r="D13" i="5" l="1"/>
  <c r="D16" i="5"/>
  <c r="D12" i="5"/>
  <c r="D14" i="5"/>
  <c r="D15" i="5"/>
  <c r="D2" i="5"/>
  <c r="B11" i="5"/>
  <c r="A12" i="5"/>
  <c r="A16" i="5"/>
  <c r="A13" i="5"/>
  <c r="A15" i="5"/>
  <c r="A14" i="5"/>
  <c r="C13" i="5"/>
  <c r="C16" i="5"/>
  <c r="C12" i="5"/>
  <c r="C15" i="5"/>
  <c r="C14" i="5"/>
  <c r="A11" i="5" l="1"/>
  <c r="D11" i="5"/>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<sst xmlns="http://schemas.openxmlformats.org/spreadsheetml/2006/main" count="256" uniqueCount="188">
  <si>
    <t>Id</t>
  </si>
  <si>
    <t>Title</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</si>
  <si>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</si>
  <si>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</si>
  <si>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</si>
  <si>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</si>
  <si>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</si>
  <si>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</si>
  <si>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</si>
  <si>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</si>
  <si>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</si>
  <si>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</si>
  <si>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</si>
  <si>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</si>
  <si>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</si>
  <si>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</si>
  <si>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</si>
  <si>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</si>
  <si>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Close Date</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</si>
  <si>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</si>
  <si>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</si>
  <si>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</si>
  <si>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</si>
  <si>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</si>
  <si>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</si>
  <si>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</si>
  <si>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</si>
  <si>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</si>
  <si>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</si>
  <si>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</si>
  <si>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</si>
  <si>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</si>
  <si>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</si>
  <si>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</si>
  <si>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</si>
  <si>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</si>
  <si>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</si>
  <si>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</si>
  <si>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</si>
  <si>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</si>
  <si>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</si>
  <si>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</si>
  <si>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</si>
  <si>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</si>
  <si>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</si>
  <si>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</si>
  <si>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</si>
  <si>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Active Opportunities</t>
  </si>
  <si>
    <t>Probability Threshold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</si>
  <si>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</si>
  <si>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</si>
  <si>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</si>
  <si>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</si>
  <si>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</si>
  <si>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</si>
  <si>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</si>
  <si>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</si>
  <si>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</si>
  <si>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</si>
  <si>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"displayname": "Contact Information",</t>
  </si>
  <si>
    <t xml:space="preserve">            "fields": [</t>
  </si>
  <si>
    <t xml:space="preserve">                "Name",</t>
  </si>
  <si>
    <t xml:space="preserve">                "Customer",</t>
  </si>
  <si>
    <t xml:space="preserve">                "Opportunity Owner"</t>
  </si>
  <si>
    <t xml:space="preserve">            ]</t>
  </si>
  <si>
    <t xml:space="preserve">        },</t>
  </si>
  <si>
    <t xml:space="preserve">            "displayname": "Status",</t>
  </si>
  <si>
    <t xml:space="preserve">                "Status",</t>
  </si>
  <si>
    <t xml:space="preserve">                "Stage",</t>
  </si>
  <si>
    <t xml:space="preserve">                "Next Milestone",</t>
  </si>
  <si>
    <t xml:space="preserve">                "Next Milestone Date"</t>
  </si>
  <si>
    <t xml:space="preserve">            "displayname": "Financial Details",</t>
  </si>
  <si>
    <t xml:space="preserve">                "Amount",</t>
  </si>
  <si>
    <t xml:space="preserve">                "Probability",</t>
  </si>
  <si>
    <t xml:space="preserve">                "Close",</t>
  </si>
  <si>
    <t xml:space="preserve">                "Owner"</t>
  </si>
  <si>
    <t xml:space="preserve">            "displayname": "",</t>
  </si>
  <si>
    <t xml:space="preserve">                "Comment Log"</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</si>
  <si>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</si>
  <si>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</si>
  <si>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</si>
  <si>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</si>
  <si>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</si>
  <si>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</si>
  <si>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</si>
  <si>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</si>
  <si>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</si>
  <si>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</si>
  <si>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</si>
  <si>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</si>
  <si>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</si>
  <si>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</si>
  <si>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</si>
  <si>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</si>
  <si>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</si>
  <si>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</si>
  <si>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</si>
  <si>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</si>
  <si>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</si>
  <si>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</si>
  <si>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</si>
  <si>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</si>
  <si>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</si>
  <si>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Opportunity Value</t>
  </si>
  <si>
    <t>Win Probability</t>
  </si>
  <si>
    <t>Estmated Revenue</t>
  </si>
  <si>
    <t>Expected Revenue</t>
  </si>
  <si>
    <t xml:space="preserve"> 🔗Opportunity</t>
  </si>
  <si>
    <t>Medium</t>
  </si>
  <si>
    <t>High</t>
  </si>
  <si>
    <t>Low</t>
  </si>
  <si>
    <t>Customer Name</t>
  </si>
  <si>
    <t>Column1</t>
  </si>
  <si>
    <t>Opportunity Name</t>
  </si>
  <si>
    <t>Opportunity Owner</t>
  </si>
  <si>
    <t>Next Milestone Date</t>
  </si>
  <si>
    <t>CustomerNameId</t>
  </si>
  <si>
    <t>CustomerName</t>
  </si>
  <si>
    <t>Stage Name</t>
  </si>
  <si>
    <t>Value</t>
  </si>
  <si>
    <t>Global Industries</t>
  </si>
  <si>
    <t>OpportunityOwner</t>
  </si>
  <si>
    <t>OpportunityStage</t>
  </si>
  <si>
    <t>OpportunityName</t>
  </si>
  <si>
    <t>NAICSSector</t>
  </si>
  <si>
    <t>CustomerStatus</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</si>
  <si>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</si>
  <si>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</si>
  <si>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</si>
  <si>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</si>
  <si>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</si>
  <si>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</si>
  <si>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</si>
  <si>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</si>
  <si>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</si>
  <si>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</si>
  <si>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</si>
  <si>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</si>
  <si>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</si>
  <si>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</si>
  <si>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</si>
  <si>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</si>
  <si>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</si>
  <si>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541511</t>
  </si>
  <si>
    <t>John Smith</t>
  </si>
  <si>
    <t>Jane Doe</t>
  </si>
  <si>
    <t>VP Sales</t>
  </si>
  <si>
    <t>Bob Wilson</t>
  </si>
  <si>
    <t>https://globalindustries.com</t>
  </si>
  <si>
    <t>336411</t>
  </si>
  <si>
    <t>Prospect</t>
  </si>
  <si>
    <t>Sarah Johnson</t>
  </si>
  <si>
    <t>Director</t>
  </si>
  <si>
    <t>Mike Brown</t>
  </si>
  <si>
    <t>Manager</t>
  </si>
  <si>
    <t>Lisa Davis</t>
  </si>
  <si>
    <t>Coordinator</t>
  </si>
  <si>
    <t>Tech Solutions Inc</t>
  </si>
  <si>
    <t>https://techsolutions.com</t>
  </si>
  <si>
    <t>541512</t>
  </si>
  <si>
    <t>Founder</t>
  </si>
  <si>
    <t>Emily Chen</t>
  </si>
  <si>
    <t>COO</t>
  </si>
  <si>
    <t>Alex Rodriguez</t>
  </si>
  <si>
    <t>CFO</t>
  </si>
  <si>
    <t>Manufacturing Plus</t>
  </si>
  <si>
    <t>https://manufacturingplus.com</t>
  </si>
  <si>
    <t>332710</t>
  </si>
  <si>
    <t>Robert Taylor</t>
  </si>
  <si>
    <t>Plant Manager</t>
  </si>
  <si>
    <t>Jennifer White</t>
  </si>
  <si>
    <t>Operations Director</t>
  </si>
  <si>
    <t>Mark Thompson</t>
  </si>
  <si>
    <t>Quality Manager</t>
  </si>
  <si>
    <t>Healthcare Partners</t>
  </si>
  <si>
    <t>https://healthcarepartners.com</t>
  </si>
  <si>
    <t>621111</t>
  </si>
  <si>
    <t>Dr. Maria Garcia</t>
  </si>
  <si>
    <t>James Anderson</t>
  </si>
  <si>
    <t>Administrator</t>
  </si>
  <si>
    <t>Susan Miller</t>
  </si>
  <si>
    <t>Finance Director</t>
  </si>
  <si>
    <t>CustomerIdId</t>
  </si>
  <si>
    <t>CustomerRecordUrl</t>
  </si>
  <si>
    <t>CustomerRecordURL</t>
  </si>
  <si>
    <t>prefix</t>
  </si>
  <si>
    <t>crm</t>
  </si>
  <si>
    <t>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</si>
</sst>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5"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b/>
      <u/>
      <sz val="11"/>
      <color theme="10"/>
      <name val="Aptos Narrow"/>
      <family val="2"/>
      <scheme val="minor"/>
    </font>
    <font>
      <sz val="11"/>
      <color theme="1" tint="0.499984740745262"/>
      <name val="Aptos Narrow"/>
      <family val="2"/>
      <scheme val="minor"/>
    </font>
    <font>
      <u/>
      <sz val="11"/>
      <color theme="0"/>
      <name val="Aptos Narrow"/>
      <family val="2"/>
      <scheme val="minor"/>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44">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0" borderId="0" xfId="0" applyAlignment="1">
      <alignment horizontal="right" indent="1"/>
    </xf>
    <xf numFmtId="0" fontId="12" fillId="0" borderId="0" xfId="4" applyNumberFormat="1" applyFont="1" applyAlignment="1">
      <alignment horizontal="left" indent="1"/>
    </xf>
    <xf numFmtId="0" fontId="0" fillId="0" borderId="0" xfId="0" applyAlignment="1">
      <alignment horizontal="left" indent="1"/>
    </xf>
    <xf numFmtId="0" fontId="5" fillId="0" borderId="0" xfId="4" applyNumberFormat="1" applyAlignment="1">
      <alignment horizontal="left" indent="1"/>
    </xf>
    <xf numFmtId="164" fontId="5" fillId="0" borderId="0" xfId="4" applyNumberFormat="1" applyAlignment="1">
      <alignment horizontal="lef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9" fontId="0" fillId="2" borderId="0" xfId="3" applyFont="1" applyFill="1" applyAlignment="1" applyProtection="1">
      <alignment horizontal="left" indent="2"/>
      <protection locked="0"/>
    </xf>
    <xf numFmtId="0" fontId="5" fillId="2" borderId="0" xfId="4" applyFill="1" applyAlignment="1" applyProtection="1">
      <alignment horizontal="left" indent="1"/>
      <protection locked="0"/>
    </xf>
    <xf numFmtId="0" fontId="0" fillId="0" borderId="0" xfId="0" applyProtection="1">
      <protection locked="0"/>
    </xf>
    <xf numFmtId="0" fontId="13" fillId="2" borderId="0" xfId="0" applyFont="1" applyFill="1" applyAlignment="1">
      <alignment horizontal="left" indent="1"/>
    </xf>
    <xf numFmtId="0" fontId="13" fillId="0" borderId="0" xfId="0" applyFont="1"/>
    <xf numFmtId="0" fontId="0" fillId="0" borderId="0" xfId="0" applyAlignment="1" applyProtection="1">
      <alignment horizontal="right"/>
      <protection locked="0"/>
    </xf>
    <xf numFmtId="0" fontId="14" fillId="4" borderId="0" xfId="4" applyFont="1" applyFill="1" applyAlignment="1">
      <alignment horizontal="right" indent="1"/>
    </xf>
  </cellXfs>
  <cellStyles count="5">
    <cellStyle name="Comma" xfId="1" builtinId="3"/>
    <cellStyle name="Currency" xfId="2" builtinId="4"/>
    <cellStyle name="Hyperlink" xfId="4" builtinId="8"/>
    <cellStyle name="Normal" xfId="0" builtinId="0"/>
    <cellStyle name="Percent" xfId="3" builtinId="5"/>
  </cellStyles>
  <dxfs count="45">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i val="0"/>
        <strike val="0"/>
        <condense val="0"/>
        <extend val="0"/>
        <outline val="0"/>
        <shadow val="0"/>
        <u/>
        <vertAlign val="baseline"/>
        <sz val="11"/>
        <color theme="10"/>
        <name val="Aptos Narrow"/>
        <family val="2"/>
        <scheme val="minor"/>
      </font>
      <numFmt numFmtId="0" formatCode="Genera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2"/>
                <c:pt idx="0">
                  <c:v>FY26-Q1</c:v>
                </c:pt>
                <c:pt idx="1">
                  <c:v>FY26-Q2</c:v>
                </c:pt>
              </c:strCache>
            </c:strRef>
          </c:cat>
          <c:val>
            <c:numRef>
              <c:f>graphics!$I$3:$N$3</c:f>
              <c:numCache>
                <c:formatCode>"$"\ #,##0.0"k"</c:formatCode>
                <c:ptCount val="6"/>
                <c:pt idx="0">
                  <c:v>0.125</c:v>
                </c:pt>
                <c:pt idx="1">
                  <c:v>0.54</c:v>
                </c:pt>
                <c:pt idx="2">
                  <c:v>0</c:v>
                </c:pt>
                <c:pt idx="3">
                  <c:v>0</c:v>
                </c:pt>
                <c:pt idx="4">
                  <c:v>0</c:v>
                </c:pt>
                <c:pt idx="5">
                  <c:v>0</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2"/>
                <c:pt idx="0">
                  <c:v>FY26-Q1</c:v>
                </c:pt>
                <c:pt idx="1">
                  <c:v>FY26-Q2</c:v>
                </c:pt>
              </c:strCache>
            </c:strRef>
          </c:cat>
          <c:val>
            <c:numRef>
              <c:f>graphics!$I$4:$N$4</c:f>
              <c:numCache>
                <c:formatCode>"$"\ #,##0.0"k"</c:formatCode>
                <c:ptCount val="6"/>
                <c:pt idx="0">
                  <c:v>0.1125</c:v>
                </c:pt>
                <c:pt idx="1">
                  <c:v>0.33400000000000002</c:v>
                </c:pt>
                <c:pt idx="2">
                  <c:v>0</c:v>
                </c:pt>
                <c:pt idx="3">
                  <c:v>0</c:v>
                </c:pt>
                <c:pt idx="4">
                  <c:v>0</c:v>
                </c:pt>
                <c:pt idx="5">
                  <c:v>0</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2"/>
                <c:pt idx="0">
                  <c:v>FY26-Q1</c:v>
                </c:pt>
                <c:pt idx="1">
                  <c:v>FY26-Q2</c:v>
                </c:pt>
              </c:strCache>
            </c:strRef>
          </c:cat>
          <c:val>
            <c:numRef>
              <c:f>graphics!$I$2:$N$2</c:f>
              <c:numCache>
                <c:formatCode>General</c:formatCode>
                <c:ptCount val="6"/>
                <c:pt idx="0">
                  <c:v>1</c:v>
                </c:pt>
                <c:pt idx="1">
                  <c:v>4</c:v>
                </c:pt>
                <c:pt idx="2">
                  <c:v>0</c:v>
                </c:pt>
                <c:pt idx="3">
                  <c:v>0</c:v>
                </c:pt>
                <c:pt idx="4">
                  <c:v>0</c:v>
                </c:pt>
                <c:pt idx="5">
                  <c:v>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2"/>
                <c:pt idx="0">
                  <c:v>FY26-Q2</c:v>
                </c:pt>
                <c:pt idx="1">
                  <c:v>FY26-Q1</c:v>
                </c:pt>
              </c:strCache>
            </c:strRef>
          </c:cat>
          <c:val>
            <c:numRef>
              <c:f>graphics!$AH$2:$AM$2</c:f>
              <c:numCache>
                <c:formatCode>"$"\ 0.0"k"</c:formatCode>
                <c:ptCount val="6"/>
                <c:pt idx="0">
                  <c:v>0.18</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2"/>
                <c:pt idx="0">
                  <c:v>FY26-Q2</c:v>
                </c:pt>
                <c:pt idx="1">
                  <c:v>FY26-Q1</c:v>
                </c:pt>
              </c:strCache>
            </c:strRef>
          </c:cat>
          <c:val>
            <c:numRef>
              <c:f>graphics!$AH$3:$AM$3</c:f>
              <c:numCache>
                <c:formatCode>"$"\ 0.0"k"</c:formatCode>
                <c:ptCount val="6"/>
                <c:pt idx="0">
                  <c:v>7.4999999999999997E-2</c:v>
                </c:pt>
                <c:pt idx="1">
                  <c:v>0</c:v>
                </c:pt>
                <c:pt idx="2">
                  <c:v>0</c:v>
                </c:pt>
                <c:pt idx="3">
                  <c:v>0</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2"/>
                <c:pt idx="0">
                  <c:v>FY26-Q2</c:v>
                </c:pt>
                <c:pt idx="1">
                  <c:v>FY26-Q1</c:v>
                </c:pt>
              </c:strCache>
            </c:strRef>
          </c:cat>
          <c:val>
            <c:numRef>
              <c:f>graphics!$AH$4:$AM$4</c:f>
              <c:numCache>
                <c:formatCode>"$"\ 0.0"k"</c:formatCode>
                <c:ptCount val="6"/>
                <c:pt idx="0">
                  <c:v>0.28499999999999998</c:v>
                </c:pt>
                <c:pt idx="1">
                  <c:v>0.125</c:v>
                </c:pt>
                <c:pt idx="2">
                  <c:v>0</c:v>
                </c:pt>
                <c:pt idx="3">
                  <c:v>0</c:v>
                </c:pt>
                <c:pt idx="4">
                  <c:v>0</c:v>
                </c:pt>
                <c:pt idx="5">
                  <c:v>0</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2"/>
                <c:pt idx="0">
                  <c:v>FY26-Q1</c:v>
                </c:pt>
                <c:pt idx="1">
                  <c:v>FY26-Q2</c:v>
                </c:pt>
              </c:strCache>
            </c:strRef>
          </c:cat>
          <c:val>
            <c:numRef>
              <c:f>graphics!$I$3:$N$3</c:f>
              <c:numCache>
                <c:formatCode>"$"\ #,##0.0"k"</c:formatCode>
                <c:ptCount val="6"/>
                <c:pt idx="0">
                  <c:v>0.125</c:v>
                </c:pt>
                <c:pt idx="1">
                  <c:v>0.54</c:v>
                </c:pt>
                <c:pt idx="2">
                  <c:v>0</c:v>
                </c:pt>
                <c:pt idx="3">
                  <c:v>0</c:v>
                </c:pt>
                <c:pt idx="4">
                  <c:v>0</c:v>
                </c:pt>
                <c:pt idx="5">
                  <c:v>0</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2"/>
                <c:pt idx="0">
                  <c:v>FY26-Q1</c:v>
                </c:pt>
                <c:pt idx="1">
                  <c:v>FY26-Q2</c:v>
                </c:pt>
              </c:strCache>
            </c:strRef>
          </c:cat>
          <c:val>
            <c:numRef>
              <c:f>graphics!$I$4:$N$4</c:f>
              <c:numCache>
                <c:formatCode>"$"\ #,##0.0"k"</c:formatCode>
                <c:ptCount val="6"/>
                <c:pt idx="0">
                  <c:v>0.1125</c:v>
                </c:pt>
                <c:pt idx="1">
                  <c:v>0.33400000000000002</c:v>
                </c:pt>
                <c:pt idx="2">
                  <c:v>0</c:v>
                </c:pt>
                <c:pt idx="3">
                  <c:v>0</c:v>
                </c:pt>
                <c:pt idx="4">
                  <c:v>0</c:v>
                </c:pt>
                <c:pt idx="5">
                  <c:v>0</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2"/>
                <c:pt idx="0">
                  <c:v>FY26-Q1</c:v>
                </c:pt>
                <c:pt idx="1">
                  <c:v>FY26-Q2</c:v>
                </c:pt>
              </c:strCache>
            </c:strRef>
          </c:cat>
          <c:val>
            <c:numRef>
              <c:f>graphics!$I$2:$N$2</c:f>
              <c:numCache>
                <c:formatCode>General</c:formatCode>
                <c:ptCount val="6"/>
                <c:pt idx="0">
                  <c:v>1</c:v>
                </c:pt>
                <c:pt idx="1">
                  <c:v>4</c:v>
                </c:pt>
                <c:pt idx="2">
                  <c:v>0</c:v>
                </c:pt>
                <c:pt idx="3">
                  <c:v>0</c:v>
                </c:pt>
                <c:pt idx="4">
                  <c:v>0</c:v>
                </c:pt>
                <c:pt idx="5">
                  <c:v>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2"/>
                <c:pt idx="0">
                  <c:v>FY26-Q2</c:v>
                </c:pt>
                <c:pt idx="1">
                  <c:v>FY26-Q1</c:v>
                </c:pt>
              </c:strCache>
            </c:strRef>
          </c:cat>
          <c:val>
            <c:numRef>
              <c:f>graphics!$AH$2:$AM$2</c:f>
              <c:numCache>
                <c:formatCode>"$"\ 0.0"k"</c:formatCode>
                <c:ptCount val="6"/>
                <c:pt idx="0">
                  <c:v>0.18</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2"/>
                <c:pt idx="0">
                  <c:v>FY26-Q2</c:v>
                </c:pt>
                <c:pt idx="1">
                  <c:v>FY26-Q1</c:v>
                </c:pt>
              </c:strCache>
            </c:strRef>
          </c:cat>
          <c:val>
            <c:numRef>
              <c:f>graphics!$AH$3:$AM$3</c:f>
              <c:numCache>
                <c:formatCode>"$"\ 0.0"k"</c:formatCode>
                <c:ptCount val="6"/>
                <c:pt idx="0">
                  <c:v>7.4999999999999997E-2</c:v>
                </c:pt>
                <c:pt idx="1">
                  <c:v>0</c:v>
                </c:pt>
                <c:pt idx="2">
                  <c:v>0</c:v>
                </c:pt>
                <c:pt idx="3">
                  <c:v>0</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2"/>
                <c:pt idx="0">
                  <c:v>FY26-Q2</c:v>
                </c:pt>
                <c:pt idx="1">
                  <c:v>FY26-Q1</c:v>
                </c:pt>
              </c:strCache>
            </c:strRef>
          </c:cat>
          <c:val>
            <c:numRef>
              <c:f>graphics!$AH$4:$AM$4</c:f>
              <c:numCache>
                <c:formatCode>"$"\ 0.0"k"</c:formatCode>
                <c:ptCount val="6"/>
                <c:pt idx="0">
                  <c:v>0.28499999999999998</c:v>
                </c:pt>
                <c:pt idx="1">
                  <c:v>0.125</c:v>
                </c:pt>
                <c:pt idx="2">
                  <c:v>0</c:v>
                </c:pt>
                <c:pt idx="3">
                  <c:v>0</c:v>
                </c:pt>
                <c:pt idx="4">
                  <c:v>0</c:v>
                </c:pt>
                <c:pt idx="5">
                  <c:v>0</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663575</xdr:colOff>
      <xdr:row>6</xdr:row>
      <xdr:rowOff>22225</xdr:rowOff>
    </xdr:from>
    <xdr:to>
      <xdr:col>2</xdr:col>
      <xdr:colOff>1501775</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1</xdr:col>
      <xdr:colOff>530225</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415332</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51"/>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1482725</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46500"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1501775</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1504950</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33</xdr:col>
      <xdr:colOff>0</xdr:colOff>
      <xdr:row>7</xdr:row>
      <xdr:rowOff>0</xdr:rowOff>
    </xdr:from>
    <xdr:to>
      <xdr:col>38</xdr:col>
      <xdr:colOff>606425</xdr:colOff>
      <xdr:row>16</xdr:row>
      <xdr:rowOff>114300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10" unboundColumnsRight="6">
    <queryTableFields count="17">
      <queryTableField id="23" dataBound="0" tableColumnId="13"/>
      <queryTableField id="4" dataBound="0" tableColumnId="4"/>
      <queryTableField id="3" dataBound="0" tableColumnId="3"/>
      <queryTableField id="33" dataBound="0" tableColumnId="6"/>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06" unboundColumnsRight="9">
    <queryTableFields count="29">
      <queryTableField id="2" name="Id" tableColumnId="2"/>
      <queryTableField id="8" name="Title" tableColumnId="8"/>
      <queryTableField id="100" name="OpportunityName" tableColumnId="13"/>
      <queryTableField id="19" name="Status" tableColumnId="19"/>
      <queryTableField id="89" name="OpportunityOwner" tableColumnId="9"/>
      <queryTableField id="90" name="OpportunityStage" tableColumnId="10"/>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2" name="CustomerIdId" tableColumnId="14"/>
      <queryTableField id="77" name="Opportunity Name" tableColumnId="1"/>
      <queryTableField id="21" name="Stage" tableColumnId="21"/>
      <queryTableField id="78" name="Opportunity Owner" tableColumnId="3"/>
      <queryTableField id="79" name="Next Milestone" tableColumnId="4"/>
      <queryTableField id="80" name="Next Milestone Date" tableColumnId="5"/>
      <queryTableField id="81" name="CustomerNameId" tableColumnId="6"/>
      <queryTableField id="82" name="CustomerName" tableColumnId="7"/>
      <queryTableField id="71" name="Comment Log" tableColumnId="53"/>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62" unboundColumnsRight="3">
    <queryTableFields count="17">
      <queryTableField id="1" name="Id" tableColumnId="1"/>
      <queryTableField id="2" name="Title" tableColumnId="2"/>
      <queryTableField id="42" name="CustomerName" tableColumnId="12"/>
      <queryTableField id="26" name="Url" tableColumnId="20"/>
      <queryTableField id="43" name="NAICSSector" tableColumnId="13"/>
      <queryTableField id="44" name="CustomerStatus" tableColumnId="14"/>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T12" tableType="queryTable" totalsRowShown="0">
  <autoFilter ref="D7:T12" xr:uid="{B35EA62C-D81E-48BA-B2FB-27C4C61792D5}"/>
  <tableColumns count="17">
    <tableColumn id="13" xr3:uid="{147FBFBE-2CFC-486E-B125-6D8C29F38818}" uniqueName="13" name="S" queryTableFieldId="23" dataDxfId="13">
      <calculatedColumnFormula>_xlfn.XLOOKUP(View[[#This Row],[Id]],Opportunities[Id],Opportunities[status symbol])</calculatedColumnFormula>
    </tableColumn>
    <tableColumn id="4" xr3:uid="{D0C93997-AE18-4F2C-9498-E378F0368CD3}" uniqueName="4" name=" 🔗Opportunity" queryTableFieldId="4" dataDxfId="12"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11" dataCellStyle="Hyperlink">
      <calculatedColumnFormula>HYPERLINK(_xlfn.XLOOKUP(View[[#This Row],[Id]],Opportunities[Id],Opportunities[CustomerRecordURL]),_xlfn.XLOOKUP(View[[#This Row],[Id]],Opportunities[Id],Opportunities[Customer Name]))</calculatedColumnFormula>
    </tableColumn>
    <tableColumn id="6" xr3:uid="{985F170D-84B1-4F45-BA51-5DE411321071}" uniqueName="6" name="Column1" queryTableFieldId="33" dataDxfId="10" dataCellStyle="Hyperlink"/>
    <tableColumn id="5" xr3:uid="{BE8EE8B1-D066-4E99-BDBA-DD40A4432652}" uniqueName="5" name="Stage" queryTableFieldId="5" dataDxfId="9" dataCellStyle="Normal">
      <calculatedColumnFormula>_xlfn.XLOOKUP(View[[#This Row],[Id]],Opportunities[Id],Opportunities[DisplayStage])</calculatedColumnFormula>
    </tableColumn>
    <tableColumn id="7" xr3:uid="{36D3885A-765B-43F4-B223-18E0110E7BAC}" uniqueName="7" name="Opportunity Value" queryTableFieldId="7" dataDxfId="8"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7" dataCellStyle="Percent">
      <calculatedColumnFormula>_xlfn.XLOOKUP(View[[#This Row],[Id]],Opportunities[Id],Opportunities[Probability])</calculatedColumnFormula>
    </tableColumn>
    <tableColumn id="2" xr3:uid="{CEE680CE-7B28-4425-8EF9-E8A1C22CD40F}" uniqueName="2" name="Expected Revenue" queryTableFieldId="31" dataDxfId="6" dataCellStyle="Percent">
      <calculatedColumnFormula>View[[#This Row],[Estmated Revenue]]</calculatedColumnFormula>
    </tableColumn>
    <tableColumn id="10" xr3:uid="{B7055589-582D-4A7C-ACCD-633272C194D8}" uniqueName="10" name="Close Date" queryTableFieldId="10" dataDxfId="5" dataCellStyle="Percent">
      <calculatedColumnFormula>_xlfn.XLOOKUP(View[[#This Row],[Id]],Opportunities[Id],Opportunities[Close])</calculatedColumnFormula>
    </tableColumn>
    <tableColumn id="20" xr3:uid="{59C0ACCC-1D82-45A6-AFAA-3712BAC86C84}" uniqueName="20" name="Last Comment" queryTableFieldId="30" dataDxfId="4"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3" dataCellStyle="Percent">
      <calculatedColumnFormula>_xlfn.XLOOKUP(View[[#This Row],[Id]],Opportunities[Id],Opportunities[Next Milestone Date])-TODAY()</calculatedColumnFormula>
    </tableColumn>
    <tableColumn id="9" xr3:uid="{52FF3CBA-17BB-47F5-85A3-2DEE8B12587C}" uniqueName="9" name="Close Quarter" queryTableFieldId="9" dataDxfId="2">
      <calculatedColumnFormula>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calculatedColumnFormula>
    </tableColumn>
    <tableColumn id="14" xr3:uid="{07448A78-D3A9-4A09-89B7-13C1C1A6E61A}" uniqueName="14" name="Estmated Revenue" queryTableFieldId="24" dataDxfId="1" dataCellStyle="Comma">
      <calculatedColumnFormula>_xlfn.XLOOKUP(View[[#This Row],[Id]],Opportunities[Id],Opportunities[Weighted])/1000</calculatedColumnFormula>
    </tableColumn>
    <tableColumn id="15" xr3:uid="{FBDC7969-7E8D-49D4-8066-6E0E6F1203F0}" uniqueName="15" name="Unweighted" queryTableFieldId="25" dataDxfId="0">
      <calculatedColumnFormula>_xlfn.XLOOKUP(View[[#This Row],[Id]],Opportunities[Id],Opportunities[Amount])/1000</calculatedColumnFormula>
    </tableColumn>
    <tableColumn id="16" xr3:uid="{EF89BB7F-252B-45F9-8123-82BF9FB66AF0}" uniqueName="16" name="High Probability" queryTableFieldId="26" dataDxfId="44">
      <calculatedColumnFormula>View[[#This Row],[Win Probability]]&gt;=probabilityThreshold</calculatedColumnFormula>
    </tableColumn>
    <tableColumn id="17" xr3:uid="{4BD52F12-45D4-4BCC-83AA-14BDE7142C90}" uniqueName="17" name="Visible" queryTableFieldId="27" dataDxfId="43">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I1:J7" totalsRowShown="0" headerRowDxfId="42" dataDxfId="41">
  <autoFilter ref="I1:J7" xr:uid="{798014A7-9B70-4B09-AE44-5A5C555476EA}"/>
  <tableColumns count="2">
    <tableColumn id="1" xr3:uid="{4A0C0D5E-C576-4851-BAD7-E1720F55F59A}" name="Stage Name" dataDxfId="40"/>
    <tableColumn id="2" xr3:uid="{AE651EA8-D54C-41D9-9B8B-F22570081D8A}" name="Index" dataDxfId="3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A4:B7" totalsRowShown="0" headerRowDxfId="38" dataDxfId="37">
  <autoFilter ref="A4:B7" xr:uid="{7A50DF75-ED41-40F4-8782-A0EFFD2E6988}"/>
  <tableColumns count="2">
    <tableColumn id="1" xr3:uid="{3B8690D0-B449-4F2C-BFA1-0D9AAF577107}" name="Win Probability" dataDxfId="36"/>
    <tableColumn id="2" xr3:uid="{E4A73AC8-36BB-4D8D-934C-54FE86976EC9}" name="Value" dataDxfId="35"/>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C6" tableType="queryTable" totalsRowShown="0">
  <autoFilter ref="A1:AC6" xr:uid="{8BF0481C-9C4B-466A-BDA0-DD8E3D98821B}"/>
  <tableColumns count="29">
    <tableColumn id="2" xr3:uid="{B70370C5-B6AF-449E-960D-FFB9104BBF2B}" uniqueName="2" name="Id" queryTableFieldId="2"/>
    <tableColumn id="8" xr3:uid="{076C53C6-7FD8-46FB-BFD9-2C36F2D160A2}" uniqueName="8" name="Title" queryTableFieldId="8"/>
    <tableColumn id="13" xr3:uid="{256666E2-96C2-471E-974D-0D6F52C20BED}" uniqueName="13" name="OpportunityName" queryTableFieldId="100"/>
    <tableColumn id="19" xr3:uid="{D73E5052-B78D-4CCD-A875-182E21F867EB}" uniqueName="19" name="Status" queryTableFieldId="19"/>
    <tableColumn id="9" xr3:uid="{97DA2E30-FF84-4D59-8B7D-0FB3CF4EF53C}" uniqueName="9" name="OpportunityOwner" queryTableFieldId="89"/>
    <tableColumn id="10" xr3:uid="{A0ABBC98-D8C9-41ED-A78A-D3EBEA1B0E41}" uniqueName="10" name="OpportunityStage" queryTableFieldId="90"/>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tableColumn id="11" xr3:uid="{0D6E2E89-0B8C-4024-A956-046F884205B4}" uniqueName="11" name="NextMilestoneDate" queryTableFieldId="91"/>
    <tableColumn id="12" xr3:uid="{8D70269A-7D67-4EE3-B02A-4A7CC88A1D52}" uniqueName="12" name="NextMilestone" queryTableFieldId="92"/>
    <tableColumn id="14" xr3:uid="{27849972-0BF5-470C-AAE7-2E74152E82D1}" uniqueName="14" name="CustomerIdId" queryTableFieldId="102"/>
    <tableColumn id="1" xr3:uid="{254B017E-314B-4387-AA93-6D2E887ADD09}" uniqueName="1" name="Opportunity Name" queryTableFieldId="77"/>
    <tableColumn id="21" xr3:uid="{FA79FF91-3521-45AF-95C6-8165274CE5C6}" uniqueName="21" name="Stage" queryTableFieldId="21"/>
    <tableColumn id="3" xr3:uid="{ED19AFB1-4646-47CE-A862-9E79BD20E866}" uniqueName="3" name="Opportunity Owner" queryTableFieldId="78"/>
    <tableColumn id="4" xr3:uid="{BB6D78D8-3C82-4343-BB90-B3BED9E4FB34}" uniqueName="4" name="Next Milestone" queryTableFieldId="79"/>
    <tableColumn id="5" xr3:uid="{B7D3A98E-3FE3-4AA9-852E-EB647D1847E6}" uniqueName="5" name="Next Milestone Date" queryTableFieldId="80"/>
    <tableColumn id="6" xr3:uid="{9EFC6C6E-7CCF-44CE-B9E2-92CE1E0146DD}" uniqueName="6" name="CustomerNameId" queryTableFieldId="81"/>
    <tableColumn id="7" xr3:uid="{E3702C3B-1380-4EC3-A908-A944A535525A}" uniqueName="7" name="CustomerName" queryTableFieldId="82"/>
    <tableColumn id="53" xr3:uid="{8B6F3023-16EE-4A61-9C62-F78DACC9B311}" uniqueName="53" name="Comment Log" queryTableFieldId="71"/>
    <tableColumn id="34" xr3:uid="{A794F34A-F2E4-4230-B129-BE7EF53921FE}" uniqueName="34" name="FQ" queryTableFieldId="43" dataDxfId="34">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33">
      <calculatedColumnFormula>"CY"&amp;RIGHT(YEAR(Opportunities[[#This Row],[Close]]),2)&amp;"-Q"&amp;ROUNDUP(MONTH(Opportunities[[#This Row],[Close]])/3, 0)</calculatedColumnFormula>
    </tableColumn>
    <tableColumn id="31" xr3:uid="{AFAB2CEE-41EC-476B-8EF4-F01AEE459A32}" uniqueName="31" name="url" queryTableFieldId="40" dataDxfId="32">
      <calculatedColumnFormula>siteUrl&amp;"/Lists/"&amp;oppList&amp;"/DispForm.aspx?ID="&amp;Opportunities[[#This Row],[Id]]</calculatedColumnFormula>
    </tableColumn>
    <tableColumn id="40" xr3:uid="{8BD6C9BB-E6FD-4E8E-A509-12D471DAA77F}" uniqueName="40" name="StageNumber" queryTableFieldId="54" dataDxfId="31">
      <calculatedColumnFormula>_xlfn.XLOOKUP(Opportunities[[#This Row],[OpportunityStage]],stage[Stage Name],stage[Index],"")</calculatedColumnFormula>
    </tableColumn>
    <tableColumn id="41" xr3:uid="{EDB4C612-1CC1-4B3C-B38D-DFE04A906351}" uniqueName="41" name="DisplayStage" queryTableFieldId="55" dataDxfId="30">
      <calculatedColumnFormula>Opportunities[[#This Row],[StageNumber]]&amp;" - "&amp;Opportunities[[#This Row],[OpportunityStage]]</calculatedColumnFormula>
    </tableColumn>
    <tableColumn id="52" xr3:uid="{29FD805D-0C67-486B-AABC-E086612B3426}" uniqueName="52" name="Weighted" queryTableFieldId="70" dataDxfId="29">
      <calculatedColumnFormula>Opportunities[[#This Row],[Amount]]*_xlfn.XLOOKUP(Opportunities[[#This Row],[Probability]],prob[Win Probability],prob[Value])</calculatedColumnFormula>
    </tableColumn>
    <tableColumn id="56" xr3:uid="{9E365C66-70DC-4C5C-893A-3785B1B9D44C}" uniqueName="56" name="status symbol" queryTableFieldId="76" dataDxfId="28">
      <calculatedColumnFormula array="1">_xlfn.SWITCH(Opportunities[[#This Row],[Status]],"At Risk","⚠","Active","✓","⮾")</calculatedColumnFormula>
    </tableColumn>
    <tableColumn id="15" xr3:uid="{952135CC-0409-4FA2-BB0A-34668B61689B}" uniqueName="15" name="Customer Name" queryTableFieldId="104" dataDxfId="27">
      <calculatedColumnFormula>_xlfn.XLOOKUP(Opportunities[[#This Row],[CustomerIdId]],Customers[Id],Customers[CustomerName])</calculatedColumnFormula>
    </tableColumn>
    <tableColumn id="16" xr3:uid="{812C7365-FD2B-4EFB-8119-BF4F00253961}" uniqueName="16" name="CustomerRecordURL" queryTableFieldId="105" dataDxfId="26">
      <calculatedColumnFormula>_xlfn.XLOOKUP(Opportunities[[#This Row],[CustomerIdId]],Customers[Id],Customers[url2])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Q6" tableType="queryTable" totalsRowShown="0">
  <autoFilter ref="A1:Q6" xr:uid="{AE464801-8CE7-41B6-B2AB-6D69477B150E}"/>
  <tableColumns count="17">
    <tableColumn id="1" xr3:uid="{2305243C-9291-4758-997F-C45BB134350E}" uniqueName="1" name="Id" queryTableFieldId="1"/>
    <tableColumn id="2" xr3:uid="{1D7AD566-FEAA-4988-9FEE-E54A26670368}" uniqueName="2" name="Title" queryTableFieldId="2"/>
    <tableColumn id="12" xr3:uid="{8192AB74-4CD9-4744-A7BE-9D6668B9730B}" uniqueName="12" name="CustomerName" queryTableFieldId="42"/>
    <tableColumn id="20" xr3:uid="{3EC9ACD4-AC06-433C-B023-B0859024C43F}" uniqueName="20" name="Url" queryTableFieldId="26"/>
    <tableColumn id="13" xr3:uid="{EE8E38D1-D1C5-43FF-9844-E2BA0B6A5B12}" uniqueName="13" name="NAICSSector" queryTableFieldId="43"/>
    <tableColumn id="14" xr3:uid="{A3AA5C52-7B2B-491A-9CF5-B3B9A3145385}" uniqueName="14" name="CustomerStatus" queryTableFieldId="44"/>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5">
      <calculatedColumnFormula>siteUrl&amp;"/Lists/"&amp;custList&amp;"/DispForm.aspx?ID="&amp;Customers[[#This Row],[Id]]</calculatedColumnFormula>
    </tableColumn>
    <tableColumn id="23" xr3:uid="{F1BC9043-195B-408B-8596-3FE166B5CF78}" uniqueName="23" name="Customer Name" queryTableFieldId="60" dataDxfId="24">
      <calculatedColumnFormula>_xlfn.XLOOKUP(Customers[[#This Row],[Id]],Customers[Id],Customers[CustomerName])</calculatedColumnFormula>
    </tableColumn>
    <tableColumn id="24" xr3:uid="{388F5F30-FCA2-45B0-938D-A8DFAA1EFCA9}" uniqueName="24" name="CustomerRecordUrl" queryTableFieldId="61" dataDxfId="23">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W12"/>
  <sheetViews>
    <sheetView showGridLines="0" tabSelected="1" zoomScale="85" zoomScaleNormal="85" workbookViewId="0">
      <selection activeCell="D7" sqref="D7:T12"/>
    </sheetView>
  </sheetViews>
  <sheetFormatPr defaultRowHeight="15" outlineLevelCol="1" x14ac:dyDescent="0.25"/>
  <cols>
    <col min="1" max="1" width="20.42578125" bestFit="1" customWidth="1"/>
    <col min="2" max="2" width="14.85546875" customWidth="1"/>
    <col min="3" max="3" width="23.7109375" customWidth="1"/>
    <col min="4" max="4" width="6.5703125" bestFit="1" customWidth="1"/>
    <col min="5" max="5" width="33.5703125" bestFit="1" customWidth="1"/>
    <col min="6" max="6" width="20" bestFit="1" customWidth="1"/>
    <col min="7" max="7" width="11.7109375" bestFit="1" customWidth="1"/>
    <col min="8" max="8" width="21.42578125" bestFit="1" customWidth="1"/>
    <col min="9" max="9" width="19.85546875" bestFit="1" customWidth="1"/>
    <col min="10" max="10" width="17.140625" bestFit="1" customWidth="1"/>
    <col min="11" max="11" width="20.42578125" bestFit="1" customWidth="1"/>
    <col min="12" max="12" width="13.42578125" bestFit="1" customWidth="1"/>
    <col min="13" max="13" width="16.5703125" bestFit="1" customWidth="1"/>
    <col min="14" max="14" width="5.42578125" hidden="1" customWidth="1" outlineLevel="1"/>
    <col min="15" max="15" width="17.140625" hidden="1" customWidth="1" outlineLevel="1"/>
    <col min="16" max="16" width="16" hidden="1" customWidth="1" outlineLevel="1"/>
    <col min="17" max="17" width="20.5703125" hidden="1" customWidth="1" outlineLevel="1"/>
    <col min="18" max="18" width="14.28515625" hidden="1" customWidth="1" outlineLevel="1"/>
    <col min="19" max="19" width="17.7109375" hidden="1" customWidth="1" outlineLevel="1"/>
    <col min="20" max="20" width="9.140625" hidden="1" customWidth="1" collapsed="1"/>
  </cols>
  <sheetData>
    <row r="1" spans="1:23" ht="21" x14ac:dyDescent="0.35">
      <c r="A1" s="26" t="s">
        <v>99</v>
      </c>
      <c r="D1" s="7" t="s">
        <v>46</v>
      </c>
      <c r="E1" s="7"/>
      <c r="F1" s="7"/>
      <c r="G1" s="7"/>
      <c r="H1" s="8"/>
      <c r="I1" s="9"/>
      <c r="J1" s="7"/>
      <c r="K1" s="7"/>
      <c r="L1" s="7"/>
      <c r="M1" s="7"/>
      <c r="N1" s="7"/>
      <c r="O1" s="7"/>
      <c r="P1" s="7"/>
      <c r="Q1" s="7"/>
      <c r="R1" s="7"/>
      <c r="S1" s="17"/>
      <c r="W1" s="21"/>
    </row>
    <row r="2" spans="1:23" x14ac:dyDescent="0.25">
      <c r="A2" s="20" t="s">
        <v>39</v>
      </c>
      <c r="B2" s="6" t="s">
        <v>33</v>
      </c>
      <c r="D2" s="10" t="str">
        <f>_xlfn.XLOOKUP(SUBTOTAL(5,View[Close Date]),View[Close Date],View[Close Quarter]) &amp;" to " &amp; _xlfn.XLOOKUP(SUBTOTAL(4,View[Close Date]),View[Close Date],View[Close Quarter])</f>
        <v>FY26-Q1 to FY26-Q2</v>
      </c>
      <c r="E2" s="10"/>
      <c r="F2" s="10"/>
      <c r="G2" s="10"/>
      <c r="H2" s="10"/>
      <c r="I2" s="10"/>
      <c r="J2" s="10"/>
      <c r="K2" s="10"/>
      <c r="L2" s="10"/>
      <c r="M2" s="10"/>
      <c r="N2" s="10"/>
      <c r="O2" s="10"/>
      <c r="P2" s="10"/>
      <c r="Q2" s="10"/>
      <c r="R2" s="10"/>
      <c r="S2" s="17"/>
    </row>
    <row r="3" spans="1:23" x14ac:dyDescent="0.25">
      <c r="A3" s="20" t="s">
        <v>44</v>
      </c>
      <c r="B3" s="6" t="s">
        <v>45</v>
      </c>
      <c r="M3" s="19" t="str">
        <f>HYPERLINK(siteUrl&amp;"Lists/"&amp;custList&amp;"/NewForm.aspx?","New Customer")</f>
        <v>New Customer</v>
      </c>
    </row>
    <row r="4" spans="1:23" x14ac:dyDescent="0.25">
      <c r="A4" s="23" t="s">
        <v>93</v>
      </c>
      <c r="M4" s="19" t="str">
        <f>HYPERLINK(siteUrl&amp;"Lists/"&amp;oppList&amp;"/NewForm.aspx?","New Opportunity")</f>
        <v>New Opportunity</v>
      </c>
    </row>
    <row r="5" spans="1:23" x14ac:dyDescent="0.25">
      <c r="A5" s="24" t="s">
        <v>92</v>
      </c>
    </row>
    <row r="7" spans="1:23" x14ac:dyDescent="0.25">
      <c r="D7" s="11" t="s">
        <v>97</v>
      </c>
      <c r="E7" s="12" t="s">
        <v>107</v>
      </c>
      <c r="F7" s="12" t="s">
        <v>51</v>
      </c>
      <c r="G7" s="12" t="s">
        <v>112</v>
      </c>
      <c r="H7" s="12" t="s">
        <v>15</v>
      </c>
      <c r="I7" s="12" t="s">
        <v>103</v>
      </c>
      <c r="J7" s="12" t="s">
        <v>104</v>
      </c>
      <c r="K7" s="12" t="s">
        <v>106</v>
      </c>
      <c r="L7" s="12" t="s">
        <v>18</v>
      </c>
      <c r="M7" s="12" t="s">
        <v>98</v>
      </c>
      <c r="N7" s="12" t="s">
        <v>0</v>
      </c>
      <c r="O7" s="12" t="s">
        <v>42</v>
      </c>
      <c r="P7" s="12" t="s">
        <v>32</v>
      </c>
      <c r="Q7" s="12" t="s">
        <v>105</v>
      </c>
      <c r="R7" s="12" t="s">
        <v>45</v>
      </c>
      <c r="S7" s="12" t="s">
        <v>30</v>
      </c>
      <c r="T7" t="s">
        <v>49</v>
      </c>
    </row>
    <row r="8" spans="1:23" x14ac:dyDescent="0.25">
      <c r="D8" s="30" t="str">
        <f>_xlfn.XLOOKUP(View[[#This Row],[Id]],Opportunities[Id],Opportunities[status symbol])</f>
        <v>✓</v>
      </c>
      <c r="E8" s="33" t="str">
        <f>HYPERLINK(siteUrl&amp;"Lists/"&amp;oppList&amp;"/DispForm.aspx?ID="&amp;View[[#This Row],[Id]],_xlfn.XLOOKUP(View[[#This Row],[Id]],Opportunities[Id],Opportunities[OpportunityName]))</f>
        <v>ERP Implementation Project</v>
      </c>
      <c r="F8" s="34" t="str">
        <f>HYPERLINK(_xlfn.XLOOKUP(View[[#This Row],[Id]],Opportunities[Id],Opportunities[CustomerRecordURL]),_xlfn.XLOOKUP(View[[#This Row],[Id]],Opportunities[Id],Opportunities[Customer Name]))</f>
        <v>ACME Corporation</v>
      </c>
      <c r="G8" s="33"/>
      <c r="H8" s="32" t="str">
        <f>_xlfn.XLOOKUP(View[[#This Row],[Id]],Opportunities[Id],Opportunities[DisplayStage])</f>
        <v>3 - Proposal</v>
      </c>
      <c r="I8" s="1">
        <f>IF(pipelineType="Unweighted",_xlfn.XLOOKUP(View[[#This Row],[Id]],Opportunities[Id],Opportunities[Amount])/1000,_xlfn.XLOOKUP(View[[#This Row],[Id]],Opportunities[Id],Opportunities[Weighted])/1000)</f>
        <v>125</v>
      </c>
      <c r="J8" s="28" t="str">
        <f>_xlfn.XLOOKUP(View[[#This Row],[Id]],Opportunities[Id],Opportunities[Probability])</f>
        <v>High</v>
      </c>
      <c r="K8" s="29">
        <f>View[[#This Row],[Estmated Revenue]]</f>
        <v>112.5</v>
      </c>
      <c r="L8" s="2">
        <f>_xlfn.XLOOKUP(View[[#This Row],[Id]],Opportunities[Id],Opportunities[Close])</f>
        <v>45924.40415509259</v>
      </c>
      <c r="M8" s="25" t="str">
        <f>IF(_xlfn.XLOOKUP(View[[#This Row],[Id]],Opportunities[Id],Opportunities[Comment Log])=0,"",_xlfn.XLOOKUP(View[[#This Row],[Id]],Opportunities[Id],Opportunities[Comment Log]))</f>
        <v/>
      </c>
      <c r="N8">
        <v>6</v>
      </c>
      <c r="O8" s="3">
        <f ca="1">_xlfn.XLOOKUP(View[[#This Row],[Id]],Opportunities[Id],Opportunities[Next Milestone Date])-TODAY()</f>
        <v>-45879</v>
      </c>
      <c r="P8" s="32"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FY26-Q1</v>
      </c>
      <c r="Q8" s="1">
        <f>_xlfn.XLOOKUP(View[[#This Row],[Id]],Opportunities[Id],Opportunities[Weighted])/1000</f>
        <v>112.5</v>
      </c>
      <c r="R8" s="4">
        <f>_xlfn.XLOOKUP(View[[#This Row],[Id]],Opportunities[Id],Opportunities[Amount])/1000</f>
        <v>125</v>
      </c>
      <c r="S8" t="b">
        <f>View[[#This Row],[Win Probability]]&gt;=probabilityThreshold</f>
        <v>1</v>
      </c>
      <c r="T8">
        <f>SUBTOTAL(103, View[[#This Row],[S]])</f>
        <v>1</v>
      </c>
    </row>
    <row r="9" spans="1:23" x14ac:dyDescent="0.25">
      <c r="D9" s="30" t="str">
        <f>_xlfn.XLOOKUP(View[[#This Row],[Id]],Opportunities[Id],Opportunities[status symbol])</f>
        <v>⚠</v>
      </c>
      <c r="E9" s="33" t="str">
        <f>HYPERLINK(siteUrl&amp;"Lists/"&amp;oppList&amp;"/DispForm.aspx?ID="&amp;View[[#This Row],[Id]],_xlfn.XLOOKUP(View[[#This Row],[Id]],Opportunities[Id],Opportunities[OpportunityName]))</f>
        <v>Cloud Migration Initiative</v>
      </c>
      <c r="F9" s="34" t="str">
        <f>HYPERLINK(_xlfn.XLOOKUP(View[[#This Row],[Id]],Opportunities[Id],Opportunities[CustomerRecordURL]),_xlfn.XLOOKUP(View[[#This Row],[Id]],Opportunities[Id],Opportunities[Customer Name]))</f>
        <v>Global Industries</v>
      </c>
      <c r="G9" s="31"/>
      <c r="H9" s="32" t="str">
        <f>_xlfn.XLOOKUP(View[[#This Row],[Id]],Opportunities[Id],Opportunities[DisplayStage])</f>
        <v>4 - Negotiation</v>
      </c>
      <c r="I9" s="1">
        <f>IF(pipelineType="Unweighted",_xlfn.XLOOKUP(View[[#This Row],[Id]],Opportunities[Id],Opportunities[Amount])/1000,_xlfn.XLOOKUP(View[[#This Row],[Id]],Opportunities[Id],Opportunities[Weighted])/1000)</f>
        <v>75</v>
      </c>
      <c r="J9" s="28" t="str">
        <f>_xlfn.XLOOKUP(View[[#This Row],[Id]],Opportunities[Id],Opportunities[Probability])</f>
        <v>Medium</v>
      </c>
      <c r="K9" s="29">
        <f>View[[#This Row],[Estmated Revenue]]</f>
        <v>30</v>
      </c>
      <c r="L9" s="2">
        <f>_xlfn.XLOOKUP(View[[#This Row],[Id]],Opportunities[Id],Opportunities[Close])</f>
        <v>45939.40415509259</v>
      </c>
      <c r="M9" s="25" t="str">
        <f>IF(_xlfn.XLOOKUP(View[[#This Row],[Id]],Opportunities[Id],Opportunities[Comment Log])=0,"",_xlfn.XLOOKUP(View[[#This Row],[Id]],Opportunities[Id],Opportunities[Comment Log]))</f>
        <v/>
      </c>
      <c r="N9">
        <v>7</v>
      </c>
      <c r="O9" s="3">
        <f ca="1">_xlfn.XLOOKUP(View[[#This Row],[Id]],Opportunities[Id],Opportunities[Next Milestone Date])-TODAY()</f>
        <v>-45879</v>
      </c>
      <c r="P9" s="32"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9" s="1">
        <f>_xlfn.XLOOKUP(View[[#This Row],[Id]],Opportunities[Id],Opportunities[Weighted])/1000</f>
        <v>30</v>
      </c>
      <c r="R9" s="4">
        <f>_xlfn.XLOOKUP(View[[#This Row],[Id]],Opportunities[Id],Opportunities[Amount])/1000</f>
        <v>75</v>
      </c>
      <c r="S9" t="b">
        <f>View[[#This Row],[Win Probability]]&gt;=probabilityThreshold</f>
        <v>1</v>
      </c>
      <c r="T9">
        <f>SUBTOTAL(103, View[[#This Row],[S]])</f>
        <v>1</v>
      </c>
    </row>
    <row r="10" spans="1:23" x14ac:dyDescent="0.25">
      <c r="D10" s="30" t="str">
        <f>_xlfn.XLOOKUP(View[[#This Row],[Id]],Opportunities[Id],Opportunities[status symbol])</f>
        <v>⮾</v>
      </c>
      <c r="E10" s="33" t="str">
        <f>HYPERLINK(siteUrl&amp;"Lists/"&amp;oppList&amp;"/DispForm.aspx?ID="&amp;View[[#This Row],[Id]],_xlfn.XLOOKUP(View[[#This Row],[Id]],Opportunities[Id],Opportunities[OpportunityName]))</f>
        <v>Healthcare Data Analytics Platform</v>
      </c>
      <c r="F10" s="34" t="str">
        <f>HYPERLINK(_xlfn.XLOOKUP(View[[#This Row],[Id]],Opportunities[Id],Opportunities[CustomerRecordURL]),_xlfn.XLOOKUP(View[[#This Row],[Id]],Opportunities[Id],Opportunities[Customer Name]))</f>
        <v>Healthcare Partners</v>
      </c>
      <c r="G10" s="31"/>
      <c r="H10" s="32" t="str">
        <f>_xlfn.XLOOKUP(View[[#This Row],[Id]],Opportunities[Id],Opportunities[DisplayStage])</f>
        <v>2 - Nurturing</v>
      </c>
      <c r="I10" s="1">
        <f>IF(pipelineType="Unweighted",_xlfn.XLOOKUP(View[[#This Row],[Id]],Opportunities[Id],Opportunities[Amount])/1000,_xlfn.XLOOKUP(View[[#This Row],[Id]],Opportunities[Id],Opportunities[Weighted])/1000)</f>
        <v>180</v>
      </c>
      <c r="J10" s="28" t="str">
        <f>_xlfn.XLOOKUP(View[[#This Row],[Id]],Opportunities[Id],Opportunities[Probability])</f>
        <v>Medium</v>
      </c>
      <c r="K10" s="29">
        <f>View[[#This Row],[Estmated Revenue]]</f>
        <v>72</v>
      </c>
      <c r="L10" s="2">
        <f>_xlfn.XLOOKUP(View[[#This Row],[Id]],Opportunities[Id],Opportunities[Close])</f>
        <v>45954.40415509259</v>
      </c>
      <c r="M10" s="25" t="str">
        <f>IF(_xlfn.XLOOKUP(View[[#This Row],[Id]],Opportunities[Id],Opportunities[Comment Log])=0,"",_xlfn.XLOOKUP(View[[#This Row],[Id]],Opportunities[Id],Opportunities[Comment Log]))</f>
        <v/>
      </c>
      <c r="N10">
        <v>10</v>
      </c>
      <c r="O10" s="3">
        <f ca="1">_xlfn.XLOOKUP(View[[#This Row],[Id]],Opportunities[Id],Opportunities[Next Milestone Date])-TODAY()</f>
        <v>-45879</v>
      </c>
      <c r="P10" s="32"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10" s="1">
        <f>_xlfn.XLOOKUP(View[[#This Row],[Id]],Opportunities[Id],Opportunities[Weighted])/1000</f>
        <v>72</v>
      </c>
      <c r="R10" s="4">
        <f>_xlfn.XLOOKUP(View[[#This Row],[Id]],Opportunities[Id],Opportunities[Amount])/1000</f>
        <v>180</v>
      </c>
      <c r="S10" t="b">
        <f>View[[#This Row],[Win Probability]]&gt;=probabilityThreshold</f>
        <v>1</v>
      </c>
      <c r="T10">
        <f>SUBTOTAL(103, View[[#This Row],[S]])</f>
        <v>1</v>
      </c>
    </row>
    <row r="11" spans="1:23" x14ac:dyDescent="0.25">
      <c r="D11" s="30" t="str">
        <f>_xlfn.XLOOKUP(View[[#This Row],[Id]],Opportunities[Id],Opportunities[status symbol])</f>
        <v>✓</v>
      </c>
      <c r="E11" s="33" t="str">
        <f>HYPERLINK(siteUrl&amp;"Lists/"&amp;oppList&amp;"/DispForm.aspx?ID="&amp;View[[#This Row],[Id]],_xlfn.XLOOKUP(View[[#This Row],[Id]],Opportunities[Id],Opportunities[OpportunityName]))</f>
        <v>Security Assessment &amp; Audit</v>
      </c>
      <c r="F11" s="34" t="str">
        <f>HYPERLINK(_xlfn.XLOOKUP(View[[#This Row],[Id]],Opportunities[Id],Opportunities[CustomerRecordURL]),_xlfn.XLOOKUP(View[[#This Row],[Id]],Opportunities[Id],Opportunities[Customer Name]))</f>
        <v>Tech Solutions Inc</v>
      </c>
      <c r="G11" s="31"/>
      <c r="H11" s="32" t="str">
        <f>_xlfn.XLOOKUP(View[[#This Row],[Id]],Opportunities[Id],Opportunities[DisplayStage])</f>
        <v>1 - Lead Qualification</v>
      </c>
      <c r="I11" s="1">
        <f>IF(pipelineType="Unweighted",_xlfn.XLOOKUP(View[[#This Row],[Id]],Opportunities[Id],Opportunities[Amount])/1000,_xlfn.XLOOKUP(View[[#This Row],[Id]],Opportunities[Id],Opportunities[Weighted])/1000)</f>
        <v>35</v>
      </c>
      <c r="J11" s="28" t="str">
        <f>_xlfn.XLOOKUP(View[[#This Row],[Id]],Opportunities[Id],Opportunities[Probability])</f>
        <v>Low</v>
      </c>
      <c r="K11" s="29">
        <f>View[[#This Row],[Estmated Revenue]]</f>
        <v>7</v>
      </c>
      <c r="L11" s="2">
        <f>_xlfn.XLOOKUP(View[[#This Row],[Id]],Opportunities[Id],Opportunities[Close])</f>
        <v>45969.445821759262</v>
      </c>
      <c r="M11" s="25" t="str">
        <f>IF(_xlfn.XLOOKUP(View[[#This Row],[Id]],Opportunities[Id],Opportunities[Comment Log])=0,"",_xlfn.XLOOKUP(View[[#This Row],[Id]],Opportunities[Id],Opportunities[Comment Log]))</f>
        <v/>
      </c>
      <c r="N11">
        <v>8</v>
      </c>
      <c r="O11" s="3">
        <f ca="1">_xlfn.XLOOKUP(View[[#This Row],[Id]],Opportunities[Id],Opportunities[Next Milestone Date])-TODAY()</f>
        <v>-45879</v>
      </c>
      <c r="P11" s="32"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11" s="1">
        <f>_xlfn.XLOOKUP(View[[#This Row],[Id]],Opportunities[Id],Opportunities[Weighted])/1000</f>
        <v>7</v>
      </c>
      <c r="R11" s="4">
        <f>_xlfn.XLOOKUP(View[[#This Row],[Id]],Opportunities[Id],Opportunities[Amount])/1000</f>
        <v>35</v>
      </c>
      <c r="S11" t="b">
        <f>View[[#This Row],[Win Probability]]&gt;=probabilityThreshold</f>
        <v>1</v>
      </c>
      <c r="T11">
        <f>SUBTOTAL(103, View[[#This Row],[S]])</f>
        <v>1</v>
      </c>
    </row>
    <row r="12" spans="1:23" x14ac:dyDescent="0.25">
      <c r="D12" s="30" t="str">
        <f>_xlfn.XLOOKUP(View[[#This Row],[Id]],Opportunities[Id],Opportunities[status symbol])</f>
        <v>✓</v>
      </c>
      <c r="E12" s="33" t="str">
        <f>HYPERLINK(siteUrl&amp;"Lists/"&amp;oppList&amp;"/DispForm.aspx?ID="&amp;View[[#This Row],[Id]],_xlfn.XLOOKUP(View[[#This Row],[Id]],Opportunities[Id],Opportunities[OpportunityName]))</f>
        <v>Manufacturing Automation System</v>
      </c>
      <c r="F12" s="34" t="str">
        <f>HYPERLINK(_xlfn.XLOOKUP(View[[#This Row],[Id]],Opportunities[Id],Opportunities[CustomerRecordURL]),_xlfn.XLOOKUP(View[[#This Row],[Id]],Opportunities[Id],Opportunities[Customer Name]))</f>
        <v>Manufacturing Plus</v>
      </c>
      <c r="G12" s="31"/>
      <c r="H12" s="32" t="str">
        <f>_xlfn.XLOOKUP(View[[#This Row],[Id]],Opportunities[Id],Opportunities[DisplayStage])</f>
        <v>3 - Proposal</v>
      </c>
      <c r="I12" s="1">
        <f>IF(pipelineType="Unweighted",_xlfn.XLOOKUP(View[[#This Row],[Id]],Opportunities[Id],Opportunities[Amount])/1000,_xlfn.XLOOKUP(View[[#This Row],[Id]],Opportunities[Id],Opportunities[Weighted])/1000)</f>
        <v>250</v>
      </c>
      <c r="J12" s="28" t="str">
        <f>_xlfn.XLOOKUP(View[[#This Row],[Id]],Opportunities[Id],Opportunities[Probability])</f>
        <v>High</v>
      </c>
      <c r="K12" s="29">
        <f>View[[#This Row],[Estmated Revenue]]</f>
        <v>225</v>
      </c>
      <c r="L12" s="2">
        <f>_xlfn.XLOOKUP(View[[#This Row],[Id]],Opportunities[Id],Opportunities[Close])</f>
        <v>45999.445821759262</v>
      </c>
      <c r="M12" s="25" t="str">
        <f>IF(_xlfn.XLOOKUP(View[[#This Row],[Id]],Opportunities[Id],Opportunities[Comment Log])=0,"",_xlfn.XLOOKUP(View[[#This Row],[Id]],Opportunities[Id],Opportunities[Comment Log]))</f>
        <v/>
      </c>
      <c r="N12">
        <v>9</v>
      </c>
      <c r="O12" s="3">
        <f ca="1">_xlfn.XLOOKUP(View[[#This Row],[Id]],Opportunities[Id],Opportunities[Next Milestone Date])-TODAY()</f>
        <v>-45879</v>
      </c>
      <c r="P12" s="32" t="str">
        <f>IF(calendarType="FQ","FY"&amp;RIGHT(TEXT(IF(MONTH(View[[#This Row],[Close Date]])&gt;MONTH(fqStart),YEAR(View[[#This Row],[Close Date]])+1,IF(MONTH(View[[#This Row],[Close Date]])&lt;MONTH(fqStart),YEAR(View[[#This Row],[Close Date]]),IF(DAY(View[[#This Row],[Close Date]])&gt;=DAY(fqStart),YEAR(View[[#This Row],[Close Date]])+1,YEAR(View[[#This Row],[Close Date]])))),"0"),2)&amp;"-Q"&amp;ROUNDUP((MONTH(View[[#This Row],[Close Date]])-MONTH(fqStart)+IF(DAY(View[[#This Row],[Close Date]])&lt;DAY(fqStart),0,1)+IF(MONTH(View[[#This Row],[Close Date]])&lt;MONTH(fqStart),12,0))/3,0),_xlfn.XLOOKUP(View[[#This Row],[Id]],Opportunities[Id],Opportunities[CQ]))</f>
        <v>FY26-Q2</v>
      </c>
      <c r="Q12" s="1">
        <f>_xlfn.XLOOKUP(View[[#This Row],[Id]],Opportunities[Id],Opportunities[Weighted])/1000</f>
        <v>225</v>
      </c>
      <c r="R12" s="4">
        <f>_xlfn.XLOOKUP(View[[#This Row],[Id]],Opportunities[Id],Opportunities[Amount])/1000</f>
        <v>250</v>
      </c>
      <c r="S12" t="b">
        <f>View[[#This Row],[Win Probability]]&gt;=probabilityThreshold</f>
        <v>1</v>
      </c>
      <c r="T12">
        <f>SUBTOTAL(103, View[[#This Row],[S]])</f>
        <v>1</v>
      </c>
    </row>
  </sheetData>
  <phoneticPr fontId="4" type="noConversion"/>
  <conditionalFormatting sqref="D8:E12">
    <cfRule type="expression" dxfId="22" priority="23">
      <formula>D8="⚠"</formula>
    </cfRule>
    <cfRule type="expression" dxfId="21" priority="24">
      <formula>D8="⮾"</formula>
    </cfRule>
    <cfRule type="expression" dxfId="20"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H8:H12">
    <cfRule type="expression" dxfId="19" priority="10">
      <formula>H8="3 - Proposal"</formula>
    </cfRule>
    <cfRule type="expression" dxfId="18" priority="11">
      <formula>H8="4 - Negotiation"</formula>
    </cfRule>
    <cfRule type="expression" dxfId="17" priority="12">
      <formula>H8="5 - Project Execution"</formula>
    </cfRule>
    <cfRule type="expression" dxfId="16" priority="13">
      <formula>H8="6 - Closeout"</formula>
    </cfRule>
    <cfRule type="expression" dxfId="15" priority="14">
      <formula>H8="1 - Lead Qualification"</formula>
    </cfRule>
    <cfRule type="expression" dxfId="14" priority="15">
      <formula>H8="2 - Nurturing"</formula>
    </cfRule>
  </conditionalFormatting>
  <conditionalFormatting sqref="J8:J12">
    <cfRule type="iconSet" priority="69">
      <iconSet iconSet="4Rating">
        <cfvo type="percent" val="0"/>
        <cfvo type="percent" val="25"/>
        <cfvo type="percent" val="50"/>
        <cfvo type="percent" val="75"/>
      </iconSet>
    </cfRule>
  </conditionalFormatting>
  <conditionalFormatting sqref="O8:O12">
    <cfRule type="colorScale" priority="71">
      <colorScale>
        <cfvo type="min"/>
        <cfvo type="max"/>
        <color rgb="FF63BE7B"/>
        <color rgb="FFFCFCFF"/>
      </colorScale>
    </cfRule>
  </conditionalFormatting>
  <conditionalFormatting sqref="Q8:Q12">
    <cfRule type="dataBar" priority="73">
      <dataBar>
        <cfvo type="min"/>
        <cfvo type="max"/>
        <color rgb="FF638EC6"/>
      </dataBar>
      <extLst>
        <ext xmlns:x14="http://schemas.microsoft.com/office/spreadsheetml/2009/9/main" uri="{B025F937-C7B1-47D3-B67F-A62EFF666E3E}">
          <x14:id>{F92FD29D-C88D-410A-ACA9-27F3C313DEBC}</x14:id>
        </ext>
      </extLst>
    </cfRule>
  </conditionalFormatting>
  <conditionalFormatting sqref="R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R8:R12">
    <cfRule type="dataBar" priority="75">
      <dataBar>
        <cfvo type="min"/>
        <cfvo type="max"/>
        <color rgb="FF638EC6"/>
      </dataBar>
      <extLst>
        <ext xmlns:x14="http://schemas.microsoft.com/office/spreadsheetml/2009/9/main" uri="{B025F937-C7B1-47D3-B67F-A62EFF666E3E}">
          <x14:id>{6F3859E8-06BC-4889-A7F8-351765CFA609}</x14:id>
        </ext>
      </extLst>
    </cfRule>
  </conditionalFormatting>
  <dataValidations disablePrompts="1"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Q8:Q12</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R8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R8:R12</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J7"/>
  <sheetViews>
    <sheetView showGridLines="0" workbookViewId="0">
      <selection activeCell="F15" sqref="F15"/>
    </sheetView>
  </sheetViews>
  <sheetFormatPr defaultRowHeight="15" x14ac:dyDescent="0.25"/>
  <cols>
    <col min="1" max="1" width="20.7109375" customWidth="1"/>
    <col min="2" max="2" width="13.5703125" bestFit="1" customWidth="1"/>
    <col min="5" max="5" width="14.7109375" customWidth="1"/>
    <col min="6" max="6" width="52.28515625" bestFit="1" customWidth="1"/>
    <col min="9" max="9" width="13.28515625" customWidth="1"/>
    <col min="12" max="12" width="15.5703125" customWidth="1"/>
  </cols>
  <sheetData>
    <row r="1" spans="1:10" x14ac:dyDescent="0.25">
      <c r="A1" s="20" t="s">
        <v>52</v>
      </c>
      <c r="B1" s="36">
        <v>45839</v>
      </c>
      <c r="E1" s="20" t="s">
        <v>54</v>
      </c>
      <c r="F1" s="38" t="s">
        <v>55</v>
      </c>
      <c r="I1" s="12" t="s">
        <v>118</v>
      </c>
      <c r="J1" s="12" t="s">
        <v>35</v>
      </c>
    </row>
    <row r="2" spans="1:10" x14ac:dyDescent="0.25">
      <c r="A2" s="20" t="s">
        <v>48</v>
      </c>
      <c r="B2" s="37">
        <v>0.75</v>
      </c>
      <c r="E2" s="20" t="s">
        <v>185</v>
      </c>
      <c r="F2" s="35" t="s">
        <v>186</v>
      </c>
      <c r="I2" s="41" t="s">
        <v>20</v>
      </c>
      <c r="J2" s="41">
        <v>4</v>
      </c>
    </row>
    <row r="3" spans="1:10" x14ac:dyDescent="0.25">
      <c r="D3" s="43" t="str">
        <f>HYPERLINK(siteUrl&amp;"/Lists/"&amp;custList,"Test")</f>
        <v>Test</v>
      </c>
      <c r="E3" s="20" t="s">
        <v>187</v>
      </c>
      <c r="F3" s="40" t="str">
        <f>listPrefix &amp; custListAppend</f>
        <v>crmCustomers</v>
      </c>
      <c r="I3" s="41" t="s">
        <v>22</v>
      </c>
      <c r="J3" s="41">
        <v>1</v>
      </c>
    </row>
    <row r="4" spans="1:10" x14ac:dyDescent="0.25">
      <c r="A4" s="12" t="s">
        <v>104</v>
      </c>
      <c r="B4" s="12" t="s">
        <v>119</v>
      </c>
      <c r="D4" s="43" t="str">
        <f>HYPERLINK(siteUrl&amp;"/Lists/"&amp;oppList,"Test")</f>
        <v>Test</v>
      </c>
      <c r="E4" s="20" t="s">
        <v>53</v>
      </c>
      <c r="F4" s="40" t="str">
        <f>listPrefix &amp; oppListAppend</f>
        <v>crmOpportunities</v>
      </c>
      <c r="I4" s="41" t="s">
        <v>23</v>
      </c>
      <c r="J4" s="41">
        <v>5</v>
      </c>
    </row>
    <row r="5" spans="1:10" x14ac:dyDescent="0.25">
      <c r="A5" s="42" t="s">
        <v>110</v>
      </c>
      <c r="B5" s="39">
        <v>0.2</v>
      </c>
      <c r="I5" s="41" t="s">
        <v>24</v>
      </c>
      <c r="J5" s="41">
        <v>3</v>
      </c>
    </row>
    <row r="6" spans="1:10" x14ac:dyDescent="0.25">
      <c r="A6" s="42" t="s">
        <v>108</v>
      </c>
      <c r="B6" s="39">
        <v>0.4</v>
      </c>
      <c r="I6" s="41" t="s">
        <v>25</v>
      </c>
      <c r="J6" s="41">
        <v>2</v>
      </c>
    </row>
    <row r="7" spans="1:10" x14ac:dyDescent="0.25">
      <c r="A7" s="42" t="s">
        <v>109</v>
      </c>
      <c r="B7" s="39">
        <v>0.9</v>
      </c>
      <c r="I7" s="41" t="s">
        <v>26</v>
      </c>
      <c r="J7" s="41">
        <v>6</v>
      </c>
    </row>
  </sheetData>
  <hyperlinks>
    <hyperlink ref="F1" r:id="rId1" xr:uid="{5E8860C9-D945-4D2C-8E62-DBDFC7016757}"/>
  </hyperlinks>
  <pageMargins left="0.7" right="0.7" top="0.75" bottom="0.75" header="0.3" footer="0.3"/>
  <pageSetup orientation="portrait"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E36"/>
  <sheetViews>
    <sheetView topLeftCell="Q1" zoomScale="85" zoomScaleNormal="85" workbookViewId="0">
      <selection activeCell="W4" sqref="W4"/>
    </sheetView>
  </sheetViews>
  <sheetFormatPr defaultRowHeight="15" x14ac:dyDescent="0.25"/>
  <cols>
    <col min="1" max="1" width="5.42578125" bestFit="1" customWidth="1"/>
    <col min="2" max="2" width="7.7109375" bestFit="1" customWidth="1"/>
    <col min="3" max="3" width="32.28515625" bestFit="1" customWidth="1"/>
    <col min="4" max="4" width="9.28515625" bestFit="1" customWidth="1"/>
    <col min="5" max="5" width="20.28515625" bestFit="1" customWidth="1"/>
    <col min="6" max="6" width="19.28515625" bestFit="1" customWidth="1"/>
    <col min="7" max="7" width="10.7109375" bestFit="1" customWidth="1"/>
    <col min="8" max="8" width="13.140625" bestFit="1" customWidth="1"/>
    <col min="9" max="9" width="13.42578125" bestFit="1" customWidth="1"/>
    <col min="10" max="10" width="21.140625" bestFit="1" customWidth="1"/>
    <col min="11" max="11" width="19.5703125" bestFit="1" customWidth="1"/>
    <col min="12" max="12" width="15.85546875" bestFit="1" customWidth="1"/>
    <col min="13" max="13" width="20.140625" bestFit="1" customWidth="1"/>
    <col min="14" max="14" width="8.5703125" bestFit="1" customWidth="1"/>
    <col min="15" max="15" width="20.7109375" bestFit="1" customWidth="1"/>
    <col min="16" max="16" width="17.140625" bestFit="1" customWidth="1"/>
    <col min="17" max="17" width="22" bestFit="1" customWidth="1"/>
    <col min="18" max="18" width="19.5703125" bestFit="1" customWidth="1"/>
    <col min="19" max="19" width="17.7109375" bestFit="1" customWidth="1"/>
    <col min="20" max="20" width="16" customWidth="1"/>
    <col min="21" max="21" width="9" bestFit="1" customWidth="1"/>
    <col min="22" max="22" width="8.85546875" bestFit="1" customWidth="1"/>
    <col min="23" max="23" width="81.140625" bestFit="1" customWidth="1"/>
    <col min="24" max="24" width="15.7109375" bestFit="1" customWidth="1"/>
    <col min="25" max="25" width="20" bestFit="1" customWidth="1"/>
    <col min="26" max="26" width="12.28515625" bestFit="1" customWidth="1"/>
    <col min="27" max="27" width="16" bestFit="1" customWidth="1"/>
    <col min="28" max="28" width="18.7109375" bestFit="1" customWidth="1"/>
    <col min="29" max="29" width="81.140625" bestFit="1" customWidth="1"/>
    <col min="30" max="30" width="12.28515625" bestFit="1" customWidth="1"/>
    <col min="31" max="31" width="16" bestFit="1" customWidth="1"/>
    <col min="32" max="32" width="9" bestFit="1" customWidth="1"/>
    <col min="33" max="33" width="8.85546875" bestFit="1" customWidth="1"/>
    <col min="34" max="34" width="81.140625" bestFit="1" customWidth="1"/>
    <col min="35" max="35" width="15.7109375" bestFit="1" customWidth="1"/>
    <col min="36" max="36" width="20" bestFit="1" customWidth="1"/>
    <col min="37" max="37" width="13.42578125" bestFit="1" customWidth="1"/>
    <col min="38" max="38" width="14.5703125" bestFit="1" customWidth="1"/>
    <col min="39" max="39" width="15" bestFit="1" customWidth="1"/>
    <col min="40" max="40" width="14" bestFit="1" customWidth="1"/>
    <col min="41" max="41" width="13.28515625" bestFit="1" customWidth="1"/>
    <col min="42" max="42" width="13.85546875" bestFit="1" customWidth="1"/>
    <col min="43" max="44" width="13.42578125" bestFit="1" customWidth="1"/>
    <col min="45" max="45" width="21.85546875" bestFit="1" customWidth="1"/>
    <col min="46" max="46" width="18" bestFit="1" customWidth="1"/>
    <col min="47" max="47" width="25" bestFit="1" customWidth="1"/>
    <col min="48" max="48" width="38" bestFit="1" customWidth="1"/>
  </cols>
  <sheetData>
    <row r="1" spans="1:31" x14ac:dyDescent="0.25">
      <c r="A1" t="s">
        <v>0</v>
      </c>
      <c r="B1" t="s">
        <v>1</v>
      </c>
      <c r="C1" t="s">
        <v>123</v>
      </c>
      <c r="D1" t="s">
        <v>14</v>
      </c>
      <c r="E1" t="s">
        <v>121</v>
      </c>
      <c r="F1" t="s">
        <v>122</v>
      </c>
      <c r="G1" t="s">
        <v>16</v>
      </c>
      <c r="H1" t="s">
        <v>17</v>
      </c>
      <c r="I1" t="s">
        <v>36</v>
      </c>
      <c r="J1" t="s">
        <v>41</v>
      </c>
      <c r="K1" t="s">
        <v>40</v>
      </c>
      <c r="L1" t="s">
        <v>182</v>
      </c>
      <c r="M1" t="s">
        <v>113</v>
      </c>
      <c r="N1" t="s">
        <v>15</v>
      </c>
      <c r="O1" t="s">
        <v>114</v>
      </c>
      <c r="P1" t="s">
        <v>42</v>
      </c>
      <c r="Q1" t="s">
        <v>115</v>
      </c>
      <c r="R1" t="s">
        <v>116</v>
      </c>
      <c r="S1" t="s">
        <v>117</v>
      </c>
      <c r="T1" t="s">
        <v>50</v>
      </c>
      <c r="U1" t="s">
        <v>33</v>
      </c>
      <c r="V1" t="s">
        <v>34</v>
      </c>
      <c r="W1" t="s">
        <v>31</v>
      </c>
      <c r="X1" t="s">
        <v>37</v>
      </c>
      <c r="Y1" t="s">
        <v>38</v>
      </c>
      <c r="Z1" t="s">
        <v>43</v>
      </c>
      <c r="AA1" t="s">
        <v>96</v>
      </c>
      <c r="AB1" t="s">
        <v>111</v>
      </c>
      <c r="AC1" t="s">
        <v>184</v>
      </c>
      <c r="AE1" t="s">
        <v>56</v>
      </c>
    </row>
    <row r="2" spans="1:31" x14ac:dyDescent="0.25">
      <c r="A2">
        <v>6</v>
      </c>
      <c r="C2" t="s">
        <v>126</v>
      </c>
      <c r="D2" t="s">
        <v>21</v>
      </c>
      <c r="E2" t="s">
        <v>127</v>
      </c>
      <c r="F2" t="s">
        <v>24</v>
      </c>
      <c r="G2">
        <v>125000</v>
      </c>
      <c r="H2" t="s">
        <v>109</v>
      </c>
      <c r="I2">
        <v>45924.40415509259</v>
      </c>
      <c r="J2">
        <v>45894.40415509259</v>
      </c>
      <c r="K2" t="s">
        <v>128</v>
      </c>
      <c r="L2">
        <v>16</v>
      </c>
      <c r="U2" t="str">
        <f>" FY"&amp;RIGHT(IF(MONTH(Opportunities[[#This Row],[Close]])&gt;=7,YEAR(Opportunities[[#This Row],[Close]])+1,YEAR(Opportunities[[#This Row],[Close]])),2)&amp;"-Q"&amp;IF(MONTH(Opportunities[[#This Row],[Close]])&gt;=7,CEILING((MONTH(Opportunities[[#This Row],[Close]])-6)/3,1),CEILING((MONTH(Opportunities[[#This Row],[Close]])+6)/3,1))</f>
        <v xml:space="preserve"> FY26-Q1</v>
      </c>
      <c r="V2" t="str">
        <f>"CY"&amp;RIGHT(YEAR(Opportunities[[#This Row],[Close]]),2)&amp;"-Q"&amp;ROUNDUP(MONTH(Opportunities[[#This Row],[Close]])/3, 0)</f>
        <v>CY25-Q3</v>
      </c>
      <c r="W2" t="str">
        <f>siteUrl&amp;"/Lists/"&amp;oppList&amp;"/DispForm.aspx?ID="&amp;Opportunities[[#This Row],[Id]]</f>
        <v>https://cleansheet5.sharepoint.com/sites/SalesFunnel//Lists/crmOpportunities/DispForm.aspx?ID=6</v>
      </c>
      <c r="X2">
        <f>_xlfn.XLOOKUP(Opportunities[[#This Row],[OpportunityStage]],stage[Stage Name],stage[Index],"")</f>
        <v>3</v>
      </c>
      <c r="Y2" t="str">
        <f>Opportunities[[#This Row],[StageNumber]]&amp;" - "&amp;Opportunities[[#This Row],[OpportunityStage]]</f>
        <v>3 - Proposal</v>
      </c>
      <c r="Z2">
        <f>Opportunities[[#This Row],[Amount]]*_xlfn.XLOOKUP(Opportunities[[#This Row],[Probability]],prob[Win Probability],prob[Value])</f>
        <v>112500</v>
      </c>
      <c r="AA2" t="str" cm="1">
        <f t="array" ref="AA2">_xlfn.SWITCH(Opportunities[[#This Row],[Status]],"At Risk","⚠","Active","✓","⮾")</f>
        <v>✓</v>
      </c>
      <c r="AB2" t="str">
        <f>_xlfn.XLOOKUP(Opportunities[[#This Row],[CustomerIdId]],Customers[Id],Customers[CustomerName])</f>
        <v>ACME Corporation</v>
      </c>
      <c r="AC2" t="str">
        <f>_xlfn.XLOOKUP(Opportunities[[#This Row],[CustomerIdId]],Customers[Id],Customers[url2])</f>
        <v>https://cleansheet5.sharepoint.com/sites/SalesFunnel//Lists/crmCustomers/DispForm.aspx?ID=16</v>
      </c>
      <c r="AE2" t="s">
        <v>57</v>
      </c>
    </row>
    <row r="3" spans="1:31" x14ac:dyDescent="0.25">
      <c r="A3">
        <v>7</v>
      </c>
      <c r="C3" t="s">
        <v>129</v>
      </c>
      <c r="D3" t="s">
        <v>19</v>
      </c>
      <c r="E3" t="s">
        <v>130</v>
      </c>
      <c r="F3" t="s">
        <v>20</v>
      </c>
      <c r="G3">
        <v>75000</v>
      </c>
      <c r="H3" t="s">
        <v>108</v>
      </c>
      <c r="I3">
        <v>45939.40415509259</v>
      </c>
      <c r="J3">
        <v>45899.40415509259</v>
      </c>
      <c r="K3" t="s">
        <v>131</v>
      </c>
      <c r="L3">
        <v>17</v>
      </c>
      <c r="U3" t="str">
        <f>" FY"&amp;RIGHT(IF(MONTH(Opportunities[[#This Row],[Close]])&gt;=7,YEAR(Opportunities[[#This Row],[Close]])+1,YEAR(Opportunities[[#This Row],[Close]])),2)&amp;"-Q"&amp;IF(MONTH(Opportunities[[#This Row],[Close]])&gt;=7,CEILING((MONTH(Opportunities[[#This Row],[Close]])-6)/3,1),CEILING((MONTH(Opportunities[[#This Row],[Close]])+6)/3,1))</f>
        <v xml:space="preserve"> FY26-Q2</v>
      </c>
      <c r="V3" t="str">
        <f>"CY"&amp;RIGHT(YEAR(Opportunities[[#This Row],[Close]]),2)&amp;"-Q"&amp;ROUNDUP(MONTH(Opportunities[[#This Row],[Close]])/3, 0)</f>
        <v>CY25-Q4</v>
      </c>
      <c r="W3" t="str">
        <f>siteUrl&amp;"/Lists/"&amp;oppList&amp;"/DispForm.aspx?ID="&amp;Opportunities[[#This Row],[Id]]</f>
        <v>https://cleansheet5.sharepoint.com/sites/SalesFunnel//Lists/crmOpportunities/DispForm.aspx?ID=7</v>
      </c>
      <c r="X3">
        <f>_xlfn.XLOOKUP(Opportunities[[#This Row],[OpportunityStage]],stage[Stage Name],stage[Index],"")</f>
        <v>4</v>
      </c>
      <c r="Y3" t="str">
        <f>Opportunities[[#This Row],[StageNumber]]&amp;" - "&amp;Opportunities[[#This Row],[OpportunityStage]]</f>
        <v>4 - Negotiation</v>
      </c>
      <c r="Z3">
        <f>Opportunities[[#This Row],[Amount]]*_xlfn.XLOOKUP(Opportunities[[#This Row],[Probability]],prob[Win Probability],prob[Value])</f>
        <v>30000</v>
      </c>
      <c r="AA3" t="str" cm="1">
        <f t="array" ref="AA3">_xlfn.SWITCH(Opportunities[[#This Row],[Status]],"At Risk","⚠","Active","✓","⮾")</f>
        <v>⚠</v>
      </c>
      <c r="AB3" t="str">
        <f>_xlfn.XLOOKUP(Opportunities[[#This Row],[CustomerIdId]],Customers[Id],Customers[CustomerName])</f>
        <v>Global Industries</v>
      </c>
      <c r="AC3" t="str">
        <f>_xlfn.XLOOKUP(Opportunities[[#This Row],[CustomerIdId]],Customers[Id],Customers[url2])</f>
        <v>https://cleansheet5.sharepoint.com/sites/SalesFunnel//Lists/crmCustomers/DispForm.aspx?ID=17</v>
      </c>
      <c r="AE3" t="s">
        <v>58</v>
      </c>
    </row>
    <row r="4" spans="1:31" x14ac:dyDescent="0.25">
      <c r="A4">
        <v>8</v>
      </c>
      <c r="C4" t="s">
        <v>132</v>
      </c>
      <c r="D4" t="s">
        <v>21</v>
      </c>
      <c r="E4" t="s">
        <v>133</v>
      </c>
      <c r="F4" t="s">
        <v>22</v>
      </c>
      <c r="G4">
        <v>35000</v>
      </c>
      <c r="H4" t="s">
        <v>110</v>
      </c>
      <c r="I4">
        <v>45969.445821759262</v>
      </c>
      <c r="J4">
        <v>45889.40415509259</v>
      </c>
      <c r="K4" t="s">
        <v>134</v>
      </c>
      <c r="L4">
        <v>18</v>
      </c>
      <c r="U4" t="str">
        <f>" FY"&amp;RIGHT(IF(MONTH(Opportunities[[#This Row],[Close]])&gt;=7,YEAR(Opportunities[[#This Row],[Close]])+1,YEAR(Opportunities[[#This Row],[Close]])),2)&amp;"-Q"&amp;IF(MONTH(Opportunities[[#This Row],[Close]])&gt;=7,CEILING((MONTH(Opportunities[[#This Row],[Close]])-6)/3,1),CEILING((MONTH(Opportunities[[#This Row],[Close]])+6)/3,1))</f>
        <v xml:space="preserve"> FY26-Q2</v>
      </c>
      <c r="V4" t="str">
        <f>"CY"&amp;RIGHT(YEAR(Opportunities[[#This Row],[Close]]),2)&amp;"-Q"&amp;ROUNDUP(MONTH(Opportunities[[#This Row],[Close]])/3, 0)</f>
        <v>CY25-Q4</v>
      </c>
      <c r="W4" t="str">
        <f>siteUrl&amp;"/Lists/"&amp;oppList&amp;"/DispForm.aspx?ID="&amp;Opportunities[[#This Row],[Id]]</f>
        <v>https://cleansheet5.sharepoint.com/sites/SalesFunnel//Lists/crmOpportunities/DispForm.aspx?ID=8</v>
      </c>
      <c r="X4">
        <f>_xlfn.XLOOKUP(Opportunities[[#This Row],[OpportunityStage]],stage[Stage Name],stage[Index],"")</f>
        <v>1</v>
      </c>
      <c r="Y4" t="str">
        <f>Opportunities[[#This Row],[StageNumber]]&amp;" - "&amp;Opportunities[[#This Row],[OpportunityStage]]</f>
        <v>1 - Lead Qualification</v>
      </c>
      <c r="Z4">
        <f>Opportunities[[#This Row],[Amount]]*_xlfn.XLOOKUP(Opportunities[[#This Row],[Probability]],prob[Win Probability],prob[Value])</f>
        <v>7000</v>
      </c>
      <c r="AA4" t="str" cm="1">
        <f t="array" ref="AA4">_xlfn.SWITCH(Opportunities[[#This Row],[Status]],"At Risk","⚠","Active","✓","⮾")</f>
        <v>✓</v>
      </c>
      <c r="AB4" t="str">
        <f>_xlfn.XLOOKUP(Opportunities[[#This Row],[CustomerIdId]],Customers[Id],Customers[CustomerName])</f>
        <v>Tech Solutions Inc</v>
      </c>
      <c r="AC4" t="str">
        <f>_xlfn.XLOOKUP(Opportunities[[#This Row],[CustomerIdId]],Customers[Id],Customers[url2])</f>
        <v>https://cleansheet5.sharepoint.com/sites/SalesFunnel//Lists/crmCustomers/DispForm.aspx?ID=18</v>
      </c>
      <c r="AE4" t="s">
        <v>59</v>
      </c>
    </row>
    <row r="5" spans="1:31" x14ac:dyDescent="0.25">
      <c r="A5">
        <v>9</v>
      </c>
      <c r="C5" t="s">
        <v>135</v>
      </c>
      <c r="D5" t="s">
        <v>21</v>
      </c>
      <c r="E5" t="s">
        <v>136</v>
      </c>
      <c r="F5" t="s">
        <v>24</v>
      </c>
      <c r="G5">
        <v>250000</v>
      </c>
      <c r="H5" t="s">
        <v>109</v>
      </c>
      <c r="I5">
        <v>45999.445821759262</v>
      </c>
      <c r="J5">
        <v>45909.40415509259</v>
      </c>
      <c r="K5" t="s">
        <v>137</v>
      </c>
      <c r="L5">
        <v>19</v>
      </c>
      <c r="U5" t="str">
        <f>" FY"&amp;RIGHT(IF(MONTH(Opportunities[[#This Row],[Close]])&gt;=7,YEAR(Opportunities[[#This Row],[Close]])+1,YEAR(Opportunities[[#This Row],[Close]])),2)&amp;"-Q"&amp;IF(MONTH(Opportunities[[#This Row],[Close]])&gt;=7,CEILING((MONTH(Opportunities[[#This Row],[Close]])-6)/3,1),CEILING((MONTH(Opportunities[[#This Row],[Close]])+6)/3,1))</f>
        <v xml:space="preserve"> FY26-Q2</v>
      </c>
      <c r="V5" t="str">
        <f>"CY"&amp;RIGHT(YEAR(Opportunities[[#This Row],[Close]]),2)&amp;"-Q"&amp;ROUNDUP(MONTH(Opportunities[[#This Row],[Close]])/3, 0)</f>
        <v>CY25-Q4</v>
      </c>
      <c r="W5" t="str">
        <f>siteUrl&amp;"/Lists/"&amp;oppList&amp;"/DispForm.aspx?ID="&amp;Opportunities[[#This Row],[Id]]</f>
        <v>https://cleansheet5.sharepoint.com/sites/SalesFunnel//Lists/crmOpportunities/DispForm.aspx?ID=9</v>
      </c>
      <c r="X5">
        <f>_xlfn.XLOOKUP(Opportunities[[#This Row],[OpportunityStage]],stage[Stage Name],stage[Index],"")</f>
        <v>3</v>
      </c>
      <c r="Y5" t="str">
        <f>Opportunities[[#This Row],[StageNumber]]&amp;" - "&amp;Opportunities[[#This Row],[OpportunityStage]]</f>
        <v>3 - Proposal</v>
      </c>
      <c r="Z5">
        <f>Opportunities[[#This Row],[Amount]]*_xlfn.XLOOKUP(Opportunities[[#This Row],[Probability]],prob[Win Probability],prob[Value])</f>
        <v>225000</v>
      </c>
      <c r="AA5" t="str" cm="1">
        <f t="array" ref="AA5">_xlfn.SWITCH(Opportunities[[#This Row],[Status]],"At Risk","⚠","Active","✓","⮾")</f>
        <v>✓</v>
      </c>
      <c r="AB5" t="str">
        <f>_xlfn.XLOOKUP(Opportunities[[#This Row],[CustomerIdId]],Customers[Id],Customers[CustomerName])</f>
        <v>Manufacturing Plus</v>
      </c>
      <c r="AC5" t="str">
        <f>_xlfn.XLOOKUP(Opportunities[[#This Row],[CustomerIdId]],Customers[Id],Customers[url2])</f>
        <v>https://cleansheet5.sharepoint.com/sites/SalesFunnel//Lists/crmCustomers/DispForm.aspx?ID=19</v>
      </c>
      <c r="AE5" t="s">
        <v>60</v>
      </c>
    </row>
    <row r="6" spans="1:31" x14ac:dyDescent="0.25">
      <c r="A6">
        <v>10</v>
      </c>
      <c r="C6" t="s">
        <v>138</v>
      </c>
      <c r="D6" t="s">
        <v>27</v>
      </c>
      <c r="E6" t="s">
        <v>139</v>
      </c>
      <c r="F6" t="s">
        <v>25</v>
      </c>
      <c r="G6">
        <v>180000</v>
      </c>
      <c r="H6" t="s">
        <v>108</v>
      </c>
      <c r="I6">
        <v>45954.40415509259</v>
      </c>
      <c r="J6">
        <v>45893.40415509259</v>
      </c>
      <c r="K6" t="s">
        <v>140</v>
      </c>
      <c r="L6">
        <v>20</v>
      </c>
      <c r="U6" t="str">
        <f>" FY"&amp;RIGHT(IF(MONTH(Opportunities[[#This Row],[Close]])&gt;=7,YEAR(Opportunities[[#This Row],[Close]])+1,YEAR(Opportunities[[#This Row],[Close]])),2)&amp;"-Q"&amp;IF(MONTH(Opportunities[[#This Row],[Close]])&gt;=7,CEILING((MONTH(Opportunities[[#This Row],[Close]])-6)/3,1),CEILING((MONTH(Opportunities[[#This Row],[Close]])+6)/3,1))</f>
        <v xml:space="preserve"> FY26-Q2</v>
      </c>
      <c r="V6" t="str">
        <f>"CY"&amp;RIGHT(YEAR(Opportunities[[#This Row],[Close]]),2)&amp;"-Q"&amp;ROUNDUP(MONTH(Opportunities[[#This Row],[Close]])/3, 0)</f>
        <v>CY25-Q4</v>
      </c>
      <c r="W6" t="str">
        <f>siteUrl&amp;"/Lists/"&amp;oppList&amp;"/DispForm.aspx?ID="&amp;Opportunities[[#This Row],[Id]]</f>
        <v>https://cleansheet5.sharepoint.com/sites/SalesFunnel//Lists/crmOpportunities/DispForm.aspx?ID=10</v>
      </c>
      <c r="X6">
        <f>_xlfn.XLOOKUP(Opportunities[[#This Row],[OpportunityStage]],stage[Stage Name],stage[Index],"")</f>
        <v>2</v>
      </c>
      <c r="Y6" t="str">
        <f>Opportunities[[#This Row],[StageNumber]]&amp;" - "&amp;Opportunities[[#This Row],[OpportunityStage]]</f>
        <v>2 - Nurturing</v>
      </c>
      <c r="Z6">
        <f>Opportunities[[#This Row],[Amount]]*_xlfn.XLOOKUP(Opportunities[[#This Row],[Probability]],prob[Win Probability],prob[Value])</f>
        <v>72000</v>
      </c>
      <c r="AA6" t="str" cm="1">
        <f t="array" ref="AA6">_xlfn.SWITCH(Opportunities[[#This Row],[Status]],"At Risk","⚠","Active","✓","⮾")</f>
        <v>⮾</v>
      </c>
      <c r="AB6" t="str">
        <f>_xlfn.XLOOKUP(Opportunities[[#This Row],[CustomerIdId]],Customers[Id],Customers[CustomerName])</f>
        <v>Healthcare Partners</v>
      </c>
      <c r="AC6" t="str">
        <f>_xlfn.XLOOKUP(Opportunities[[#This Row],[CustomerIdId]],Customers[Id],Customers[url2])</f>
        <v>https://cleansheet5.sharepoint.com/sites/SalesFunnel//Lists/crmCustomers/DispForm.aspx?ID=20</v>
      </c>
      <c r="AE6" t="s">
        <v>61</v>
      </c>
    </row>
    <row r="7" spans="1:31" x14ac:dyDescent="0.25">
      <c r="AE7" t="s">
        <v>62</v>
      </c>
    </row>
    <row r="8" spans="1:31" x14ac:dyDescent="0.25">
      <c r="AE8" t="s">
        <v>63</v>
      </c>
    </row>
    <row r="9" spans="1:31" x14ac:dyDescent="0.25">
      <c r="AE9" t="s">
        <v>64</v>
      </c>
    </row>
    <row r="10" spans="1:31" x14ac:dyDescent="0.25">
      <c r="AE10" t="s">
        <v>65</v>
      </c>
    </row>
    <row r="11" spans="1:31" x14ac:dyDescent="0.25">
      <c r="AE11" t="s">
        <v>58</v>
      </c>
    </row>
    <row r="12" spans="1:31" x14ac:dyDescent="0.25">
      <c r="AE12" t="s">
        <v>66</v>
      </c>
    </row>
    <row r="13" spans="1:31" x14ac:dyDescent="0.25">
      <c r="AE13" t="s">
        <v>60</v>
      </c>
    </row>
    <row r="14" spans="1:31" x14ac:dyDescent="0.25">
      <c r="AE14" t="s">
        <v>67</v>
      </c>
    </row>
    <row r="15" spans="1:31" x14ac:dyDescent="0.25">
      <c r="AE15" t="s">
        <v>68</v>
      </c>
    </row>
    <row r="16" spans="1:31" x14ac:dyDescent="0.25">
      <c r="AE16" t="s">
        <v>69</v>
      </c>
    </row>
    <row r="17" spans="31:31" x14ac:dyDescent="0.25">
      <c r="AE17" t="s">
        <v>70</v>
      </c>
    </row>
    <row r="18" spans="31:31" x14ac:dyDescent="0.25">
      <c r="AE18" t="s">
        <v>64</v>
      </c>
    </row>
    <row r="19" spans="31:31" x14ac:dyDescent="0.25">
      <c r="AE19" t="s">
        <v>65</v>
      </c>
    </row>
    <row r="20" spans="31:31" x14ac:dyDescent="0.25">
      <c r="AE20" t="s">
        <v>58</v>
      </c>
    </row>
    <row r="21" spans="31:31" x14ac:dyDescent="0.25">
      <c r="AE21" t="s">
        <v>71</v>
      </c>
    </row>
    <row r="22" spans="31:31" x14ac:dyDescent="0.25">
      <c r="AE22" t="s">
        <v>60</v>
      </c>
    </row>
    <row r="23" spans="31:31" x14ac:dyDescent="0.25">
      <c r="AE23" t="s">
        <v>72</v>
      </c>
    </row>
    <row r="24" spans="31:31" x14ac:dyDescent="0.25">
      <c r="AE24" t="s">
        <v>73</v>
      </c>
    </row>
    <row r="25" spans="31:31" x14ac:dyDescent="0.25">
      <c r="AE25" t="s">
        <v>74</v>
      </c>
    </row>
    <row r="26" spans="31:31" x14ac:dyDescent="0.25">
      <c r="AE26" t="s">
        <v>75</v>
      </c>
    </row>
    <row r="27" spans="31:31" x14ac:dyDescent="0.25">
      <c r="AE27" t="s">
        <v>64</v>
      </c>
    </row>
    <row r="28" spans="31:31" x14ac:dyDescent="0.25">
      <c r="AE28" t="s">
        <v>65</v>
      </c>
    </row>
    <row r="29" spans="31:31" x14ac:dyDescent="0.25">
      <c r="AE29" t="s">
        <v>58</v>
      </c>
    </row>
    <row r="30" spans="31:31" x14ac:dyDescent="0.25">
      <c r="AE30" t="s">
        <v>76</v>
      </c>
    </row>
    <row r="31" spans="31:31" x14ac:dyDescent="0.25">
      <c r="AE31" t="s">
        <v>60</v>
      </c>
    </row>
    <row r="32" spans="31:31" x14ac:dyDescent="0.25">
      <c r="AE32" t="s">
        <v>77</v>
      </c>
    </row>
    <row r="33" spans="31:31" x14ac:dyDescent="0.25">
      <c r="AE33" t="s">
        <v>64</v>
      </c>
    </row>
    <row r="34" spans="31:31" x14ac:dyDescent="0.25">
      <c r="AE34" t="s">
        <v>78</v>
      </c>
    </row>
    <row r="35" spans="31:31" x14ac:dyDescent="0.25">
      <c r="AE35" t="s">
        <v>79</v>
      </c>
    </row>
    <row r="36" spans="31:31" x14ac:dyDescent="0.25">
      <c r="AE36" t="s">
        <v>80</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M32"/>
  <sheetViews>
    <sheetView topLeftCell="H1" workbookViewId="0">
      <selection activeCell="W4" sqref="W4"/>
    </sheetView>
  </sheetViews>
  <sheetFormatPr defaultRowHeight="15" x14ac:dyDescent="0.25"/>
  <cols>
    <col min="1" max="1" width="5" bestFit="1" customWidth="1"/>
    <col min="2" max="2" width="7.28515625" bestFit="1" customWidth="1"/>
    <col min="3" max="3" width="18.7109375" bestFit="1" customWidth="1"/>
    <col min="4" max="4" width="29.28515625" bestFit="1" customWidth="1"/>
    <col min="5" max="5" width="14.85546875" bestFit="1" customWidth="1"/>
    <col min="6" max="6" width="18.140625" bestFit="1" customWidth="1"/>
    <col min="7" max="7" width="17.42578125" bestFit="1" customWidth="1"/>
    <col min="8" max="8" width="21.5703125" bestFit="1" customWidth="1"/>
    <col min="9" max="9" width="18.85546875" bestFit="1" customWidth="1"/>
    <col min="10" max="10" width="23" bestFit="1" customWidth="1"/>
    <col min="11" max="11" width="20" bestFit="1" customWidth="1"/>
    <col min="12" max="12" width="24.140625" bestFit="1" customWidth="1"/>
    <col min="13" max="14" width="12.42578125" bestFit="1" customWidth="1"/>
    <col min="15" max="15" width="81.140625" bestFit="1" customWidth="1"/>
    <col min="16" max="16" width="18.7109375" bestFit="1" customWidth="1"/>
    <col min="17" max="17" width="81.140625" bestFit="1" customWidth="1"/>
    <col min="18" max="18" width="21.7109375" bestFit="1" customWidth="1"/>
    <col min="19" max="19" width="5.85546875" bestFit="1" customWidth="1"/>
    <col min="20" max="21" width="12.42578125" bestFit="1" customWidth="1"/>
    <col min="22" max="22" width="81.140625" bestFit="1" customWidth="1"/>
    <col min="23" max="23" width="20" bestFit="1" customWidth="1"/>
    <col min="24" max="24" width="24.140625" bestFit="1" customWidth="1"/>
    <col min="25" max="25" width="5.85546875" bestFit="1" customWidth="1"/>
    <col min="26" max="27" width="12.42578125" bestFit="1" customWidth="1"/>
    <col min="28" max="28" width="81.140625" bestFit="1" customWidth="1"/>
    <col min="29" max="29" width="25" bestFit="1" customWidth="1"/>
    <col min="30" max="30" width="14.7109375" bestFit="1" customWidth="1"/>
    <col min="31" max="31" width="38" bestFit="1" customWidth="1"/>
    <col min="32" max="32" width="19.28515625" bestFit="1" customWidth="1"/>
    <col min="33" max="33" width="19" bestFit="1" customWidth="1"/>
    <col min="34" max="34" width="18.7109375" bestFit="1" customWidth="1"/>
    <col min="35" max="35" width="18.42578125" bestFit="1" customWidth="1"/>
    <col min="36" max="36" width="81.140625" bestFit="1" customWidth="1"/>
    <col min="39" max="39" width="40.5703125" bestFit="1" customWidth="1"/>
  </cols>
  <sheetData>
    <row r="1" spans="1:25" x14ac:dyDescent="0.25">
      <c r="A1" t="s">
        <v>0</v>
      </c>
      <c r="B1" t="s">
        <v>1</v>
      </c>
      <c r="C1" t="s">
        <v>117</v>
      </c>
      <c r="D1" t="s">
        <v>94</v>
      </c>
      <c r="E1" t="s">
        <v>124</v>
      </c>
      <c r="F1" t="s">
        <v>125</v>
      </c>
      <c r="G1" t="s">
        <v>4</v>
      </c>
      <c r="H1" t="s">
        <v>5</v>
      </c>
      <c r="I1" t="s">
        <v>6</v>
      </c>
      <c r="J1" t="s">
        <v>7</v>
      </c>
      <c r="K1" t="s">
        <v>8</v>
      </c>
      <c r="L1" t="s">
        <v>9</v>
      </c>
      <c r="M1" t="s">
        <v>3</v>
      </c>
      <c r="N1" t="s">
        <v>2</v>
      </c>
      <c r="O1" t="s">
        <v>95</v>
      </c>
      <c r="P1" t="s">
        <v>111</v>
      </c>
      <c r="Q1" t="s">
        <v>183</v>
      </c>
      <c r="R1" t="s">
        <v>56</v>
      </c>
    </row>
    <row r="2" spans="1:25" x14ac:dyDescent="0.25">
      <c r="A2">
        <v>16</v>
      </c>
      <c r="C2" t="s">
        <v>141</v>
      </c>
      <c r="D2" t="s">
        <v>142</v>
      </c>
      <c r="E2" t="s">
        <v>143</v>
      </c>
      <c r="F2" t="s">
        <v>21</v>
      </c>
      <c r="G2" t="s">
        <v>144</v>
      </c>
      <c r="H2" t="s">
        <v>10</v>
      </c>
      <c r="I2" t="s">
        <v>145</v>
      </c>
      <c r="J2" t="s">
        <v>146</v>
      </c>
      <c r="K2" t="s">
        <v>147</v>
      </c>
      <c r="L2" t="s">
        <v>11</v>
      </c>
      <c r="M2">
        <v>45879.404027777775</v>
      </c>
      <c r="N2">
        <v>45879.404027777775</v>
      </c>
      <c r="O2" t="str">
        <f>siteUrl&amp;"/Lists/"&amp;custList&amp;"/DispForm.aspx?ID="&amp;Customers[[#This Row],[Id]]</f>
        <v>https://cleansheet5.sharepoint.com/sites/SalesFunnel//Lists/crmCustomers/DispForm.aspx?ID=16</v>
      </c>
      <c r="P2" t="str">
        <f>_xlfn.XLOOKUP(Customers[[#This Row],[Id]],Customers[Id],Customers[CustomerName])</f>
        <v>ACME Corporation</v>
      </c>
      <c r="Q2" t="str">
        <f>_xlfn.XLOOKUP(Customers[[#This Row],[Id]],Customers[Id],Customers[url2])</f>
        <v>https://cleansheet5.sharepoint.com/sites/SalesFunnel//Lists/crmCustomers/DispForm.aspx?ID=16</v>
      </c>
      <c r="R2" t="s">
        <v>57</v>
      </c>
    </row>
    <row r="3" spans="1:25" x14ac:dyDescent="0.25">
      <c r="A3">
        <v>17</v>
      </c>
      <c r="C3" t="s">
        <v>120</v>
      </c>
      <c r="D3" t="s">
        <v>148</v>
      </c>
      <c r="E3" t="s">
        <v>149</v>
      </c>
      <c r="F3" t="s">
        <v>150</v>
      </c>
      <c r="G3" t="s">
        <v>151</v>
      </c>
      <c r="H3" t="s">
        <v>152</v>
      </c>
      <c r="I3" t="s">
        <v>153</v>
      </c>
      <c r="J3" t="s">
        <v>154</v>
      </c>
      <c r="K3" t="s">
        <v>155</v>
      </c>
      <c r="L3" t="s">
        <v>156</v>
      </c>
      <c r="M3">
        <v>45879.404039351852</v>
      </c>
      <c r="N3">
        <v>45879.404039351852</v>
      </c>
      <c r="O3" t="str">
        <f>siteUrl&amp;"/Lists/"&amp;custList&amp;"/DispForm.aspx?ID="&amp;Customers[[#This Row],[Id]]</f>
        <v>https://cleansheet5.sharepoint.com/sites/SalesFunnel//Lists/crmCustomers/DispForm.aspx?ID=17</v>
      </c>
      <c r="P3" t="str">
        <f>_xlfn.XLOOKUP(Customers[[#This Row],[Id]],Customers[Id],Customers[CustomerName])</f>
        <v>Global Industries</v>
      </c>
      <c r="Q3" t="str">
        <f>_xlfn.XLOOKUP(Customers[[#This Row],[Id]],Customers[Id],Customers[url2])</f>
        <v>https://cleansheet5.sharepoint.com/sites/SalesFunnel//Lists/crmCustomers/DispForm.aspx?ID=17</v>
      </c>
      <c r="Y3" t="s">
        <v>58</v>
      </c>
    </row>
    <row r="4" spans="1:25" x14ac:dyDescent="0.25">
      <c r="A4">
        <v>18</v>
      </c>
      <c r="C4" t="s">
        <v>157</v>
      </c>
      <c r="D4" t="s">
        <v>158</v>
      </c>
      <c r="E4" t="s">
        <v>159</v>
      </c>
      <c r="F4" t="s">
        <v>21</v>
      </c>
      <c r="G4" t="s">
        <v>13</v>
      </c>
      <c r="H4" t="s">
        <v>160</v>
      </c>
      <c r="I4" t="s">
        <v>161</v>
      </c>
      <c r="J4" t="s">
        <v>162</v>
      </c>
      <c r="K4" t="s">
        <v>163</v>
      </c>
      <c r="L4" t="s">
        <v>164</v>
      </c>
      <c r="M4">
        <v>45879.404062499998</v>
      </c>
      <c r="N4">
        <v>45879.404062499998</v>
      </c>
      <c r="O4" t="str">
        <f>siteUrl&amp;"/Lists/"&amp;custList&amp;"/DispForm.aspx?ID="&amp;Customers[[#This Row],[Id]]</f>
        <v>https://cleansheet5.sharepoint.com/sites/SalesFunnel//Lists/crmCustomers/DispForm.aspx?ID=18</v>
      </c>
      <c r="P4" t="str">
        <f>_xlfn.XLOOKUP(Customers[[#This Row],[Id]],Customers[Id],Customers[CustomerName])</f>
        <v>Tech Solutions Inc</v>
      </c>
      <c r="Q4" t="str">
        <f>_xlfn.XLOOKUP(Customers[[#This Row],[Id]],Customers[Id],Customers[url2])</f>
        <v>https://cleansheet5.sharepoint.com/sites/SalesFunnel//Lists/crmCustomers/DispForm.aspx?ID=18</v>
      </c>
      <c r="Y4" t="s">
        <v>81</v>
      </c>
    </row>
    <row r="5" spans="1:25" x14ac:dyDescent="0.25">
      <c r="A5">
        <v>19</v>
      </c>
      <c r="C5" t="s">
        <v>165</v>
      </c>
      <c r="D5" t="s">
        <v>166</v>
      </c>
      <c r="E5" t="s">
        <v>167</v>
      </c>
      <c r="F5" t="s">
        <v>21</v>
      </c>
      <c r="G5" t="s">
        <v>168</v>
      </c>
      <c r="H5" t="s">
        <v>169</v>
      </c>
      <c r="I5" t="s">
        <v>170</v>
      </c>
      <c r="J5" t="s">
        <v>171</v>
      </c>
      <c r="K5" t="s">
        <v>172</v>
      </c>
      <c r="L5" t="s">
        <v>173</v>
      </c>
      <c r="M5">
        <v>45879.404074074075</v>
      </c>
      <c r="N5">
        <v>45879.404074074075</v>
      </c>
      <c r="O5" t="str">
        <f>siteUrl&amp;"/Lists/"&amp;custList&amp;"/DispForm.aspx?ID="&amp;Customers[[#This Row],[Id]]</f>
        <v>https://cleansheet5.sharepoint.com/sites/SalesFunnel//Lists/crmCustomers/DispForm.aspx?ID=19</v>
      </c>
      <c r="P5" t="str">
        <f>_xlfn.XLOOKUP(Customers[[#This Row],[Id]],Customers[Id],Customers[CustomerName])</f>
        <v>Manufacturing Plus</v>
      </c>
      <c r="Q5" t="str">
        <f>_xlfn.XLOOKUP(Customers[[#This Row],[Id]],Customers[Id],Customers[url2])</f>
        <v>https://cleansheet5.sharepoint.com/sites/SalesFunnel//Lists/crmCustomers/DispForm.aspx?ID=19</v>
      </c>
      <c r="Y5" t="s">
        <v>60</v>
      </c>
    </row>
    <row r="6" spans="1:25" x14ac:dyDescent="0.25">
      <c r="A6">
        <v>20</v>
      </c>
      <c r="C6" t="s">
        <v>174</v>
      </c>
      <c r="D6" t="s">
        <v>175</v>
      </c>
      <c r="E6" t="s">
        <v>176</v>
      </c>
      <c r="F6" t="s">
        <v>150</v>
      </c>
      <c r="G6" t="s">
        <v>177</v>
      </c>
      <c r="H6" t="s">
        <v>12</v>
      </c>
      <c r="I6" t="s">
        <v>178</v>
      </c>
      <c r="J6" t="s">
        <v>179</v>
      </c>
      <c r="K6" t="s">
        <v>180</v>
      </c>
      <c r="L6" t="s">
        <v>181</v>
      </c>
      <c r="M6">
        <v>45879.404097222221</v>
      </c>
      <c r="N6">
        <v>45879.404097222221</v>
      </c>
      <c r="O6" t="str">
        <f>siteUrl&amp;"/Lists/"&amp;custList&amp;"/DispForm.aspx?ID="&amp;Customers[[#This Row],[Id]]</f>
        <v>https://cleansheet5.sharepoint.com/sites/SalesFunnel//Lists/crmCustomers/DispForm.aspx?ID=20</v>
      </c>
      <c r="P6" t="str">
        <f>_xlfn.XLOOKUP(Customers[[#This Row],[Id]],Customers[Id],Customers[CustomerName])</f>
        <v>Healthcare Partners</v>
      </c>
      <c r="Q6" t="str">
        <f>_xlfn.XLOOKUP(Customers[[#This Row],[Id]],Customers[Id],Customers[url2])</f>
        <v>https://cleansheet5.sharepoint.com/sites/SalesFunnel//Lists/crmCustomers/DispForm.aspx?ID=20</v>
      </c>
      <c r="Y6" t="s">
        <v>61</v>
      </c>
    </row>
    <row r="7" spans="1:25" x14ac:dyDescent="0.25">
      <c r="Y7" t="s">
        <v>82</v>
      </c>
    </row>
    <row r="8" spans="1:25" x14ac:dyDescent="0.25">
      <c r="Y8" t="s">
        <v>64</v>
      </c>
    </row>
    <row r="9" spans="1:25" x14ac:dyDescent="0.25">
      <c r="Y9" t="s">
        <v>65</v>
      </c>
    </row>
    <row r="10" spans="1:25" x14ac:dyDescent="0.25">
      <c r="Y10" t="s">
        <v>58</v>
      </c>
    </row>
    <row r="11" spans="1:25" x14ac:dyDescent="0.25">
      <c r="Y11" t="s">
        <v>83</v>
      </c>
    </row>
    <row r="12" spans="1:25" x14ac:dyDescent="0.25">
      <c r="Y12" t="s">
        <v>60</v>
      </c>
    </row>
    <row r="13" spans="1:25" x14ac:dyDescent="0.25">
      <c r="Y13" t="s">
        <v>84</v>
      </c>
    </row>
    <row r="14" spans="1:25" x14ac:dyDescent="0.25">
      <c r="Y14" t="s">
        <v>85</v>
      </c>
    </row>
    <row r="15" spans="1:25" x14ac:dyDescent="0.25">
      <c r="Y15" t="s">
        <v>64</v>
      </c>
    </row>
    <row r="16" spans="1:25" x14ac:dyDescent="0.25">
      <c r="Y16" t="s">
        <v>65</v>
      </c>
    </row>
    <row r="17" spans="25:39" x14ac:dyDescent="0.25">
      <c r="Y17" t="s">
        <v>58</v>
      </c>
    </row>
    <row r="18" spans="25:39" x14ac:dyDescent="0.25">
      <c r="Y18" t="s">
        <v>86</v>
      </c>
    </row>
    <row r="19" spans="25:39" x14ac:dyDescent="0.25">
      <c r="Y19" t="s">
        <v>60</v>
      </c>
    </row>
    <row r="20" spans="25:39" x14ac:dyDescent="0.25">
      <c r="Y20" t="s">
        <v>87</v>
      </c>
    </row>
    <row r="21" spans="25:39" x14ac:dyDescent="0.25">
      <c r="Y21" t="s">
        <v>88</v>
      </c>
    </row>
    <row r="22" spans="25:39" x14ac:dyDescent="0.25">
      <c r="Y22" t="s">
        <v>64</v>
      </c>
    </row>
    <row r="23" spans="25:39" x14ac:dyDescent="0.25">
      <c r="Y23" t="s">
        <v>65</v>
      </c>
    </row>
    <row r="24" spans="25:39" x14ac:dyDescent="0.25">
      <c r="Y24" t="s">
        <v>58</v>
      </c>
    </row>
    <row r="25" spans="25:39" x14ac:dyDescent="0.25">
      <c r="Y25" t="s">
        <v>89</v>
      </c>
    </row>
    <row r="26" spans="25:39" x14ac:dyDescent="0.25">
      <c r="Y26" t="s">
        <v>60</v>
      </c>
    </row>
    <row r="27" spans="25:39" x14ac:dyDescent="0.25">
      <c r="Y27" t="s">
        <v>90</v>
      </c>
    </row>
    <row r="28" spans="25:39" x14ac:dyDescent="0.25">
      <c r="Y28" t="s">
        <v>91</v>
      </c>
    </row>
    <row r="29" spans="25:39" x14ac:dyDescent="0.25">
      <c r="Y29" t="s">
        <v>64</v>
      </c>
    </row>
    <row r="30" spans="25:39" x14ac:dyDescent="0.25">
      <c r="Y30" t="s">
        <v>78</v>
      </c>
    </row>
    <row r="31" spans="25:39" x14ac:dyDescent="0.25">
      <c r="Y31" t="s">
        <v>79</v>
      </c>
    </row>
    <row r="32" spans="25:39" x14ac:dyDescent="0.25">
      <c r="AM32" t="s">
        <v>80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AM16"/>
  <sheetViews>
    <sheetView showGridLines="0" workbookViewId="0">
      <selection activeCell="W4" sqref="W4"/>
    </sheetView>
  </sheetViews>
  <sheetFormatPr defaultRowHeight="15" x14ac:dyDescent="0.25"/>
  <cols>
    <col min="1" max="1" width="26.85546875" bestFit="1" customWidth="1"/>
    <col min="2" max="5" width="26.28515625" customWidth="1"/>
    <col min="8" max="8" width="13.28515625" bestFit="1" customWidth="1"/>
    <col min="9" max="9" width="11.42578125" bestFit="1" customWidth="1"/>
    <col min="10" max="13" width="12.42578125" bestFit="1" customWidth="1"/>
    <col min="14" max="14" width="10.28515625" bestFit="1" customWidth="1"/>
    <col min="17" max="17" width="20" bestFit="1" customWidth="1"/>
  </cols>
  <sheetData>
    <row r="1" spans="1:39" x14ac:dyDescent="0.25">
      <c r="I1" t="str" cm="1">
        <f t="array" ref="I1:J1">TRANSPOSE(_xlfn.UNIQUE(_xlfn._xlws.FILTER(_xlfn.SORTBY(View[Close Quarter],View[Close Date],1),View[Visible]=1)))</f>
        <v>FY26-Q1</v>
      </c>
      <c r="J1" t="str">
        <v>FY26-Q2</v>
      </c>
      <c r="R1" t="str" cm="1">
        <f t="array" ref="R1:S1">TRANSPOSE(_xlfn.UNIQUE(_xlfn._xlws.FILTER(_xlfn.SORTBY(View[Close Quarter],View[Close Date],-1),View[Visible]=1)))</f>
        <v>FY26-Q2</v>
      </c>
      <c r="S1" t="str">
        <v>FY26-Q1</v>
      </c>
      <c r="AH1" t="str" cm="1">
        <f t="array" ref="AH1:AI1">TRANSPOSE(_xlfn.UNIQUE(_xlfn.SORTBY(View[Close Quarter],(View[Close Date]),-1)))</f>
        <v>FY26-Q2</v>
      </c>
      <c r="AI1" t="str">
        <v>FY26-Q1</v>
      </c>
    </row>
    <row r="2" spans="1:39" x14ac:dyDescent="0.25">
      <c r="B2" s="14">
        <f>SUBTOTAL(9, View[Unweighted])/1000</f>
        <v>0.66500000000000004</v>
      </c>
      <c r="C2" s="15">
        <f>SUBTOTAL(3,View[[🔗Customer ]])</f>
        <v>5</v>
      </c>
      <c r="D2" s="16">
        <f>(B2-(SUBTOTAL(9,View[Estmated Revenue])/1000))/B2</f>
        <v>0.32857142857142857</v>
      </c>
      <c r="E2" s="18">
        <f>SUMIFS(View[Unweighted],View[High Probability],TRUE,View[Visible],1)/1000</f>
        <v>0.66500000000000004</v>
      </c>
      <c r="H2" t="s">
        <v>53</v>
      </c>
      <c r="I2">
        <f>IF(I1="","",COUNTIFS(View[Visible],1,View[Close Quarter],graphics!I1))</f>
        <v>1</v>
      </c>
      <c r="J2">
        <f>IF(J1="","",COUNTIFS(View[Visible],1,View[Close Quarter],graphics!J1))</f>
        <v>4</v>
      </c>
      <c r="K2" t="str">
        <f>IF(K1="","",COUNTIFS(View[Visible],1,View[Close Quarter],graphics!K1))</f>
        <v/>
      </c>
      <c r="L2" t="str">
        <f>IF(L1="","",COUNTIFS(View[Visible],1,View[Close Quarter],graphics!L1))</f>
        <v/>
      </c>
      <c r="M2" t="str">
        <f>IF(M1="","",COUNTIFS(View[Visible],1,View[Close Quarter],graphics!M1))</f>
        <v/>
      </c>
      <c r="N2" t="str">
        <f>IF(N1="","",COUNTIFS(View[Visible],1,View[Close Quarter],graphics!N1))</f>
        <v/>
      </c>
      <c r="Q2" t="str" cm="1">
        <f t="array" ref="Q2:Q5">(_xlfn._xlws.SORT(_xlfn.UNIQUE(View[Stage])))</f>
        <v>1 - Lead Qualification</v>
      </c>
      <c r="R2">
        <f>IF(R$1="","",SUMIFS(View[Unweighted],View[Close Quarter],R$1,View[Stage],$Q2,View[Visible],1)/1000)</f>
        <v>3.5000000000000003E-2</v>
      </c>
      <c r="S2">
        <f>IF(S$1="","",SUMIFS(View[Unweighted],View[Close Quarter],S$1,View[Stage],$Q2,View[Visible],1)/1000)</f>
        <v>0</v>
      </c>
      <c r="T2" t="str">
        <f>IF(T$1="","",SUMIFS(View[Unweighted],View[Close Quarter],T$1,View[Stage],$Q2,View[Visible],1)/1000)</f>
        <v/>
      </c>
      <c r="U2" t="str">
        <f>IF(U$1="","",SUMIFS(View[Unweighted],View[Close Quarter],U$1,View[Stage],$Q2,View[Visible],1)/1000)</f>
        <v/>
      </c>
      <c r="V2" t="str">
        <f>IF(V$1="","",SUMIFS(View[Unweighted],View[Close Quarter],V$1,View[Stage],$Q2,View[Visible],1)/1000)</f>
        <v/>
      </c>
      <c r="W2" t="str">
        <f>IF(W$1="","",SUMIFS(View[Unweighted],View[Close Quarter],W$1,View[Stage],$Q2,View[Visible],1)/1000)</f>
        <v/>
      </c>
      <c r="AF2" t="s">
        <v>100</v>
      </c>
      <c r="AG2" t="s">
        <v>27</v>
      </c>
      <c r="AH2" s="27">
        <f>IF(AH$1="","",SUMIFS(View[Unweighted],View[Close Quarter],AH$1,View[S],$AF2,View[Visible],1)/1000)</f>
        <v>0.18</v>
      </c>
      <c r="AI2" s="27">
        <f>IF(AI$1="","",SUMIFS(View[Unweighted],View[Close Quarter],AI$1,View[S],$AF2,View[Visible],1)/1000)</f>
        <v>0</v>
      </c>
      <c r="AJ2" s="27" t="str">
        <f>IF(AJ$1="","",SUMIFS(View[Unweighted],View[Close Quarter],AJ$1,View[S],$AF2,View[Visible],1)/1000)</f>
        <v/>
      </c>
      <c r="AK2" s="27" t="str">
        <f>IF(AK$1="","",SUMIFS(View[Unweighted],View[Close Quarter],AK$1,View[S],$AF2,View[Visible],1)/1000)</f>
        <v/>
      </c>
      <c r="AL2" s="27" t="str">
        <f>IF(AL$1="","",SUMIFS(View[Unweighted],View[Close Quarter],AL$1,View[S],$AF2,View[Visible],1)/1000)</f>
        <v/>
      </c>
      <c r="AM2" s="27" t="str">
        <f>IF(AM$1="","",SUMIFS(View[Unweighted],View[Close Quarter],AM$1,View[S],$AF2,View[Visible],1)/1000)</f>
        <v/>
      </c>
    </row>
    <row r="3" spans="1:39" x14ac:dyDescent="0.25">
      <c r="B3" s="13" t="s">
        <v>28</v>
      </c>
      <c r="C3" s="13" t="s">
        <v>47</v>
      </c>
      <c r="D3" s="13" t="s">
        <v>29</v>
      </c>
      <c r="E3" s="5" t="s">
        <v>30</v>
      </c>
      <c r="H3" t="s">
        <v>45</v>
      </c>
      <c r="I3" s="4">
        <f>IF(I1="","",SUMIFS(View[Unweighted],View[Visible],1,View[Close Quarter],graphics!I$1)/1000)</f>
        <v>0.125</v>
      </c>
      <c r="J3" s="4">
        <f>IF(J1="","",SUMIFS(View[Unweighted],View[Visible],1,View[Close Quarter],graphics!J$1)/1000)</f>
        <v>0.54</v>
      </c>
      <c r="K3" s="4" t="str">
        <f>IF(K1="","",SUMIFS(View[Unweighted],View[Visible],1,View[Close Quarter],graphics!K$1)/1000)</f>
        <v/>
      </c>
      <c r="L3" s="4" t="str">
        <f>IF(L1="","",SUMIFS(View[Unweighted],View[Visible],1,View[Close Quarter],graphics!L$1)/1000)</f>
        <v/>
      </c>
      <c r="M3" s="4" t="str">
        <f>IF(M1="","",SUMIFS(View[Unweighted],View[Visible],1,View[Close Quarter],graphics!M$1)/1000)</f>
        <v/>
      </c>
      <c r="N3" s="4" t="str">
        <f>IF(N1="","",SUMIFS(View[Unweighted],View[Visible],1,View[Close Quarter],graphics!N$1)/1000)</f>
        <v/>
      </c>
      <c r="Q3" t="str">
        <v>2 - Nurturing</v>
      </c>
      <c r="R3">
        <f>IF(R$1="","",SUMIFS(View[Unweighted],View[Close Quarter],R$1,View[Stage],$Q3,View[Visible],1)/1000)</f>
        <v>0.18</v>
      </c>
      <c r="S3">
        <f>IF(S$1="","",SUMIFS(View[Unweighted],View[Close Quarter],S$1,View[Stage],$Q3,View[Visible],1)/1000)</f>
        <v>0</v>
      </c>
      <c r="T3" t="str">
        <f>IF(T$1="","",SUMIFS(View[Unweighted],View[Close Quarter],T$1,View[Stage],$Q3,View[Visible],1)/1000)</f>
        <v/>
      </c>
      <c r="U3" t="str">
        <f>IF(U$1="","",SUMIFS(View[Unweighted],View[Close Quarter],U$1,View[Stage],$Q3,View[Visible],1)/1000)</f>
        <v/>
      </c>
      <c r="V3" t="str">
        <f>IF(V$1="","",SUMIFS(View[Unweighted],View[Close Quarter],V$1,View[Stage],$Q3,View[Visible],1)/1000)</f>
        <v/>
      </c>
      <c r="W3" t="str">
        <f>IF(W$1="","",SUMIFS(View[Unweighted],View[Close Quarter],W$1,View[Stage],$Q3,View[Visible],1)/1000)</f>
        <v/>
      </c>
      <c r="AF3" t="s">
        <v>101</v>
      </c>
      <c r="AG3" t="s">
        <v>19</v>
      </c>
      <c r="AH3" s="27">
        <f>IF(AH$1="","",SUMIFS(View[Unweighted],View[Close Quarter],AH$1,View[S],$AF3,View[Visible],1)/1000)</f>
        <v>7.4999999999999997E-2</v>
      </c>
      <c r="AI3" s="27">
        <f>IF(AI$1="","",SUMIFS(View[Unweighted],View[Close Quarter],AI$1,View[S],$AF3,View[Visible],1)/1000)</f>
        <v>0</v>
      </c>
      <c r="AJ3" s="27" t="str">
        <f>IF(AJ$1="","",SUMIFS(View[Unweighted],View[Close Quarter],AJ$1,View[S],$AF3,View[Visible],1)/1000)</f>
        <v/>
      </c>
      <c r="AK3" s="27" t="str">
        <f>IF(AK$1="","",SUMIFS(View[Unweighted],View[Close Quarter],AK$1,View[S],$AF3,View[Visible],1)/1000)</f>
        <v/>
      </c>
      <c r="AL3" s="27" t="str">
        <f>IF(AL$1="","",SUMIFS(View[Unweighted],View[Close Quarter],AL$1,View[S],$AF3,View[Visible],1)/1000)</f>
        <v/>
      </c>
      <c r="AM3" s="27" t="str">
        <f>IF(AM$1="","",SUMIFS(View[Unweighted],View[Close Quarter],AM$1,View[S],$AF3,View[Visible],1)/1000)</f>
        <v/>
      </c>
    </row>
    <row r="4" spans="1:39" x14ac:dyDescent="0.25">
      <c r="H4" t="s">
        <v>43</v>
      </c>
      <c r="I4" s="4">
        <f>IF(I1="","",SUMIFS(View[Estmated Revenue],View[Visible],1,View[Close Quarter],graphics!I$1)/1000)</f>
        <v>0.1125</v>
      </c>
      <c r="J4" s="4">
        <f>IF(J1="","",SUMIFS(View[Estmated Revenue],View[Visible],1,View[Close Quarter],graphics!J$1)/1000)</f>
        <v>0.33400000000000002</v>
      </c>
      <c r="K4" s="4" t="str">
        <f>IF(K1="","",SUMIFS(View[Estmated Revenue],View[Visible],1,View[Close Quarter],graphics!K$1)/1000)</f>
        <v/>
      </c>
      <c r="L4" s="4" t="str">
        <f>IF(L1="","",SUMIFS(View[Estmated Revenue],View[Visible],1,View[Close Quarter],graphics!L$1)/1000)</f>
        <v/>
      </c>
      <c r="M4" s="4" t="str">
        <f>IF(M1="","",SUMIFS(View[Estmated Revenue],View[Visible],1,View[Close Quarter],graphics!M$1)/1000)</f>
        <v/>
      </c>
      <c r="N4" s="4" t="str">
        <f>IF(N1="","",SUMIFS(View[Estmated Revenue],View[Visible],1,View[Close Quarter],graphics!N$1)/1000)</f>
        <v/>
      </c>
      <c r="Q4" t="str">
        <v>3 - Proposal</v>
      </c>
      <c r="R4">
        <f>IF(R$1="","",SUMIFS(View[Unweighted],View[Close Quarter],R$1,View[Stage],$Q4,View[Visible],1)/1000)</f>
        <v>0.25</v>
      </c>
      <c r="S4">
        <f>IF(S$1="","",SUMIFS(View[Unweighted],View[Close Quarter],S$1,View[Stage],$Q4,View[Visible],1)/1000)</f>
        <v>0.125</v>
      </c>
      <c r="T4" t="str">
        <f>IF(T$1="","",SUMIFS(View[Unweighted],View[Close Quarter],T$1,View[Stage],$Q4,View[Visible],1)/1000)</f>
        <v/>
      </c>
      <c r="U4" t="str">
        <f>IF(U$1="","",SUMIFS(View[Unweighted],View[Close Quarter],U$1,View[Stage],$Q4,View[Visible],1)/1000)</f>
        <v/>
      </c>
      <c r="V4" t="str">
        <f>IF(V$1="","",SUMIFS(View[Unweighted],View[Close Quarter],V$1,View[Stage],$Q4,View[Visible],1)/1000)</f>
        <v/>
      </c>
      <c r="W4" t="str">
        <f>IF(W$1="","",SUMIFS(View[Unweighted],View[Close Quarter],W$1,View[Stage],$Q4,View[Visible],1)/1000)</f>
        <v/>
      </c>
      <c r="AF4" t="s">
        <v>102</v>
      </c>
      <c r="AG4" t="s">
        <v>21</v>
      </c>
      <c r="AH4" s="27">
        <f>IF(AH$1="","",SUMIFS(View[Unweighted],View[Close Quarter],AH$1,View[S],$AF4,View[Visible],1)/1000)</f>
        <v>0.28499999999999998</v>
      </c>
      <c r="AI4" s="27">
        <f>IF(AI$1="","",SUMIFS(View[Unweighted],View[Close Quarter],AI$1,View[S],$AF4,View[Visible],1)/1000)</f>
        <v>0.125</v>
      </c>
      <c r="AJ4" s="27" t="str">
        <f>IF(AJ$1="","",SUMIFS(View[Unweighted],View[Close Quarter],AJ$1,View[S],$AF4,View[Visible],1)/1000)</f>
        <v/>
      </c>
      <c r="AK4" s="27" t="str">
        <f>IF(AK$1="","",SUMIFS(View[Unweighted],View[Close Quarter],AK$1,View[S],$AF4,View[Visible],1)/1000)</f>
        <v/>
      </c>
      <c r="AL4" s="27" t="str">
        <f>IF(AL$1="","",SUMIFS(View[Unweighted],View[Close Quarter],AL$1,View[S],$AF4,View[Visible],1)/1000)</f>
        <v/>
      </c>
      <c r="AM4" s="27" t="str">
        <f>IF(AM$1="","",SUMIFS(View[Unweighted],View[Close Quarter],AM$1,View[S],$AF4,View[Visible],1)/1000)</f>
        <v/>
      </c>
    </row>
    <row r="5" spans="1:39" x14ac:dyDescent="0.25">
      <c r="Q5" t="str">
        <v>4 - Negotiation</v>
      </c>
      <c r="R5">
        <f>IF(R$1="","",SUMIFS(View[Unweighted],View[Close Quarter],R$1,View[Stage],$Q5,View[Visible],1)/1000)</f>
        <v>7.4999999999999997E-2</v>
      </c>
      <c r="S5">
        <f>IF(S$1="","",SUMIFS(View[Unweighted],View[Close Quarter],S$1,View[Stage],$Q5,View[Visible],1)/1000)</f>
        <v>0</v>
      </c>
      <c r="T5" t="str">
        <f>IF(T$1="","",SUMIFS(View[Unweighted],View[Close Quarter],T$1,View[Stage],$Q5,View[Visible],1)/1000)</f>
        <v/>
      </c>
      <c r="U5" t="str">
        <f>IF(U$1="","",SUMIFS(View[Unweighted],View[Close Quarter],U$1,View[Stage],$Q5,View[Visible],1)/1000)</f>
        <v/>
      </c>
      <c r="V5" t="str">
        <f>IF(V$1="","",SUMIFS(View[Unweighted],View[Close Quarter],V$1,View[Stage],$Q5,View[Visible],1)/1000)</f>
        <v/>
      </c>
      <c r="W5" t="str">
        <f>IF(W$1="","",SUMIFS(View[Unweighted],View[Close Quarter],W$1,View[Stage],$Q5,View[Visible],1)/1000)</f>
        <v/>
      </c>
    </row>
    <row r="6" spans="1:39" x14ac:dyDescent="0.25">
      <c r="R6">
        <f>IF(R$1="","",SUMIFS(View[Unweighted],View[Close Quarter],R$1,View[Stage],$Q6,View[Visible],1)/1000)</f>
        <v>0</v>
      </c>
      <c r="S6">
        <f>IF(S$1="","",SUMIFS(View[Unweighted],View[Close Quarter],S$1,View[Stage],$Q6,View[Visible],1)/1000)</f>
        <v>0</v>
      </c>
      <c r="T6" t="str">
        <f>IF(T$1="","",SUMIFS(View[Unweighted],View[Close Quarter],T$1,View[Stage],$Q6,View[Visible],1)/1000)</f>
        <v/>
      </c>
      <c r="U6" t="str">
        <f>IF(U$1="","",SUMIFS(View[Unweighted],View[Close Quarter],U$1,View[Stage],$Q6,View[Visible],1)/1000)</f>
        <v/>
      </c>
      <c r="V6" t="str">
        <f>IF(V$1="","",SUMIFS(View[Unweighted],View[Close Quarter],V$1,View[Stage],$Q6,View[Visible],1)/1000)</f>
        <v/>
      </c>
      <c r="W6" t="str">
        <f>IF(W$1="","",SUMIFS(View[Unweighted],View[Close Quarter],W$1,View[Stage],$Q6,View[Visible],1)/1000)</f>
        <v/>
      </c>
    </row>
    <row r="7" spans="1:39" x14ac:dyDescent="0.25">
      <c r="R7">
        <f>IF(R$1="","",SUMIFS(View[Unweighted],View[Close Quarter],R$1,View[Stage],$Q7,View[Visible],1)/1000)</f>
        <v>0</v>
      </c>
      <c r="S7">
        <f>IF(S$1="","",SUMIFS(View[Unweighted],View[Close Quarter],S$1,View[Stage],$Q7,View[Visible],1)/1000)</f>
        <v>0</v>
      </c>
      <c r="T7" t="str">
        <f>IF(T$1="","",SUMIFS(View[Unweighted],View[Close Quarter],T$1,View[Stage],$Q7,View[Visible],1)/1000)</f>
        <v/>
      </c>
      <c r="U7" t="str">
        <f>IF(U$1="","",SUMIFS(View[Unweighted],View[Close Quarter],U$1,View[Stage],$Q7,View[Visible],1)/1000)</f>
        <v/>
      </c>
      <c r="V7" t="str">
        <f>IF(V$1="","",SUMIFS(View[Unweighted],View[Close Quarter],V$1,View[Stage],$Q7,View[Visible],1)/1000)</f>
        <v/>
      </c>
      <c r="W7" t="str">
        <f>IF(W$1="","",SUMIFS(View[Unweighted],View[Close Quarter],W$1,View[Stage],$Q7,View[Visible],1)/1000)</f>
        <v/>
      </c>
    </row>
    <row r="10" spans="1:39" x14ac:dyDescent="0.25">
      <c r="B10" t="s">
        <v>15</v>
      </c>
      <c r="C10" t="s">
        <v>53</v>
      </c>
      <c r="D10" t="s">
        <v>16</v>
      </c>
    </row>
    <row r="11" spans="1:39" x14ac:dyDescent="0.25">
      <c r="A11">
        <f>_xlfn.XLOOKUP(B11,Opportunities[DisplayStage],Opportunities[Stage])</f>
        <v>0</v>
      </c>
      <c r="B11" t="str" cm="1">
        <f t="array" ref="B11:B14">_xlfn._xlws.SORT(_xlfn.UNIQUE(View[Stage]))</f>
        <v>1 - Lead Qualification</v>
      </c>
      <c r="C11">
        <f>COUNTIFS(View[Stage],B11,View[Visible],1)</f>
        <v>1</v>
      </c>
      <c r="D11" s="22">
        <f>SUMIFS(View[Opportunity Value],View[Stage],B11,View[Visible],1)/1000</f>
        <v>3.5000000000000003E-2</v>
      </c>
    </row>
    <row r="12" spans="1:39" x14ac:dyDescent="0.25">
      <c r="A12">
        <f>_xlfn.XLOOKUP(B12,Opportunities[DisplayStage],Opportunities[Stage])</f>
        <v>0</v>
      </c>
      <c r="B12" t="str">
        <v>2 - Nurturing</v>
      </c>
      <c r="C12">
        <f>COUNTIF(View[Stage],B12)</f>
        <v>1</v>
      </c>
      <c r="D12" s="22">
        <f>SUMIFS(View[Opportunity Value],View[Stage],B12,View[Visible],1)/1000</f>
        <v>0.18</v>
      </c>
    </row>
    <row r="13" spans="1:39" x14ac:dyDescent="0.25">
      <c r="A13">
        <f>_xlfn.XLOOKUP(B13,Opportunities[DisplayStage],Opportunities[Stage])</f>
        <v>0</v>
      </c>
      <c r="B13" t="str">
        <v>3 - Proposal</v>
      </c>
      <c r="C13">
        <f>COUNTIF(View[Stage],B13)</f>
        <v>2</v>
      </c>
      <c r="D13" s="22">
        <f>SUMIFS(View[Opportunity Value],View[Stage],B13,View[Visible],1)/1000</f>
        <v>0.375</v>
      </c>
    </row>
    <row r="14" spans="1:39" x14ac:dyDescent="0.25">
      <c r="A14">
        <f>_xlfn.XLOOKUP(B14,Opportunities[DisplayStage],Opportunities[Stage])</f>
        <v>0</v>
      </c>
      <c r="B14" t="str">
        <v>4 - Negotiation</v>
      </c>
      <c r="C14">
        <f>COUNTIF(View[Stage],B14)</f>
        <v>1</v>
      </c>
      <c r="D14" s="22">
        <f>SUMIFS(View[Opportunity Value],View[Stage],B14,View[Visible],1)/1000</f>
        <v>7.4999999999999997E-2</v>
      </c>
    </row>
    <row r="15" spans="1:39" x14ac:dyDescent="0.25">
      <c r="A15" t="e">
        <f>_xlfn.XLOOKUP(B15,Opportunities[DisplayStage],Opportunities[Stage])</f>
        <v>#N/A</v>
      </c>
      <c r="C15">
        <f>COUNTIF(View[Stage],B15)</f>
        <v>0</v>
      </c>
      <c r="D15" s="22">
        <f>SUMIFS(View[Opportunity Value],View[Stage],B15,View[Visible],1)/1000</f>
        <v>0</v>
      </c>
    </row>
    <row r="16" spans="1:39" x14ac:dyDescent="0.25">
      <c r="A16" t="e">
        <f>_xlfn.XLOOKUP(B16,Opportunities[DisplayStage],Opportunities[Stage])</f>
        <v>#N/A</v>
      </c>
      <c r="C16">
        <f>COUNTIF(View[Stage],B16)</f>
        <v>0</v>
      </c>
      <c r="D16" s="22">
        <f>SUMIFS(View[Opportunity Value],View[Stage],B16,View[Visible],1)/1000</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Pipeline</vt:lpstr>
      <vt:lpstr>Settings</vt:lpstr>
      <vt:lpstr>Opportunities</vt:lpstr>
      <vt:lpstr>Customers</vt:lpstr>
      <vt:lpstr>graphics</vt:lpstr>
      <vt:lpstr>calendarType</vt:lpstr>
      <vt:lpstr>custList</vt:lpstr>
      <vt:lpstr>custListAppend</vt:lpstr>
      <vt:lpstr>dateRange</vt:lpstr>
      <vt:lpstr>fqStart</vt:lpstr>
      <vt:lpstr>listPrefix</vt:lpstr>
      <vt:lpstr>oppList</vt:lpstr>
      <vt:lpstr>oppListAppend</vt:lpstr>
      <vt:lpstr>pipelineType</vt:lpstr>
      <vt:lpstr>probabilityThreshold</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2025-08-10T15:35:19Z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