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3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drawings/drawing4.xml" ContentType="application/vnd.openxmlformats-officedocument.drawing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5.xml" ContentType="application/vnd.openxmlformats-officedocument.drawing+xml"/>
  <Override PartName="/xl/tables/table11.xml" ContentType="application/vnd.openxmlformats-officedocument.spreadsheetml.table+xml"/>
  <Override PartName="/xl/drawings/drawing6.xml" ContentType="application/vnd.openxmlformats-officedocument.drawing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drawings/drawing7.xml" ContentType="application/vnd.openxmlformats-officedocument.drawing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drawings/drawing8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drawings/drawing9.xml" ContentType="application/vnd.openxmlformats-officedocument.drawing+xml"/>
  <Override PartName="/xl/tables/table20.xml" ContentType="application/vnd.openxmlformats-officedocument.spreadsheetml.table+xml"/>
  <Override PartName="/xl/drawings/drawing10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ljap\Downloads\"/>
    </mc:Choice>
  </mc:AlternateContent>
  <xr:revisionPtr revIDLastSave="0" documentId="13_ncr:1_{A9C6FF6F-1096-4F50-A838-EB87E027449A}" xr6:coauthVersionLast="47" xr6:coauthVersionMax="47" xr10:uidLastSave="{00000000-0000-0000-0000-000000000000}"/>
  <bookViews>
    <workbookView xWindow="-103" yWindow="-103" windowWidth="33120" windowHeight="18120" xr2:uid="{35843AF7-3579-4737-8D3C-BD5B4B67E81A}"/>
  </bookViews>
  <sheets>
    <sheet name="🔀 class" sheetId="19" r:id="rId1"/>
    <sheet name="※ entity" sheetId="15" r:id="rId2"/>
    <sheet name="📆 gantt" sheetId="14" r:id="rId3"/>
    <sheet name="🔀 flow" sheetId="9" r:id="rId4"/>
    <sheet name="🗾 journey" sheetId="18" r:id="rId5"/>
    <sheet name="zenUML" sheetId="13" state="hidden" r:id="rId6"/>
    <sheet name="🔳 quadrant" sheetId="8" r:id="rId7"/>
    <sheet name="🔢 sequence" sheetId="17" r:id="rId8"/>
    <sheet name="🔄 simpleState" sheetId="6" r:id="rId9"/>
    <sheet name="🔢 simpleSequence" sheetId="5" r:id="rId10"/>
    <sheet name="supporting tables" sheetId="4" r:id="rId11"/>
  </sheets>
  <definedNames>
    <definedName name="dsfs">'※ entity'!$B$1</definedName>
    <definedName name="entities" localSheetId="1">_xlfn.HSTACK(_xlfn.SEQUENCE(ROWS(_xlfn.UNIQUE(_xlfn.VSTACK(erdEntities[Source],erdEntities[Target])))),_xlfn.UNIQUE(_xlfn.VSTACK(erdEntities[Source],erdEntities[Target])))</definedName>
    <definedName name="entities" localSheetId="5">_xlfn.HSTACK(_xlfn.SEQUENCE(ROWS(_xlfn.UNIQUE(_xlfn.VSTACK(erdEntities17[Source],erdEntities17[Target])))),_xlfn.UNIQUE(_xlfn.VSTACK(erdEntities17[Source],erdEntities17[Target])))</definedName>
    <definedName name="entities">_xlfn.HSTACK(_xlfn.SEQUENCE(ROWS(_xlfn.UNIQUE(_xlfn.VSTACK(#REF!,#REF!)))),_xlfn.UNIQUE(_xlfn.VSTACK(#REF!,#REF!)))</definedName>
    <definedName name="erdAttributeRange">#REF!</definedName>
    <definedName name="erdAttrMmSyntax">#REF!</definedName>
    <definedName name="erdDefaultRelationship" localSheetId="1">'※ entity'!$B$1</definedName>
    <definedName name="erdDefaultRelationship">#REF!</definedName>
    <definedName name="erdv2Attr">#REF!</definedName>
    <definedName name="erdv2Attributes">_xlfn.ANCHORARRAY(#REF!)</definedName>
    <definedName name="stateDir">'🔄 simpleState'!$B$1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15" i="4" l="1"/>
  <c r="Z16" i="4"/>
  <c r="Z17" i="4"/>
  <c r="Z18" i="4"/>
  <c r="R1" i="8"/>
  <c r="N28" i="8"/>
  <c r="M28" i="8" s="1"/>
  <c r="N16" i="8"/>
  <c r="M16" i="8" s="1"/>
  <c r="N31" i="8"/>
  <c r="M31" i="8" s="1"/>
  <c r="N32" i="8"/>
  <c r="M32" i="8" s="1"/>
  <c r="N33" i="8"/>
  <c r="M33" i="8" s="1"/>
  <c r="N34" i="8"/>
  <c r="M34" i="8" s="1"/>
  <c r="N35" i="8"/>
  <c r="M35" i="8" s="1"/>
  <c r="C2" i="8"/>
  <c r="C3" i="8"/>
  <c r="C4" i="8"/>
  <c r="C5" i="8"/>
  <c r="C6" i="8"/>
  <c r="N10" i="8" l="1"/>
  <c r="M10" i="8" s="1"/>
  <c r="N18" i="8"/>
  <c r="M18" i="8" s="1"/>
  <c r="N8" i="8"/>
  <c r="M8" i="8" s="1"/>
  <c r="N27" i="8"/>
  <c r="M27" i="8" s="1"/>
  <c r="N14" i="8"/>
  <c r="M14" i="8" s="1"/>
  <c r="N23" i="8"/>
  <c r="M23" i="8" s="1"/>
  <c r="N5" i="8"/>
  <c r="M5" i="8" s="1"/>
  <c r="N13" i="8"/>
  <c r="M13" i="8" s="1"/>
  <c r="N21" i="8"/>
  <c r="M21" i="8" s="1"/>
  <c r="I41" i="19" l="1"/>
  <c r="I21" i="19"/>
  <c r="I22" i="19"/>
  <c r="I23" i="19"/>
  <c r="I24" i="19"/>
  <c r="I25" i="19"/>
  <c r="I26" i="19"/>
  <c r="I27" i="19"/>
  <c r="I28" i="19"/>
  <c r="I29" i="19"/>
  <c r="I30" i="19"/>
  <c r="I31" i="19"/>
  <c r="I32" i="19"/>
  <c r="I33" i="19"/>
  <c r="I34" i="19"/>
  <c r="I35" i="19"/>
  <c r="I36" i="19"/>
  <c r="I37" i="19"/>
  <c r="I38" i="19"/>
  <c r="I39" i="19"/>
  <c r="I40" i="19"/>
  <c r="Y3" i="19" l="1" a="1"/>
  <c r="Y3" i="19" s="1"/>
  <c r="C4" i="19" l="1"/>
  <c r="C5" i="19"/>
  <c r="C6" i="19"/>
  <c r="C7" i="19"/>
  <c r="C8" i="19"/>
  <c r="C9" i="19"/>
  <c r="C10" i="19"/>
  <c r="C11" i="19"/>
  <c r="C12" i="19"/>
  <c r="C18" i="19"/>
  <c r="C19" i="19"/>
  <c r="C20" i="19"/>
  <c r="C21" i="19"/>
  <c r="C22" i="19"/>
  <c r="C23" i="19"/>
  <c r="C24" i="19"/>
  <c r="C25" i="19"/>
  <c r="C26" i="19"/>
  <c r="Y9" i="4"/>
  <c r="Y8" i="4"/>
  <c r="Y7" i="4"/>
  <c r="Y6" i="4"/>
  <c r="Y3" i="4"/>
  <c r="Y2" i="4"/>
  <c r="I4" i="19"/>
  <c r="I5" i="19"/>
  <c r="I6" i="19"/>
  <c r="I7" i="19"/>
  <c r="I8" i="19"/>
  <c r="I9" i="19"/>
  <c r="I10" i="19"/>
  <c r="I11" i="19"/>
  <c r="I12" i="19"/>
  <c r="I13" i="19"/>
  <c r="I14" i="19"/>
  <c r="I15" i="19"/>
  <c r="I16" i="19"/>
  <c r="I17" i="19"/>
  <c r="I18" i="19"/>
  <c r="I19" i="19"/>
  <c r="I20" i="19"/>
  <c r="AA3" i="19" a="1"/>
  <c r="AA3" i="19" s="1"/>
  <c r="Z3" i="19" a="1"/>
  <c r="Z3" i="19" s="1"/>
  <c r="S4" i="19"/>
  <c r="S5" i="19"/>
  <c r="S6" i="19"/>
  <c r="S7" i="19"/>
  <c r="S8" i="19"/>
  <c r="S9" i="19"/>
  <c r="S10" i="19"/>
  <c r="S11" i="19"/>
  <c r="S12" i="19"/>
  <c r="S13" i="19"/>
  <c r="S14" i="19"/>
  <c r="S15" i="19"/>
  <c r="S16" i="19"/>
  <c r="S17" i="19"/>
  <c r="S18" i="19"/>
  <c r="W3" i="19" a="1"/>
  <c r="W3" i="19" s="1"/>
  <c r="X3" i="19" a="1"/>
  <c r="X3" i="19" s="1"/>
  <c r="G4" i="18"/>
  <c r="G5" i="18"/>
  <c r="G6" i="18"/>
  <c r="G7" i="18"/>
  <c r="G8" i="18"/>
  <c r="G9" i="18"/>
  <c r="G10" i="18"/>
  <c r="G11" i="18"/>
  <c r="G12" i="18"/>
  <c r="G13" i="18"/>
  <c r="G14" i="18"/>
  <c r="G15" i="18"/>
  <c r="G16" i="18"/>
  <c r="G17" i="18"/>
  <c r="G18" i="18"/>
  <c r="G19" i="18"/>
  <c r="G20" i="18"/>
  <c r="G21" i="18"/>
  <c r="G22" i="18"/>
  <c r="AT2" i="17" a="1"/>
  <c r="AT2" i="17" s="1"/>
  <c r="AS2" i="17"/>
  <c r="AS2" i="17" a="1"/>
  <c r="AR2" i="17" a="1"/>
  <c r="AR2" i="17" s="1"/>
  <c r="AQ2" i="17" a="1"/>
  <c r="AQ2" i="17" s="1"/>
  <c r="AP2" i="17" a="1"/>
  <c r="AP2" i="17" s="1"/>
  <c r="AO2" i="17" a="1"/>
  <c r="AO2" i="17" s="1"/>
  <c r="AN2" i="17" a="1"/>
  <c r="AN2" i="17" s="1"/>
  <c r="AM2" i="17"/>
  <c r="AM2" i="17" a="1"/>
  <c r="AL2" i="17" a="1"/>
  <c r="AL2" i="17" s="1"/>
  <c r="AK2" i="17" a="1"/>
  <c r="AK2" i="17" s="1"/>
  <c r="AJ2" i="17" a="1"/>
  <c r="AJ2" i="17" s="1"/>
  <c r="AI2" i="17" a="1"/>
  <c r="AI2" i="17" s="1"/>
  <c r="AH2" i="17" a="1"/>
  <c r="AH2" i="17" s="1"/>
  <c r="AG2" i="17"/>
  <c r="AG2" i="17" a="1"/>
  <c r="AF2" i="17" a="1"/>
  <c r="AF2" i="17" s="1"/>
  <c r="AE2" i="17" a="1"/>
  <c r="AE2" i="17" s="1"/>
  <c r="AD2" i="17" a="1"/>
  <c r="AD2" i="17" s="1"/>
  <c r="AC2" i="17" a="1"/>
  <c r="AC2" i="17" s="1"/>
  <c r="AB2" i="17" a="1"/>
  <c r="AB2" i="17" s="1"/>
  <c r="AA2" i="17"/>
  <c r="AA2" i="17" a="1"/>
  <c r="Z2" i="17" a="1"/>
  <c r="Z2" i="17" s="1"/>
  <c r="Y2" i="17" a="1"/>
  <c r="Y2" i="17" s="1"/>
  <c r="X2" i="17" a="1"/>
  <c r="X2" i="17" s="1"/>
  <c r="W2" i="17" a="1"/>
  <c r="W2" i="17" s="1"/>
  <c r="U1" i="17" a="1"/>
  <c r="U1" i="17" s="1"/>
  <c r="U2" i="17" s="1" a="1"/>
  <c r="U2" i="17" s="1"/>
  <c r="AF1" i="15" a="1"/>
  <c r="AF1" i="15" s="1"/>
  <c r="AF2" i="15" s="1" a="1"/>
  <c r="AF2" i="15" s="1"/>
  <c r="BD2" i="15" a="1"/>
  <c r="BD2" i="15" s="1"/>
  <c r="BC2" i="15" a="1"/>
  <c r="BC2" i="15" s="1"/>
  <c r="BB2" i="15" a="1"/>
  <c r="BB2" i="15" s="1"/>
  <c r="BA2" i="15" a="1"/>
  <c r="BA2" i="15" s="1"/>
  <c r="AZ2" i="15" a="1"/>
  <c r="AZ2" i="15" s="1"/>
  <c r="AY2" i="15" a="1"/>
  <c r="AY2" i="15" s="1"/>
  <c r="AX2" i="15" a="1"/>
  <c r="AX2" i="15" s="1"/>
  <c r="AW2" i="15" a="1"/>
  <c r="AW2" i="15" s="1"/>
  <c r="AV2" i="15" a="1"/>
  <c r="AV2" i="15" s="1"/>
  <c r="AU2" i="15" a="1"/>
  <c r="AU2" i="15" s="1"/>
  <c r="AT2" i="15" a="1"/>
  <c r="AT2" i="15" s="1"/>
  <c r="AS2" i="15" a="1"/>
  <c r="AS2" i="15" s="1"/>
  <c r="AR2" i="15" a="1"/>
  <c r="AR2" i="15" s="1"/>
  <c r="AQ2" i="15" a="1"/>
  <c r="AQ2" i="15" s="1"/>
  <c r="AP2" i="15" a="1"/>
  <c r="AP2" i="15" s="1"/>
  <c r="AO2" i="15" a="1"/>
  <c r="AO2" i="15" s="1"/>
  <c r="AN2" i="15" a="1"/>
  <c r="AN2" i="15" s="1"/>
  <c r="AM2" i="15" a="1"/>
  <c r="AM2" i="15" s="1"/>
  <c r="AL2" i="15" a="1"/>
  <c r="AL2" i="15" s="1"/>
  <c r="AK2" i="15" a="1"/>
  <c r="AK2" i="15" s="1"/>
  <c r="AJ2" i="15" a="1"/>
  <c r="AJ2" i="15" s="1"/>
  <c r="AI2" i="15" a="1"/>
  <c r="AI2" i="15" s="1"/>
  <c r="AH2" i="15" a="1"/>
  <c r="AH2" i="15" s="1"/>
  <c r="AG2" i="15" a="1"/>
  <c r="AG2" i="15" s="1"/>
  <c r="BE2" i="15" a="1"/>
  <c r="BE2" i="15" s="1"/>
  <c r="J26" i="9"/>
  <c r="J25" i="9"/>
  <c r="J24" i="9"/>
  <c r="J23" i="9"/>
  <c r="J22" i="9"/>
  <c r="J21" i="9"/>
  <c r="J20" i="9"/>
  <c r="J19" i="9"/>
  <c r="J18" i="9"/>
  <c r="J17" i="9"/>
  <c r="J11" i="9"/>
  <c r="J10" i="9"/>
  <c r="J9" i="9"/>
  <c r="J8" i="9"/>
  <c r="J7" i="9"/>
  <c r="J6" i="9"/>
  <c r="J5" i="9"/>
  <c r="J4" i="9"/>
  <c r="U4" i="19" l="1" a="1"/>
  <c r="U4" i="19" s="1"/>
  <c r="I4" i="18" a="1"/>
  <c r="I4" i="18" s="1"/>
  <c r="V2" i="17" a="1"/>
  <c r="V2" i="17" s="1"/>
  <c r="BG2" i="15" a="1"/>
  <c r="BG2" i="15" s="1"/>
  <c r="B192" i="4"/>
  <c r="B193" i="4"/>
  <c r="B194" i="4"/>
  <c r="B51" i="4"/>
  <c r="K2" i="9"/>
  <c r="K3" i="9"/>
  <c r="K4" i="9"/>
  <c r="K5" i="9"/>
  <c r="K6" i="9"/>
  <c r="K7" i="9"/>
  <c r="K8" i="9"/>
  <c r="K9" i="9"/>
  <c r="K10" i="9"/>
  <c r="K11" i="9"/>
  <c r="K12" i="9"/>
  <c r="K13" i="9"/>
  <c r="K14" i="9"/>
  <c r="K15" i="9"/>
  <c r="K16" i="9"/>
  <c r="K17" i="9"/>
  <c r="K18" i="9"/>
  <c r="K19" i="9"/>
  <c r="K20" i="9"/>
  <c r="K21" i="9"/>
  <c r="K22" i="9"/>
  <c r="K23" i="9"/>
  <c r="K24" i="9"/>
  <c r="K25" i="9"/>
  <c r="K26" i="9"/>
  <c r="W1" i="9" a="1"/>
  <c r="W1" i="9" l="1"/>
  <c r="R1" i="9" a="1"/>
  <c r="R1" i="9" s="1"/>
  <c r="O2" i="15" l="1"/>
  <c r="O3" i="15"/>
  <c r="O4" i="15"/>
  <c r="O5" i="15"/>
  <c r="O6" i="15"/>
  <c r="N6" i="15" s="1"/>
  <c r="O7" i="15"/>
  <c r="O8" i="15"/>
  <c r="N8" i="15" s="1"/>
  <c r="O9" i="15"/>
  <c r="N9" i="15" s="1"/>
  <c r="O10" i="15"/>
  <c r="N10" i="15" s="1"/>
  <c r="O11" i="15"/>
  <c r="O12" i="15"/>
  <c r="N12" i="15" s="1"/>
  <c r="O13" i="15"/>
  <c r="N13" i="15" s="1"/>
  <c r="O14" i="15"/>
  <c r="O15" i="15"/>
  <c r="O16" i="15"/>
  <c r="O17" i="15"/>
  <c r="O18" i="15"/>
  <c r="O19" i="15"/>
  <c r="O20" i="15"/>
  <c r="N20" i="15" s="1"/>
  <c r="O21" i="15"/>
  <c r="N21" i="15" s="1"/>
  <c r="O22" i="15"/>
  <c r="N22" i="15" s="1"/>
  <c r="O23" i="15"/>
  <c r="O24" i="15"/>
  <c r="N24" i="15" s="1"/>
  <c r="O25" i="15"/>
  <c r="N25" i="15" s="1"/>
  <c r="O26" i="15"/>
  <c r="O27" i="15"/>
  <c r="O28" i="15"/>
  <c r="O29" i="15"/>
  <c r="O30" i="15"/>
  <c r="O31" i="15"/>
  <c r="N2" i="15"/>
  <c r="N3" i="15"/>
  <c r="N4" i="15"/>
  <c r="N5" i="15"/>
  <c r="N7" i="15"/>
  <c r="N11" i="15"/>
  <c r="N14" i="15"/>
  <c r="N15" i="15"/>
  <c r="N16" i="15"/>
  <c r="N17" i="15"/>
  <c r="N18" i="15"/>
  <c r="N19" i="15"/>
  <c r="N23" i="15"/>
  <c r="N26" i="15"/>
  <c r="N27" i="15"/>
  <c r="N28" i="15"/>
  <c r="N29" i="15"/>
  <c r="N30" i="15"/>
  <c r="N31" i="15"/>
  <c r="C5" i="15"/>
  <c r="D5" i="15"/>
  <c r="D6" i="15"/>
  <c r="D7" i="15"/>
  <c r="D8" i="15"/>
  <c r="C6" i="15"/>
  <c r="C7" i="15"/>
  <c r="C8" i="15"/>
  <c r="J33" i="4" l="1"/>
  <c r="I33" i="4" s="1"/>
  <c r="H11" i="5" l="1"/>
  <c r="H12" i="5"/>
  <c r="H13" i="5"/>
  <c r="H14" i="5"/>
  <c r="H15" i="5"/>
  <c r="H16" i="5"/>
  <c r="H17" i="5"/>
  <c r="H18" i="5"/>
  <c r="H19" i="5"/>
  <c r="H20" i="5"/>
  <c r="H21" i="5"/>
  <c r="H22" i="5"/>
  <c r="H23" i="5"/>
  <c r="K16" i="17"/>
  <c r="K2" i="17"/>
  <c r="K3" i="17"/>
  <c r="K4" i="17"/>
  <c r="K5" i="17"/>
  <c r="K6" i="17"/>
  <c r="K7" i="17"/>
  <c r="K8" i="17"/>
  <c r="K9" i="17"/>
  <c r="K10" i="17"/>
  <c r="K11" i="17"/>
  <c r="K12" i="17"/>
  <c r="K13" i="17"/>
  <c r="K14" i="17"/>
  <c r="K15" i="17"/>
  <c r="K17" i="17"/>
  <c r="K18" i="17"/>
  <c r="K19" i="17"/>
  <c r="K20" i="17"/>
  <c r="K21" i="17"/>
  <c r="K22" i="17"/>
  <c r="K23" i="17"/>
  <c r="K24" i="17"/>
  <c r="K25" i="17"/>
  <c r="K26" i="17"/>
  <c r="K27" i="17"/>
  <c r="K28" i="17"/>
  <c r="H9" i="6"/>
  <c r="H8" i="6"/>
  <c r="H7" i="6"/>
  <c r="H6" i="6"/>
  <c r="H5" i="6"/>
  <c r="H4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R1" i="17" a="1"/>
  <c r="R1" i="17" s="1"/>
  <c r="Q2" i="17" a="1"/>
  <c r="Q2" i="17" s="1"/>
  <c r="C25" i="17"/>
  <c r="C26" i="17"/>
  <c r="C27" i="17"/>
  <c r="C28" i="17"/>
  <c r="C29" i="17"/>
  <c r="C30" i="17"/>
  <c r="C31" i="17"/>
  <c r="C32" i="17"/>
  <c r="P1" i="17" a="1"/>
  <c r="P1" i="17" s="1"/>
  <c r="D8" i="17"/>
  <c r="D9" i="17"/>
  <c r="D10" i="17"/>
  <c r="D11" i="17"/>
  <c r="D12" i="17"/>
  <c r="D13" i="17"/>
  <c r="D14" i="17"/>
  <c r="D15" i="17"/>
  <c r="D16" i="17"/>
  <c r="D17" i="17"/>
  <c r="D18" i="17"/>
  <c r="D19" i="17"/>
  <c r="AV2" i="17" l="1" a="1"/>
  <c r="AV2" i="17" s="1"/>
  <c r="M2" i="17" s="1" a="1"/>
  <c r="M2" i="17" s="1"/>
  <c r="S1" i="17" a="1"/>
  <c r="S1" i="17" s="1"/>
  <c r="D10" i="9" l="1"/>
  <c r="D11" i="9"/>
  <c r="D12" i="9"/>
  <c r="D13" i="9"/>
  <c r="D14" i="9"/>
  <c r="D15" i="9"/>
  <c r="D16" i="9"/>
  <c r="D17" i="9"/>
  <c r="D18" i="9"/>
  <c r="D19" i="9"/>
  <c r="D20" i="9"/>
  <c r="D21" i="9"/>
  <c r="D22" i="9"/>
  <c r="U2" i="14" a="1"/>
  <c r="U2" i="14" s="1"/>
  <c r="N17" i="8"/>
  <c r="M17" i="8" s="1"/>
  <c r="N3" i="8"/>
  <c r="M3" i="8" s="1"/>
  <c r="N2" i="8"/>
  <c r="M2" i="8" s="1"/>
  <c r="N24" i="8"/>
  <c r="M24" i="8" s="1"/>
  <c r="N15" i="8"/>
  <c r="M15" i="8" s="1"/>
  <c r="N19" i="8"/>
  <c r="M19" i="8" s="1"/>
  <c r="N29" i="8"/>
  <c r="M29" i="8" s="1"/>
  <c r="N4" i="8"/>
  <c r="M4" i="8" s="1"/>
  <c r="N12" i="8"/>
  <c r="M12" i="8" s="1"/>
  <c r="N26" i="8"/>
  <c r="M26" i="8" s="1"/>
  <c r="N22" i="8"/>
  <c r="M22" i="8" s="1"/>
  <c r="N7" i="8"/>
  <c r="M7" i="8" s="1"/>
  <c r="N20" i="8"/>
  <c r="M20" i="8" s="1"/>
  <c r="N11" i="8"/>
  <c r="N25" i="8"/>
  <c r="M25" i="8" s="1"/>
  <c r="N30" i="8"/>
  <c r="M30" i="8" s="1"/>
  <c r="N9" i="8"/>
  <c r="M9" i="8" s="1"/>
  <c r="N6" i="8"/>
  <c r="M6" i="8" s="1"/>
  <c r="V1" i="15" a="1"/>
  <c r="V1" i="15" s="1"/>
  <c r="U1" i="15" a="1"/>
  <c r="U1" i="15" s="1"/>
  <c r="T1" i="15" a="1"/>
  <c r="T1" i="15" s="1"/>
  <c r="S1" i="15" a="1"/>
  <c r="S1" i="15" s="1"/>
  <c r="S2" i="14"/>
  <c r="S6" i="14"/>
  <c r="S7" i="14"/>
  <c r="S8" i="14"/>
  <c r="S9" i="14"/>
  <c r="S11" i="14"/>
  <c r="S12" i="14"/>
  <c r="S13" i="14"/>
  <c r="S14" i="14"/>
  <c r="S15" i="14"/>
  <c r="S16" i="14"/>
  <c r="S17" i="14"/>
  <c r="S18" i="14"/>
  <c r="S21" i="14"/>
  <c r="S22" i="14"/>
  <c r="S23" i="14"/>
  <c r="S24" i="14"/>
  <c r="S25" i="14"/>
  <c r="S26" i="14"/>
  <c r="S27" i="14"/>
  <c r="S28" i="14"/>
  <c r="S29" i="14"/>
  <c r="K2" i="14"/>
  <c r="K6" i="14"/>
  <c r="K7" i="14"/>
  <c r="K8" i="14"/>
  <c r="K9" i="14"/>
  <c r="K11" i="14"/>
  <c r="K12" i="14"/>
  <c r="K13" i="14"/>
  <c r="K14" i="14"/>
  <c r="K15" i="14"/>
  <c r="K16" i="14"/>
  <c r="K17" i="14"/>
  <c r="K18" i="14"/>
  <c r="K21" i="14"/>
  <c r="K22" i="14"/>
  <c r="K23" i="14"/>
  <c r="K24" i="14"/>
  <c r="K25" i="14"/>
  <c r="K26" i="14"/>
  <c r="K27" i="14"/>
  <c r="K28" i="14"/>
  <c r="K29" i="14"/>
  <c r="N2" i="14"/>
  <c r="N6" i="14"/>
  <c r="N7" i="14"/>
  <c r="N8" i="14"/>
  <c r="N9" i="14"/>
  <c r="N11" i="14"/>
  <c r="N12" i="14"/>
  <c r="N13" i="14"/>
  <c r="N14" i="14"/>
  <c r="N15" i="14"/>
  <c r="N16" i="14"/>
  <c r="N17" i="14"/>
  <c r="N18" i="14"/>
  <c r="N21" i="14"/>
  <c r="N22" i="14"/>
  <c r="N23" i="14"/>
  <c r="N24" i="14"/>
  <c r="N25" i="14"/>
  <c r="N26" i="14"/>
  <c r="N27" i="14"/>
  <c r="N28" i="14"/>
  <c r="N29" i="14"/>
  <c r="M2" i="14"/>
  <c r="M6" i="14"/>
  <c r="M7" i="14"/>
  <c r="M8" i="14"/>
  <c r="M9" i="14"/>
  <c r="M11" i="14"/>
  <c r="M12" i="14"/>
  <c r="M13" i="14"/>
  <c r="M14" i="14"/>
  <c r="M15" i="14"/>
  <c r="M16" i="14"/>
  <c r="M17" i="14"/>
  <c r="M18" i="14"/>
  <c r="M21" i="14"/>
  <c r="M22" i="14"/>
  <c r="M23" i="14"/>
  <c r="M24" i="14"/>
  <c r="M25" i="14"/>
  <c r="M26" i="14"/>
  <c r="M27" i="14"/>
  <c r="M28" i="14"/>
  <c r="M29" i="14"/>
  <c r="P2" i="14"/>
  <c r="P3" i="14"/>
  <c r="P4" i="14"/>
  <c r="P5" i="14"/>
  <c r="P6" i="14"/>
  <c r="P7" i="14"/>
  <c r="P8" i="14"/>
  <c r="P9" i="14"/>
  <c r="P10" i="14"/>
  <c r="P11" i="14"/>
  <c r="P12" i="14"/>
  <c r="P13" i="14"/>
  <c r="P14" i="14"/>
  <c r="P15" i="14"/>
  <c r="P16" i="14"/>
  <c r="P17" i="14"/>
  <c r="P18" i="14"/>
  <c r="P19" i="14"/>
  <c r="P20" i="14"/>
  <c r="P21" i="14"/>
  <c r="P22" i="14"/>
  <c r="P23" i="14"/>
  <c r="P24" i="14"/>
  <c r="P25" i="14"/>
  <c r="P26" i="14"/>
  <c r="P27" i="14"/>
  <c r="P28" i="14"/>
  <c r="P29" i="14"/>
  <c r="L2" i="14"/>
  <c r="L6" i="14"/>
  <c r="L7" i="14"/>
  <c r="L8" i="14"/>
  <c r="L9" i="14"/>
  <c r="L11" i="14"/>
  <c r="L12" i="14"/>
  <c r="L13" i="14"/>
  <c r="L14" i="14"/>
  <c r="L15" i="14"/>
  <c r="L16" i="14"/>
  <c r="L17" i="14"/>
  <c r="L18" i="14"/>
  <c r="L21" i="14"/>
  <c r="L22" i="14"/>
  <c r="L23" i="14"/>
  <c r="L24" i="14"/>
  <c r="L25" i="14"/>
  <c r="L26" i="14"/>
  <c r="L27" i="14"/>
  <c r="L28" i="14"/>
  <c r="L29" i="14"/>
  <c r="J2" i="14"/>
  <c r="J3" i="14"/>
  <c r="K3" i="14" s="1"/>
  <c r="J4" i="14"/>
  <c r="K4" i="14" s="1"/>
  <c r="J5" i="14"/>
  <c r="J6" i="14"/>
  <c r="J7" i="14"/>
  <c r="J8" i="14"/>
  <c r="J9" i="14"/>
  <c r="J11" i="14"/>
  <c r="J12" i="14"/>
  <c r="J13" i="14"/>
  <c r="J14" i="14"/>
  <c r="J15" i="14"/>
  <c r="J16" i="14"/>
  <c r="J17" i="14"/>
  <c r="J18" i="14"/>
  <c r="J20" i="14"/>
  <c r="J21" i="14"/>
  <c r="J22" i="14"/>
  <c r="J23" i="14"/>
  <c r="J24" i="14"/>
  <c r="J25" i="14"/>
  <c r="J26" i="14"/>
  <c r="J27" i="14"/>
  <c r="J28" i="14"/>
  <c r="J29" i="14"/>
  <c r="O2" i="14"/>
  <c r="O6" i="14"/>
  <c r="O7" i="14"/>
  <c r="O8" i="14"/>
  <c r="O9" i="14"/>
  <c r="O11" i="14"/>
  <c r="O12" i="14"/>
  <c r="O13" i="14"/>
  <c r="O14" i="14"/>
  <c r="O15" i="14"/>
  <c r="O16" i="14"/>
  <c r="O17" i="14"/>
  <c r="O18" i="14"/>
  <c r="O21" i="14"/>
  <c r="O22" i="14"/>
  <c r="O23" i="14"/>
  <c r="O24" i="14"/>
  <c r="O25" i="14"/>
  <c r="O26" i="14"/>
  <c r="O27" i="14"/>
  <c r="O28" i="14"/>
  <c r="O29" i="14"/>
  <c r="C2" i="14"/>
  <c r="C3" i="14"/>
  <c r="C4" i="14"/>
  <c r="M40" i="4"/>
  <c r="M39" i="4"/>
  <c r="W1" i="15" s="1" a="1"/>
  <c r="W1" i="15" s="1"/>
  <c r="M38" i="4"/>
  <c r="M37" i="4"/>
  <c r="J32" i="4"/>
  <c r="I32" i="4" s="1"/>
  <c r="J30" i="4"/>
  <c r="I30" i="4" s="1"/>
  <c r="J31" i="4"/>
  <c r="I31" i="4" s="1"/>
  <c r="H3" i="6"/>
  <c r="H2" i="6"/>
  <c r="H10" i="6"/>
  <c r="M12" i="13"/>
  <c r="M11" i="13"/>
  <c r="M10" i="13"/>
  <c r="M9" i="13"/>
  <c r="M8" i="13"/>
  <c r="M7" i="13"/>
  <c r="M6" i="13"/>
  <c r="M5" i="13"/>
  <c r="M4" i="13"/>
  <c r="M3" i="13"/>
  <c r="M2" i="13"/>
  <c r="F2" i="13"/>
  <c r="U1" i="13" a="1"/>
  <c r="U1" i="13" s="1"/>
  <c r="T1" i="13" a="1"/>
  <c r="T1" i="13" s="1"/>
  <c r="R1" i="13" a="1"/>
  <c r="R1" i="13" s="1"/>
  <c r="P2" i="9" a="1"/>
  <c r="P2" i="9" s="1"/>
  <c r="Q1" i="9" a="1"/>
  <c r="Q1" i="9" s="1"/>
  <c r="O1" i="9" a="1"/>
  <c r="O1" i="9" s="1"/>
  <c r="B191" i="4"/>
  <c r="B190" i="4"/>
  <c r="B189" i="4"/>
  <c r="B188" i="4"/>
  <c r="B187" i="4"/>
  <c r="B186" i="4"/>
  <c r="B185" i="4"/>
  <c r="B184" i="4"/>
  <c r="B183" i="4"/>
  <c r="B182" i="4"/>
  <c r="B181" i="4"/>
  <c r="B180" i="4"/>
  <c r="B179" i="4"/>
  <c r="B35" i="4"/>
  <c r="B36" i="4"/>
  <c r="B37" i="4"/>
  <c r="B40" i="4"/>
  <c r="B41" i="4"/>
  <c r="B42" i="4"/>
  <c r="B43" i="4"/>
  <c r="B50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6" i="4"/>
  <c r="B67" i="4"/>
  <c r="B68" i="4"/>
  <c r="B69" i="4"/>
  <c r="B70" i="4"/>
  <c r="B71" i="4"/>
  <c r="B73" i="4"/>
  <c r="B77" i="4"/>
  <c r="B78" i="4"/>
  <c r="B80" i="4"/>
  <c r="B81" i="4"/>
  <c r="B83" i="4"/>
  <c r="B84" i="4"/>
  <c r="B85" i="4"/>
  <c r="B86" i="4"/>
  <c r="B87" i="4"/>
  <c r="B88" i="4"/>
  <c r="B89" i="4"/>
  <c r="B90" i="4"/>
  <c r="B91" i="4"/>
  <c r="B92" i="4"/>
  <c r="B94" i="4"/>
  <c r="B98" i="4"/>
  <c r="B99" i="4"/>
  <c r="B100" i="4"/>
  <c r="B101" i="4"/>
  <c r="B102" i="4"/>
  <c r="B103" i="4"/>
  <c r="B104" i="4"/>
  <c r="B105" i="4"/>
  <c r="B106" i="4"/>
  <c r="B109" i="4"/>
  <c r="B110" i="4"/>
  <c r="B111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7" i="4"/>
  <c r="B138" i="4"/>
  <c r="B139" i="4"/>
  <c r="B140" i="4"/>
  <c r="B141" i="4"/>
  <c r="B142" i="4"/>
  <c r="B143" i="4"/>
  <c r="B144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H2" i="8"/>
  <c r="H3" i="8"/>
  <c r="L2" i="6" a="1"/>
  <c r="L2" i="6" s="1"/>
  <c r="M2" i="5" a="1"/>
  <c r="M2" i="5" s="1"/>
  <c r="H10" i="5"/>
  <c r="H9" i="5"/>
  <c r="H8" i="5"/>
  <c r="H7" i="5"/>
  <c r="H6" i="5"/>
  <c r="H5" i="5"/>
  <c r="H4" i="5"/>
  <c r="H3" i="5"/>
  <c r="H2" i="5"/>
  <c r="O1" i="4" a="1"/>
  <c r="O1" i="4" s="1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G2" i="4"/>
  <c r="C18" i="4"/>
  <c r="B18" i="4"/>
  <c r="C17" i="4"/>
  <c r="B17" i="4"/>
  <c r="C16" i="4"/>
  <c r="B16" i="4"/>
  <c r="C15" i="4"/>
  <c r="B15" i="4"/>
  <c r="C14" i="4"/>
  <c r="B14" i="4"/>
  <c r="C13" i="4"/>
  <c r="B13" i="4"/>
  <c r="C11" i="4"/>
  <c r="B11" i="4"/>
  <c r="C9" i="4"/>
  <c r="C8" i="4"/>
  <c r="B8" i="4"/>
  <c r="C7" i="4"/>
  <c r="B7" i="4"/>
  <c r="C6" i="4"/>
  <c r="B6" i="4"/>
  <c r="C5" i="4"/>
  <c r="B5" i="4"/>
  <c r="B5" i="17" a="1"/>
  <c r="B5" i="5" a="1"/>
  <c r="M11" i="8" l="1"/>
  <c r="P2" i="8" a="1"/>
  <c r="P2" i="8" s="1"/>
  <c r="F4" i="13"/>
  <c r="F3" i="13"/>
  <c r="D9" i="9"/>
  <c r="J3" i="9" s="1"/>
  <c r="D8" i="9"/>
  <c r="J2" i="9" s="1"/>
  <c r="F7" i="15"/>
  <c r="F5" i="15"/>
  <c r="F6" i="15"/>
  <c r="F8" i="15"/>
  <c r="S1" i="13" a="1"/>
  <c r="S1" i="13" s="1"/>
  <c r="B5" i="5"/>
  <c r="J2" i="5" a="1"/>
  <c r="J2" i="5" s="1"/>
  <c r="J13" i="9"/>
  <c r="J16" i="9"/>
  <c r="J14" i="9"/>
  <c r="J2" i="6" a="1"/>
  <c r="J2" i="6" s="1"/>
  <c r="B5" i="17"/>
  <c r="R11" i="14" a="1"/>
  <c r="R11" i="14" s="1"/>
  <c r="R10" i="14" a="1"/>
  <c r="R10" i="14" s="1"/>
  <c r="S10" i="14" s="1"/>
  <c r="R19" i="14" a="1"/>
  <c r="R19" i="14" s="1"/>
  <c r="S19" i="14" s="1"/>
  <c r="R18" i="14" a="1"/>
  <c r="R18" i="14" s="1"/>
  <c r="R15" i="14" a="1"/>
  <c r="R15" i="14" s="1"/>
  <c r="R7" i="14" a="1"/>
  <c r="R7" i="14" s="1"/>
  <c r="R27" i="14" a="1"/>
  <c r="R27" i="14" s="1"/>
  <c r="R22" i="14" a="1"/>
  <c r="R22" i="14" s="1"/>
  <c r="R25" i="14" a="1"/>
  <c r="R25" i="14" s="1"/>
  <c r="R21" i="14" a="1"/>
  <c r="R21" i="14" s="1"/>
  <c r="R24" i="14" a="1"/>
  <c r="R24" i="14" s="1"/>
  <c r="R14" i="14" a="1"/>
  <c r="R14" i="14" s="1"/>
  <c r="R29" i="14" a="1"/>
  <c r="R29" i="14" s="1"/>
  <c r="R6" i="14" a="1"/>
  <c r="R6" i="14" s="1"/>
  <c r="R20" i="14" a="1"/>
  <c r="R20" i="14" s="1"/>
  <c r="S20" i="14" s="1"/>
  <c r="R26" i="14" a="1"/>
  <c r="R26" i="14" s="1"/>
  <c r="R12" i="14" a="1"/>
  <c r="R12" i="14" s="1"/>
  <c r="R28" i="14" a="1"/>
  <c r="R28" i="14" s="1"/>
  <c r="R4" i="14" a="1"/>
  <c r="R4" i="14" s="1"/>
  <c r="S4" i="14" s="1"/>
  <c r="R5" i="14" a="1"/>
  <c r="R5" i="14" s="1"/>
  <c r="S5" i="14" s="1"/>
  <c r="R3" i="14" a="1"/>
  <c r="R3" i="14" s="1"/>
  <c r="S3" i="14" s="1"/>
  <c r="R17" i="14" a="1"/>
  <c r="R17" i="14" s="1"/>
  <c r="R13" i="14" a="1"/>
  <c r="R13" i="14" s="1"/>
  <c r="R9" i="14" a="1"/>
  <c r="R9" i="14" s="1"/>
  <c r="R2" i="14" a="1"/>
  <c r="R2" i="14" s="1"/>
  <c r="R23" i="14" a="1"/>
  <c r="R23" i="14" s="1"/>
  <c r="R16" i="14" a="1"/>
  <c r="R16" i="14" s="1"/>
  <c r="R8" i="14" a="1"/>
  <c r="R8" i="14" s="1"/>
  <c r="Q8" i="14" a="1"/>
  <c r="Q8" i="14" s="1"/>
  <c r="Q15" i="14" a="1"/>
  <c r="Q15" i="14" s="1"/>
  <c r="L3" i="14"/>
  <c r="Q26" i="14" a="1"/>
  <c r="Q26" i="14" s="1"/>
  <c r="O4" i="14"/>
  <c r="Q29" i="14" a="1"/>
  <c r="Q29" i="14" s="1"/>
  <c r="Q17" i="14" a="1"/>
  <c r="Q17" i="14" s="1"/>
  <c r="Q28" i="14" a="1"/>
  <c r="Q28" i="14" s="1"/>
  <c r="Q16" i="14" a="1"/>
  <c r="Q16" i="14" s="1"/>
  <c r="Q7" i="14" a="1"/>
  <c r="Q7" i="14" s="1"/>
  <c r="Q25" i="14" a="1"/>
  <c r="Q25" i="14" s="1"/>
  <c r="Q13" i="14" a="1"/>
  <c r="Q13" i="14" s="1"/>
  <c r="Q4" i="14" a="1"/>
  <c r="Q4" i="14" s="1"/>
  <c r="Q27" i="14" a="1"/>
  <c r="Q27" i="14" s="1"/>
  <c r="Q24" i="14" a="1"/>
  <c r="Q24" i="14" s="1"/>
  <c r="Q12" i="14" a="1"/>
  <c r="Q12" i="14" s="1"/>
  <c r="Q3" i="14" a="1"/>
  <c r="Q3" i="14" s="1"/>
  <c r="Q14" i="14" a="1"/>
  <c r="Q14" i="14" s="1"/>
  <c r="Q23" i="14" a="1"/>
  <c r="Q23" i="14" s="1"/>
  <c r="Q11" i="14" a="1"/>
  <c r="Q11" i="14" s="1"/>
  <c r="Q5" i="14" a="1"/>
  <c r="Q5" i="14" s="1"/>
  <c r="Q22" i="14" a="1"/>
  <c r="Q22" i="14" s="1"/>
  <c r="Q10" i="14" a="1"/>
  <c r="Q10" i="14" s="1"/>
  <c r="Q2" i="14" a="1"/>
  <c r="Q2" i="14" s="1"/>
  <c r="Q21" i="14" a="1"/>
  <c r="Q21" i="14" s="1"/>
  <c r="Q6" i="14" a="1"/>
  <c r="Q6" i="14" s="1"/>
  <c r="Q20" i="14" a="1"/>
  <c r="Q20" i="14" s="1"/>
  <c r="Q9" i="14" a="1"/>
  <c r="Q9" i="14" s="1"/>
  <c r="Q19" i="14" a="1"/>
  <c r="Q19" i="14" s="1"/>
  <c r="Q18" i="14" a="1"/>
  <c r="Q18" i="14" s="1"/>
  <c r="L4" i="14"/>
  <c r="J12" i="9" l="1"/>
  <c r="J15" i="9"/>
  <c r="M2" i="9" s="1" a="1"/>
  <c r="M2" i="9" s="1"/>
  <c r="Q2" i="15" a="1"/>
  <c r="Q2" i="15" s="1"/>
  <c r="K5" i="14"/>
  <c r="O5" i="14" s="1"/>
  <c r="N3" i="14"/>
  <c r="M3" i="14"/>
  <c r="M19" i="14"/>
  <c r="N4" i="14"/>
  <c r="M4" i="14"/>
  <c r="N5" i="14"/>
  <c r="M5" i="14"/>
  <c r="N20" i="14"/>
  <c r="M20" i="14"/>
  <c r="M10" i="14"/>
  <c r="O3" i="14"/>
  <c r="N19" i="14" l="1"/>
  <c r="J19" i="14"/>
  <c r="N10" i="14"/>
  <c r="J10" i="14"/>
  <c r="L5" i="14"/>
  <c r="P2" i="13" a="1"/>
  <c r="P2" i="13" s="1"/>
  <c r="Y1" i="14" l="1" a="1"/>
  <c r="Y1" i="14" s="1"/>
  <c r="K19" i="14"/>
  <c r="K10" i="14"/>
  <c r="O19" i="14" l="1"/>
  <c r="L19" i="14" l="1"/>
  <c r="K20" i="14" l="1"/>
  <c r="L20" i="14" s="1"/>
  <c r="L10" i="14"/>
  <c r="O10" i="14"/>
  <c r="O20" i="14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<sst xmlns="http://schemas.openxmlformats.org/spreadsheetml/2006/main" count="1106" uniqueCount="620">
  <si>
    <t>title</t>
  </si>
  <si>
    <t>multi factor auth</t>
  </si>
  <si>
    <t>source</t>
  </si>
  <si>
    <t>connector</t>
  </si>
  <si>
    <t>target</t>
  </si>
  <si>
    <t>mmSyntax</t>
  </si>
  <si>
    <t>show title</t>
  </si>
  <si>
    <t>user</t>
  </si>
  <si>
    <t>➞</t>
  </si>
  <si>
    <t>userID</t>
  </si>
  <si>
    <t>app</t>
  </si>
  <si>
    <t>autonumber</t>
  </si>
  <si>
    <t>open with userID</t>
  </si>
  <si>
    <t>authenticator</t>
  </si>
  <si>
    <t>show pseudohash</t>
  </si>
  <si>
    <t>map userID to cred</t>
  </si>
  <si>
    <t>pseudoHash</t>
  </si>
  <si>
    <t>⇢</t>
  </si>
  <si>
    <t>password challenge</t>
  </si>
  <si>
    <t>password</t>
  </si>
  <si>
    <t>otc challenge</t>
  </si>
  <si>
    <t>one-time code</t>
  </si>
  <si>
    <t>┄x</t>
  </si>
  <si>
    <t>token</t>
  </si>
  <si>
    <t>session established</t>
  </si>
  <si>
    <t>connType</t>
  </si>
  <si>
    <t>connLength</t>
  </si>
  <si>
    <t>TD</t>
  </si>
  <si>
    <t>Normal</t>
  </si>
  <si>
    <t>rounded box</t>
  </si>
  <si>
    <t>shape</t>
  </si>
  <si>
    <t>double circle</t>
  </si>
  <si>
    <t>database</t>
  </si>
  <si>
    <t>incMermHeader</t>
  </si>
  <si>
    <t>connID</t>
  </si>
  <si>
    <t>display</t>
  </si>
  <si>
    <t>TrueFalse</t>
  </si>
  <si>
    <t>seqMsg</t>
  </si>
  <si>
    <t>1</t>
  </si>
  <si>
    <t>---</t>
  </si>
  <si>
    <t>→</t>
  </si>
  <si>
    <t>-&gt;</t>
  </si>
  <si>
    <t>Solid line w/o arrow</t>
  </si>
  <si>
    <t>─</t>
  </si>
  <si>
    <t>2</t>
  </si>
  <si>
    <t>----</t>
  </si>
  <si>
    <t>Normal with arrow</t>
  </si>
  <si>
    <t>➡</t>
  </si>
  <si>
    <t>--&gt;</t>
  </si>
  <si>
    <t>Dotted line w/o arrow</t>
  </si>
  <si>
    <t>┄</t>
  </si>
  <si>
    <t>nodeType</t>
  </si>
  <si>
    <t>mmPrefix</t>
  </si>
  <si>
    <t>mmSuffix</t>
  </si>
  <si>
    <t>3</t>
  </si>
  <si>
    <t>-----</t>
  </si>
  <si>
    <t>Thick</t>
  </si>
  <si>
    <t>-&gt;&gt;</t>
  </si>
  <si>
    <t>Solid line w/ arrowhead</t>
  </si>
  <si>
    <t>square</t>
  </si>
  <si>
    <t>Thick with arrow</t>
  </si>
  <si>
    <t>--&gt;&gt;</t>
  </si>
  <si>
    <t>Dotted line w/ arrowhead</t>
  </si>
  <si>
    <t>---&gt;</t>
  </si>
  <si>
    <t>Dotted</t>
  </si>
  <si>
    <t>-x</t>
  </si>
  <si>
    <t>Solid line w/ a cross @ end</t>
  </si>
  <si>
    <t>─x</t>
  </si>
  <si>
    <t>pill</t>
  </si>
  <si>
    <t>----&gt;</t>
  </si>
  <si>
    <t>Dotted with arrow</t>
  </si>
  <si>
    <t>--x</t>
  </si>
  <si>
    <t>Dotted line w/ a cross @ end</t>
  </si>
  <si>
    <t>===</t>
  </si>
  <si>
    <t>Invisible</t>
  </si>
  <si>
    <t>-)</t>
  </si>
  <si>
    <t>Solid line w/ an open arrow @ end (async)</t>
  </si>
  <si>
    <t>➜</t>
  </si>
  <si>
    <t>circle</t>
  </si>
  <si>
    <t>((</t>
  </si>
  <si>
    <t>====</t>
  </si>
  <si>
    <t>--)</t>
  </si>
  <si>
    <t>Dotted line w/ a open arrow @ end (async)</t>
  </si>
  <si>
    <t>⤑</t>
  </si>
  <si>
    <t>subroutine</t>
  </si>
  <si>
    <t>[[</t>
  </si>
  <si>
    <t>]]</t>
  </si>
  <si>
    <t>=====</t>
  </si>
  <si>
    <t>flag</t>
  </si>
  <si>
    <t>==&gt;</t>
  </si>
  <si>
    <t>rhombus</t>
  </si>
  <si>
    <t>{</t>
  </si>
  <si>
    <t>}</t>
  </si>
  <si>
    <t>===&gt;</t>
  </si>
  <si>
    <t>parallelogram</t>
  </si>
  <si>
    <t>====&gt;</t>
  </si>
  <si>
    <t>hexagon</t>
  </si>
  <si>
    <t>-.-</t>
  </si>
  <si>
    <t>seqActions</t>
  </si>
  <si>
    <t>parallelogram alt</t>
  </si>
  <si>
    <t>-..-</t>
  </si>
  <si>
    <t>create</t>
  </si>
  <si>
    <t>trapezoid</t>
  </si>
  <si>
    <t>-...-</t>
  </si>
  <si>
    <t>destroy</t>
  </si>
  <si>
    <t>trapezoid alt</t>
  </si>
  <si>
    <t>-.-&gt;</t>
  </si>
  <si>
    <t>end</t>
  </si>
  <si>
    <t>-..-&gt;</t>
  </si>
  <si>
    <t>activate</t>
  </si>
  <si>
    <t>-...-&gt;</t>
  </si>
  <si>
    <t>deactivate</t>
  </si>
  <si>
    <t>~~~</t>
  </si>
  <si>
    <t>box</t>
  </si>
  <si>
    <t>~~~~</t>
  </si>
  <si>
    <t>participant</t>
  </si>
  <si>
    <t>flowchartType</t>
  </si>
  <si>
    <t>~~~~~</t>
  </si>
  <si>
    <t>Note right of</t>
  </si>
  <si>
    <t>TB</t>
  </si>
  <si>
    <t>note left of</t>
  </si>
  <si>
    <t>note over</t>
  </si>
  <si>
    <t>BT</t>
  </si>
  <si>
    <t>loop</t>
  </si>
  <si>
    <t>RL</t>
  </si>
  <si>
    <t>LR</t>
  </si>
  <si>
    <t>objects</t>
  </si>
  <si>
    <t>action</t>
  </si>
  <si>
    <t>[*]</t>
  </si>
  <si>
    <t>start</t>
  </si>
  <si>
    <t>step1</t>
  </si>
  <si>
    <t>step2</t>
  </si>
  <si>
    <t>step3</t>
  </si>
  <si>
    <t>step4</t>
  </si>
  <si>
    <t>goto step1</t>
  </si>
  <si>
    <t>goto step2</t>
  </si>
  <si>
    <t>goto step4</t>
  </si>
  <si>
    <t>mermaid markup (copy/paste)</t>
  </si>
  <si>
    <t>goto step 1</t>
  </si>
  <si>
    <t>label</t>
  </si>
  <si>
    <t>defaultShape</t>
  </si>
  <si>
    <t>object</t>
  </si>
  <si>
    <t>quadrant-1</t>
  </si>
  <si>
    <t>quadrant-2</t>
  </si>
  <si>
    <t>quadrant-3</t>
  </si>
  <si>
    <t>quadrant-4</t>
  </si>
  <si>
    <t>Element</t>
  </si>
  <si>
    <t>Value</t>
  </si>
  <si>
    <t>Label</t>
  </si>
  <si>
    <t>X</t>
  </si>
  <si>
    <t>Y</t>
  </si>
  <si>
    <t>x-axis</t>
  </si>
  <si>
    <t>y-axis</t>
  </si>
  <si>
    <t>Axis</t>
  </si>
  <si>
    <t>lowLabel</t>
  </si>
  <si>
    <t>highLabel</t>
  </si>
  <si>
    <t>icon</t>
  </si>
  <si>
    <t>Icon</t>
  </si>
  <si>
    <t>Display</t>
  </si>
  <si>
    <t>battery-empty</t>
  </si>
  <si>
    <t>battery-full</t>
  </si>
  <si>
    <t>battery-half</t>
  </si>
  <si>
    <t>bell</t>
  </si>
  <si>
    <t>bell-slash</t>
  </si>
  <si>
    <t>calendar</t>
  </si>
  <si>
    <t>calendar-alt</t>
  </si>
  <si>
    <t>comment</t>
  </si>
  <si>
    <t>comment-alt</t>
  </si>
  <si>
    <t>comment-slash</t>
  </si>
  <si>
    <t>compass</t>
  </si>
  <si>
    <t>door-closed</t>
  </si>
  <si>
    <t>door-open</t>
  </si>
  <si>
    <t>exclamation</t>
  </si>
  <si>
    <t>exclamation-circle</t>
  </si>
  <si>
    <t>exclamation-triangle</t>
  </si>
  <si>
    <t>eye</t>
  </si>
  <si>
    <t>eye-slash</t>
  </si>
  <si>
    <t>file</t>
  </si>
  <si>
    <t>file-alt</t>
  </si>
  <si>
    <t>folder</t>
  </si>
  <si>
    <t>folder-open</t>
  </si>
  <si>
    <t>info</t>
  </si>
  <si>
    <t>info-circle</t>
  </si>
  <si>
    <t>lightbulb</t>
  </si>
  <si>
    <t>lock</t>
  </si>
  <si>
    <t>lock-open</t>
  </si>
  <si>
    <t>map-marker</t>
  </si>
  <si>
    <t>microphone</t>
  </si>
  <si>
    <t>minus</t>
  </si>
  <si>
    <t>minus-circle</t>
  </si>
  <si>
    <t>parking</t>
  </si>
  <si>
    <t>phone</t>
  </si>
  <si>
    <t>plus</t>
  </si>
  <si>
    <t>plus-circle</t>
  </si>
  <si>
    <t>plus-square</t>
  </si>
  <si>
    <t>print</t>
  </si>
  <si>
    <t>question</t>
  </si>
  <si>
    <t>question-circle</t>
  </si>
  <si>
    <t>shield-alt</t>
  </si>
  <si>
    <t>shopping-cart</t>
  </si>
  <si>
    <t>sign-in-alt</t>
  </si>
  <si>
    <t>stream</t>
  </si>
  <si>
    <t>thermometer-full</t>
  </si>
  <si>
    <t>thumbs-down</t>
  </si>
  <si>
    <t>thumbs-up</t>
  </si>
  <si>
    <t>tint</t>
  </si>
  <si>
    <t>tint-slash</t>
  </si>
  <si>
    <t>toggle-off</t>
  </si>
  <si>
    <t>toggle-on</t>
  </si>
  <si>
    <t>unlock</t>
  </si>
  <si>
    <t>unlock-alt</t>
  </si>
  <si>
    <t>user-slash</t>
  </si>
  <si>
    <t>video</t>
  </si>
  <si>
    <t>video-slash</t>
  </si>
  <si>
    <t>wifi</t>
  </si>
  <si>
    <t>barcode</t>
  </si>
  <si>
    <t>bug</t>
  </si>
  <si>
    <t>code</t>
  </si>
  <si>
    <t>code-branch</t>
  </si>
  <si>
    <t>file-code</t>
  </si>
  <si>
    <t>filter</t>
  </si>
  <si>
    <t>keyboard</t>
  </si>
  <si>
    <t>terminal</t>
  </si>
  <si>
    <t>window-close</t>
  </si>
  <si>
    <t>window-maximize</t>
  </si>
  <si>
    <t>window-restore</t>
  </si>
  <si>
    <t>comments</t>
  </si>
  <si>
    <t>mobile</t>
  </si>
  <si>
    <t>desktop</t>
  </si>
  <si>
    <t>hdd</t>
  </si>
  <si>
    <t>ethernet</t>
  </si>
  <si>
    <t>download</t>
  </si>
  <si>
    <t>laptop</t>
  </si>
  <si>
    <t>memory</t>
  </si>
  <si>
    <t>power-off</t>
  </si>
  <si>
    <t>satellite</t>
  </si>
  <si>
    <t>sd-card</t>
  </si>
  <si>
    <t>tablet</t>
  </si>
  <si>
    <t>sim-card</t>
  </si>
  <si>
    <t>upload</t>
  </si>
  <si>
    <t>clock</t>
  </si>
  <si>
    <t>hourglass</t>
  </si>
  <si>
    <t>stopwatch</t>
  </si>
  <si>
    <t>bookmark</t>
  </si>
  <si>
    <t>building</t>
  </si>
  <si>
    <t>globe</t>
  </si>
  <si>
    <t>home</t>
  </si>
  <si>
    <t>layer-group</t>
  </si>
  <si>
    <t>location-arrow</t>
  </si>
  <si>
    <t>map</t>
  </si>
  <si>
    <t>map-pin</t>
  </si>
  <si>
    <t>search</t>
  </si>
  <si>
    <t>search-minus</t>
  </si>
  <si>
    <t>search-plus</t>
  </si>
  <si>
    <t>ticket-alt</t>
  </si>
  <si>
    <t>thumbtack</t>
  </si>
  <si>
    <t>wrench</t>
  </si>
  <si>
    <t>id-badge</t>
  </si>
  <si>
    <t>id-card</t>
  </si>
  <si>
    <t>frown</t>
  </si>
  <si>
    <t>smile</t>
  </si>
  <si>
    <t>meh</t>
  </si>
  <si>
    <t>poo</t>
  </si>
  <si>
    <t>id-card-alt</t>
  </si>
  <si>
    <t>recycle</t>
  </si>
  <si>
    <t>user-circle</t>
  </si>
  <si>
    <t>user-edit</t>
  </si>
  <si>
    <t>user-cog</t>
  </si>
  <si>
    <t>user-plus</t>
  </si>
  <si>
    <t>user-minus</t>
  </si>
  <si>
    <t>user-tie</t>
  </si>
  <si>
    <t>users</t>
  </si>
  <si>
    <t>bolt</t>
  </si>
  <si>
    <t>cloud-rain</t>
  </si>
  <si>
    <t>snowflake</t>
  </si>
  <si>
    <t>water</t>
  </si>
  <si>
    <t>wind</t>
  </si>
  <si>
    <t>dir</t>
  </si>
  <si>
    <t>Value (left)</t>
  </si>
  <si>
    <t>Value (right)</t>
  </si>
  <si>
    <t>Meaning</t>
  </si>
  <si>
    <t>|o</t>
  </si>
  <si>
    <t>o|</t>
  </si>
  <si>
    <t>Zero or one</t>
  </si>
  <si>
    <t>||</t>
  </si>
  <si>
    <t>Exactly one</t>
  </si>
  <si>
    <t>}o</t>
  </si>
  <si>
    <t>o{</t>
  </si>
  <si>
    <t>}|</t>
  </si>
  <si>
    <t>|{</t>
  </si>
  <si>
    <t>Entity</t>
  </si>
  <si>
    <t>Person</t>
  </si>
  <si>
    <t>Car</t>
  </si>
  <si>
    <t>Named-Driver</t>
  </si>
  <si>
    <t>Source</t>
  </si>
  <si>
    <t>Target</t>
  </si>
  <si>
    <t>description</t>
  </si>
  <si>
    <t>allows</t>
  </si>
  <si>
    <t>is</t>
  </si>
  <si>
    <t>Type</t>
  </si>
  <si>
    <t>PK</t>
  </si>
  <si>
    <t>FK</t>
  </si>
  <si>
    <t>UK</t>
  </si>
  <si>
    <t>PK, FK</t>
  </si>
  <si>
    <t>FK, UK</t>
  </si>
  <si>
    <t>KeyTypes</t>
  </si>
  <si>
    <t>model</t>
  </si>
  <si>
    <t>json</t>
  </si>
  <si>
    <t>polygon</t>
  </si>
  <si>
    <t>text</t>
  </si>
  <si>
    <t>key</t>
  </si>
  <si>
    <t>make</t>
  </si>
  <si>
    <t>parts</t>
  </si>
  <si>
    <t>driversLicense</t>
  </si>
  <si>
    <t>firstName</t>
  </si>
  <si>
    <t>LastName</t>
  </si>
  <si>
    <t>registationNumber</t>
  </si>
  <si>
    <t>carRegistrationNumber</t>
  </si>
  <si>
    <t>Comment</t>
  </si>
  <si>
    <t>LeftRelationship</t>
  </si>
  <si>
    <t>RightRelationship</t>
  </si>
  <si>
    <t>Zero or more</t>
  </si>
  <si>
    <t>One or more</t>
  </si>
  <si>
    <t>serviceArea</t>
  </si>
  <si>
    <t>my comment</t>
  </si>
  <si>
    <t>Manufacturer</t>
  </si>
  <si>
    <t>makes</t>
  </si>
  <si>
    <t>Attribute (no spaces)</t>
  </si>
  <si>
    <t>gantt</t>
  </si>
  <si>
    <t xml:space="preserve">    dateFormat  YYYY-MM-DD</t>
  </si>
  <si>
    <t>Boundary</t>
  </si>
  <si>
    <t>Actor</t>
  </si>
  <si>
    <t>Control</t>
  </si>
  <si>
    <t>Database</t>
  </si>
  <si>
    <t>CloudFront</t>
  </si>
  <si>
    <t>CloudWatch</t>
  </si>
  <si>
    <t>Cognito</t>
  </si>
  <si>
    <t>DynamoDB</t>
  </si>
  <si>
    <t>EBS</t>
  </si>
  <si>
    <t>EC2</t>
  </si>
  <si>
    <t>ECS</t>
  </si>
  <si>
    <t>EFS</t>
  </si>
  <si>
    <t>EliastiCache</t>
  </si>
  <si>
    <t>ElasticBeanstalk</t>
  </si>
  <si>
    <t>ElasticFileSystem</t>
  </si>
  <si>
    <t>Glacier</t>
  </si>
  <si>
    <t>IAM</t>
  </si>
  <si>
    <t>Kinesis</t>
  </si>
  <si>
    <t>Lambda</t>
  </si>
  <si>
    <t>Lightsail</t>
  </si>
  <si>
    <t>RDS</t>
  </si>
  <si>
    <t>Redshift</t>
  </si>
  <si>
    <t>S3</t>
  </si>
  <si>
    <t>SNS</t>
  </si>
  <si>
    <t>SQS</t>
  </si>
  <si>
    <t>Sagemaker</t>
  </si>
  <si>
    <t>VPC</t>
  </si>
  <si>
    <t>AzureActiveDirectory</t>
  </si>
  <si>
    <t>AzureBackup</t>
  </si>
  <si>
    <t>AzureCDN</t>
  </si>
  <si>
    <t>AzureDataFactory</t>
  </si>
  <si>
    <t>AzureDevOps</t>
  </si>
  <si>
    <t>AzureFunction</t>
  </si>
  <si>
    <t>AzureSQL</t>
  </si>
  <si>
    <t>CosmosDB</t>
  </si>
  <si>
    <t>LogicApps</t>
  </si>
  <si>
    <t>VirtualMachine</t>
  </si>
  <si>
    <t>BigTable</t>
  </si>
  <si>
    <t>BigQuery</t>
  </si>
  <si>
    <t>CloudCDN</t>
  </si>
  <si>
    <t>CloudInterconnect</t>
  </si>
  <si>
    <t>CloudDNS</t>
  </si>
  <si>
    <t>CloudLoadBalancing</t>
  </si>
  <si>
    <t>CloudSQL</t>
  </si>
  <si>
    <t>CloudStorage</t>
  </si>
  <si>
    <t>Datalab</t>
  </si>
  <si>
    <t>DataProc</t>
  </si>
  <si>
    <t>GoogleIAM</t>
  </si>
  <si>
    <t>GoogleSecurity</t>
  </si>
  <si>
    <t>GoogleVPC</t>
  </si>
  <si>
    <t>PubSub</t>
  </si>
  <si>
    <t>SecurityScanner</t>
  </si>
  <si>
    <t>StackDriver</t>
  </si>
  <si>
    <t>VisionAPI</t>
  </si>
  <si>
    <t>zumlAnnotators</t>
  </si>
  <si>
    <t>Note</t>
  </si>
  <si>
    <t>direction</t>
  </si>
  <si>
    <t>right</t>
  </si>
  <si>
    <t>string</t>
  </si>
  <si>
    <t>TaskName</t>
  </si>
  <si>
    <t>dateFormat</t>
  </si>
  <si>
    <t>excludes</t>
  </si>
  <si>
    <t>weekends</t>
  </si>
  <si>
    <t>value</t>
  </si>
  <si>
    <t>dd-mmm</t>
  </si>
  <si>
    <t>Example GANTT</t>
  </si>
  <si>
    <t>Section</t>
  </si>
  <si>
    <t>Section 1</t>
  </si>
  <si>
    <t>Section 2</t>
  </si>
  <si>
    <t>Task A</t>
  </si>
  <si>
    <t>Finish work</t>
  </si>
  <si>
    <t>Another Task</t>
  </si>
  <si>
    <t>taskID</t>
  </si>
  <si>
    <t>startAtOrAfter</t>
  </si>
  <si>
    <t>document</t>
  </si>
  <si>
    <t>publish</t>
  </si>
  <si>
    <t>duration</t>
  </si>
  <si>
    <t>tags</t>
  </si>
  <si>
    <t>done</t>
  </si>
  <si>
    <t>active</t>
  </si>
  <si>
    <t>milestone</t>
  </si>
  <si>
    <t>Crit bug fix</t>
  </si>
  <si>
    <t>lastSection</t>
  </si>
  <si>
    <t>address</t>
  </si>
  <si>
    <t>name</t>
  </si>
  <si>
    <t>household</t>
  </si>
  <si>
    <t>Default Relationship</t>
  </si>
  <si>
    <t>householdUUID</t>
  </si>
  <si>
    <t>personUUID</t>
  </si>
  <si>
    <t>*:1</t>
  </si>
  <si>
    <t>1:1</t>
  </si>
  <si>
    <t>Cardinality</t>
  </si>
  <si>
    <t>StartDate</t>
  </si>
  <si>
    <t>lastSection:document</t>
  </si>
  <si>
    <t>crit</t>
  </si>
  <si>
    <t>endDate</t>
  </si>
  <si>
    <t>StartType</t>
  </si>
  <si>
    <t>PreviousTaskID</t>
  </si>
  <si>
    <t>ID</t>
  </si>
  <si>
    <t>taskSectionID</t>
  </si>
  <si>
    <t>sectionName</t>
  </si>
  <si>
    <t>taskUID</t>
  </si>
  <si>
    <t>Section 1:Finish work</t>
  </si>
  <si>
    <t>VIN</t>
  </si>
  <si>
    <t>this is a note</t>
  </si>
  <si>
    <t>Object</t>
  </si>
  <si>
    <t>type</t>
  </si>
  <si>
    <t>Color</t>
  </si>
  <si>
    <t>Participant</t>
  </si>
  <si>
    <t>gray</t>
  </si>
  <si>
    <t>middle</t>
  </si>
  <si>
    <t>front</t>
  </si>
  <si>
    <t>Box</t>
  </si>
  <si>
    <t>message</t>
  </si>
  <si>
    <t>Sequence Group</t>
  </si>
  <si>
    <t>else</t>
  </si>
  <si>
    <t>and</t>
  </si>
  <si>
    <t>critical</t>
  </si>
  <si>
    <t>option</t>
  </si>
  <si>
    <t>note right of</t>
  </si>
  <si>
    <t>Action</t>
  </si>
  <si>
    <t>state join_state &lt;&lt;join&gt;&gt;</t>
  </si>
  <si>
    <t>has account</t>
  </si>
  <si>
    <t>alt</t>
  </si>
  <si>
    <t>opt</t>
  </si>
  <si>
    <t>user onboard</t>
  </si>
  <si>
    <t>no account</t>
  </si>
  <si>
    <t>textMeaning</t>
  </si>
  <si>
    <t>==1</t>
  </si>
  <si>
    <t>left</t>
  </si>
  <si>
    <t>group</t>
  </si>
  <si>
    <t>reg number</t>
  </si>
  <si>
    <t>1:*</t>
  </si>
  <si>
    <t>error</t>
  </si>
  <si>
    <t>Column1</t>
  </si>
  <si>
    <t>index</t>
  </si>
  <si>
    <t>auto# delim</t>
  </si>
  <si>
    <t xml:space="preserve">: </t>
  </si>
  <si>
    <t>truck</t>
  </si>
  <si>
    <t>table</t>
  </si>
  <si>
    <t>arrows-alt</t>
  </si>
  <si>
    <t>server</t>
  </si>
  <si>
    <t>primary</t>
  </si>
  <si>
    <t>section</t>
  </si>
  <si>
    <t>score</t>
  </si>
  <si>
    <t>actors</t>
  </si>
  <si>
    <t>Sales</t>
  </si>
  <si>
    <t>Task</t>
  </si>
  <si>
    <t>Sales Engagement</t>
  </si>
  <si>
    <t>sales</t>
  </si>
  <si>
    <t>Discovery</t>
  </si>
  <si>
    <t>Price Negotiation</t>
  </si>
  <si>
    <t>presales</t>
  </si>
  <si>
    <t>Delivery</t>
  </si>
  <si>
    <t>Delivery timing</t>
  </si>
  <si>
    <t>Installation</t>
  </si>
  <si>
    <t>Knowledge Transfer</t>
  </si>
  <si>
    <t>services</t>
  </si>
  <si>
    <t>education, services</t>
  </si>
  <si>
    <t>Operation</t>
  </si>
  <si>
    <t>Customer Experience Lifecycle</t>
  </si>
  <si>
    <t>HW Support</t>
  </si>
  <si>
    <t>SW Support</t>
  </si>
  <si>
    <t>SLA</t>
  </si>
  <si>
    <t>logistics</t>
  </si>
  <si>
    <t>mmClassSyntax</t>
  </si>
  <si>
    <t>rel</t>
  </si>
  <si>
    <t>Description</t>
  </si>
  <si>
    <t>Inheritance</t>
  </si>
  <si>
    <t>Composition</t>
  </si>
  <si>
    <t>Aggregation</t>
  </si>
  <si>
    <t>Association</t>
  </si>
  <si>
    <t>Dependency</t>
  </si>
  <si>
    <t>Realization</t>
  </si>
  <si>
    <t>labelText</t>
  </si>
  <si>
    <t>card</t>
  </si>
  <si>
    <t>n n (where n&gt;1)</t>
  </si>
  <si>
    <t>card2</t>
  </si>
  <si>
    <t>desc</t>
  </si>
  <si>
    <t>Only 1</t>
  </si>
  <si>
    <t>Many</t>
  </si>
  <si>
    <t>Zero or One</t>
  </si>
  <si>
    <t>n zero to n (where n&gt;1)</t>
  </si>
  <si>
    <t>n one to n (where n&gt;1)</t>
  </si>
  <si>
    <t>*</t>
  </si>
  <si>
    <t>rel2</t>
  </si>
  <si>
    <t>"1"</t>
  </si>
  <si>
    <t>"0..1"</t>
  </si>
  <si>
    <t>"1..*"</t>
  </si>
  <si>
    <t>"*"</t>
  </si>
  <si>
    <t>"n"</t>
  </si>
  <si>
    <t>"0..n"</t>
  </si>
  <si>
    <t>"1..n"</t>
  </si>
  <si>
    <t>o</t>
  </si>
  <si>
    <t>&gt;</t>
  </si>
  <si>
    <t>|&gt;</t>
  </si>
  <si>
    <t>&lt;|</t>
  </si>
  <si>
    <t>&lt;</t>
  </si>
  <si>
    <t>dashed</t>
  </si>
  <si>
    <t>srcClass</t>
  </si>
  <si>
    <t>tgtClass</t>
  </si>
  <si>
    <t>class</t>
  </si>
  <si>
    <t>attribute</t>
  </si>
  <si>
    <t>visbility</t>
  </si>
  <si>
    <t>classifier</t>
  </si>
  <si>
    <t>Abstract</t>
  </si>
  <si>
    <t>Static</t>
  </si>
  <si>
    <t>visibility</t>
  </si>
  <si>
    <t>public</t>
  </si>
  <si>
    <t>private</t>
  </si>
  <si>
    <t>package/internal</t>
  </si>
  <si>
    <t>protected</t>
  </si>
  <si>
    <t>note</t>
  </si>
  <si>
    <t>link</t>
  </si>
  <si>
    <t>https://mermaid.js.org/syntax/classDiagram.html</t>
  </si>
  <si>
    <t>traveler</t>
  </si>
  <si>
    <t>ticket</t>
  </si>
  <si>
    <t>coupon</t>
  </si>
  <si>
    <t>available seat</t>
  </si>
  <si>
    <t>seat</t>
  </si>
  <si>
    <t>luggage</t>
  </si>
  <si>
    <t>flight</t>
  </si>
  <si>
    <t>flightNumber</t>
  </si>
  <si>
    <t>airport</t>
  </si>
  <si>
    <t>airplane</t>
  </si>
  <si>
    <t>planeModel</t>
  </si>
  <si>
    <t>has</t>
  </si>
  <si>
    <t>goal</t>
  </si>
  <si>
    <t>id</t>
  </si>
  <si>
    <t>miles</t>
  </si>
  <si>
    <t>weight~int~</t>
  </si>
  <si>
    <t>redemption~date~</t>
  </si>
  <si>
    <t>standby~bool~</t>
  </si>
  <si>
    <t>number~int~</t>
  </si>
  <si>
    <t>departure~utc~</t>
  </si>
  <si>
    <t>airline</t>
  </si>
  <si>
    <t>DoB~date~</t>
  </si>
  <si>
    <t>boardingTime~utc~</t>
  </si>
  <si>
    <t>flightPath~json~</t>
  </si>
  <si>
    <t>picture~png~</t>
  </si>
  <si>
    <t>row~int~</t>
  </si>
  <si>
    <t>column~str~</t>
  </si>
  <si>
    <t>class~str~</t>
  </si>
  <si>
    <t>number~str~</t>
  </si>
  <si>
    <t>regNumber~str~</t>
  </si>
  <si>
    <t>status</t>
  </si>
  <si>
    <t>nextMaintTime~utc~</t>
  </si>
  <si>
    <t>Airline Booking System</t>
  </si>
  <si>
    <t>Try the link!</t>
  </si>
  <si>
    <t>sounds bad</t>
  </si>
  <si>
    <t>actually bad</t>
  </si>
  <si>
    <t>sounds good</t>
  </si>
  <si>
    <t>actually good</t>
  </si>
  <si>
    <t>Asbestos</t>
  </si>
  <si>
    <t>Always saying what you think</t>
  </si>
  <si>
    <t>Solar cars</t>
  </si>
  <si>
    <t>Heelies</t>
  </si>
  <si>
    <t>Prequels</t>
  </si>
  <si>
    <t>®</t>
  </si>
  <si>
    <t>Leaded Gasoline</t>
  </si>
  <si>
    <t>Bloodletting</t>
  </si>
  <si>
    <t>Fake prank fire extinguishers</t>
  </si>
  <si>
    <t>Stair Kayaking</t>
  </si>
  <si>
    <t>Replying to spammers</t>
  </si>
  <si>
    <t>cutting pizza in squares</t>
  </si>
  <si>
    <t>Project Orion</t>
  </si>
  <si>
    <t>Extension cores with prongs on both ends</t>
  </si>
  <si>
    <t>quadCalc</t>
  </si>
  <si>
    <t>Diverging diamond interchanges</t>
  </si>
  <si>
    <t>Crumple zones</t>
  </si>
  <si>
    <t>Laser eye surgery</t>
  </si>
  <si>
    <t>Fecal transplants</t>
  </si>
  <si>
    <t>Putting mold on infections</t>
  </si>
  <si>
    <t>Cutting sandwiches diagonally</t>
  </si>
  <si>
    <t>Combo washer dryers</t>
  </si>
  <si>
    <t>sliced bread</t>
  </si>
  <si>
    <t>Wheels on luggage</t>
  </si>
  <si>
    <t>Heat pumps</t>
  </si>
  <si>
    <t>Pizza</t>
  </si>
  <si>
    <t>Toasting sandwiches</t>
  </si>
  <si>
    <t>Eating citrus fruit while at sea</t>
  </si>
  <si>
    <t>bottomright</t>
  </si>
  <si>
    <t>bottomleft</t>
  </si>
  <si>
    <t>topleft</t>
  </si>
  <si>
    <t>topright</t>
  </si>
  <si>
    <t>orientation</t>
  </si>
  <si>
    <t>quadName</t>
  </si>
  <si>
    <t>soup</t>
  </si>
  <si>
    <t>Good and Bad ideas  (https://xkcd.com/2929/)</t>
  </si>
  <si>
    <t>quadNo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</si>
</sst>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;@"/>
    <numFmt numFmtId="165" formatCode="#&quot;d&quot;"/>
  </numFmts>
  <fonts count="1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9"/>
      <color rgb="FF000000"/>
      <name val="STIXGener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7A8FAA"/>
        <bgColor indexed="64"/>
      </patternFill>
    </fill>
    <fill>
      <patternFill patternType="solid">
        <fgColor rgb="FFFFC521"/>
        <bgColor indexed="64"/>
      </patternFill>
    </fill>
    <fill>
      <patternFill patternType="solid">
        <fgColor rgb="FFF5B487"/>
        <bgColor indexed="64"/>
      </patternFill>
    </fill>
    <fill>
      <patternFill patternType="solid">
        <fgColor rgb="FFB07BD7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9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5" fillId="5" borderId="0" applyNumberFormat="0" applyBorder="0" applyAlignment="0" applyProtection="0"/>
    <xf numFmtId="0" fontId="2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11" borderId="0" applyNumberFormat="0" applyBorder="0" applyAlignment="0" applyProtection="0"/>
    <xf numFmtId="0" fontId="10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2" fillId="3" borderId="0" xfId="2"/>
    <xf numFmtId="0" fontId="1" fillId="2" borderId="1" xfId="1"/>
    <xf numFmtId="0" fontId="2" fillId="4" borderId="0" xfId="3"/>
    <xf numFmtId="0" fontId="2" fillId="6" borderId="0" xfId="5"/>
    <xf numFmtId="0" fontId="5" fillId="5" borderId="0" xfId="4" applyAlignment="1">
      <alignment horizontal="left" indent="1"/>
    </xf>
    <xf numFmtId="0" fontId="5" fillId="7" borderId="0" xfId="6" applyAlignment="1">
      <alignment horizontal="left" indent="1"/>
    </xf>
    <xf numFmtId="0" fontId="5" fillId="5" borderId="1" xfId="4" applyBorder="1" applyAlignment="1">
      <alignment horizontal="left" indent="1"/>
    </xf>
    <xf numFmtId="0" fontId="6" fillId="0" borderId="2" xfId="0" applyFont="1" applyBorder="1"/>
    <xf numFmtId="0" fontId="0" fillId="8" borderId="0" xfId="0" applyFont="1" applyFill="1"/>
    <xf numFmtId="0" fontId="0" fillId="0" borderId="0" xfId="0" applyFont="1"/>
    <xf numFmtId="0" fontId="0" fillId="0" borderId="3" xfId="0" applyFont="1" applyBorder="1"/>
    <xf numFmtId="0" fontId="5" fillId="5" borderId="0" xfId="4"/>
    <xf numFmtId="0" fontId="0" fillId="0" borderId="0" xfId="0" applyNumberFormat="1"/>
    <xf numFmtId="0" fontId="7" fillId="0" borderId="0" xfId="0" applyFont="1"/>
    <xf numFmtId="16" fontId="0" fillId="0" borderId="0" xfId="0" applyNumberFormat="1"/>
    <xf numFmtId="164" fontId="0" fillId="0" borderId="0" xfId="0" applyNumberFormat="1"/>
    <xf numFmtId="16" fontId="0" fillId="0" borderId="0" xfId="0" applyNumberFormat="1" applyAlignment="1">
      <alignment horizontal="left" indent="1"/>
    </xf>
    <xf numFmtId="165" fontId="0" fillId="0" borderId="0" xfId="0" applyNumberFormat="1"/>
    <xf numFmtId="164" fontId="0" fillId="0" borderId="0" xfId="0" applyNumberFormat="1" applyAlignment="1">
      <alignment horizontal="left" indent="1"/>
    </xf>
    <xf numFmtId="0" fontId="0" fillId="9" borderId="0" xfId="0" applyFill="1"/>
    <xf numFmtId="0" fontId="7" fillId="0" borderId="0" xfId="0" applyNumberFormat="1" applyFont="1"/>
    <xf numFmtId="0" fontId="0" fillId="10" borderId="4" xfId="0" applyFont="1" applyFill="1" applyBorder="1"/>
    <xf numFmtId="0" fontId="0" fillId="0" borderId="0" xfId="0" applyAlignment="1">
      <alignment shrinkToFit="1"/>
    </xf>
    <xf numFmtId="0" fontId="9" fillId="11" borderId="0" xfId="7" applyFont="1"/>
    <xf numFmtId="0" fontId="10" fillId="0" borderId="0" xfId="8"/>
    <xf numFmtId="0" fontId="0" fillId="12" borderId="0" xfId="0" applyFill="1"/>
    <xf numFmtId="0" fontId="9" fillId="13" borderId="0" xfId="0" applyFont="1" applyFill="1"/>
    <xf numFmtId="0" fontId="0" fillId="14" borderId="0" xfId="0" applyFill="1"/>
    <xf numFmtId="0" fontId="0" fillId="15" borderId="0" xfId="0" applyFill="1"/>
  </cellXfs>
  <cellStyles count="9">
    <cellStyle name="20% - Accent1" xfId="4" builtinId="30"/>
    <cellStyle name="20% - Accent3" xfId="6" builtinId="38"/>
    <cellStyle name="60% - Accent1" xfId="7" builtinId="32"/>
    <cellStyle name="Accent1" xfId="2" builtinId="29"/>
    <cellStyle name="Accent2" xfId="3" builtinId="33"/>
    <cellStyle name="Accent3" xfId="5" builtinId="37"/>
    <cellStyle name="Hyperlink" xfId="8" builtinId="8"/>
    <cellStyle name="Input" xfId="1" builtinId="20"/>
    <cellStyle name="Normal" xfId="0" builtinId="0"/>
  </cellStyles>
  <dxfs count="73">
    <dxf>
      <fill>
        <patternFill>
          <bgColor theme="4" tint="0.79998168889431442"/>
        </patternFill>
      </fill>
    </dxf>
    <dxf>
      <fill>
        <patternFill>
          <bgColor theme="0"/>
        </patternFill>
      </fill>
    </dxf>
    <dxf>
      <font>
        <color theme="0" tint="-0.499984740745262"/>
      </font>
    </dxf>
    <dxf>
      <font>
        <color theme="5"/>
      </font>
    </dxf>
    <dxf>
      <font>
        <color rgb="FF7030A0"/>
      </font>
    </dxf>
    <dxf>
      <font>
        <color theme="7" tint="-0.24994659260841701"/>
      </font>
    </dxf>
    <dxf>
      <font>
        <color theme="3"/>
      </font>
    </dxf>
    <dxf>
      <fill>
        <patternFill>
          <bgColor theme="4" tint="0.79998168889431442"/>
        </patternFill>
      </fill>
    </dxf>
    <dxf>
      <fill>
        <patternFill>
          <bgColor theme="0"/>
        </patternFill>
      </fill>
    </dxf>
    <dxf>
      <font>
        <color theme="0" tint="-0.499984740745262"/>
      </font>
    </dxf>
    <dxf>
      <fill>
        <patternFill>
          <bgColor theme="4" tint="0.79998168889431442"/>
        </patternFill>
      </fill>
    </dxf>
    <dxf>
      <fill>
        <patternFill>
          <bgColor theme="0"/>
        </patternFill>
      </fill>
    </dxf>
    <dxf>
      <font>
        <color theme="0" tint="-0.499984740745262"/>
      </font>
    </dxf>
    <dxf>
      <font>
        <color theme="0" tint="-0.499984740745262"/>
      </font>
    </dxf>
    <dxf>
      <font>
        <color rgb="FFC00000"/>
      </font>
    </dxf>
    <dxf>
      <font>
        <color theme="0" tint="-0.499984740745262"/>
      </font>
    </dxf>
    <dxf>
      <fill>
        <patternFill>
          <bgColor theme="4" tint="0.79998168889431442"/>
        </patternFill>
      </fill>
    </dxf>
    <dxf>
      <fill>
        <patternFill>
          <bgColor theme="0"/>
        </patternFill>
      </fill>
    </dxf>
    <dxf>
      <font>
        <color theme="0" tint="-0.499984740745262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1" formatCode="d\-mmm"/>
      <alignment horizontal="left" vertical="bottom" textRotation="0" wrapText="0" indent="1" justifyLastLine="0" shrinkToFit="0" readingOrder="0"/>
    </dxf>
    <dxf>
      <numFmt numFmtId="21" formatCode="d\-mmm"/>
      <alignment horizontal="left" vertical="bottom" textRotation="0" wrapText="0" indent="1" justifyLastLine="0" shrinkToFit="0" readingOrder="0"/>
    </dxf>
    <dxf>
      <numFmt numFmtId="21" formatCode="d\-mmm"/>
    </dxf>
    <dxf>
      <numFmt numFmtId="165" formatCode="#&quot;d&quot;"/>
    </dxf>
    <dxf>
      <numFmt numFmtId="164" formatCode="[$-409]d\-mmm;@"/>
      <alignment horizontal="left" vertical="bottom" textRotation="0" wrapText="0" indent="1" justifyLastLine="0" shrinkToFit="0" readingOrder="0"/>
    </dxf>
    <dxf>
      <numFmt numFmtId="0" formatCode="General"/>
    </dxf>
    <dxf>
      <numFmt numFmtId="0" formatCode="General"/>
    </dxf>
    <dxf>
      <alignment horizontal="general" vertical="bottom" textRotation="0" wrapText="0" indent="0" justifyLastLine="0" shrinkToFit="1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B07BD7"/>
      <color rgb="FFF5B487"/>
      <color rgb="FFFFC521"/>
      <color rgb="FF7A8F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538841</xdr:colOff>
      <xdr:row>22</xdr:row>
      <xdr:rowOff>108856</xdr:rowOff>
    </xdr:from>
    <xdr:to>
      <xdr:col>20</xdr:col>
      <xdr:colOff>1856233</xdr:colOff>
      <xdr:row>38</xdr:row>
      <xdr:rowOff>27215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47F6EF3-243F-7370-8FA1-64938F7395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94370" y="4180113"/>
          <a:ext cx="6956192" cy="2879273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1676402</xdr:colOff>
      <xdr:row>5</xdr:row>
      <xdr:rowOff>114299</xdr:rowOff>
    </xdr:from>
    <xdr:to>
      <xdr:col>27</xdr:col>
      <xdr:colOff>478973</xdr:colOff>
      <xdr:row>30</xdr:row>
      <xdr:rowOff>143004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2B3969-5D43-4940-800B-97AEBCDB3D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819916" y="1039585"/>
          <a:ext cx="4250871" cy="4655133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16328</xdr:colOff>
      <xdr:row>19</xdr:row>
      <xdr:rowOff>81642</xdr:rowOff>
    </xdr:from>
    <xdr:to>
      <xdr:col>26</xdr:col>
      <xdr:colOff>2445343</xdr:colOff>
      <xdr:row>26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CEA98B6-4B04-F310-B16E-E66855AC8C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34399" y="3597728"/>
          <a:ext cx="9156387" cy="1366158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468086</xdr:colOff>
      <xdr:row>9</xdr:row>
      <xdr:rowOff>152400</xdr:rowOff>
    </xdr:from>
    <xdr:to>
      <xdr:col>12</xdr:col>
      <xdr:colOff>3171896</xdr:colOff>
      <xdr:row>22</xdr:row>
      <xdr:rowOff>66736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64B1D23-98F1-8AEA-D2D8-704F8BCCCF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923329" y="1817914"/>
          <a:ext cx="2699728" cy="2318718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1668236</xdr:colOff>
      <xdr:row>8</xdr:row>
      <xdr:rowOff>131336</xdr:rowOff>
    </xdr:from>
    <xdr:to>
      <xdr:col>20</xdr:col>
      <xdr:colOff>416638</xdr:colOff>
      <xdr:row>20</xdr:row>
      <xdr:rowOff>151104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AE99D66-4D0A-C0A5-A067-3F3B184D9D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21511" y="1579136"/>
          <a:ext cx="8673452" cy="2191468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1148442</xdr:colOff>
      <xdr:row>26</xdr:row>
      <xdr:rowOff>5443</xdr:rowOff>
    </xdr:from>
    <xdr:to>
      <xdr:col>15</xdr:col>
      <xdr:colOff>3146023</xdr:colOff>
      <xdr:row>37</xdr:row>
      <xdr:rowOff>43598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21EBD3-5F86-40BA-A10B-9458541CF1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41185" y="4816929"/>
          <a:ext cx="1997581" cy="207378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1528733</xdr:colOff>
      <xdr:row>7</xdr:row>
      <xdr:rowOff>47330</xdr:rowOff>
    </xdr:from>
    <xdr:to>
      <xdr:col>19</xdr:col>
      <xdr:colOff>442365</xdr:colOff>
      <xdr:row>20</xdr:row>
      <xdr:rowOff>80761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EFB08AA-0E12-BE6E-8A2F-E1CE95F995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86186" y="1339417"/>
          <a:ext cx="2846689" cy="2433021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1542932</xdr:colOff>
      <xdr:row>4</xdr:row>
      <xdr:rowOff>61527</xdr:rowOff>
    </xdr:from>
    <xdr:to>
      <xdr:col>14</xdr:col>
      <xdr:colOff>542920</xdr:colOff>
      <xdr:row>18</xdr:row>
      <xdr:rowOff>122651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96FB45F-AE69-ECF2-6579-D0520DB1A9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908696" y="799863"/>
          <a:ext cx="2057454" cy="2645298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2262335</xdr:colOff>
      <xdr:row>3</xdr:row>
      <xdr:rowOff>56795</xdr:rowOff>
    </xdr:from>
    <xdr:to>
      <xdr:col>12</xdr:col>
      <xdr:colOff>46684</xdr:colOff>
      <xdr:row>10</xdr:row>
      <xdr:rowOff>163559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AF083C1-5D49-2EE6-77A6-6035B76F5D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73813" y="610546"/>
          <a:ext cx="2498337" cy="1398851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2371548</xdr:colOff>
      <xdr:row>3</xdr:row>
      <xdr:rowOff>54074</xdr:rowOff>
    </xdr:from>
    <xdr:to>
      <xdr:col>11</xdr:col>
      <xdr:colOff>354567</xdr:colOff>
      <xdr:row>18</xdr:row>
      <xdr:rowOff>113070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71D1208-0046-83A5-9B95-85C30F14DB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233598" y="607825"/>
          <a:ext cx="2697006" cy="2827755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8BAFE761-6C26-47AD-8CEA-06D548E9E4A4}" name="classMem" displayName="classMem" ref="E3:I41" totalsRowShown="0">
  <autoFilter ref="E3:I41" xr:uid="{8BAFE761-6C26-47AD-8CEA-06D548E9E4A4}"/>
  <tableColumns count="5">
    <tableColumn id="1" xr3:uid="{4D151FDB-9CDC-4D21-9399-AB450E7A0B14}" name="class"/>
    <tableColumn id="4" xr3:uid="{F428C167-4A93-467D-B39F-7AC824FA368A}" name="attribute"/>
    <tableColumn id="3" xr3:uid="{D7F9AE0C-92FE-4206-9D7B-5F9D013827A4}" name="visbility"/>
    <tableColumn id="6" xr3:uid="{2AE995D4-F7F2-432B-9A4D-86655B662812}" name="classifier"/>
    <tableColumn id="2" xr3:uid="{D178D8A6-4B8D-447F-BD9E-E65658CF3306}" name="mmClassSyntax" dataDxfId="66">
      <calculatedColumnFormula>IF(OR(classMem[[#This Row],[class]]="",classMem[[#This Row],[attribute]]=""),"",
classMem[[#This Row],[class]]&amp; " : " &amp;
_xlfn.XLOOKUP(classMem[[#This Row],[visbility]],classVis[visibility],classVis[value],"")&amp;
classMem[[#This Row],[attribute]]&amp;
_xlfn.XLOOKUP(classMem[[#This Row],[classifier]],classClass[classifier],classClass[value],""))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B4C095B5-BDD7-4D23-8496-FB2D4889A8EA}" name="classRel" displayName="classRel" ref="K3:S18" totalsRowShown="0">
  <autoFilter ref="K3:S18" xr:uid="{B4C095B5-BDD7-4D23-8496-FB2D4889A8E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6B4E906E-A1F3-4AFE-8B54-55D066C8EA5D}" name="srcClass"/>
    <tableColumn id="3" xr3:uid="{02358492-0C20-461A-B031-BB7DE9CD1843}" name="tgtClass" dataDxfId="65"/>
    <tableColumn id="5" xr3:uid="{F8BAEF4B-651B-4393-8835-6B7C0657731F}" name="labelText"/>
    <tableColumn id="13" xr3:uid="{11F39904-F5D7-45A3-AC19-0F0D2AD12416}" name="type" dataDxfId="64"/>
    <tableColumn id="9" xr3:uid="{0A3D074F-5867-49BB-9DC9-B412F686CEC1}" name="card"/>
    <tableColumn id="2" xr3:uid="{943DBA46-0E69-4972-BE7F-44A3EE5F900A}" name="rel" dataDxfId="63"/>
    <tableColumn id="10" xr3:uid="{F7F979A0-2BFA-401D-B3F6-11EDF08E23B3}" name="card2" dataDxfId="62"/>
    <tableColumn id="12" xr3:uid="{56FE2300-3363-48D4-8D0C-F5A771B59BCA}" name="rel2" dataDxfId="61"/>
    <tableColumn id="11" xr3:uid="{66354A2A-7067-478B-B181-6BF28CEDCB0C}" name="mmSyntax" dataDxfId="60">
      <calculatedColumnFormula>IF(OR(classRel[[#This Row],[srcClass]]="",classRel[[#This Row],[tgtClass]]=""),"",
classRel[[#This Row],[srcClass]]&amp;" " &amp;
classRel[[#This Row],[card]]&amp; " " &amp;
classRel[[#This Row],[rel]]&amp;
IF(classRel[[#This Row],[type]]="solid","--",IF(classRel[[#This Row],[type]]="dashed","..","--"))&amp;" " &amp;
classRel[[#This Row],[rel2]]&amp;
classRel[[#This Row],[card2]]&amp;" " &amp;
 classRel[[#This Row],[tgtClass]]&amp;
IF(classRel[[#This Row],[labelText]]="",""," : "&amp;classRel[[#This Row],[labelText]]))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D0ED83EC-029B-4910-8C32-FE4DD0820617}" name="classNote" displayName="classNote" ref="A3:C12" totalsRowShown="0">
  <autoFilter ref="A3:C12" xr:uid="{D0ED83EC-029B-4910-8C32-FE4DD0820617}"/>
  <tableColumns count="3">
    <tableColumn id="2" xr3:uid="{36533AFC-FB85-42BC-B9F8-6A1E8F29AA5D}" name="note"/>
    <tableColumn id="1" xr3:uid="{72C82988-F3E6-442C-9E96-1CAE130FCA39}" name="class"/>
    <tableColumn id="3" xr3:uid="{F7EEF8E9-EF94-4276-83AF-E441CBB3A1F4}" name="mmSyntax" dataDxfId="59">
      <calculatedColumnFormula>IF(AND(classNote[[#This Row],[class]]="",classNote[[#This Row],[note]]=""),"",
IF(classNote[[#This Row],[class]]&lt;&gt;"",
"note for "&amp;classNote[[#This Row],[class]]&amp;" """&amp;classNote[[#This Row],[note]]&amp;""" ",
"note """&amp;classNote[[#This Row],[note]]&amp;""" "))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CE8BE57C-B8DE-436E-87CE-0A913A21718C}" name="classNote38" displayName="classNote38" ref="A17:C26" totalsRowShown="0">
  <autoFilter ref="A17:C26" xr:uid="{CE8BE57C-B8DE-436E-87CE-0A913A21718C}"/>
  <tableColumns count="3">
    <tableColumn id="1" xr3:uid="{0DE62766-92F4-401A-94F4-26CAFE5DEAB1}" name="class"/>
    <tableColumn id="2" xr3:uid="{840400E8-8927-46D9-A28D-F8DD9D2E463A}" name="link" dataDxfId="58"/>
    <tableColumn id="3" xr3:uid="{8F8A604C-AC1B-4871-89DB-92577567888E}" name="mmSyntax" dataDxfId="57">
      <calculatedColumnFormula>IF(OR(classNote38[[#This Row],[class]]="",classNote38[[#This Row],[link]]=""),"","link "&amp;classNote38[[#This Row],[class]]&amp;" """ &amp; classNote38[[#This Row],[link]]&amp;""" ")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7D5C402E-66A6-4D90-BD07-82F530E6D611}" name="erdAttributes" displayName="erdAttributes" ref="H1:O31" totalsRowShown="0" headerRowCellStyle="Accent1">
  <autoFilter ref="H1:O31" xr:uid="{E67CC456-6B55-43D3-ADAA-D64EF8ADD13F}"/>
  <sortState xmlns:xlrd2="http://schemas.microsoft.com/office/spreadsheetml/2017/richdata2" ref="I2:N31">
    <sortCondition ref="I1:I31"/>
  </sortState>
  <tableColumns count="8">
    <tableColumn id="6" xr3:uid="{E163F6F7-933F-41E4-B5DE-7DDA8F6FEAE1}" name="group" dataDxfId="72">
      <calculatedColumnFormula>IFERROR(FIND(" ",J2)&gt;0,FALSE)</calculatedColumnFormula>
    </tableColumn>
    <tableColumn id="1" xr3:uid="{C2B07931-174D-4DFE-AE2B-C289A834FCB7}" name="Entity"/>
    <tableColumn id="3" xr3:uid="{506FD6A4-85C8-4DFF-8DCC-C6A3850E8C45}" name="Attribute (no spaces)"/>
    <tableColumn id="2" xr3:uid="{109F698F-D498-4543-B281-E318D825172C}" name="Type"/>
    <tableColumn id="4" xr3:uid="{9DD2F2E2-217E-4CD6-A70E-323C4577140D}" name="key"/>
    <tableColumn id="5" xr3:uid="{D4830A02-D86B-459F-8748-42B39188A9DB}" name="Comment"/>
    <tableColumn id="10" xr3:uid="{7A64A544-763B-4434-9DA8-F57EC2E3615F}" name="mmSyntax" dataDxfId="71">
      <calculatedColumnFormula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calculatedColumnFormula>
    </tableColumn>
    <tableColumn id="7" xr3:uid="{A651DB96-A5D6-497A-8237-BCFECA3D647B}" name="error" dataDxfId="70">
      <calculatedColumnFormula>IFERROR(IF(FIND(" ",erdAttributes[[#This Row],[Attribute (no spaces)]])&gt;0,"%% no spaces allowed in attribute: "&amp;erdAttributes[[#This Row],[Attribute (no spaces)]]),"")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38716EA3-C3D3-4DAA-A377-D828F2482370}" name="erdEntities" displayName="erdEntities" ref="A4:F8" totalsRowShown="0">
  <autoFilter ref="A4:F8" xr:uid="{E0D89D92-20A0-4B53-ACC7-56187E055B0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81D2333D-DF20-427E-9118-E63C863A1F64}" name="Source"/>
    <tableColumn id="4" xr3:uid="{4D10C04C-7D83-4F48-AA15-9D2E71AA1686}" name="description"/>
    <tableColumn id="2" xr3:uid="{41E6B5CE-81FE-4A67-8280-5E5ED80549BE}" name="left" dataDxfId="69">
      <calculatedColumnFormula>dsfs</calculatedColumnFormula>
    </tableColumn>
    <tableColumn id="6" xr3:uid="{B1E26B83-FAE0-4E37-87A7-38E59CD49D16}" name="right" dataDxfId="68">
      <calculatedColumnFormula>dsfs</calculatedColumnFormula>
    </tableColumn>
    <tableColumn id="3" xr3:uid="{F07DAA67-25DA-451F-84A1-CD7CE7C4E086}" name="Target"/>
    <tableColumn id="5" xr3:uid="{D28745B2-AB29-4D9E-8EC9-94F3FB5F4CFD}" name="mmSyntax" dataDxfId="67">
      <calculatedColumnFormula>IFERROR(IF(erdEntities[[#This Row],[Target]]="","",erdEntities[[#This Row],[Source]]&amp;_xlfn.XLOOKUP(erdEntities[[#This Row],[left]],erdDirections[Meaning],erdDirections[Value (left)])&amp;"--"&amp;_xlfn.XLOOKUP(erdEntities[[#This Row],[right]],erdDirections[Meaning],erdDirections[Value (right)])&amp;erdEntities[[#This Row],[Target]]&amp;IF(erdEntities[[#This Row],[description]]="",""," : " &amp; """"&amp; erdEntities[[#This Row],[description]]&amp;"""")),"%% Error with "&amp;erdEntities[[#This Row],[Source]])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24B3F9F8-3054-430B-89AD-F013E87DFC1C}" name="ganttElements" displayName="ganttElements" ref="A1:C4" totalsRowShown="0">
  <autoFilter ref="A1:C4" xr:uid="{24B3F9F8-3054-430B-89AD-F013E87DFC1C}"/>
  <tableColumns count="3">
    <tableColumn id="1" xr3:uid="{0E1C98E2-3B33-497F-B7C2-BDC759D848E9}" name="Element"/>
    <tableColumn id="2" xr3:uid="{4B8F65D0-1FC5-4FB4-BB5C-051E954BBDC5}" name="value"/>
    <tableColumn id="3" xr3:uid="{690C9F55-2D6E-4DE4-BD73-8AA66389E368}" name="mmSyntax" dataDxfId="56">
      <calculatedColumnFormula>ganttElements[[#This Row],[Element]]&amp;" " &amp;ganttElements[[#This Row],[value]]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7088E5F3-8ABE-49F6-9072-503D0B005C5C}" name="ganttTasks" displayName="ganttTasks" ref="E1:S29" totalsRowShown="0">
  <autoFilter ref="E1:S29" xr:uid="{7088E5F3-8ABE-49F6-9072-503D0B005C5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2" xr3:uid="{D21D0908-C762-4742-A635-2A14C832DC73}" name="Section"/>
    <tableColumn id="1" xr3:uid="{FF893285-387B-4960-809B-E0FF70BA4BE2}" name="TaskName"/>
    <tableColumn id="5" xr3:uid="{6A0DD95E-30C7-45AA-BBA5-D6775F7D59DC}" name="tags"/>
    <tableColumn id="4" xr3:uid="{F0AF98BB-21B8-4AB3-A4ED-38ABD218E97C}" name="startAtOrAfter" dataDxfId="55"/>
    <tableColumn id="6" xr3:uid="{7DA52178-572F-42D8-A459-AB31906F7BEE}" name="duration" dataDxfId="54"/>
    <tableColumn id="12" xr3:uid="{503A1A32-C56C-4EF2-B297-5B4C20C2FA45}" name="StartType" dataDxfId="53">
      <calculatedColumnFormula>IF(ganttTasks[[#This Row],[TaskName]]="","",IF(ganttTasks[[#This Row],[startAtOrAfter]]="","Previous Task",IF(ISNUMBER(ganttTasks[[#This Row],[startAtOrAfter]]),"Date","Other Task")))</calculatedColumnFormula>
    </tableColumn>
    <tableColumn id="8" xr3:uid="{DAE17CD6-C244-4C5A-843E-5D24142710C2}" name="StartDate" dataDxfId="52">
      <calculatedColumnFormula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calculatedColumnFormula>
    </tableColumn>
    <tableColumn id="11" xr3:uid="{54679153-41D4-48CD-A015-4D0C4D79B880}" name="endDate" dataDxfId="51">
      <calculatedColumnFormula>IF(ganttTasks[[#This Row],[TaskName]]="","",IF(ganttTasks[[#This Row],[StartDate]]="",L1,ganttTasks[[#This Row],[duration]]+ganttTasks[[#This Row],[StartDate]]))</calculatedColumnFormula>
    </tableColumn>
    <tableColumn id="3" xr3:uid="{FC36C204-ED3A-49BB-BB4F-FA7EED5B79E2}" name="taskID" dataDxfId="50">
      <calculatedColumnFormula>IF(ganttTasks[[#This Row],[TaskName]]="","",ganttTasks[[#This Row],[taskSectionID]]&amp;":"&amp;ganttTasks[[#This Row],[TaskName]])</calculatedColumnFormula>
    </tableColumn>
    <tableColumn id="19" xr3:uid="{0062278E-D861-4B88-93ED-3C76A6B43BD6}" name="taskUID" dataDxfId="49">
      <calculatedColumnFormula>IF(ganttTasks[[#This Row],[TaskName]]="","",ganttTasks[[#This Row],[sectionName]]&amp;":"&amp;ganttTasks[[#This Row],[TaskName]])</calculatedColumnFormula>
    </tableColumn>
    <tableColumn id="9" xr3:uid="{FD461EBB-AC6F-4433-8748-C94854839665}" name="mmSyntax" dataDxfId="48">
      <calculatedColumnFormula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calculatedColumnFormula>
    </tableColumn>
    <tableColumn id="14" xr3:uid="{F1D6475A-4119-47C0-9AF7-38C162A2BF78}" name="ID" dataDxfId="47">
      <calculatedColumnFormula>ROW()</calculatedColumnFormula>
    </tableColumn>
    <tableColumn id="13" xr3:uid="{2643BB68-25E1-47CA-9F4E-039B6193C631}" name="PreviousTaskID" dataDxfId="46">
      <calculatedColumnFormula array="1">IFERROR(MAX(_xlfn._xlws.FILTER(ganttTasks[ID],ganttTasks[ID]&lt;ganttTasks[[#This Row],[ID]],"")),"")</calculatedColumnFormula>
    </tableColumn>
    <tableColumn id="17" xr3:uid="{211AF7A9-7EBB-43C1-B092-EB3556C162CF}" name="taskSectionID" dataDxfId="45">
      <calculatedColumnFormula array="1">MAX(_xlfn._xlws.FILTER(ganttTasks[ID],(ganttTasks[ID]&lt;ganttTasks[[#This Row],[ID]])*(ganttTasks[Section]&lt;&gt;""),0))</calculatedColumnFormula>
    </tableColumn>
    <tableColumn id="18" xr3:uid="{45A48121-2196-49B2-91AC-EB0C50B662D5}" name="sectionName" dataDxfId="44">
      <calculatedColumnFormula>IF(ganttTasks[[#This Row],[TaskName]]="","",IF(ganttTasks[[#This Row],[Section]]&lt;&gt;"","",_xlfn.XLOOKUP(ganttTasks[[#This Row],[taskSectionID]],ganttTasks[ID],ganttTasks[Section])))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AF4A958-C340-42D6-8F4C-6FBB741949C1}" name="flowObjects12" displayName="flowObjects12" ref="A7:D22" totalsRowShown="0" dataDxfId="43" headerRowCellStyle="Accent1">
  <autoFilter ref="A7:D22" xr:uid="{601D36AC-FB39-4ABC-99FB-D2F1E99F8EC8}">
    <filterColumn colId="0" hiddenButton="1"/>
    <filterColumn colId="1" hiddenButton="1"/>
    <filterColumn colId="2" hiddenButton="1"/>
    <filterColumn colId="3" hiddenButton="1"/>
  </autoFilter>
  <tableColumns count="4">
    <tableColumn id="1" xr3:uid="{C85C877F-3D8B-452F-BF0C-A6D04BB26A42}" name="object" dataDxfId="42"/>
    <tableColumn id="2" xr3:uid="{ECAC4E07-64EA-4108-858C-EA2B6DB5C8D9}" name="shape" dataDxfId="41"/>
    <tableColumn id="3" xr3:uid="{9BA84533-457E-443E-A476-FA9B5C1EB9A1}" name="icon" dataDxfId="40"/>
    <tableColumn id="4" xr3:uid="{DD5B560C-980D-49D7-AF5F-46317BD1357E}" name="mmSyntax" dataDxfId="39">
      <calculatedColumnFormula>(_xlfn.XLOOKUP(flowObjects12[[#This Row],[shape]],flownodes[nodeType],flownodes[mmPrefix],"")&amp;_xlfn.XLOOKUP(flowObjects12[[#This Row],[icon]],icon[Display],icon[Icon]," ")&amp;" "&amp;flowObjects12[[#This Row],[object]]&amp;_xlfn.XLOOKUP(flowObjects12[[#This Row],[shape]],flownodes[nodeType],flownodes[mmSuffix],""))</calculatedColumnFormula>
    </tableColumn>
  </tableColumns>
  <tableStyleInfo name="TableStyleLight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67CC456-6B55-43D3-ADAA-D64EF8ADD13F}" name="flow" displayName="flow" ref="F1:K26" totalsRowShown="0" headerRowCellStyle="Accent1">
  <autoFilter ref="F1:K26" xr:uid="{E67CC456-6B55-43D3-ADAA-D64EF8ADD13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3E8B84F0-B2E9-48DA-893D-2D7FD066FC23}" name="source"/>
    <tableColumn id="2" xr3:uid="{A1A3D04E-3E55-4811-8D11-660489EB0FFC}" name="target"/>
    <tableColumn id="3" xr3:uid="{F3657A20-CAA6-4EB4-8FE4-830AD0D9DDFA}" name="dir"/>
    <tableColumn id="4" xr3:uid="{699BB4A0-058A-43D6-ADC0-3B5DB5D1D2CD}" name="label"/>
    <tableColumn id="6" xr3:uid="{D44AAD46-FA17-48A5-939D-B70B94BC448E}" name="mmSyntax">
      <calculatedColumnFormula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calculatedColumnFormula>
    </tableColumn>
    <tableColumn id="7" xr3:uid="{2D73DE98-5423-4DCF-8CCD-23F222162F8E}" name="index">
      <calculatedColumnFormula>IF(flow[[#This Row],[source]]="","",ROW())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82766A90-45A5-4ED6-BE02-5BF1978E41C3}" name="Table30" displayName="Table30" ref="C3:G22" totalsRowShown="0">
  <autoFilter ref="C3:G22" xr:uid="{82766A90-45A5-4ED6-BE02-5BF1978E41C3}"/>
  <tableColumns count="5">
    <tableColumn id="1" xr3:uid="{3717D3D1-C15D-4671-B10C-6A81944E6C19}" name="section"/>
    <tableColumn id="4" xr3:uid="{09BA15FF-0277-48FD-8EAD-12C7A4415540}" name="Task"/>
    <tableColumn id="2" xr3:uid="{4D79C490-743A-4C4A-9F94-36FBA0D170C8}" name="score"/>
    <tableColumn id="3" xr3:uid="{4DA8D111-F8E3-43E0-B08C-E5B04BB0CEA4}" name="actors"/>
    <tableColumn id="5" xr3:uid="{CFF402CD-FB4B-4C2E-8A56-4CC7500F1A78}" name="mmSyntax" dataDxfId="38">
      <calculatedColumnFormula>IF(Table30[[#This Row],[section]]&lt;&gt;"","section " &amp;Table30[[#This Row],[section]],_xlfn.TEXTJOIN(" : ",TRUE,Table30[[#This Row],[Task]:[actors]]))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12F6E2-2B53-4B1C-85B8-140812FC5945}" name="erdAttributes4" displayName="erdAttributes4" ref="H1:M12" totalsRowShown="0" headerRowCellStyle="Accent1">
  <autoFilter ref="H1:M12" xr:uid="{E67CC456-6B55-43D3-ADAA-D64EF8ADD13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16E12CFB-E2E4-4C0F-9DAE-3330DFC31564}" name="Entity"/>
    <tableColumn id="2" xr3:uid="{345E406E-DFA0-4AB3-A376-DA154EAAFC3C}" name="Type"/>
    <tableColumn id="3" xr3:uid="{D4BE7D91-09B3-4DCC-9BA4-9D93BB30EA12}" name="Attribute (no spaces)"/>
    <tableColumn id="4" xr3:uid="{4C34E386-106C-42B6-8756-44B4CA5D7B09}" name="key"/>
    <tableColumn id="5" xr3:uid="{FB51180F-4D6E-412F-850A-88571748C87C}" name="Comment"/>
    <tableColumn id="6" xr3:uid="{179B2ACB-E8E8-44A4-96E7-A73069E548A6}" name="mmSyntax" dataDxfId="37">
      <calculatedColumnFormula>_xlfn.TEXTJOIN(" ",TRUE,erdAttributes4[[#This Row],[Type]],erdAttributes4[[#This Row],[Attribute (no spaces)]],erdAttributes4[[#This Row],[key]],IF(erdAttributes4[[#This Row],[Comment]]="","",""""&amp;erdAttributes4[[#This Row],[Comment]]&amp;""""))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5CE6164B-6E54-4561-89CA-FA45B84B5F41}" name="erdEntities17" displayName="erdEntities17" ref="A1:F4" totalsRowShown="0">
  <autoFilter ref="A1:F4" xr:uid="{E0D89D92-20A0-4B53-ACC7-56187E055B0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2D24A2BB-42FC-412B-B1B9-0AD46E4F94A8}" name="Source"/>
    <tableColumn id="4" xr3:uid="{D1683149-4BE3-400F-A1C9-F3EF2B3A525A}" name="description"/>
    <tableColumn id="2" xr3:uid="{2561D978-87F9-4F36-BFB1-953ECC263D21}" name="LeftRelationship"/>
    <tableColumn id="6" xr3:uid="{E5BA51EB-2298-4678-9E74-2242B40052D5}" name="RightRelationship"/>
    <tableColumn id="3" xr3:uid="{64D70DBC-EF1A-47DB-8C63-EA3ABF428492}" name="Target"/>
    <tableColumn id="5" xr3:uid="{A4D75865-A9D8-461D-831A-B0DD7AB22BF3}" name="mmSyntax" dataDxfId="36">
      <calculatedColumnFormula>erdEntities17[[#This Row],[Source]]&amp;_xlfn.XLOOKUP(erdEntities17[[#This Row],[LeftRelationship]],erdDirections[Meaning],erdDirections[Value (left)])&amp;"--"&amp;_xlfn.XLOOKUP(erdEntities17[[#This Row],[RightRelationship]],erdDirections[Meaning],erdDirections[Value (right)])&amp;erdEntities17[[#This Row],[Target]]&amp;IF(erdEntities17[[#This Row],[description]]="",""," : " &amp; erdEntities17[[#This Row],[description]])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59CE5E8-32B7-4776-A9F7-A5941875A1E4}" name="quadElement" displayName="quadElement" ref="A1:C6" totalsRowShown="0">
  <autoFilter ref="A1:C6" xr:uid="{E59CE5E8-32B7-4776-A9F7-A5941875A1E4}">
    <filterColumn colId="0" hiddenButton="1"/>
    <filterColumn colId="1" hiddenButton="1"/>
    <filterColumn colId="2" hiddenButton="1"/>
  </autoFilter>
  <tableColumns count="3">
    <tableColumn id="1" xr3:uid="{91419104-4D74-48DE-AF26-23DE3D4B28B7}" name="Element"/>
    <tableColumn id="2" xr3:uid="{39EE4A20-68AA-4541-A7B0-28424B77A93D}" name="Value"/>
    <tableColumn id="3" xr3:uid="{DFF3A4B5-5EE4-4E59-9C59-510E3BD8C984}" name="mmSyntax" dataDxfId="21">
      <calculatedColumnFormula>IF(OR(quadElement[[#This Row],[Element]]="",quadElement[[#This Row],[Value]]=""),"",_xlfn.TEXTJOIN(" ",TRUE,quadElement[[#This Row],[Element]:[Value]]))</calculatedColumnFormula>
    </tableColumn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DB3C693-5C37-425F-9347-D81922FBEA73}" name="quadBuild" displayName="quadBuild" ref="J1:N35" totalsRowShown="0" headerRowCellStyle="Accent1">
  <autoFilter ref="J1:N35" xr:uid="{3DB3C693-5C37-425F-9347-D81922FBEA73}">
    <filterColumn colId="0" hiddenButton="1"/>
    <filterColumn colId="1" hiddenButton="1"/>
    <filterColumn colId="2" hiddenButton="1"/>
    <filterColumn colId="3" hiddenButton="1"/>
    <filterColumn colId="4" hiddenButton="1"/>
  </autoFilter>
  <sortState xmlns:xlrd2="http://schemas.microsoft.com/office/spreadsheetml/2017/richdata2" ref="J2:N35">
    <sortCondition ref="J2:J35"/>
  </sortState>
  <tableColumns count="5">
    <tableColumn id="1" xr3:uid="{C25EDC34-1842-4AA3-BD99-724CF269F9C1}" name="Label"/>
    <tableColumn id="2" xr3:uid="{BCA3C435-9511-4E31-84C5-98341A1CFE11}" name="X"/>
    <tableColumn id="3" xr3:uid="{296A903C-E0BE-4ED1-8F89-3C3663A84CB5}" name="Y"/>
    <tableColumn id="5" xr3:uid="{D8820D35-0F3D-4282-BE98-AA5DA20579B1}" name="quadCalc" dataDxfId="19">
      <calculatedColumnFormula>IF(quadBuild[[#This Row],[mmSyntax]]="","",_xlfn.XLOOKUP(IF(quadBuild[[#This Row],[Y]]&gt;=0.5,"bottom","top")&amp;IF(quadBuild[[#This Row],[X]]&gt;=0.5,"left","right"),quadNames[orientation],quadNames[quadNo]))</calculatedColumnFormula>
    </tableColumn>
    <tableColumn id="4" xr3:uid="{698343F2-0151-43E6-AFC0-E22F6787B6F0}" name="mmSyntax">
      <calculatedColumnFormula>IF(OR(quadBuild[[#This Row],[Label]]="",quadBuild[[#This Row],[X]]="",quadBuild[[#This Row],[Y]]=""),"",J2&amp;": ["&amp;K2&amp;", "&amp;L2&amp;"]")</calculatedColumnFormula>
    </tableColumn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C77400C-FABD-4F6A-A9C0-C575867709BC}" name="quadAxis" displayName="quadAxis" ref="E1:H3" totalsRowShown="0">
  <autoFilter ref="E1:H3" xr:uid="{1C77400C-FABD-4F6A-A9C0-C575867709BC}">
    <filterColumn colId="0" hiddenButton="1"/>
    <filterColumn colId="1" hiddenButton="1"/>
    <filterColumn colId="2" hiddenButton="1"/>
    <filterColumn colId="3" hiddenButton="1"/>
  </autoFilter>
  <tableColumns count="4">
    <tableColumn id="1" xr3:uid="{8816DAC4-E4C2-486F-A397-072F57398B86}" name="Axis"/>
    <tableColumn id="2" xr3:uid="{A38E8A8E-CA03-4EFE-93B8-D33C18D9A023}" name="lowLabel"/>
    <tableColumn id="3" xr3:uid="{159917A7-2DB9-4BDA-8502-EC59126FDC23}" name="highLabel"/>
    <tableColumn id="4" xr3:uid="{69D65313-6177-41C1-B2B3-848EBE1171AA}" name="mmSyntax" dataDxfId="35">
      <calculatedColumnFormula>quadAxis[[#This Row],[Axis]]&amp;" " &amp; quadAxis[[#This Row],[lowLabel]]&amp;" --&gt; "&amp;quadAxis[[#This Row],[highLabel]]</calculatedColumnFormula>
    </tableColumn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186CBE2F-30ED-4357-B866-762E0B8ACCD4}" name="seqObjects" displayName="seqObjects" ref="A7:D19" totalsRowShown="0">
  <autoFilter ref="A7:D19" xr:uid="{FB9B45D0-93BE-48B7-A2EE-6260ED260C19}"/>
  <tableColumns count="4">
    <tableColumn id="1" xr3:uid="{23A59C46-E07B-4036-B260-9AC9C0B4E8DF}" name="Object"/>
    <tableColumn id="2" xr3:uid="{A9F7164D-4613-4C86-A4E3-BCBAF3DAC7BE}" name="Box"/>
    <tableColumn id="3" xr3:uid="{ABF4524D-484B-4A67-A67A-E22D1318D07A}" name="type"/>
    <tableColumn id="4" xr3:uid="{92C5E203-54F3-41E8-BEFE-85051B2363B3}" name="mmSyntax" dataDxfId="34">
      <calculatedColumnFormula>IF(seqObjects[[#This Row],[Object]]="","",IF(seqObjects[[#This Row],[type]]="","Participant " &amp; seqObjects[[#This Row],[Object]],seqObjects[[#This Row],[type]]&amp;" "&amp;seqObjects[[#This Row],[Object]]))</calculatedColumnFormula>
    </tableColumn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34CC70A3-6DAA-49CD-97C7-93FD9C0F3DC5}" name="seq" displayName="seq" ref="F1:K28" totalsRowShown="0" headerRowCellStyle="Accent1">
  <autoFilter ref="F1:K28" xr:uid="{34CC70A3-6DAA-49CD-97C7-93FD9C0F3DC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1" xr3:uid="{F80868AF-9858-4B88-8530-F53C8DF3D4A1}" name="Action"/>
    <tableColumn id="1" xr3:uid="{4A617FAB-A534-445E-BD65-E9AD24F893F0}" name="source"/>
    <tableColumn id="2" xr3:uid="{1A2FD87C-B8EB-447A-9B82-007FFCC9C8F6}" name="target"/>
    <tableColumn id="3" xr3:uid="{1319EBC1-CD04-4F07-AD5A-10FD6C676B09}" name="message"/>
    <tableColumn id="4" xr3:uid="{2AFF5122-5DB3-4C22-824D-2F7A62679B9D}" name="connector"/>
    <tableColumn id="5" xr3:uid="{3FEDAE9F-8C90-4BCF-8A98-B112208E0D18}" name="mmSyntax" dataDxfId="33">
      <calculatedColumnFormula>IF(seq[[#This Row],[Action]]="",IF(seq[[#This Row],[connector]]="","",_xlfn.TEXTJOIN("",TRUE,seq[[#This Row],[source]],(_xlfn.XLOOKUP(seq[[#This Row],[connector]],tblSeqConn[display],tblSeqConn[mmSyntax])))&amp;seq[[#This Row],[target]]&amp;": "&amp;seq[[#This Row],[message]]),seq[[#This Row],[Action]]&amp;" " &amp; seq[[#This Row],[message]])</calculatedColumnFormula>
    </tableColumn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D5FC806-B37F-4A94-8CAE-F9260492B33D}" name="Table4" displayName="Table4" ref="A24:C32" totalsRowShown="0">
  <autoFilter ref="A24:C32" xr:uid="{7D5FC806-B37F-4A94-8CAE-F9260492B33D}"/>
  <tableColumns count="3">
    <tableColumn id="1" xr3:uid="{1A31BB5C-FD9B-4E14-9A03-146F51548A60}" name="Box"/>
    <tableColumn id="2" xr3:uid="{09949D19-DD7A-4127-AF8A-9A9524F7D6C6}" name="Color"/>
    <tableColumn id="3" xr3:uid="{CAAB377A-C04F-4026-BEB5-00B1DBA47060}" name="mmSyntax" dataDxfId="32">
      <calculatedColumnFormula>IF(Table4[[#This Row],[Box]]="","",IF(Table4[[#This Row],[Color]]="","Box " &amp; Table4[[#This Row],[Box]],"Box " &amp; Table4[[#This Row],[Color]] &amp; " " &amp; Table4[[#This Row],[Box]]))</calculatedColumnFormula>
    </tableColumn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28D4078-D028-449E-A884-B136C38A09F2}" name="state" displayName="state" ref="D1:H30" totalsRowShown="0" headerRowCellStyle="Accent1">
  <autoFilter ref="D1:H30" xr:uid="{928D4078-D028-449E-A884-B136C38A09F2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39B5B6F8-888D-4467-8D06-47CA0DCD50B1}" name="source"/>
    <tableColumn id="2" xr3:uid="{1A541617-F078-4691-B44B-FD3AB8F5B92B}" name="target"/>
    <tableColumn id="3" xr3:uid="{4EC72A15-ED23-4EAF-98F6-4E0D37C93853}" name="label"/>
    <tableColumn id="5" xr3:uid="{F8957A32-4AEE-4EB9-A06E-26D4E9F1AA50}" name="Note"/>
    <tableColumn id="4" xr3:uid="{80FBF5B1-87CA-4FED-AE3B-8395721C35E4}" name="mmSyntax" dataDxfId="31">
      <calculatedColumnFormula>IF(state[[#This Row],[Note]]="",_xlfn.TEXTJOIN("",TRUE,'🔄 simpleState'!$D2,(IF(state[[#This Row],[source]]="","","--&gt;"&amp;'🔄 simpleState'!$E2&amp;": "&amp;'🔄 simpleState'!$F2))),"note "&amp;state[[#This Row],[Note]]&amp; " of " &amp; D1 &amp;" : " &amp; state[[#This Row],[label]])</calculatedColumnFormula>
    </tableColumn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96788F9E-C55F-44BA-A5C2-6645D514EAAD}" name="simpleSequence" displayName="simpleSequence" ref="D1:H23" totalsRowShown="0">
  <autoFilter ref="D1:H23" xr:uid="{96788F9E-C55F-44BA-A5C2-6645D514EAAD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A34E29C3-3ABF-40A1-B123-D8325B3367F5}" name="source"/>
    <tableColumn id="2" xr3:uid="{C5EAEBE2-32DE-4E10-A107-DA2545B455D4}" name="target"/>
    <tableColumn id="3" xr3:uid="{9512D8C9-5EAB-4A4F-865E-626D5923483F}" name="action"/>
    <tableColumn id="4" xr3:uid="{1A11CD9E-3F30-4A45-9915-625C2C1526EB}" name="connector"/>
    <tableColumn id="5" xr3:uid="{EB7B4497-7DB0-4AF8-9F6C-2D8BAE2E455A}" name="mmSyntax">
      <calculatedColumnFormula>IF('🔢 simpleSequence'!$G2="","",_xlfn.TEXTJOIN("",TRUE,'🔢 simpleSequence'!$D2,(_xlfn.XLOOKUP('🔢 simpleSequence'!$G2,tblSeqConn[display],tblSeqConn[mmSyntax])))&amp;'🔢 simpleSequence'!$E2&amp;": "&amp;'🔢 simpleSequence'!$F2)</calculatedColumnFormula>
    </tableColumn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CAAF4AD-99AA-4674-BC45-E0D26C1EF83E}" name="flownodes" displayName="flownodes" ref="A4:C18" totalsRowShown="0">
  <autoFilter ref="A4:C18" xr:uid="{6CAAF4AD-99AA-4674-BC45-E0D26C1EF83E}"/>
  <tableColumns count="3">
    <tableColumn id="1" xr3:uid="{D20E9B63-4B89-473F-AD35-EBA682CC3B8B}" name="nodeType"/>
    <tableColumn id="2" xr3:uid="{B4A56993-E1E4-4517-A943-7844D3E4F8F3}" name="mmPrefix"/>
    <tableColumn id="3" xr3:uid="{6BBABCF5-F374-4D42-97B3-733EEFFCA565}" name="mmSuffix"/>
  </tableColumns>
  <tableStyleInfo name="TableStyleLight1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765FEA4-C1A8-49E5-82FA-4B2E9057848F}" name="tblFcConn" displayName="tblFcConn" ref="E1:I22" totalsRowShown="0">
  <autoFilter ref="E1:I22" xr:uid="{F765FEA4-C1A8-49E5-82FA-4B2E9057848F}"/>
  <tableColumns count="5">
    <tableColumn id="1" xr3:uid="{B9DECDD8-204E-48F4-84C9-3A678FB3664D}" name="connType" dataDxfId="30"/>
    <tableColumn id="2" xr3:uid="{7EEEE46B-091C-4B0A-90FE-73FCA5979EF5}" name="connLength" dataDxfId="29"/>
    <tableColumn id="4" xr3:uid="{0981A7E0-AC52-4AEE-A94E-2B70C7C83D54}" name="connID" dataDxfId="28">
      <calculatedColumnFormula>tblFcConn[[#This Row],[connType]]&amp;tblFcConn[[#This Row],[connLength]]</calculatedColumnFormula>
    </tableColumn>
    <tableColumn id="3" xr3:uid="{BC567C8D-5719-4C6E-963C-7997C8DBB0E3}" name="mmSyntax" dataDxfId="27"/>
    <tableColumn id="5" xr3:uid="{EE05B8EC-8203-4880-B52C-38DD78398EB6}" name="display" dataDxfId="26"/>
  </tableColumns>
  <tableStyleInfo name="TableStyleLight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7AC80DC-D989-4798-9E0B-DA511255C172}" name="tblSeqConn" displayName="tblSeqConn" ref="T1:V9" totalsRowShown="0">
  <autoFilter ref="T1:V9" xr:uid="{C7AC80DC-D989-4798-9E0B-DA511255C172}"/>
  <tableColumns count="3">
    <tableColumn id="1" xr3:uid="{C1168FB0-5BD0-4B95-90AF-6ED027BB790D}" name="mmSyntax"/>
    <tableColumn id="2" xr3:uid="{444E28B6-9ED7-440E-80CF-BB61BC1B6868}" name="seqMsg"/>
    <tableColumn id="3" xr3:uid="{6549A3D2-5A37-4EB3-BDCB-8D3F25360A1D}" name="display"/>
  </tableColumns>
  <tableStyleInfo name="TableStyleLight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8873104D-036A-46EA-BAC8-C87AECDAB96D}" name="tblSeqActions" displayName="tblSeqActions" ref="U14:U25" totalsRowShown="0">
  <autoFilter ref="U14:U25" xr:uid="{8873104D-036A-46EA-BAC8-C87AECDAB96D}"/>
  <tableColumns count="1">
    <tableColumn id="1" xr3:uid="{3838F3BE-0C53-4361-A87E-2C2E65F35464}" name="seqActions"/>
  </tableColumns>
  <tableStyleInfo name="TableStyleLight1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42CB26A0-CE35-4093-97D3-AF47BC9638E6}" name="tblTrueFalse" displayName="tblTrueFalse" ref="Q1:Q3" totalsRowShown="0">
  <autoFilter ref="Q1:Q3" xr:uid="{42CB26A0-CE35-4093-97D3-AF47BC9638E6}"/>
  <tableColumns count="1">
    <tableColumn id="1" xr3:uid="{A6BFAD76-109D-467F-828D-5B9414D9B52B}" name="TrueFalse"/>
  </tableColumns>
  <tableStyleInfo name="TableStyleLight1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7C7215-E9DF-4AAB-BA5A-23B533E168E5}" name="tblFcType" displayName="tblFcType" ref="A22:A27" totalsRowShown="0">
  <autoFilter ref="A22:A27" xr:uid="{357C7215-E9DF-4AAB-BA5A-23B533E168E5}"/>
  <tableColumns count="1">
    <tableColumn id="1" xr3:uid="{D42EFC69-DEC3-48CA-8232-6DEAEABD0F93}" name="flowchartType"/>
  </tableColumns>
  <tableStyleInfo name="TableStyleLight1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B332504-0277-4005-AA50-4B667BCBF30B}" name="icon" displayName="icon" ref="B34:D194" totalsRowShown="0">
  <autoFilter ref="B34:D194" xr:uid="{2B332504-0277-4005-AA50-4B667BCBF30B}"/>
  <tableColumns count="3">
    <tableColumn id="1" xr3:uid="{30A2CF8A-2198-4DD2-A72D-FD5CFB7C3039}" name="Icon" dataDxfId="25">
      <calculatedColumnFormula>"fa:fa-"&amp;icon[[#This Row],[Display]]</calculatedColumnFormula>
    </tableColumn>
    <tableColumn id="2" xr3:uid="{A6E2B5D8-A6E3-44CF-BF3F-2827C592D3DF}" name="Display"/>
    <tableColumn id="3" xr3:uid="{5BBA68E3-752D-438A-8FA2-CF37FDDDC1F0}" name="Column1"/>
  </tableColumns>
  <tableStyleInfo name="TableStyleLight1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4B884A-0E91-4C9E-923B-7268A8759BB1}" name="erdDirections" displayName="erdDirections" ref="G29:L33" totalsRowShown="0">
  <autoFilter ref="G29:L33" xr:uid="{3B4B884A-0E91-4C9E-923B-7268A8759BB1}"/>
  <sortState xmlns:xlrd2="http://schemas.microsoft.com/office/spreadsheetml/2017/richdata2" ref="G30:I33">
    <sortCondition ref="I29:I33"/>
  </sortState>
  <tableColumns count="6">
    <tableColumn id="1" xr3:uid="{C37E5CFD-4412-4B62-BE01-03B7A3140C95}" name="Value (left)"/>
    <tableColumn id="2" xr3:uid="{3137785D-B057-4C51-BABC-098C7CF4AD64}" name="Value (right)"/>
    <tableColumn id="3" xr3:uid="{9A65270B-E348-4E76-98AF-2D663078B6CD}" name="Meaning">
      <calculatedColumnFormula>erdDirections[[#This Row],[display]]</calculatedColumnFormula>
    </tableColumn>
    <tableColumn id="4" xr3:uid="{66C6F046-A1B9-4BE1-B1E2-6C2AC0702740}" name="display" dataDxfId="24">
      <calculatedColumnFormula>"==1"</calculatedColumnFormula>
    </tableColumn>
    <tableColumn id="6" xr3:uid="{EF41BD51-EF2C-444F-B922-624A8CC489A9}" name="Column1"/>
    <tableColumn id="5" xr3:uid="{CE4283B1-2840-412A-B5B0-C3904E24E9AD}" name="textMeaning"/>
  </tableColumns>
  <tableStyleInfo name="TableStyleLight1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DACA562-21D6-4C80-8BDE-7076D9037C44}" name="keyTypes" displayName="keyTypes" ref="Q27:Q32" totalsRowShown="0">
  <autoFilter ref="Q27:Q32" xr:uid="{1DACA562-21D6-4C80-8BDE-7076D9037C44}"/>
  <tableColumns count="1">
    <tableColumn id="1" xr3:uid="{C4B744BD-9C09-4DAA-A37F-287071087754}" name="KeyTypes"/>
  </tableColumns>
  <tableStyleInfo name="TableStyleLight1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5B0BE5C1-54BF-47E1-A24A-EA560D275192}" name="zumlAnnotators" displayName="zumlAnnotators" ref="U36:U91" totalsRowShown="0">
  <autoFilter ref="U36:U91" xr:uid="{5B0BE5C1-54BF-47E1-A24A-EA560D275192}"/>
  <tableColumns count="1">
    <tableColumn id="1" xr3:uid="{E79C2E39-73FA-4A9A-A9F5-E5ED4C6A5827}" name="zumlAnnotators"/>
  </tableColumns>
  <tableStyleInfo name="TableStyleLight1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5D3F4F83-6C8A-47B7-94EE-BA193D77730F}" name="cardinality" displayName="cardinality" ref="M36:M40" totalsRowShown="0">
  <autoFilter ref="M36:M40" xr:uid="{5D3F4F83-6C8A-47B7-94EE-BA193D77730F}"/>
  <tableColumns count="1">
    <tableColumn id="1" xr3:uid="{4DA03D01-B3DA-41A8-9841-786ECBF20957}" name="Cardinality"/>
  </tableColumns>
  <tableStyleInfo name="TableStyleLight1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C4CB1F6-F340-462D-A53B-6A8C047001AC}" name="sequencegroups" displayName="sequencegroups" ref="H38:H51" totalsRowShown="0">
  <autoFilter ref="H38:H51" xr:uid="{7C4CB1F6-F340-462D-A53B-6A8C047001AC}"/>
  <tableColumns count="1">
    <tableColumn id="1" xr3:uid="{608F35F0-7552-4D72-B667-F533BADF6EDD}" name="Sequence Group"/>
  </tableColumns>
  <tableStyleInfo name="TableStyleLight1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5747EB35-8934-4882-8F6F-C490558F9896}" name="classLinkTypes" displayName="classLinkTypes" ref="M46:N52" totalsRowShown="0">
  <autoFilter ref="M46:N52" xr:uid="{5747EB35-8934-4882-8F6F-C490558F9896}"/>
  <tableColumns count="2">
    <tableColumn id="1" xr3:uid="{BA8FFEF8-CE18-4569-811C-B9D14AD13A1D}" name="end"/>
    <tableColumn id="2" xr3:uid="{EC84C73E-31B4-4DA4-8972-73622184F15A}" name="Description"/>
  </tableColumns>
  <tableStyleInfo name="TableStyleLight1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8393AF19-EFE3-4AC3-8466-2EFD288B3DEB}" name="classCard" displayName="classCard" ref="J49:K56" totalsRowShown="0">
  <autoFilter ref="J49:K56" xr:uid="{8393AF19-EFE3-4AC3-8466-2EFD288B3DEB}"/>
  <tableColumns count="2">
    <tableColumn id="1" xr3:uid="{3C3DC55F-7FD4-4CF9-AD66-8257F5398C28}" name="card"/>
    <tableColumn id="2" xr3:uid="{F6467092-411C-440C-9BB5-3D95821B64E8}" name="desc"/>
  </tableColumns>
  <tableStyleInfo name="TableStyleLight1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DAA00726-E274-4AEF-B065-A8CF3D274423}" name="classClass" displayName="classClass" ref="X1:Y3" totalsRowShown="0">
  <autoFilter ref="X1:Y3" xr:uid="{DAA00726-E274-4AEF-B065-A8CF3D274423}"/>
  <tableColumns count="2">
    <tableColumn id="1" xr3:uid="{74F74148-C44E-4B5E-A18B-17F9A3C59C5C}" name="classifier"/>
    <tableColumn id="2" xr3:uid="{8036740B-11F9-47D5-A08D-5E42E70DB97B}" name="value" dataDxfId="23">
      <calculatedColumnFormula>"$"</calculatedColumnFormula>
    </tableColumn>
  </tableColumns>
  <tableStyleInfo name="TableStyleMedium4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3F913327-FD45-4A56-9220-269801F1AB74}" name="classVis" displayName="classVis" ref="X5:Y9" totalsRowShown="0">
  <autoFilter ref="X5:Y9" xr:uid="{3F913327-FD45-4A56-9220-269801F1AB74}"/>
  <tableColumns count="2">
    <tableColumn id="1" xr3:uid="{5C9F1F3B-69C3-48AC-8F71-2A30410EB6CB}" name="visibility"/>
    <tableColumn id="2" xr3:uid="{65810C62-26D1-4AC9-8813-80A62605B5EC}" name="value" dataDxfId="22">
      <calculatedColumnFormula>"+"</calculatedColumnFormula>
    </tableColumn>
  </tableColumns>
  <tableStyleInfo name="TableStyleMedium4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9C4EF978-E1B5-49A6-B224-2B90E16E1E27}" name="quadNames" displayName="quadNames" ref="X14:Z18" totalsRowShown="0">
  <autoFilter ref="X14:Z18" xr:uid="{9C4EF978-E1B5-49A6-B224-2B90E16E1E27}"/>
  <tableColumns count="3">
    <tableColumn id="1" xr3:uid="{5B5AB06A-FDF5-4336-B954-6CF1A2B080A8}" name="orientation"/>
    <tableColumn id="2" xr3:uid="{5979CF04-590E-4CC8-9F9F-1F4168C22D91}" name="quadName"/>
    <tableColumn id="3" xr3:uid="{7874C34E-F79F-41EE-A415-EDAA813D9EE0}" name="quadNo" dataDxfId="20">
      <calculatedColumnFormula>RIGHT(quadNames[[#This Row],[quadName]],1)</calculatedColumn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6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8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table" Target="../tables/table10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1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5" Type="http://schemas.openxmlformats.org/officeDocument/2006/relationships/table" Target="../tables/table16.xml"/><Relationship Id="rId4" Type="http://schemas.openxmlformats.org/officeDocument/2006/relationships/table" Target="../tables/table15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5" Type="http://schemas.openxmlformats.org/officeDocument/2006/relationships/table" Target="../tables/table19.xml"/><Relationship Id="rId4" Type="http://schemas.openxmlformats.org/officeDocument/2006/relationships/table" Target="../tables/table1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.x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1.x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8.xml"/><Relationship Id="rId13" Type="http://schemas.openxmlformats.org/officeDocument/2006/relationships/table" Target="../tables/table33.xml"/><Relationship Id="rId18" Type="http://schemas.openxmlformats.org/officeDocument/2006/relationships/table" Target="../tables/table38.xml"/><Relationship Id="rId3" Type="http://schemas.openxmlformats.org/officeDocument/2006/relationships/table" Target="../tables/table23.xml"/><Relationship Id="rId7" Type="http://schemas.openxmlformats.org/officeDocument/2006/relationships/table" Target="../tables/table27.xml"/><Relationship Id="rId12" Type="http://schemas.openxmlformats.org/officeDocument/2006/relationships/table" Target="../tables/table32.xml"/><Relationship Id="rId17" Type="http://schemas.openxmlformats.org/officeDocument/2006/relationships/table" Target="../tables/table37.xml"/><Relationship Id="rId2" Type="http://schemas.openxmlformats.org/officeDocument/2006/relationships/table" Target="../tables/table22.xml"/><Relationship Id="rId16" Type="http://schemas.openxmlformats.org/officeDocument/2006/relationships/table" Target="../tables/table36.xml"/><Relationship Id="rId1" Type="http://schemas.openxmlformats.org/officeDocument/2006/relationships/printerSettings" Target="../printerSettings/printerSettings11.bin"/><Relationship Id="rId6" Type="http://schemas.openxmlformats.org/officeDocument/2006/relationships/table" Target="../tables/table26.xml"/><Relationship Id="rId11" Type="http://schemas.openxmlformats.org/officeDocument/2006/relationships/table" Target="../tables/table31.xml"/><Relationship Id="rId5" Type="http://schemas.openxmlformats.org/officeDocument/2006/relationships/table" Target="../tables/table25.xml"/><Relationship Id="rId15" Type="http://schemas.openxmlformats.org/officeDocument/2006/relationships/table" Target="../tables/table35.xml"/><Relationship Id="rId10" Type="http://schemas.openxmlformats.org/officeDocument/2006/relationships/table" Target="../tables/table30.xml"/><Relationship Id="rId4" Type="http://schemas.openxmlformats.org/officeDocument/2006/relationships/table" Target="../tables/table24.xml"/><Relationship Id="rId9" Type="http://schemas.openxmlformats.org/officeDocument/2006/relationships/table" Target="../tables/table29.xml"/><Relationship Id="rId14" Type="http://schemas.openxmlformats.org/officeDocument/2006/relationships/table" Target="../tables/table3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732A0-666A-46D8-ACAE-39927943FF21}">
  <dimension ref="A1:AA55"/>
  <sheetViews>
    <sheetView showGridLines="0" tabSelected="1" workbookViewId="0">
      <selection activeCell="U4" sqref="U4:U55"/>
    </sheetView>
  </sheetViews>
  <sheetFormatPr defaultRowHeight="14.6"/>
  <cols>
    <col min="1" max="1" width="19.765625" bestFit="1" customWidth="1"/>
    <col min="2" max="2" width="14.921875" bestFit="1" customWidth="1"/>
    <col min="3" max="3" width="51.765625" hidden="1" customWidth="1"/>
    <col min="5" max="5" width="10.4609375" bestFit="1" customWidth="1"/>
    <col min="6" max="6" width="29.921875" customWidth="1"/>
    <col min="7" max="7" width="14.69140625" bestFit="1" customWidth="1"/>
    <col min="8" max="8" width="10.15234375" bestFit="1" customWidth="1"/>
    <col min="9" max="9" width="26.61328125" hidden="1" customWidth="1"/>
    <col min="10" max="10" width="16" bestFit="1" customWidth="1"/>
    <col min="11" max="12" width="11.84375" bestFit="1" customWidth="1"/>
    <col min="13" max="13" width="12.3046875" bestFit="1" customWidth="1"/>
    <col min="14" max="14" width="12.3046875" customWidth="1"/>
    <col min="15" max="15" width="6.69140625" bestFit="1" customWidth="1"/>
    <col min="16" max="16" width="5.23046875" bestFit="1" customWidth="1"/>
    <col min="17" max="17" width="6.23046875" bestFit="1" customWidth="1"/>
    <col min="18" max="18" width="4" bestFit="1" customWidth="1"/>
    <col min="19" max="19" width="34.84375" hidden="1" customWidth="1"/>
    <col min="21" max="21" width="51.765625" bestFit="1" customWidth="1"/>
    <col min="23" max="27" width="0" hidden="1" customWidth="1"/>
  </cols>
  <sheetData>
    <row r="1" spans="1:27">
      <c r="A1" s="4" t="s">
        <v>386</v>
      </c>
      <c r="B1" s="15" t="s">
        <v>125</v>
      </c>
    </row>
    <row r="3" spans="1:27">
      <c r="A3" t="s">
        <v>542</v>
      </c>
      <c r="B3" s="27" t="s">
        <v>531</v>
      </c>
      <c r="C3" t="s">
        <v>5</v>
      </c>
      <c r="E3" t="s">
        <v>531</v>
      </c>
      <c r="F3" t="s">
        <v>532</v>
      </c>
      <c r="G3" s="27" t="s">
        <v>533</v>
      </c>
      <c r="H3" s="27" t="s">
        <v>534</v>
      </c>
      <c r="I3" t="s">
        <v>495</v>
      </c>
      <c r="K3" t="s">
        <v>529</v>
      </c>
      <c r="L3" t="s">
        <v>530</v>
      </c>
      <c r="M3" s="27" t="s">
        <v>504</v>
      </c>
      <c r="N3" s="27" t="s">
        <v>436</v>
      </c>
      <c r="O3" s="27" t="s">
        <v>505</v>
      </c>
      <c r="P3" s="27" t="s">
        <v>496</v>
      </c>
      <c r="Q3" s="27" t="s">
        <v>507</v>
      </c>
      <c r="R3" s="27" t="s">
        <v>515</v>
      </c>
      <c r="S3" t="s">
        <v>5</v>
      </c>
      <c r="U3" s="4" t="s">
        <v>137</v>
      </c>
      <c r="W3" t="str" cm="1">
        <f t="array" ref="W3:W8">classLinkTypes[end]</f>
        <v>&lt;|</v>
      </c>
      <c r="X3" t="str" cm="1">
        <f t="array" ref="X3:X9">classCard[card]</f>
        <v>"1"</v>
      </c>
      <c r="Y3" t="str" cm="1">
        <f t="array" ref="Y3:Y14">_xlfn.UNIQUE(_xlfn._xlws.SORT(_xlfn.VSTACK(_xlfn._xlws.FILTER(classRel[srcClass],classRel[srcClass]&lt;&gt;"",""),_xlfn._xlws.FILTER(classMem[class],classMem[class]&lt;&gt;"",""),_xlfn._xlws.FILTER(classRel[tgtClass],classRel[tgtClass]&lt;&gt;"",""))))</f>
        <v>airplane</v>
      </c>
      <c r="Z3" t="str" cm="1">
        <f t="array" ref="Z3:Z4">classClass[classifier]</f>
        <v>Abstract</v>
      </c>
      <c r="AA3" t="str" cm="1">
        <f t="array" ref="AA3:AA6">classVis[visibility]</f>
        <v>public</v>
      </c>
    </row>
    <row r="4" spans="1:27">
      <c r="A4" t="s">
        <v>577</v>
      </c>
      <c r="C4" t="str">
        <f>IF(AND(classNote[[#This Row],[class]]="",classNote[[#This Row],[note]]=""),"",
IF(classNote[[#This Row],[class]]&lt;&gt;"",
"note for "&amp;classNote[[#This Row],[class]]&amp;" """&amp;classNote[[#This Row],[note]]&amp;""" ",
"note """&amp;classNote[[#This Row],[note]]&amp;""" "))</f>
        <v xml:space="preserve">note "Airline Booking System" </v>
      </c>
      <c r="E4" t="s">
        <v>505</v>
      </c>
      <c r="F4" t="s">
        <v>558</v>
      </c>
      <c r="G4" t="s">
        <v>539</v>
      </c>
      <c r="I4" t="str">
        <f>IF(OR(classMem[[#This Row],[class]]="",classMem[[#This Row],[attribute]]=""),"",
classMem[[#This Row],[class]]&amp; " : " &amp;
_xlfn.XLOOKUP(classMem[[#This Row],[visbility]],classVis[visibility],classVis[value],"")&amp;
classMem[[#This Row],[attribute]]&amp;
_xlfn.XLOOKUP(classMem[[#This Row],[classifier]],classClass[classifier],classClass[value],""))</f>
        <v>card : -id</v>
      </c>
      <c r="K4" t="s">
        <v>505</v>
      </c>
      <c r="L4" t="s">
        <v>545</v>
      </c>
      <c r="O4" t="s">
        <v>517</v>
      </c>
      <c r="Q4" t="s">
        <v>516</v>
      </c>
      <c r="S4" s="16" t="str">
        <f>IF(OR(classRel[[#This Row],[srcClass]]="",classRel[[#This Row],[tgtClass]]=""),"",
classRel[[#This Row],[srcClass]]&amp;" " &amp;
classRel[[#This Row],[card]]&amp; " " &amp;
classRel[[#This Row],[rel]]&amp;
IF(classRel[[#This Row],[type]]="solid","--",IF(classRel[[#This Row],[type]]="dashed","..","--"))&amp;" " &amp;
classRel[[#This Row],[rel2]]&amp;
classRel[[#This Row],[card2]]&amp;" " &amp;
 classRel[[#This Row],[tgtClass]]&amp;
IF(classRel[[#This Row],[labelText]]="",""," : "&amp;classRel[[#This Row],[labelText]]))</f>
        <v>card "0..1" -- "1" traveler</v>
      </c>
      <c r="U4" t="str" cm="1">
        <f t="array" ref="U4:U55">_xlfn.VSTACK(
"classDiagram",
"direction "&amp;$B$1,"",
"%% Relationships",
_xlfn._xlws.FILTER(classRel[mmSyntax],classRel[mmSyntax]&lt;&gt;"",""),
"",
"%% Members",
_xlfn.UNIQUE(_xlfn._xlws.FILTER(classMem[mmClassSyntax],classMem[mmClassSyntax]&lt;&gt;"",""),),
"",
"%% Links",
_xlfn._xlws.FILTER(classNote38[mmSyntax],classNote38[mmSyntax]&lt;&gt;"",""),
"",
"%% Notes",
_xlfn._xlws.FILTER(classNote[mmSyntax],classNote[mmSyntax]&lt;&gt;"","")
)</f>
        <v>classDiagram</v>
      </c>
      <c r="W4" t="str">
        <v>*</v>
      </c>
      <c r="X4" t="str">
        <v>"0..1"</v>
      </c>
      <c r="Y4" t="str">
        <v>airport</v>
      </c>
      <c r="Z4" t="str">
        <v>Static</v>
      </c>
      <c r="AA4" t="str">
        <v>private</v>
      </c>
    </row>
    <row r="5" spans="1:27">
      <c r="A5" t="s">
        <v>578</v>
      </c>
      <c r="B5" t="s">
        <v>550</v>
      </c>
      <c r="C5" t="str">
        <f>IF(AND(classNote[[#This Row],[class]]="",classNote[[#This Row],[note]]=""),"",
IF(classNote[[#This Row],[class]]&lt;&gt;"",
"note for "&amp;classNote[[#This Row],[class]]&amp;" """&amp;classNote[[#This Row],[note]]&amp;""" ",
"note """&amp;classNote[[#This Row],[note]]&amp;""" "))</f>
        <v xml:space="preserve">note for luggage "Try the link!" </v>
      </c>
      <c r="E5" t="s">
        <v>505</v>
      </c>
      <c r="F5" t="s">
        <v>559</v>
      </c>
      <c r="G5" t="s">
        <v>538</v>
      </c>
      <c r="I5" t="str">
        <f>IF(OR(classMem[[#This Row],[class]]="",classMem[[#This Row],[attribute]]=""),"",
classMem[[#This Row],[class]]&amp; " : " &amp;
_xlfn.XLOOKUP(classMem[[#This Row],[visbility]],classVis[visibility],classVis[value],"")&amp;
classMem[[#This Row],[attribute]]&amp;
_xlfn.XLOOKUP(classMem[[#This Row],[classifier]],classClass[classifier],classClass[value],""))</f>
        <v>card : +miles</v>
      </c>
      <c r="K5" t="s">
        <v>545</v>
      </c>
      <c r="L5" t="s">
        <v>546</v>
      </c>
      <c r="O5" t="s">
        <v>516</v>
      </c>
      <c r="R5" t="s">
        <v>525</v>
      </c>
      <c r="S5" s="16" t="str">
        <f>IF(OR(classRel[[#This Row],[srcClass]]="",classRel[[#This Row],[tgtClass]]=""),"",
classRel[[#This Row],[srcClass]]&amp;" " &amp;
classRel[[#This Row],[card]]&amp; " " &amp;
classRel[[#This Row],[rel]]&amp;
IF(classRel[[#This Row],[type]]="solid","--",IF(classRel[[#This Row],[type]]="dashed","..","--"))&amp;" " &amp;
classRel[[#This Row],[rel2]]&amp;
classRel[[#This Row],[card2]]&amp;" " &amp;
 classRel[[#This Row],[tgtClass]]&amp;
IF(classRel[[#This Row],[labelText]]="",""," : "&amp;classRel[[#This Row],[labelText]]))</f>
        <v>traveler "1" -- |&gt; ticket</v>
      </c>
      <c r="U5" t="str">
        <v>direction LR</v>
      </c>
      <c r="W5" t="str">
        <v>o</v>
      </c>
      <c r="X5" t="str">
        <v>"1..*"</v>
      </c>
      <c r="Y5" t="str">
        <v>available seat</v>
      </c>
      <c r="AA5" t="str">
        <v>protected</v>
      </c>
    </row>
    <row r="6" spans="1:27">
      <c r="C6" t="str">
        <f>IF(AND(classNote[[#This Row],[class]]="",classNote[[#This Row],[note]]=""),"",
IF(classNote[[#This Row],[class]]&lt;&gt;"",
"note for "&amp;classNote[[#This Row],[class]]&amp;" """&amp;classNote[[#This Row],[note]]&amp;""" ",
"note """&amp;classNote[[#This Row],[note]]&amp;""" "))</f>
        <v/>
      </c>
      <c r="I6" t="str">
        <f>IF(OR(classMem[[#This Row],[class]]="",classMem[[#This Row],[attribute]]=""),"",
classMem[[#This Row],[class]]&amp; " : " &amp;
_xlfn.XLOOKUP(classMem[[#This Row],[visbility]],classVis[visibility],classVis[value],"")&amp;
classMem[[#This Row],[attribute]]&amp;
_xlfn.XLOOKUP(classMem[[#This Row],[classifier]],classClass[classifier],classClass[value],""))</f>
        <v/>
      </c>
      <c r="K6" t="s">
        <v>546</v>
      </c>
      <c r="L6" t="s">
        <v>547</v>
      </c>
      <c r="N6" s="16"/>
      <c r="O6" t="s">
        <v>516</v>
      </c>
      <c r="P6" s="16" t="s">
        <v>523</v>
      </c>
      <c r="Q6" t="s">
        <v>522</v>
      </c>
      <c r="R6" s="16"/>
      <c r="S6" s="16" t="str">
        <f>IF(OR(classRel[[#This Row],[srcClass]]="",classRel[[#This Row],[tgtClass]]=""),"",
classRel[[#This Row],[srcClass]]&amp;" " &amp;
classRel[[#This Row],[card]]&amp; " " &amp;
classRel[[#This Row],[rel]]&amp;
IF(classRel[[#This Row],[type]]="solid","--",IF(classRel[[#This Row],[type]]="dashed","..","--"))&amp;" " &amp;
classRel[[#This Row],[rel2]]&amp;
classRel[[#This Row],[card2]]&amp;" " &amp;
 classRel[[#This Row],[tgtClass]]&amp;
IF(classRel[[#This Row],[labelText]]="",""," : "&amp;classRel[[#This Row],[labelText]]))</f>
        <v>ticket "1" o-- "1..n" coupon</v>
      </c>
      <c r="U6" t="str">
        <v/>
      </c>
      <c r="W6" t="str">
        <v>&gt;</v>
      </c>
      <c r="X6" t="str">
        <v>"*"</v>
      </c>
      <c r="Y6" t="str">
        <v>card</v>
      </c>
      <c r="AA6" t="str">
        <v>package/internal</v>
      </c>
    </row>
    <row r="7" spans="1:27">
      <c r="C7" t="str">
        <f>IF(AND(classNote[[#This Row],[class]]="",classNote[[#This Row],[note]]=""),"",
IF(classNote[[#This Row],[class]]&lt;&gt;"",
"note for "&amp;classNote[[#This Row],[class]]&amp;" """&amp;classNote[[#This Row],[note]]&amp;""" ",
"note """&amp;classNote[[#This Row],[note]]&amp;""" "))</f>
        <v/>
      </c>
      <c r="E7" t="s">
        <v>545</v>
      </c>
      <c r="F7" t="s">
        <v>566</v>
      </c>
      <c r="G7" t="s">
        <v>541</v>
      </c>
      <c r="I7" t="str">
        <f>IF(OR(classMem[[#This Row],[class]]="",classMem[[#This Row],[attribute]]=""),"",
classMem[[#This Row],[class]]&amp; " : " &amp;
_xlfn.XLOOKUP(classMem[[#This Row],[visbility]],classVis[visibility],classVis[value],"")&amp;
classMem[[#This Row],[attribute]]&amp;
_xlfn.XLOOKUP(classMem[[#This Row],[classifier]],classClass[classifier],classClass[value],""))</f>
        <v>traveler : #DoB~date~</v>
      </c>
      <c r="K7" t="s">
        <v>547</v>
      </c>
      <c r="L7" t="s">
        <v>548</v>
      </c>
      <c r="N7" s="16"/>
      <c r="O7" t="s">
        <v>517</v>
      </c>
      <c r="Q7" t="s">
        <v>517</v>
      </c>
      <c r="R7" s="16"/>
      <c r="S7" s="16" t="str">
        <f>IF(OR(classRel[[#This Row],[srcClass]]="",classRel[[#This Row],[tgtClass]]=""),"",
classRel[[#This Row],[srcClass]]&amp;" " &amp;
classRel[[#This Row],[card]]&amp; " " &amp;
classRel[[#This Row],[rel]]&amp;
IF(classRel[[#This Row],[type]]="solid","--",IF(classRel[[#This Row],[type]]="dashed","..","--"))&amp;" " &amp;
classRel[[#This Row],[rel2]]&amp;
classRel[[#This Row],[card2]]&amp;" " &amp;
 classRel[[#This Row],[tgtClass]]&amp;
IF(classRel[[#This Row],[labelText]]="",""," : "&amp;classRel[[#This Row],[labelText]]))</f>
        <v>coupon "0..1" -- "0..1" available seat</v>
      </c>
      <c r="U7" t="str">
        <v>%% Relationships</v>
      </c>
      <c r="W7" t="str">
        <v>&lt;</v>
      </c>
      <c r="X7" t="str">
        <v>"n"</v>
      </c>
      <c r="Y7" t="str">
        <v>coupon</v>
      </c>
    </row>
    <row r="8" spans="1:27">
      <c r="C8" t="str">
        <f>IF(AND(classNote[[#This Row],[class]]="",classNote[[#This Row],[note]]=""),"",
IF(classNote[[#This Row],[class]]&lt;&gt;"",
"note for "&amp;classNote[[#This Row],[class]]&amp;" """&amp;classNote[[#This Row],[note]]&amp;""" ",
"note """&amp;classNote[[#This Row],[note]]&amp;""" "))</f>
        <v/>
      </c>
      <c r="E8" t="s">
        <v>545</v>
      </c>
      <c r="F8" t="s">
        <v>414</v>
      </c>
      <c r="G8" t="s">
        <v>541</v>
      </c>
      <c r="I8" t="str">
        <f>IF(OR(classMem[[#This Row],[class]]="",classMem[[#This Row],[attribute]]=""),"",
classMem[[#This Row],[class]]&amp; " : " &amp;
_xlfn.XLOOKUP(classMem[[#This Row],[visbility]],classVis[visibility],classVis[value],"")&amp;
classMem[[#This Row],[attribute]]&amp;
_xlfn.XLOOKUP(classMem[[#This Row],[classifier]],classClass[classifier],classClass[value],""))</f>
        <v>traveler : #name</v>
      </c>
      <c r="K8" t="s">
        <v>547</v>
      </c>
      <c r="L8" t="s">
        <v>550</v>
      </c>
      <c r="N8" t="s">
        <v>528</v>
      </c>
      <c r="O8" t="s">
        <v>516</v>
      </c>
      <c r="Q8" t="s">
        <v>519</v>
      </c>
      <c r="S8" s="16" t="str">
        <f>IF(OR(classRel[[#This Row],[srcClass]]="",classRel[[#This Row],[tgtClass]]=""),"",
classRel[[#This Row],[srcClass]]&amp;" " &amp;
classRel[[#This Row],[card]]&amp; " " &amp;
classRel[[#This Row],[rel]]&amp;
IF(classRel[[#This Row],[type]]="solid","--",IF(classRel[[#This Row],[type]]="dashed","..","--"))&amp;" " &amp;
classRel[[#This Row],[rel2]]&amp;
classRel[[#This Row],[card2]]&amp;" " &amp;
 classRel[[#This Row],[tgtClass]]&amp;
IF(classRel[[#This Row],[labelText]]="",""," : "&amp;classRel[[#This Row],[labelText]]))</f>
        <v>coupon "1" .. "*" luggage</v>
      </c>
      <c r="U8" t="str">
        <v>card "0..1" -- "1" traveler</v>
      </c>
      <c r="W8" t="str">
        <v>|&gt;</v>
      </c>
      <c r="X8" t="str">
        <v>"0..n"</v>
      </c>
      <c r="Y8" t="str">
        <v>flight</v>
      </c>
    </row>
    <row r="9" spans="1:27">
      <c r="C9" t="str">
        <f>IF(AND(classNote[[#This Row],[class]]="",classNote[[#This Row],[note]]=""),"",
IF(classNote[[#This Row],[class]]&lt;&gt;"",
"note for "&amp;classNote[[#This Row],[class]]&amp;" """&amp;classNote[[#This Row],[note]]&amp;""" ",
"note """&amp;classNote[[#This Row],[note]]&amp;""" "))</f>
        <v/>
      </c>
      <c r="I9" t="str">
        <f>IF(OR(classMem[[#This Row],[class]]="",classMem[[#This Row],[attribute]]=""),"",
classMem[[#This Row],[class]]&amp; " : " &amp;
_xlfn.XLOOKUP(classMem[[#This Row],[visbility]],classVis[visibility],classVis[value],"")&amp;
classMem[[#This Row],[attribute]]&amp;
_xlfn.XLOOKUP(classMem[[#This Row],[classifier]],classClass[classifier],classClass[value],""))</f>
        <v/>
      </c>
      <c r="K9" t="s">
        <v>547</v>
      </c>
      <c r="L9" t="s">
        <v>551</v>
      </c>
      <c r="O9" t="s">
        <v>519</v>
      </c>
      <c r="Q9" t="s">
        <v>516</v>
      </c>
      <c r="S9" s="16" t="str">
        <f>IF(OR(classRel[[#This Row],[srcClass]]="",classRel[[#This Row],[tgtClass]]=""),"",
classRel[[#This Row],[srcClass]]&amp;" " &amp;
classRel[[#This Row],[card]]&amp; " " &amp;
classRel[[#This Row],[rel]]&amp;
IF(classRel[[#This Row],[type]]="solid","--",IF(classRel[[#This Row],[type]]="dashed","..","--"))&amp;" " &amp;
classRel[[#This Row],[rel2]]&amp;
classRel[[#This Row],[card2]]&amp;" " &amp;
 classRel[[#This Row],[tgtClass]]&amp;
IF(classRel[[#This Row],[labelText]]="",""," : "&amp;classRel[[#This Row],[labelText]]))</f>
        <v>coupon "*" -- "1" flight</v>
      </c>
      <c r="U9" t="str">
        <v>traveler "1" -- |&gt; ticket</v>
      </c>
      <c r="X9" t="str">
        <v>"1..n"</v>
      </c>
      <c r="Y9" t="str">
        <v>flightNumber</v>
      </c>
    </row>
    <row r="10" spans="1:27">
      <c r="C10" t="str">
        <f>IF(AND(classNote[[#This Row],[class]]="",classNote[[#This Row],[note]]=""),"",
IF(classNote[[#This Row],[class]]&lt;&gt;"",
"note for "&amp;classNote[[#This Row],[class]]&amp;" """&amp;classNote[[#This Row],[note]]&amp;""" ",
"note """&amp;classNote[[#This Row],[note]]&amp;""" "))</f>
        <v/>
      </c>
      <c r="E10" t="s">
        <v>546</v>
      </c>
      <c r="F10" t="s">
        <v>217</v>
      </c>
      <c r="G10" t="s">
        <v>538</v>
      </c>
      <c r="I10" t="str">
        <f>IF(OR(classMem[[#This Row],[class]]="",classMem[[#This Row],[attribute]]=""),"",
classMem[[#This Row],[class]]&amp; " : " &amp;
_xlfn.XLOOKUP(classMem[[#This Row],[visbility]],classVis[visibility],classVis[value],"")&amp;
classMem[[#This Row],[attribute]]&amp;
_xlfn.XLOOKUP(classMem[[#This Row],[classifier]],classClass[classifier],classClass[value],""))</f>
        <v>ticket : +code</v>
      </c>
      <c r="K10" t="s">
        <v>551</v>
      </c>
      <c r="L10" t="s">
        <v>552</v>
      </c>
      <c r="O10" t="s">
        <v>519</v>
      </c>
      <c r="Q10" t="s">
        <v>516</v>
      </c>
      <c r="S10" s="16" t="str">
        <f>IF(OR(classRel[[#This Row],[srcClass]]="",classRel[[#This Row],[tgtClass]]=""),"",
classRel[[#This Row],[srcClass]]&amp;" " &amp;
classRel[[#This Row],[card]]&amp; " " &amp;
classRel[[#This Row],[rel]]&amp;
IF(classRel[[#This Row],[type]]="solid","--",IF(classRel[[#This Row],[type]]="dashed","..","--"))&amp;" " &amp;
classRel[[#This Row],[rel2]]&amp;
classRel[[#This Row],[card2]]&amp;" " &amp;
 classRel[[#This Row],[tgtClass]]&amp;
IF(classRel[[#This Row],[labelText]]="",""," : "&amp;classRel[[#This Row],[labelText]]))</f>
        <v>flight "*" -- "1" flightNumber</v>
      </c>
      <c r="U10" t="str">
        <v>ticket "1" o-- "1..n" coupon</v>
      </c>
      <c r="Y10" t="str">
        <v>luggage</v>
      </c>
    </row>
    <row r="11" spans="1:27">
      <c r="C11" t="str">
        <f>IF(AND(classNote[[#This Row],[class]]="",classNote[[#This Row],[note]]=""),"",
IF(classNote[[#This Row],[class]]&lt;&gt;"",
"note for "&amp;classNote[[#This Row],[class]]&amp;" """&amp;classNote[[#This Row],[note]]&amp;""" ",
"note """&amp;classNote[[#This Row],[note]]&amp;""" "))</f>
        <v/>
      </c>
      <c r="E11" t="s">
        <v>546</v>
      </c>
      <c r="F11" t="s">
        <v>573</v>
      </c>
      <c r="G11" t="s">
        <v>538</v>
      </c>
      <c r="I11" t="str">
        <f>IF(OR(classMem[[#This Row],[class]]="",classMem[[#This Row],[attribute]]=""),"",
classMem[[#This Row],[class]]&amp; " : " &amp;
_xlfn.XLOOKUP(classMem[[#This Row],[visbility]],classVis[visibility],classVis[value],"")&amp;
classMem[[#This Row],[attribute]]&amp;
_xlfn.XLOOKUP(classMem[[#This Row],[classifier]],classClass[classifier],classClass[value],""))</f>
        <v>ticket : +number~str~</v>
      </c>
      <c r="K11" t="s">
        <v>552</v>
      </c>
      <c r="L11" t="s">
        <v>553</v>
      </c>
      <c r="M11" t="s">
        <v>129</v>
      </c>
      <c r="O11" t="s">
        <v>518</v>
      </c>
      <c r="Q11" t="s">
        <v>516</v>
      </c>
      <c r="S11" s="16" t="str">
        <f>IF(OR(classRel[[#This Row],[srcClass]]="",classRel[[#This Row],[tgtClass]]=""),"",
classRel[[#This Row],[srcClass]]&amp;" " &amp;
classRel[[#This Row],[card]]&amp; " " &amp;
classRel[[#This Row],[rel]]&amp;
IF(classRel[[#This Row],[type]]="solid","--",IF(classRel[[#This Row],[type]]="dashed","..","--"))&amp;" " &amp;
classRel[[#This Row],[rel2]]&amp;
classRel[[#This Row],[card2]]&amp;" " &amp;
 classRel[[#This Row],[tgtClass]]&amp;
IF(classRel[[#This Row],[labelText]]="",""," : "&amp;classRel[[#This Row],[labelText]]))</f>
        <v>flightNumber "1..*" -- "1" airport : start</v>
      </c>
      <c r="U11" t="str">
        <v>coupon "0..1" -- "0..1" available seat</v>
      </c>
      <c r="Y11" t="str">
        <v>planeModel</v>
      </c>
    </row>
    <row r="12" spans="1:27">
      <c r="C12" t="str">
        <f>IF(AND(classNote[[#This Row],[class]]="",classNote[[#This Row],[note]]=""),"",
IF(classNote[[#This Row],[class]]&lt;&gt;"",
"note for "&amp;classNote[[#This Row],[class]]&amp;" """&amp;classNote[[#This Row],[note]]&amp;""" ",
"note """&amp;classNote[[#This Row],[note]]&amp;""" "))</f>
        <v/>
      </c>
      <c r="I12" t="str">
        <f>IF(OR(classMem[[#This Row],[class]]="",classMem[[#This Row],[attribute]]=""),"",
classMem[[#This Row],[class]]&amp; " : " &amp;
_xlfn.XLOOKUP(classMem[[#This Row],[visbility]],classVis[visibility],classVis[value],"")&amp;
classMem[[#This Row],[attribute]]&amp;
_xlfn.XLOOKUP(classMem[[#This Row],[classifier]],classClass[classifier],classClass[value],""))</f>
        <v/>
      </c>
      <c r="K12" t="s">
        <v>553</v>
      </c>
      <c r="L12" t="s">
        <v>552</v>
      </c>
      <c r="M12" t="s">
        <v>557</v>
      </c>
      <c r="O12" t="s">
        <v>516</v>
      </c>
      <c r="Q12" t="s">
        <v>518</v>
      </c>
      <c r="S12" s="16" t="str">
        <f>IF(OR(classRel[[#This Row],[srcClass]]="",classRel[[#This Row],[tgtClass]]=""),"",
classRel[[#This Row],[srcClass]]&amp;" " &amp;
classRel[[#This Row],[card]]&amp; " " &amp;
classRel[[#This Row],[rel]]&amp;
IF(classRel[[#This Row],[type]]="solid","--",IF(classRel[[#This Row],[type]]="dashed","..","--"))&amp;" " &amp;
classRel[[#This Row],[rel2]]&amp;
classRel[[#This Row],[card2]]&amp;" " &amp;
 classRel[[#This Row],[tgtClass]]&amp;
IF(classRel[[#This Row],[labelText]]="",""," : "&amp;classRel[[#This Row],[labelText]]))</f>
        <v>airport "1" -- "1..*" flightNumber : goal</v>
      </c>
      <c r="U12" t="str">
        <v>coupon "1" .. "*" luggage</v>
      </c>
      <c r="Y12" t="str">
        <v>seat</v>
      </c>
    </row>
    <row r="13" spans="1:27">
      <c r="E13" t="s">
        <v>547</v>
      </c>
      <c r="F13" t="s">
        <v>561</v>
      </c>
      <c r="I13" t="str">
        <f>IF(OR(classMem[[#This Row],[class]]="",classMem[[#This Row],[attribute]]=""),"",
classMem[[#This Row],[class]]&amp; " : " &amp;
_xlfn.XLOOKUP(classMem[[#This Row],[visbility]],classVis[visibility],classVis[value],"")&amp;
classMem[[#This Row],[attribute]]&amp;
_xlfn.XLOOKUP(classMem[[#This Row],[classifier]],classClass[classifier],classClass[value],""))</f>
        <v>coupon : redemption~date~</v>
      </c>
      <c r="K13" t="s">
        <v>551</v>
      </c>
      <c r="L13" t="s">
        <v>555</v>
      </c>
      <c r="N13" s="16"/>
      <c r="O13" t="s">
        <v>519</v>
      </c>
      <c r="P13" s="16"/>
      <c r="Q13" t="s">
        <v>516</v>
      </c>
      <c r="R13" s="16"/>
      <c r="S13" s="16" t="str">
        <f>IF(OR(classRel[[#This Row],[srcClass]]="",classRel[[#This Row],[tgtClass]]=""),"",
classRel[[#This Row],[srcClass]]&amp;" " &amp;
classRel[[#This Row],[card]]&amp; " " &amp;
classRel[[#This Row],[rel]]&amp;
IF(classRel[[#This Row],[type]]="solid","--",IF(classRel[[#This Row],[type]]="dashed","..","--"))&amp;" " &amp;
classRel[[#This Row],[rel2]]&amp;
classRel[[#This Row],[card2]]&amp;" " &amp;
 classRel[[#This Row],[tgtClass]]&amp;
IF(classRel[[#This Row],[labelText]]="",""," : "&amp;classRel[[#This Row],[labelText]]))</f>
        <v>flight "*" -- "1" planeModel</v>
      </c>
      <c r="U13" t="str">
        <v>coupon "*" -- "1" flight</v>
      </c>
      <c r="Y13" t="str">
        <v>ticket</v>
      </c>
    </row>
    <row r="14" spans="1:27">
      <c r="E14" t="s">
        <v>547</v>
      </c>
      <c r="F14" t="s">
        <v>531</v>
      </c>
      <c r="I14" t="str">
        <f>IF(OR(classMem[[#This Row],[class]]="",classMem[[#This Row],[attribute]]=""),"",
classMem[[#This Row],[class]]&amp; " : " &amp;
_xlfn.XLOOKUP(classMem[[#This Row],[visbility]],classVis[visibility],classVis[value],"")&amp;
classMem[[#This Row],[attribute]]&amp;
_xlfn.XLOOKUP(classMem[[#This Row],[classifier]],classClass[classifier],classClass[value],""))</f>
        <v>coupon : class</v>
      </c>
      <c r="K14" t="s">
        <v>555</v>
      </c>
      <c r="L14" t="s">
        <v>549</v>
      </c>
      <c r="M14" t="s">
        <v>556</v>
      </c>
      <c r="N14" s="16"/>
      <c r="O14" t="s">
        <v>516</v>
      </c>
      <c r="P14" s="16" t="s">
        <v>523</v>
      </c>
      <c r="Q14" t="s">
        <v>520</v>
      </c>
      <c r="R14" s="16"/>
      <c r="S14" s="16" t="str">
        <f>IF(OR(classRel[[#This Row],[srcClass]]="",classRel[[#This Row],[tgtClass]]=""),"",
classRel[[#This Row],[srcClass]]&amp;" " &amp;
classRel[[#This Row],[card]]&amp; " " &amp;
classRel[[#This Row],[rel]]&amp;
IF(classRel[[#This Row],[type]]="solid","--",IF(classRel[[#This Row],[type]]="dashed","..","--"))&amp;" " &amp;
classRel[[#This Row],[rel2]]&amp;
classRel[[#This Row],[card2]]&amp;" " &amp;
 classRel[[#This Row],[tgtClass]]&amp;
IF(classRel[[#This Row],[labelText]]="",""," : "&amp;classRel[[#This Row],[labelText]]))</f>
        <v>planeModel "1" o-- "n" seat : has</v>
      </c>
      <c r="U14" t="str">
        <v>flight "*" -- "1" flightNumber</v>
      </c>
      <c r="Y14" t="str">
        <v>traveler</v>
      </c>
    </row>
    <row r="15" spans="1:27">
      <c r="E15" t="s">
        <v>547</v>
      </c>
      <c r="F15" t="s">
        <v>562</v>
      </c>
      <c r="I15" t="str">
        <f>IF(OR(classMem[[#This Row],[class]]="",classMem[[#This Row],[attribute]]=""),"",
classMem[[#This Row],[class]]&amp; " : " &amp;
_xlfn.XLOOKUP(classMem[[#This Row],[visbility]],classVis[visibility],classVis[value],"")&amp;
classMem[[#This Row],[attribute]]&amp;
_xlfn.XLOOKUP(classMem[[#This Row],[classifier]],classClass[classifier],classClass[value],""))</f>
        <v>coupon : standby~bool~</v>
      </c>
      <c r="K15" t="s">
        <v>555</v>
      </c>
      <c r="L15" t="s">
        <v>554</v>
      </c>
      <c r="N15" s="16"/>
      <c r="O15" t="s">
        <v>516</v>
      </c>
      <c r="P15" s="16"/>
      <c r="Q15" t="s">
        <v>519</v>
      </c>
      <c r="R15" s="16"/>
      <c r="S15" s="16" t="str">
        <f>IF(OR(classRel[[#This Row],[srcClass]]="",classRel[[#This Row],[tgtClass]]=""),"",
classRel[[#This Row],[srcClass]]&amp;" " &amp;
classRel[[#This Row],[card]]&amp; " " &amp;
classRel[[#This Row],[rel]]&amp;
IF(classRel[[#This Row],[type]]="solid","--",IF(classRel[[#This Row],[type]]="dashed","..","--"))&amp;" " &amp;
classRel[[#This Row],[rel2]]&amp;
classRel[[#This Row],[card2]]&amp;" " &amp;
 classRel[[#This Row],[tgtClass]]&amp;
IF(classRel[[#This Row],[labelText]]="",""," : "&amp;classRel[[#This Row],[labelText]]))</f>
        <v>planeModel "1" -- "*" airplane</v>
      </c>
      <c r="U15" t="str">
        <v>flightNumber "1..*" -- "1" airport : start</v>
      </c>
    </row>
    <row r="16" spans="1:27">
      <c r="I16" t="str">
        <f>IF(OR(classMem[[#This Row],[class]]="",classMem[[#This Row],[attribute]]=""),"",
classMem[[#This Row],[class]]&amp; " : " &amp;
_xlfn.XLOOKUP(classMem[[#This Row],[visbility]],classVis[visibility],classVis[value],"")&amp;
classMem[[#This Row],[attribute]]&amp;
_xlfn.XLOOKUP(classMem[[#This Row],[classifier]],classClass[classifier],classClass[value],""))</f>
        <v/>
      </c>
      <c r="K16" t="s">
        <v>548</v>
      </c>
      <c r="L16" t="s">
        <v>549</v>
      </c>
      <c r="N16" s="16"/>
      <c r="O16" t="s">
        <v>519</v>
      </c>
      <c r="P16" s="16"/>
      <c r="Q16" t="s">
        <v>516</v>
      </c>
      <c r="R16" s="16"/>
      <c r="S16" s="16" t="str">
        <f>IF(OR(classRel[[#This Row],[srcClass]]="",classRel[[#This Row],[tgtClass]]=""),"",
classRel[[#This Row],[srcClass]]&amp;" " &amp;
classRel[[#This Row],[card]]&amp; " " &amp;
classRel[[#This Row],[rel]]&amp;
IF(classRel[[#This Row],[type]]="solid","--",IF(classRel[[#This Row],[type]]="dashed","..","--"))&amp;" " &amp;
classRel[[#This Row],[rel2]]&amp;
classRel[[#This Row],[card2]]&amp;" " &amp;
 classRel[[#This Row],[tgtClass]]&amp;
IF(classRel[[#This Row],[labelText]]="",""," : "&amp;classRel[[#This Row],[labelText]]))</f>
        <v>available seat "*" -- "1" seat</v>
      </c>
      <c r="U16" t="str">
        <v>airport "1" -- "1..*" flightNumber : goal</v>
      </c>
    </row>
    <row r="17" spans="1:21">
      <c r="A17" t="s">
        <v>531</v>
      </c>
      <c r="B17" t="s">
        <v>543</v>
      </c>
      <c r="C17" t="s">
        <v>5</v>
      </c>
      <c r="E17" t="s">
        <v>550</v>
      </c>
      <c r="F17" t="s">
        <v>563</v>
      </c>
      <c r="I17" t="str">
        <f>IF(OR(classMem[[#This Row],[class]]="",classMem[[#This Row],[attribute]]=""),"",
classMem[[#This Row],[class]]&amp; " : " &amp;
_xlfn.XLOOKUP(classMem[[#This Row],[visbility]],classVis[visibility],classVis[value],"")&amp;
classMem[[#This Row],[attribute]]&amp;
_xlfn.XLOOKUP(classMem[[#This Row],[classifier]],classClass[classifier],classClass[value],""))</f>
        <v>luggage : number~int~</v>
      </c>
      <c r="N17" s="16"/>
      <c r="P17" s="16"/>
      <c r="R17" s="16"/>
      <c r="S17" s="16" t="str">
        <f>IF(OR(classRel[[#This Row],[srcClass]]="",classRel[[#This Row],[tgtClass]]=""),"",
classRel[[#This Row],[srcClass]]&amp;" " &amp;
classRel[[#This Row],[card]]&amp; " " &amp;
classRel[[#This Row],[rel]]&amp;
IF(classRel[[#This Row],[type]]="solid","--",IF(classRel[[#This Row],[type]]="dashed","..","--"))&amp;" " &amp;
classRel[[#This Row],[rel2]]&amp;
classRel[[#This Row],[card2]]&amp;" " &amp;
 classRel[[#This Row],[tgtClass]]&amp;
IF(classRel[[#This Row],[labelText]]="",""," : "&amp;classRel[[#This Row],[labelText]]))</f>
        <v/>
      </c>
      <c r="U17" t="str">
        <v>flight "*" -- "1" planeModel</v>
      </c>
    </row>
    <row r="18" spans="1:21">
      <c r="A18" t="s">
        <v>550</v>
      </c>
      <c r="B18" s="26" t="s">
        <v>544</v>
      </c>
      <c r="C18" t="str">
        <f>IF(OR(classNote38[[#This Row],[class]]="",classNote38[[#This Row],[link]]=""),"","link "&amp;classNote38[[#This Row],[class]]&amp;" """ &amp; classNote38[[#This Row],[link]]&amp;""" ")</f>
        <v xml:space="preserve">link luggage "https://mermaid.js.org/syntax/classDiagram.html" </v>
      </c>
      <c r="E18" t="s">
        <v>550</v>
      </c>
      <c r="F18" t="s">
        <v>560</v>
      </c>
      <c r="I18" t="str">
        <f>IF(OR(classMem[[#This Row],[class]]="",classMem[[#This Row],[attribute]]=""),"",
classMem[[#This Row],[class]]&amp; " : " &amp;
_xlfn.XLOOKUP(classMem[[#This Row],[visbility]],classVis[visibility],classVis[value],"")&amp;
classMem[[#This Row],[attribute]]&amp;
_xlfn.XLOOKUP(classMem[[#This Row],[classifier]],classClass[classifier],classClass[value],""))</f>
        <v>luggage : weight~int~</v>
      </c>
      <c r="N18" s="16"/>
      <c r="P18" s="16"/>
      <c r="R18" s="16"/>
      <c r="S18" s="16" t="str">
        <f>IF(OR(classRel[[#This Row],[srcClass]]="",classRel[[#This Row],[tgtClass]]=""),"",
classRel[[#This Row],[srcClass]]&amp;" " &amp;
classRel[[#This Row],[card]]&amp; " " &amp;
classRel[[#This Row],[rel]]&amp;
IF(classRel[[#This Row],[type]]="solid","--",IF(classRel[[#This Row],[type]]="dashed","..","--"))&amp;" " &amp;
classRel[[#This Row],[rel2]]&amp;
classRel[[#This Row],[card2]]&amp;" " &amp;
 classRel[[#This Row],[tgtClass]]&amp;
IF(classRel[[#This Row],[labelText]]="",""," : "&amp;classRel[[#This Row],[labelText]]))</f>
        <v/>
      </c>
      <c r="U18" t="str">
        <v>planeModel "1" o-- "n" seat : has</v>
      </c>
    </row>
    <row r="19" spans="1:21">
      <c r="B19" s="26"/>
      <c r="C19" t="str">
        <f>IF(OR(classNote38[[#This Row],[class]]="",classNote38[[#This Row],[link]]=""),"","link "&amp;classNote38[[#This Row],[class]]&amp;" """ &amp; classNote38[[#This Row],[link]]&amp;""" ")</f>
        <v/>
      </c>
      <c r="I19" t="str">
        <f>IF(OR(classMem[[#This Row],[class]]="",classMem[[#This Row],[attribute]]=""),"",
classMem[[#This Row],[class]]&amp; " : " &amp;
_xlfn.XLOOKUP(classMem[[#This Row],[visbility]],classVis[visibility],classVis[value],"")&amp;
classMem[[#This Row],[attribute]]&amp;
_xlfn.XLOOKUP(classMem[[#This Row],[classifier]],classClass[classifier],classClass[value],""))</f>
        <v/>
      </c>
      <c r="U19" t="str">
        <v>planeModel "1" -- "*" airplane</v>
      </c>
    </row>
    <row r="20" spans="1:21">
      <c r="B20" s="26"/>
      <c r="C20" t="str">
        <f>IF(OR(classNote38[[#This Row],[class]]="",classNote38[[#This Row],[link]]=""),"","link "&amp;classNote38[[#This Row],[class]]&amp;" """ &amp; classNote38[[#This Row],[link]]&amp;""" ")</f>
        <v/>
      </c>
      <c r="E20" t="s">
        <v>553</v>
      </c>
      <c r="F20" t="s">
        <v>414</v>
      </c>
      <c r="G20" t="s">
        <v>538</v>
      </c>
      <c r="I20" s="16" t="str">
        <f>IF(OR(classMem[[#This Row],[class]]="",classMem[[#This Row],[attribute]]=""),"",
classMem[[#This Row],[class]]&amp; " : " &amp;
_xlfn.XLOOKUP(classMem[[#This Row],[visbility]],classVis[visibility],classVis[value],"")&amp;
classMem[[#This Row],[attribute]]&amp;
_xlfn.XLOOKUP(classMem[[#This Row],[classifier]],classClass[classifier],classClass[value],""))</f>
        <v>airport : +name</v>
      </c>
      <c r="U20" t="str">
        <v>available seat "*" -- "1" seat</v>
      </c>
    </row>
    <row r="21" spans="1:21">
      <c r="B21" s="26"/>
      <c r="C21" t="str">
        <f>IF(OR(classNote38[[#This Row],[class]]="",classNote38[[#This Row],[link]]=""),"","link "&amp;classNote38[[#This Row],[class]]&amp;" """ &amp; classNote38[[#This Row],[link]]&amp;""" ")</f>
        <v/>
      </c>
      <c r="I21" s="16" t="str">
        <f>IF(OR(classMem[[#This Row],[class]]="",classMem[[#This Row],[attribute]]=""),"",
classMem[[#This Row],[class]]&amp; " : " &amp;
_xlfn.XLOOKUP(classMem[[#This Row],[visbility]],classVis[visibility],classVis[value],"")&amp;
classMem[[#This Row],[attribute]]&amp;
_xlfn.XLOOKUP(classMem[[#This Row],[classifier]],classClass[classifier],classClass[value],""))</f>
        <v/>
      </c>
      <c r="U21" t="str">
        <v/>
      </c>
    </row>
    <row r="22" spans="1:21">
      <c r="B22" s="26"/>
      <c r="C22" t="str">
        <f>IF(OR(classNote38[[#This Row],[class]]="",classNote38[[#This Row],[link]]=""),"","link "&amp;classNote38[[#This Row],[class]]&amp;" """ &amp; classNote38[[#This Row],[link]]&amp;""" ")</f>
        <v/>
      </c>
      <c r="I22" s="16" t="str">
        <f>IF(OR(classMem[[#This Row],[class]]="",classMem[[#This Row],[attribute]]=""),"",
classMem[[#This Row],[class]]&amp; " : " &amp;
_xlfn.XLOOKUP(classMem[[#This Row],[visbility]],classVis[visibility],classVis[value],"")&amp;
classMem[[#This Row],[attribute]]&amp;
_xlfn.XLOOKUP(classMem[[#This Row],[classifier]],classClass[classifier],classClass[value],""))</f>
        <v/>
      </c>
      <c r="U22" t="str">
        <v>%% Members</v>
      </c>
    </row>
    <row r="23" spans="1:21">
      <c r="B23" s="26"/>
      <c r="C23" t="str">
        <f>IF(OR(classNote38[[#This Row],[class]]="",classNote38[[#This Row],[link]]=""),"","link "&amp;classNote38[[#This Row],[class]]&amp;" """ &amp; classNote38[[#This Row],[link]]&amp;""" ")</f>
        <v/>
      </c>
      <c r="E23" t="s">
        <v>552</v>
      </c>
      <c r="F23" t="s">
        <v>564</v>
      </c>
      <c r="G23" t="s">
        <v>538</v>
      </c>
      <c r="H23" t="s">
        <v>535</v>
      </c>
      <c r="I23" s="16" t="str">
        <f>IF(OR(classMem[[#This Row],[class]]="",classMem[[#This Row],[attribute]]=""),"",
classMem[[#This Row],[class]]&amp; " : " &amp;
_xlfn.XLOOKUP(classMem[[#This Row],[visbility]],classVis[visibility],classVis[value],"")&amp;
classMem[[#This Row],[attribute]]&amp;
_xlfn.XLOOKUP(classMem[[#This Row],[classifier]],classClass[classifier],classClass[value],""))</f>
        <v>flightNumber : +departure~utc~*</v>
      </c>
      <c r="U23" t="str">
        <v>card : -id</v>
      </c>
    </row>
    <row r="24" spans="1:21">
      <c r="B24" s="26"/>
      <c r="C24" t="str">
        <f>IF(OR(classNote38[[#This Row],[class]]="",classNote38[[#This Row],[link]]=""),"","link "&amp;classNote38[[#This Row],[class]]&amp;" """ &amp; classNote38[[#This Row],[link]]&amp;""" ")</f>
        <v/>
      </c>
      <c r="E24" t="s">
        <v>552</v>
      </c>
      <c r="F24" t="s">
        <v>508</v>
      </c>
      <c r="G24" t="s">
        <v>538</v>
      </c>
      <c r="I24" s="16" t="str">
        <f>IF(OR(classMem[[#This Row],[class]]="",classMem[[#This Row],[attribute]]=""),"",
classMem[[#This Row],[class]]&amp; " : " &amp;
_xlfn.XLOOKUP(classMem[[#This Row],[visbility]],classVis[visibility],classVis[value],"")&amp;
classMem[[#This Row],[attribute]]&amp;
_xlfn.XLOOKUP(classMem[[#This Row],[classifier]],classClass[classifier],classClass[value],""))</f>
        <v>flightNumber : +desc</v>
      </c>
      <c r="U24" t="str">
        <v>card : +miles</v>
      </c>
    </row>
    <row r="25" spans="1:21">
      <c r="B25" s="26"/>
      <c r="C25" t="str">
        <f>IF(OR(classNote38[[#This Row],[class]]="",classNote38[[#This Row],[link]]=""),"","link "&amp;classNote38[[#This Row],[class]]&amp;" """ &amp; classNote38[[#This Row],[link]]&amp;""" ")</f>
        <v/>
      </c>
      <c r="E25" t="s">
        <v>552</v>
      </c>
      <c r="F25" t="s">
        <v>436</v>
      </c>
      <c r="G25" t="s">
        <v>538</v>
      </c>
      <c r="I25" s="16" t="str">
        <f>IF(OR(classMem[[#This Row],[class]]="",classMem[[#This Row],[attribute]]=""),"",
classMem[[#This Row],[class]]&amp; " : " &amp;
_xlfn.XLOOKUP(classMem[[#This Row],[visbility]],classVis[visibility],classVis[value],"")&amp;
classMem[[#This Row],[attribute]]&amp;
_xlfn.XLOOKUP(classMem[[#This Row],[classifier]],classClass[classifier],classClass[value],""))</f>
        <v>flightNumber : +type</v>
      </c>
      <c r="U25" t="str">
        <v>traveler : #DoB~date~</v>
      </c>
    </row>
    <row r="26" spans="1:21">
      <c r="B26" s="26"/>
      <c r="C26" t="str">
        <f>IF(OR(classNote38[[#This Row],[class]]="",classNote38[[#This Row],[link]]=""),"","link "&amp;classNote38[[#This Row],[class]]&amp;" """ &amp; classNote38[[#This Row],[link]]&amp;""" ")</f>
        <v/>
      </c>
      <c r="E26" t="s">
        <v>552</v>
      </c>
      <c r="F26" t="s">
        <v>565</v>
      </c>
      <c r="G26" t="s">
        <v>538</v>
      </c>
      <c r="I26" s="16" t="str">
        <f>IF(OR(classMem[[#This Row],[class]]="",classMem[[#This Row],[attribute]]=""),"",
classMem[[#This Row],[class]]&amp; " : " &amp;
_xlfn.XLOOKUP(classMem[[#This Row],[visbility]],classVis[visibility],classVis[value],"")&amp;
classMem[[#This Row],[attribute]]&amp;
_xlfn.XLOOKUP(classMem[[#This Row],[classifier]],classClass[classifier],classClass[value],""))</f>
        <v>flightNumber : +airline</v>
      </c>
      <c r="U26" t="str">
        <v>traveler : #name</v>
      </c>
    </row>
    <row r="27" spans="1:21">
      <c r="I27" s="16" t="str">
        <f>IF(OR(classMem[[#This Row],[class]]="",classMem[[#This Row],[attribute]]=""),"",
classMem[[#This Row],[class]]&amp; " : " &amp;
_xlfn.XLOOKUP(classMem[[#This Row],[visbility]],classVis[visibility],classVis[value],"")&amp;
classMem[[#This Row],[attribute]]&amp;
_xlfn.XLOOKUP(classMem[[#This Row],[classifier]],classClass[classifier],classClass[value],""))</f>
        <v/>
      </c>
      <c r="U27" t="str">
        <v>ticket : +code</v>
      </c>
    </row>
    <row r="28" spans="1:21">
      <c r="E28" t="s">
        <v>551</v>
      </c>
      <c r="F28" t="s">
        <v>567</v>
      </c>
      <c r="G28" t="s">
        <v>538</v>
      </c>
      <c r="I28" s="16" t="str">
        <f>IF(OR(classMem[[#This Row],[class]]="",classMem[[#This Row],[attribute]]=""),"",
classMem[[#This Row],[class]]&amp; " : " &amp;
_xlfn.XLOOKUP(classMem[[#This Row],[visbility]],classVis[visibility],classVis[value],"")&amp;
classMem[[#This Row],[attribute]]&amp;
_xlfn.XLOOKUP(classMem[[#This Row],[classifier]],classClass[classifier],classClass[value],""))</f>
        <v>flight : +boardingTime~utc~</v>
      </c>
      <c r="U28" t="str">
        <v>ticket : +number~str~</v>
      </c>
    </row>
    <row r="29" spans="1:21">
      <c r="E29" t="s">
        <v>551</v>
      </c>
      <c r="F29" t="s">
        <v>568</v>
      </c>
      <c r="G29" t="s">
        <v>538</v>
      </c>
      <c r="I29" s="16" t="str">
        <f>IF(OR(classMem[[#This Row],[class]]="",classMem[[#This Row],[attribute]]=""),"",
classMem[[#This Row],[class]]&amp; " : " &amp;
_xlfn.XLOOKUP(classMem[[#This Row],[visbility]],classVis[visibility],classVis[value],"")&amp;
classMem[[#This Row],[attribute]]&amp;
_xlfn.XLOOKUP(classMem[[#This Row],[classifier]],classClass[classifier],classClass[value],""))</f>
        <v>flight : +flightPath~json~</v>
      </c>
      <c r="U29" t="str">
        <v>coupon : redemption~date~</v>
      </c>
    </row>
    <row r="30" spans="1:21">
      <c r="I30" s="16" t="str">
        <f>IF(OR(classMem[[#This Row],[class]]="",classMem[[#This Row],[attribute]]=""),"",
classMem[[#This Row],[class]]&amp; " : " &amp;
_xlfn.XLOOKUP(classMem[[#This Row],[visbility]],classVis[visibility],classVis[value],"")&amp;
classMem[[#This Row],[attribute]]&amp;
_xlfn.XLOOKUP(classMem[[#This Row],[classifier]],classClass[classifier],classClass[value],""))</f>
        <v/>
      </c>
      <c r="U30" t="str">
        <v>coupon : class</v>
      </c>
    </row>
    <row r="31" spans="1:21">
      <c r="E31" t="s">
        <v>555</v>
      </c>
      <c r="F31" t="s">
        <v>296</v>
      </c>
      <c r="G31" t="s">
        <v>538</v>
      </c>
      <c r="I31" s="16" t="str">
        <f>IF(OR(classMem[[#This Row],[class]]="",classMem[[#This Row],[attribute]]=""),"",
classMem[[#This Row],[class]]&amp; " : " &amp;
_xlfn.XLOOKUP(classMem[[#This Row],[visbility]],classVis[visibility],classVis[value],"")&amp;
classMem[[#This Row],[attribute]]&amp;
_xlfn.XLOOKUP(classMem[[#This Row],[classifier]],classClass[classifier],classClass[value],""))</f>
        <v>planeModel : +description</v>
      </c>
      <c r="U31" t="str">
        <v>coupon : standby~bool~</v>
      </c>
    </row>
    <row r="32" spans="1:21">
      <c r="E32" t="s">
        <v>555</v>
      </c>
      <c r="F32" t="s">
        <v>569</v>
      </c>
      <c r="G32" t="s">
        <v>538</v>
      </c>
      <c r="I32" s="16" t="str">
        <f>IF(OR(classMem[[#This Row],[class]]="",classMem[[#This Row],[attribute]]=""),"",
classMem[[#This Row],[class]]&amp; " : " &amp;
_xlfn.XLOOKUP(classMem[[#This Row],[visbility]],classVis[visibility],classVis[value],"")&amp;
classMem[[#This Row],[attribute]]&amp;
_xlfn.XLOOKUP(classMem[[#This Row],[classifier]],classClass[classifier],classClass[value],""))</f>
        <v>planeModel : +picture~png~</v>
      </c>
      <c r="U32" t="str">
        <v>luggage : number~int~</v>
      </c>
    </row>
    <row r="33" spans="5:21">
      <c r="I33" s="16" t="str">
        <f>IF(OR(classMem[[#This Row],[class]]="",classMem[[#This Row],[attribute]]=""),"",
classMem[[#This Row],[class]]&amp; " : " &amp;
_xlfn.XLOOKUP(classMem[[#This Row],[visbility]],classVis[visibility],classVis[value],"")&amp;
classMem[[#This Row],[attribute]]&amp;
_xlfn.XLOOKUP(classMem[[#This Row],[classifier]],classClass[classifier],classClass[value],""))</f>
        <v/>
      </c>
      <c r="U33" t="str">
        <v>luggage : weight~int~</v>
      </c>
    </row>
    <row r="34" spans="5:21">
      <c r="E34" t="s">
        <v>549</v>
      </c>
      <c r="F34" t="s">
        <v>570</v>
      </c>
      <c r="I34" s="16" t="str">
        <f>IF(OR(classMem[[#This Row],[class]]="",classMem[[#This Row],[attribute]]=""),"",
classMem[[#This Row],[class]]&amp; " : " &amp;
_xlfn.XLOOKUP(classMem[[#This Row],[visbility]],classVis[visibility],classVis[value],"")&amp;
classMem[[#This Row],[attribute]]&amp;
_xlfn.XLOOKUP(classMem[[#This Row],[classifier]],classClass[classifier],classClass[value],""))</f>
        <v>seat : row~int~</v>
      </c>
      <c r="U34" t="str">
        <v>airport : +name</v>
      </c>
    </row>
    <row r="35" spans="5:21">
      <c r="E35" t="s">
        <v>549</v>
      </c>
      <c r="F35" t="s">
        <v>571</v>
      </c>
      <c r="I35" s="16" t="str">
        <f>IF(OR(classMem[[#This Row],[class]]="",classMem[[#This Row],[attribute]]=""),"",
classMem[[#This Row],[class]]&amp; " : " &amp;
_xlfn.XLOOKUP(classMem[[#This Row],[visbility]],classVis[visibility],classVis[value],"")&amp;
classMem[[#This Row],[attribute]]&amp;
_xlfn.XLOOKUP(classMem[[#This Row],[classifier]],classClass[classifier],classClass[value],""))</f>
        <v>seat : column~str~</v>
      </c>
      <c r="U35" t="str">
        <v>flightNumber : +departure~utc~*</v>
      </c>
    </row>
    <row r="36" spans="5:21">
      <c r="E36" t="s">
        <v>549</v>
      </c>
      <c r="F36" t="s">
        <v>572</v>
      </c>
      <c r="I36" s="16" t="str">
        <f>IF(OR(classMem[[#This Row],[class]]="",classMem[[#This Row],[attribute]]=""),"",
classMem[[#This Row],[class]]&amp; " : " &amp;
_xlfn.XLOOKUP(classMem[[#This Row],[visbility]],classVis[visibility],classVis[value],"")&amp;
classMem[[#This Row],[attribute]]&amp;
_xlfn.XLOOKUP(classMem[[#This Row],[classifier]],classClass[classifier],classClass[value],""))</f>
        <v>seat : class~str~</v>
      </c>
      <c r="U36" t="str">
        <v>flightNumber : +desc</v>
      </c>
    </row>
    <row r="37" spans="5:21">
      <c r="I37" s="16" t="str">
        <f>IF(OR(classMem[[#This Row],[class]]="",classMem[[#This Row],[attribute]]=""),"",
classMem[[#This Row],[class]]&amp; " : " &amp;
_xlfn.XLOOKUP(classMem[[#This Row],[visbility]],classVis[visibility],classVis[value],"")&amp;
classMem[[#This Row],[attribute]]&amp;
_xlfn.XLOOKUP(classMem[[#This Row],[classifier]],classClass[classifier],classClass[value],""))</f>
        <v/>
      </c>
      <c r="U37" t="str">
        <v>flightNumber : +type</v>
      </c>
    </row>
    <row r="38" spans="5:21">
      <c r="I38" s="16" t="str">
        <f>IF(OR(classMem[[#This Row],[class]]="",classMem[[#This Row],[attribute]]=""),"",
classMem[[#This Row],[class]]&amp; " : " &amp;
_xlfn.XLOOKUP(classMem[[#This Row],[visbility]],classVis[visibility],classVis[value],"")&amp;
classMem[[#This Row],[attribute]]&amp;
_xlfn.XLOOKUP(classMem[[#This Row],[classifier]],classClass[classifier],classClass[value],""))</f>
        <v/>
      </c>
      <c r="U38" t="str">
        <v>flightNumber : +airline</v>
      </c>
    </row>
    <row r="39" spans="5:21">
      <c r="E39" t="s">
        <v>554</v>
      </c>
      <c r="F39" t="s">
        <v>574</v>
      </c>
      <c r="G39" t="s">
        <v>538</v>
      </c>
      <c r="H39" t="s">
        <v>536</v>
      </c>
      <c r="I39" s="16" t="str">
        <f>IF(OR(classMem[[#This Row],[class]]="",classMem[[#This Row],[attribute]]=""),"",
classMem[[#This Row],[class]]&amp; " : " &amp;
_xlfn.XLOOKUP(classMem[[#This Row],[visbility]],classVis[visibility],classVis[value],"")&amp;
classMem[[#This Row],[attribute]]&amp;
_xlfn.XLOOKUP(classMem[[#This Row],[classifier]],classClass[classifier],classClass[value],""))</f>
        <v>airplane : +regNumber~str~$</v>
      </c>
      <c r="U39" t="str">
        <v>flight : +boardingTime~utc~</v>
      </c>
    </row>
    <row r="40" spans="5:21">
      <c r="E40" t="s">
        <v>554</v>
      </c>
      <c r="F40" t="s">
        <v>575</v>
      </c>
      <c r="G40" t="s">
        <v>538</v>
      </c>
      <c r="I40" s="16" t="str">
        <f>IF(OR(classMem[[#This Row],[class]]="",classMem[[#This Row],[attribute]]=""),"",
classMem[[#This Row],[class]]&amp; " : " &amp;
_xlfn.XLOOKUP(classMem[[#This Row],[visbility]],classVis[visibility],classVis[value],"")&amp;
classMem[[#This Row],[attribute]]&amp;
_xlfn.XLOOKUP(classMem[[#This Row],[classifier]],classClass[classifier],classClass[value],""))</f>
        <v>airplane : +status</v>
      </c>
      <c r="U40" t="str">
        <v>flight : +flightPath~json~</v>
      </c>
    </row>
    <row r="41" spans="5:21">
      <c r="E41" t="s">
        <v>554</v>
      </c>
      <c r="F41" t="s">
        <v>576</v>
      </c>
      <c r="G41" t="s">
        <v>539</v>
      </c>
      <c r="I41" s="16" t="str">
        <f>IF(OR(classMem[[#This Row],[class]]="",classMem[[#This Row],[attribute]]=""),"",
classMem[[#This Row],[class]]&amp; " : " &amp;
_xlfn.XLOOKUP(classMem[[#This Row],[visbility]],classVis[visibility],classVis[value],"")&amp;
classMem[[#This Row],[attribute]]&amp;
_xlfn.XLOOKUP(classMem[[#This Row],[classifier]],classClass[classifier],classClass[value],""))</f>
        <v>airplane : -nextMaintTime~utc~</v>
      </c>
      <c r="U41" t="str">
        <v>planeModel : +description</v>
      </c>
    </row>
    <row r="42" spans="5:21">
      <c r="U42" t="str">
        <v>planeModel : +picture~png~</v>
      </c>
    </row>
    <row r="43" spans="5:21">
      <c r="U43" t="str">
        <v>seat : row~int~</v>
      </c>
    </row>
    <row r="44" spans="5:21">
      <c r="U44" t="str">
        <v>seat : column~str~</v>
      </c>
    </row>
    <row r="45" spans="5:21">
      <c r="U45" t="str">
        <v>seat : class~str~</v>
      </c>
    </row>
    <row r="46" spans="5:21">
      <c r="U46" t="str">
        <v>airplane : +regNumber~str~$</v>
      </c>
    </row>
    <row r="47" spans="5:21">
      <c r="U47" t="str">
        <v>airplane : +status</v>
      </c>
    </row>
    <row r="48" spans="5:21">
      <c r="U48" t="str">
        <v>airplane : -nextMaintTime~utc~</v>
      </c>
    </row>
    <row r="49" spans="21:21">
      <c r="U49" t="str">
        <v/>
      </c>
    </row>
    <row r="50" spans="21:21">
      <c r="U50" t="str">
        <v>%% Links</v>
      </c>
    </row>
    <row r="51" spans="21:21">
      <c r="U51" t="str">
        <v xml:space="preserve">link luggage "https://mermaid.js.org/syntax/classDiagram.html" </v>
      </c>
    </row>
    <row r="52" spans="21:21">
      <c r="U52" t="str">
        <v/>
      </c>
    </row>
    <row r="53" spans="21:21">
      <c r="U53" t="str">
        <v>%% Notes</v>
      </c>
    </row>
    <row r="54" spans="21:21">
      <c r="U54" t="str">
        <v xml:space="preserve">note "Airline Booking System" </v>
      </c>
    </row>
    <row r="55" spans="21:21">
      <c r="U55" t="str">
        <v xml:space="preserve">note for luggage "Try the link!" </v>
      </c>
    </row>
  </sheetData>
  <phoneticPr fontId="8" type="noConversion"/>
  <dataValidations count="10">
    <dataValidation type="list" allowBlank="1" showInputMessage="1" showErrorMessage="1" sqref="R4:R18 P4:P18" xr:uid="{6DCA81F4-D108-4E5A-9E47-A31533EFAE12}">
      <formula1>_xlfn.ANCHORARRAY($W$3)</formula1>
    </dataValidation>
    <dataValidation type="list" allowBlank="1" showInputMessage="1" showErrorMessage="1" sqref="O4:O18 Q4:Q18" xr:uid="{E2C2E330-B027-4EEE-8D0D-7DD21158BD37}">
      <formula1>_xlfn.ANCHORARRAY($X$3)</formula1>
    </dataValidation>
    <dataValidation type="list" allowBlank="1" showInputMessage="1" showErrorMessage="1" sqref="M19 N4:N18" xr:uid="{1ED301B0-B951-4875-83C7-FA62907E5412}">
      <formula1>"solid,dashed"</formula1>
    </dataValidation>
    <dataValidation type="list" allowBlank="1" showInputMessage="1" showErrorMessage="1" error="undefined class" sqref="K4:L18 A19:A26 B5:B12 E4:E36 E39:E41" xr:uid="{A5296FE1-D4F2-47C5-B4B2-BDF459BDF371}">
      <formula1>_xlfn.ANCHORARRAY($Y$3)</formula1>
    </dataValidation>
    <dataValidation type="list" allowBlank="1" showInputMessage="1" showErrorMessage="1" sqref="H4:H41" xr:uid="{2DAC2514-B4EB-4A43-A4D0-86698FF83D18}">
      <formula1>_xlfn.ANCHORARRAY($Z$3)</formula1>
    </dataValidation>
    <dataValidation type="list" allowBlank="1" showInputMessage="1" showErrorMessage="1" sqref="G4:G41" xr:uid="{2522B04C-35B3-48E8-8972-CD9C317D0585}">
      <formula1>_xlfn.ANCHORARRAY($AA$3)</formula1>
    </dataValidation>
    <dataValidation type="list" allowBlank="1" showInputMessage="1" showErrorMessage="1" sqref="C1:D1" xr:uid="{F01E5FDB-C72F-48E0-9BA3-9F9287D10590}">
      <formula1>"TD,LR,RL"</formula1>
    </dataValidation>
    <dataValidation type="list" allowBlank="1" showInputMessage="1" showErrorMessage="1" errorTitle="undefined class" error="define the class in first" sqref="B4 A18" xr:uid="{76BC9053-FCE5-480E-93EE-C7679DB5E037}">
      <formula1>_xlfn.ANCHORARRAY($Y$3)</formula1>
    </dataValidation>
    <dataValidation type="custom" allowBlank="1" showInputMessage="1" showErrorMessage="1" sqref="B18:B26" xr:uid="{AE36E57A-C088-4F4E-BA52-C7424CEE771A}">
      <formula1>LEFT(L18,4)="http"</formula1>
    </dataValidation>
    <dataValidation type="list" allowBlank="1" showInputMessage="1" showErrorMessage="1" sqref="B1" xr:uid="{0FB15E2E-D68E-4F4C-B4FF-A722F477F590}">
      <formula1>"LR,RL"</formula1>
    </dataValidation>
  </dataValidations>
  <pageMargins left="0.7" right="0.7" top="0.75" bottom="0.75" header="0.3" footer="0.3"/>
  <pageSetup orientation="portrait" horizontalDpi="0" verticalDpi="0" r:id="rId1"/>
  <drawing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F8A03-6242-49FD-8742-D0FC857011E6}">
  <dimension ref="A1:BG56"/>
  <sheetViews>
    <sheetView showGridLines="0" zoomScaleNormal="100" workbookViewId="0">
      <selection activeCell="Q2" sqref="Q2:Q34"/>
    </sheetView>
  </sheetViews>
  <sheetFormatPr defaultRowHeight="14.6"/>
  <cols>
    <col min="1" max="1" width="18.3828125" customWidth="1"/>
    <col min="2" max="2" width="10.07421875" bestFit="1" customWidth="1"/>
    <col min="3" max="3" width="3.84375" customWidth="1"/>
    <col min="4" max="4" width="4.69140625" customWidth="1"/>
    <col min="5" max="5" width="19.15234375" customWidth="1"/>
    <col min="6" max="6" width="26.61328125" customWidth="1"/>
    <col min="7" max="7" width="10" customWidth="1"/>
    <col min="8" max="9" width="12.3828125" bestFit="1" customWidth="1"/>
    <col min="10" max="10" width="20.61328125" bestFit="1" customWidth="1"/>
    <col min="11" max="11" width="11.3046875" customWidth="1"/>
    <col min="12" max="12" width="6.15234375" bestFit="1" customWidth="1"/>
    <col min="13" max="13" width="30.84375" hidden="1" customWidth="1"/>
    <col min="14" max="14" width="30.84375" bestFit="1" customWidth="1"/>
    <col min="15" max="15" width="30.84375" customWidth="1"/>
    <col min="16" max="16" width="10.84375" customWidth="1"/>
    <col min="17" max="17" width="40.07421875" customWidth="1"/>
    <col min="18" max="19" width="9.3046875" hidden="1" customWidth="1"/>
    <col min="20" max="23" width="9.23046875" hidden="1" customWidth="1"/>
    <col min="32" max="59" width="0" hidden="1" customWidth="1"/>
  </cols>
  <sheetData>
    <row r="1" spans="1:59">
      <c r="A1" s="4" t="s">
        <v>416</v>
      </c>
      <c r="B1" s="25" t="s">
        <v>458</v>
      </c>
      <c r="H1" s="4" t="s">
        <v>460</v>
      </c>
      <c r="I1" s="4" t="s">
        <v>290</v>
      </c>
      <c r="J1" s="4" t="s">
        <v>327</v>
      </c>
      <c r="K1" s="4" t="s">
        <v>299</v>
      </c>
      <c r="L1" s="4" t="s">
        <v>310</v>
      </c>
      <c r="M1" s="4" t="s">
        <v>318</v>
      </c>
      <c r="N1" s="4" t="s">
        <v>5</v>
      </c>
      <c r="O1" s="4" t="s">
        <v>463</v>
      </c>
      <c r="Q1" s="4" t="s">
        <v>137</v>
      </c>
      <c r="S1" t="str" cm="1">
        <f t="array" ref="S1:S5">_xlfn.UNIQUE(_xlfn.VSTACK(erdEntities[Source],erdEntities[Target]))</f>
        <v>Manufacturer</v>
      </c>
      <c r="T1" t="str" cm="1">
        <f t="array" ref="T1:T4">erdDirections[Meaning]</f>
        <v>==1</v>
      </c>
      <c r="U1" t="str" cm="1">
        <f t="array" ref="U1:U3">_xlfn.UNIQUE(_xlfn._xlws.FILTER(erdAttributes[Type],erdAttributes[Type]&lt;&gt;""))</f>
        <v>string</v>
      </c>
      <c r="V1" t="str" cm="1">
        <f t="array" ref="V1:V5">keyTypes[KeyTypes]</f>
        <v>PK</v>
      </c>
      <c r="W1" t="str" cm="1">
        <f t="array" ref="W1:W4">_xlfn.UNIQUE(_xlfn.VSTACK(cardinality[Cardinality],erdEntities[description]))</f>
        <v>1:*</v>
      </c>
      <c r="AF1" t="str" cm="1">
        <f t="array" ref="AF1:AI1">TRANSPOSE(_xlfn.UNIQUE(_xlfn._xlws.FILTER(erdAttributes[Entity],erdAttributes[Entity]&lt;&gt;"")))</f>
        <v>Car</v>
      </c>
      <c r="AG1" t="str">
        <v>Named-Driver</v>
      </c>
      <c r="AH1" t="str">
        <v>Person</v>
      </c>
      <c r="AI1" t="str">
        <v>household</v>
      </c>
    </row>
    <row r="2" spans="1:59">
      <c r="N2" t="str">
        <f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f>
        <v/>
      </c>
      <c r="O2" t="str">
        <f>IFERROR(IF(FIND(" ",erdAttributes[[#This Row],[Attribute (no spaces)]])&gt;0,"%% no spaces allowed in attribute: "&amp;erdAttributes[[#This Row],[Attribute (no spaces)]]),"")</f>
        <v/>
      </c>
      <c r="Q2" t="str" cm="1">
        <f t="array" ref="Q2:Q56">_xlfn.VSTACK(
"erDiagram","",
"%% Entities",
_xlfn._xlws.FILTER(erdEntities[mmSyntax],erdEntities[mmSyntax]&lt;&gt;"",""),
"",
"%% Attributes",_xlfn.ANCHORARRAY(
$BG$2)
)</f>
        <v>erDiagram</v>
      </c>
      <c r="S2" t="str">
        <v>Car</v>
      </c>
      <c r="T2" t="str">
        <v>&gt;=1</v>
      </c>
      <c r="U2" t="str">
        <v>json</v>
      </c>
      <c r="V2" t="str">
        <v>FK</v>
      </c>
      <c r="W2" t="str">
        <v>*:*</v>
      </c>
      <c r="AF2" s="23" t="str" cm="1">
        <f t="array" ref="AF2:AF8">IF(AF1="","",_xlfn.VSTACK(AF1&amp;"{",(_xlfn._xlws.FILTER(erdAttributes[mmSyntax],erdAttributes[Entity]=AF1,"")),"}"))</f>
        <v>Car{</v>
      </c>
      <c r="AG2" s="23" t="str" cm="1">
        <f t="array" ref="AG2:AG5">IF(AG1="","",_xlfn.VSTACK(AG1&amp;"{",(_xlfn._xlws.FILTER(erdAttributes[mmSyntax],erdAttributes[Entity]=AG1,"")),"}"))</f>
        <v>Named-Driver{</v>
      </c>
      <c r="AH2" s="23" t="str" cm="1">
        <f t="array" ref="AH2:AH9">IF(AH1="","",_xlfn.VSTACK(AH1&amp;"{",(_xlfn._xlws.FILTER(erdAttributes[mmSyntax],erdAttributes[Entity]=AH1,"")),"}"))</f>
        <v>Person{</v>
      </c>
      <c r="AI2" s="23" t="str" cm="1">
        <f t="array" ref="AI2:AI6">IF(AI1="","",_xlfn.VSTACK(AI1&amp;"{",(_xlfn._xlws.FILTER(erdAttributes[mmSyntax],erdAttributes[Entity]=AI1,"")),"}"))</f>
        <v>household{</v>
      </c>
      <c r="AJ2" s="23" t="str" cm="1">
        <f t="array" ref="AJ2">IF(AJ1="","",_xlfn.VSTACK(AJ1&amp;"{",(_xlfn._xlws.FILTER(erdAttributes[mmSyntax],erdAttributes[Entity]=AJ1,"")),"}"))</f>
        <v/>
      </c>
      <c r="AK2" s="23" t="str" cm="1">
        <f t="array" ref="AK2">IF(AK1="","",_xlfn.VSTACK(AK1&amp;"{",(_xlfn._xlws.FILTER(erdAttributes[mmSyntax],erdAttributes[Entity]=AK1,"")),"}"))</f>
        <v/>
      </c>
      <c r="AL2" s="23" t="str" cm="1">
        <f t="array" ref="AL2">IF(AL1="","",_xlfn.VSTACK(AL1&amp;"{",(_xlfn._xlws.FILTER(erdAttributes[mmSyntax],erdAttributes[Entity]=AL1,"")),"}"))</f>
        <v/>
      </c>
      <c r="AM2" s="23" t="str" cm="1">
        <f t="array" ref="AM2">IF(AM1="","",_xlfn.VSTACK(AM1&amp;"{",(_xlfn._xlws.FILTER(erdAttributes[mmSyntax],erdAttributes[Entity]=AM1,"")),"}"))</f>
        <v/>
      </c>
      <c r="AN2" s="23" t="str" cm="1">
        <f t="array" ref="AN2">IF(AN1="","",_xlfn.VSTACK(AN1&amp;"{",(_xlfn._xlws.FILTER(erdAttributes[mmSyntax],erdAttributes[Entity]=AN1,"")),"}"))</f>
        <v/>
      </c>
      <c r="AO2" s="23" t="str" cm="1">
        <f t="array" ref="AO2">IF(AO1="","",_xlfn.VSTACK(AO1&amp;"{",(_xlfn._xlws.FILTER(erdAttributes[mmSyntax],erdAttributes[Entity]=AO1,"")),"}"))</f>
        <v/>
      </c>
      <c r="AP2" s="23" t="str" cm="1">
        <f t="array" ref="AP2">IF(AP1="","",_xlfn.VSTACK(AP1&amp;"{",(_xlfn._xlws.FILTER(erdAttributes[mmSyntax],erdAttributes[Entity]=AP1,"")),"}"))</f>
        <v/>
      </c>
      <c r="AQ2" s="23" t="str" cm="1">
        <f t="array" ref="AQ2">IF(AQ1="","",_xlfn.VSTACK(AQ1&amp;"{",(_xlfn._xlws.FILTER(erdAttributes[mmSyntax],erdAttributes[Entity]=AQ1,"")),"}"))</f>
        <v/>
      </c>
      <c r="AR2" s="23" t="str" cm="1">
        <f t="array" ref="AR2">IF(AR1="","",_xlfn.VSTACK(AR1&amp;"{",(_xlfn._xlws.FILTER(erdAttributes[mmSyntax],erdAttributes[Entity]=AR1,"")),"}"))</f>
        <v/>
      </c>
      <c r="AS2" s="23" t="str" cm="1">
        <f t="array" ref="AS2">IF(AS1="","",_xlfn.VSTACK(AS1&amp;"{",(_xlfn._xlws.FILTER(erdAttributes[Entity],erdAttributes[Attribute (no spaces)]=AS1,"")),"}"))</f>
        <v/>
      </c>
      <c r="AT2" s="23" t="str" cm="1">
        <f t="array" ref="AT2">IF(AT1="","",_xlfn.VSTACK(AT1&amp;"{",(_xlfn._xlws.FILTER(erdAttributes[Attribute (no spaces)],erdAttributes[Type]=AT1,"")),"}"))</f>
        <v/>
      </c>
      <c r="AU2" s="23" t="str" cm="1">
        <f t="array" ref="AU2">IF(AU1="","",_xlfn.VSTACK(AU1&amp;"{",(_xlfn._xlws.FILTER(erdAttributes[Type],erdAttributes[key]=AU1,"")),"}"))</f>
        <v/>
      </c>
      <c r="AV2" s="23" t="str" cm="1">
        <f t="array" ref="AV2">IF(AV1="","",_xlfn.VSTACK(AV1&amp;"{",(_xlfn._xlws.FILTER(erdAttributes[key],erdAttributes[Comment]=AV1,"")),"}"))</f>
        <v/>
      </c>
      <c r="AW2" s="23" t="str" cm="1">
        <f t="array" ref="AW2">IF(AW1="","",_xlfn.VSTACK(AW1&amp;"{",(_xlfn._xlws.FILTER(erdAttributes[Comment],erdAttributes[mmSyntax]=AW1,"")),"}"))</f>
        <v/>
      </c>
      <c r="AX2" s="23" t="str" cm="1">
        <f t="array" ref="AX2">IF(AX1="","",_xlfn.VSTACK(AX1&amp;"{",(_xlfn._xlws.FILTER(erdAttributes[mmSyntax],erdAttributes[Entity]=AX1,"")),"}"))</f>
        <v/>
      </c>
      <c r="AY2" s="23" t="str" cm="1">
        <f t="array" ref="AY2">IF(AY1="","",_xlfn.VSTACK(AY1&amp;"{",(_xlfn._xlws.FILTER(erdAttributes[Entity],erdAttributes[Attribute (no spaces)]=AY1,"")),"}"))</f>
        <v/>
      </c>
      <c r="AZ2" s="23" t="str" cm="1">
        <f t="array" ref="AZ2">IF(AZ1="","",_xlfn.VSTACK(AZ1&amp;"{",(_xlfn._xlws.FILTER(erdAttributes[Attribute (no spaces)],erdAttributes[Type]=AZ1,"")),"}"))</f>
        <v/>
      </c>
      <c r="BA2" s="23" t="str" cm="1">
        <f t="array" ref="BA2">IF(BA1="","",_xlfn.VSTACK(BA1&amp;"{",(_xlfn._xlws.FILTER(erdAttributes[Type],erdAttributes[key]=BA1,"")),"}"))</f>
        <v/>
      </c>
      <c r="BB2" s="23" t="str" cm="1">
        <f t="array" ref="BB2">IF(BB1="","",_xlfn.VSTACK(BB1&amp;"{",(_xlfn._xlws.FILTER(erdAttributes[key],erdAttributes[Comment]=BB1,"")),"}"))</f>
        <v/>
      </c>
      <c r="BC2" s="23" t="str" cm="1">
        <f t="array" ref="BC2">IF(BC1="","",_xlfn.VSTACK(BC1&amp;"{",(_xlfn._xlws.FILTER(erdAttributes[Comment],erdAttributes[mmSyntax]=BC1,"")),"}"))</f>
        <v/>
      </c>
      <c r="BD2" s="23" t="str" cm="1">
        <f t="array" ref="BD2">IF(BD1="","",_xlfn.VSTACK(BD1&amp;"{",(_xlfn._xlws.FILTER(erdAttributes[mmSyntax],erdAttributes[Entity]=BD1,"")),"}"))</f>
        <v/>
      </c>
      <c r="BE2" s="23" t="str" cm="1">
        <f t="array" ref="BE2">IF(BE1="","",_xlfn.VSTACK(
_xlfn.XLOOKUP(BE1,Table4[Box],Table4[mmSyntax]),
_xlfn._xlws.FILTER(seqObjects[mmSyntax],seqObjects[Box]=BE1),
"end"))</f>
        <v/>
      </c>
      <c r="BG2" s="23" t="str" cm="1">
        <f t="array" ref="BG2:BG47">_xlfn.VSTACK(_xlfn._xlws.FILTER(AG2:AG27,AG2:AG27&lt;&gt;"",""),_xlfn._xlws.FILTER(AF2:AF27,AF2:AF27&lt;&gt;"",""),_xlfn._xlws.FILTER(AH2:AH27,AH2:AH27&lt;&gt;"",""),_xlfn._xlws.FILTER(AI2:AI27,AI2:AI27&lt;&gt;"",""),_xlfn._xlws.FILTER(AJ2:AJ27,AJ2:AJ27&lt;&gt;"",""),_xlfn._xlws.FILTER(AK2:AK27,AK2:AK27&lt;&gt;"",""),_xlfn._xlws.FILTER(AL2:AL27,AL2:AL27&lt;&gt;"",""),_xlfn._xlws.FILTER(AM2:AM27,AM2:AM27&lt;&gt;"",""),_xlfn._xlws.FILTER(AN2:AN27,AN2:AN27&lt;&gt;"",""),_xlfn._xlws.FILTER(AO2:AO27,AO2:AO27&lt;&gt;"",""),_xlfn._xlws.FILTER(AP2:AP27,AP2:AP27&lt;&gt;"",""),_xlfn._xlws.FILTER(AQ2:AQ27,AQ2:AQ27&lt;&gt;"",""),_xlfn._xlws.FILTER(AR2:AR27,AR2:AR27&lt;&gt;"",""),_xlfn._xlws.FILTER(AS2:AS27,AS2:AS27&lt;&gt;"",""),_xlfn._xlws.FILTER(AT2:AT27,AT2:AT27&lt;&gt;"",""),_xlfn._xlws.FILTER(AU2:AU27,AU2:AU27&lt;&gt;"",""),_xlfn._xlws.FILTER(AV2:AV27,AV2:AV27&lt;&gt;"",""),_xlfn._xlws.FILTER(AW2:AW27,AW2:AW27&lt;&gt;"",""),_xlfn._xlws.FILTER(AX2:AX27,AX2:AX27&lt;&gt;"",""),_xlfn._xlws.FILTER(AY2:AY27,AY2:AY27&lt;&gt;"",""),_xlfn._xlws.FILTER(AZ2:AZ27,AZ2:AZ27&lt;&gt;"",""),_xlfn._xlws.FILTER(BA2:BA27,BA2:BA27&lt;&gt;"",""),_xlfn._xlws.FILTER(BB2:BB27,BB2:BB27&lt;&gt;"",""),_xlfn._xlws.FILTER(BC2:BC27,BC2:BC27&lt;&gt;"",""),_xlfn._xlws.FILTER(BD2:BD27,BD2:BD27&lt;&gt;"",""),_xlfn._xlws.FILTER(BE2:BE27,BE2:BE27&lt;&gt;"",""))</f>
        <v>Named-Driver{</v>
      </c>
    </row>
    <row r="3" spans="1:59">
      <c r="I3" t="s">
        <v>292</v>
      </c>
      <c r="J3" t="s">
        <v>311</v>
      </c>
      <c r="K3" t="s">
        <v>388</v>
      </c>
      <c r="M3" t="s">
        <v>324</v>
      </c>
      <c r="N3" t="str">
        <f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f>
        <v>string make "my comment"</v>
      </c>
      <c r="O3" t="str">
        <f>IFERROR(IF(FIND(" ",erdAttributes[[#This Row],[Attribute (no spaces)]])&gt;0,"%% no spaces allowed in attribute: "&amp;erdAttributes[[#This Row],[Attribute (no spaces)]]),"")</f>
        <v/>
      </c>
      <c r="Q3" t="str">
        <v/>
      </c>
      <c r="S3" t="str">
        <v>Person</v>
      </c>
      <c r="T3" t="str">
        <v>&gt;=0</v>
      </c>
      <c r="U3" t="str">
        <v>polygon</v>
      </c>
      <c r="V3" t="str">
        <v>UK</v>
      </c>
      <c r="W3" t="str">
        <v>*:1</v>
      </c>
      <c r="AF3" s="23" t="str">
        <v>string make "my comment"</v>
      </c>
      <c r="AG3" s="23" t="str">
        <v>string carRegistrationNumber PK, FK</v>
      </c>
      <c r="AH3" s="23" t="str">
        <v>string driversLicense UK</v>
      </c>
      <c r="AI3" s="23" t="str">
        <v>string householdUUID PK</v>
      </c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G3" t="str">
        <v>string carRegistrationNumber PK, FK</v>
      </c>
    </row>
    <row r="4" spans="1:59">
      <c r="A4" t="s">
        <v>294</v>
      </c>
      <c r="B4" t="s">
        <v>296</v>
      </c>
      <c r="C4" t="s">
        <v>459</v>
      </c>
      <c r="D4" t="s">
        <v>387</v>
      </c>
      <c r="E4" t="s">
        <v>295</v>
      </c>
      <c r="F4" t="s">
        <v>5</v>
      </c>
      <c r="I4" t="s">
        <v>292</v>
      </c>
      <c r="J4" t="s">
        <v>306</v>
      </c>
      <c r="K4" t="s">
        <v>388</v>
      </c>
      <c r="N4" t="str">
        <f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f>
        <v>string model</v>
      </c>
      <c r="O4" t="str">
        <f>IFERROR(IF(FIND(" ",erdAttributes[[#This Row],[Attribute (no spaces)]])&gt;0,"%% no spaces allowed in attribute: "&amp;erdAttributes[[#This Row],[Attribute (no spaces)]]),"")</f>
        <v/>
      </c>
      <c r="Q4" t="str">
        <v>%% Entities</v>
      </c>
      <c r="S4" t="str">
        <v>household</v>
      </c>
      <c r="T4" t="str">
        <v>0 ∨ 1</v>
      </c>
      <c r="V4" t="str">
        <v>PK, FK</v>
      </c>
      <c r="W4" t="str">
        <v>1:1</v>
      </c>
      <c r="AF4" s="23" t="str">
        <v>string model</v>
      </c>
      <c r="AG4" s="23" t="str">
        <v>string driversLicense FK, UK</v>
      </c>
      <c r="AH4" s="23" t="str">
        <v>json name</v>
      </c>
      <c r="AI4" s="23" t="str">
        <v>json address</v>
      </c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G4" t="str">
        <v>string driversLicense FK, UK</v>
      </c>
    </row>
    <row r="5" spans="1:59">
      <c r="A5" t="s">
        <v>325</v>
      </c>
      <c r="B5" t="s">
        <v>462</v>
      </c>
      <c r="C5" t="str">
        <f t="shared" ref="C5:D8" si="0">dsfs</f>
        <v>==1</v>
      </c>
      <c r="D5" t="str">
        <f t="shared" si="0"/>
        <v>==1</v>
      </c>
      <c r="E5" t="s">
        <v>292</v>
      </c>
      <c r="F5" s="16" t="str">
        <f>IFERROR(IF(erdEntities[[#This Row],[Target]]="","",erdEntities[[#This Row],[Source]]&amp;_xlfn.XLOOKUP(erdEntities[[#This Row],[left]],erdDirections[Meaning],erdDirections[Value (left)])&amp;"--"&amp;_xlfn.XLOOKUP(erdEntities[[#This Row],[right]],erdDirections[Meaning],erdDirections[Value (right)])&amp;erdEntities[[#This Row],[Target]]&amp;IF(erdEntities[[#This Row],[description]]="",""," : " &amp; """"&amp; erdEntities[[#This Row],[description]]&amp;"""")),"%% Error with "&amp;erdEntities[[#This Row],[Source]])</f>
        <v>Manufacturer||--||Car : "1:*"</v>
      </c>
      <c r="I5" t="s">
        <v>292</v>
      </c>
      <c r="J5" t="s">
        <v>312</v>
      </c>
      <c r="K5" t="s">
        <v>307</v>
      </c>
      <c r="N5" t="str">
        <f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f>
        <v>json parts</v>
      </c>
      <c r="O5" t="str">
        <f>IFERROR(IF(FIND(" ",erdAttributes[[#This Row],[Attribute (no spaces)]])&gt;0,"%% no spaces allowed in attribute: "&amp;erdAttributes[[#This Row],[Attribute (no spaces)]]),"")</f>
        <v/>
      </c>
      <c r="Q5" t="str">
        <v>Manufacturer||--||Car : "1:*"</v>
      </c>
      <c r="S5" t="str">
        <v>Named-Driver</v>
      </c>
      <c r="V5" t="str">
        <v>FK, UK</v>
      </c>
      <c r="AF5" s="23" t="str">
        <v>json parts</v>
      </c>
      <c r="AG5" s="23" t="str">
        <v>}</v>
      </c>
      <c r="AH5" s="23" t="str">
        <v>polygon serviceArea</v>
      </c>
      <c r="AI5" s="23" t="str">
        <v>string personUUID FK</v>
      </c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G5" t="str">
        <v>}</v>
      </c>
    </row>
    <row r="6" spans="1:59">
      <c r="A6" t="s">
        <v>292</v>
      </c>
      <c r="B6" t="s">
        <v>420</v>
      </c>
      <c r="C6" t="str">
        <f t="shared" si="0"/>
        <v>==1</v>
      </c>
      <c r="D6" t="str">
        <f t="shared" si="0"/>
        <v>==1</v>
      </c>
      <c r="E6" t="s">
        <v>293</v>
      </c>
      <c r="F6" t="str">
        <f>IFERROR(IF(erdEntities[[#This Row],[Target]]="","",erdEntities[[#This Row],[Source]]&amp;_xlfn.XLOOKUP(erdEntities[[#This Row],[left]],erdDirections[Meaning],erdDirections[Value (left)])&amp;"--"&amp;_xlfn.XLOOKUP(erdEntities[[#This Row],[right]],erdDirections[Meaning],erdDirections[Value (right)])&amp;erdEntities[[#This Row],[Target]]&amp;IF(erdEntities[[#This Row],[description]]="",""," : " &amp; """"&amp; erdEntities[[#This Row],[description]]&amp;"""")),"%% Error with "&amp;erdEntities[[#This Row],[Source]])</f>
        <v>Car||--||Named-Driver : "1:1"</v>
      </c>
      <c r="I6" t="s">
        <v>292</v>
      </c>
      <c r="J6" t="s">
        <v>461</v>
      </c>
      <c r="K6" t="s">
        <v>388</v>
      </c>
      <c r="L6" t="s">
        <v>300</v>
      </c>
      <c r="N6" t="str">
        <f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f>
        <v>%% no spaces allowed in attribute: reg number</v>
      </c>
      <c r="O6" t="str">
        <f>IFERROR(IF(FIND(" ",erdAttributes[[#This Row],[Attribute (no spaces)]])&gt;0,"%% no spaces allowed in attribute: "&amp;erdAttributes[[#This Row],[Attribute (no spaces)]]),"")</f>
        <v>%% no spaces allowed in attribute: reg number</v>
      </c>
      <c r="Q6" t="str">
        <v>Car||--||Named-Driver : "1:1"</v>
      </c>
      <c r="AF6" s="23" t="str">
        <v>%% no spaces allowed in attribute: reg number</v>
      </c>
      <c r="AG6" s="23"/>
      <c r="AH6" s="23" t="str">
        <v>string phone UK</v>
      </c>
      <c r="AI6" s="23" t="str">
        <v>}</v>
      </c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G6" t="str">
        <v>Car{</v>
      </c>
    </row>
    <row r="7" spans="1:59">
      <c r="A7" t="s">
        <v>291</v>
      </c>
      <c r="B7" t="s">
        <v>420</v>
      </c>
      <c r="C7" t="str">
        <f t="shared" si="0"/>
        <v>==1</v>
      </c>
      <c r="D7" t="str">
        <f t="shared" si="0"/>
        <v>==1</v>
      </c>
      <c r="E7" t="s">
        <v>293</v>
      </c>
      <c r="F7" t="str">
        <f>IFERROR(IF(erdEntities[[#This Row],[Target]]="","",erdEntities[[#This Row],[Source]]&amp;_xlfn.XLOOKUP(erdEntities[[#This Row],[left]],erdDirections[Meaning],erdDirections[Value (left)])&amp;"--"&amp;_xlfn.XLOOKUP(erdEntities[[#This Row],[right]],erdDirections[Meaning],erdDirections[Value (right)])&amp;erdEntities[[#This Row],[Target]]&amp;IF(erdEntities[[#This Row],[description]]="",""," : " &amp; """"&amp; erdEntities[[#This Row],[description]]&amp;"""")),"%% Error with "&amp;erdEntities[[#This Row],[Source]])</f>
        <v>Person||--||Named-Driver : "1:1"</v>
      </c>
      <c r="I7" t="s">
        <v>292</v>
      </c>
      <c r="J7" t="s">
        <v>433</v>
      </c>
      <c r="K7" t="s">
        <v>388</v>
      </c>
      <c r="L7" t="s">
        <v>302</v>
      </c>
      <c r="N7" t="str">
        <f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f>
        <v>string VIN UK</v>
      </c>
      <c r="O7" t="str">
        <f>IFERROR(IF(FIND(" ",erdAttributes[[#This Row],[Attribute (no spaces)]])&gt;0,"%% no spaces allowed in attribute: "&amp;erdAttributes[[#This Row],[Attribute (no spaces)]]),"")</f>
        <v/>
      </c>
      <c r="Q7" s="1" t="str">
        <v>Person||--||Named-Driver : "1:1"</v>
      </c>
      <c r="AF7" s="23" t="str">
        <v>string VIN UK</v>
      </c>
      <c r="AG7" s="23"/>
      <c r="AH7" s="23" t="str">
        <v>string householdUUID FK</v>
      </c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G7" t="str">
        <v>string make "my comment"</v>
      </c>
    </row>
    <row r="8" spans="1:59">
      <c r="A8" t="s">
        <v>415</v>
      </c>
      <c r="B8" t="s">
        <v>419</v>
      </c>
      <c r="C8" t="str">
        <f t="shared" si="0"/>
        <v>==1</v>
      </c>
      <c r="D8" t="str">
        <f t="shared" si="0"/>
        <v>==1</v>
      </c>
      <c r="E8" t="s">
        <v>291</v>
      </c>
      <c r="F8" s="16" t="str">
        <f>IFERROR(IF(erdEntities[[#This Row],[Target]]="","",erdEntities[[#This Row],[Source]]&amp;_xlfn.XLOOKUP(erdEntities[[#This Row],[left]],erdDirections[Meaning],erdDirections[Value (left)])&amp;"--"&amp;_xlfn.XLOOKUP(erdEntities[[#This Row],[right]],erdDirections[Meaning],erdDirections[Value (right)])&amp;erdEntities[[#This Row],[Target]]&amp;IF(erdEntities[[#This Row],[description]]="",""," : " &amp; """"&amp; erdEntities[[#This Row],[description]]&amp;"""")),"%% Error with "&amp;erdEntities[[#This Row],[Source]])</f>
        <v>household||--||Person : "*:1"</v>
      </c>
      <c r="N8" t="str">
        <f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f>
        <v/>
      </c>
      <c r="O8" t="str">
        <f>IFERROR(IF(FIND(" ",erdAttributes[[#This Row],[Attribute (no spaces)]])&gt;0,"%% no spaces allowed in attribute: "&amp;erdAttributes[[#This Row],[Attribute (no spaces)]]),"")</f>
        <v/>
      </c>
      <c r="Q8" t="str">
        <v>household||--||Person : "*:1"</v>
      </c>
      <c r="AF8" s="23" t="str">
        <v>}</v>
      </c>
      <c r="AG8" s="23"/>
      <c r="AH8" s="23" t="str">
        <v>string personUUID PK</v>
      </c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G8" t="str">
        <v>string model</v>
      </c>
    </row>
    <row r="9" spans="1:59">
      <c r="N9" t="str">
        <f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f>
        <v/>
      </c>
      <c r="O9" t="str">
        <f>IFERROR(IF(FIND(" ",erdAttributes[[#This Row],[Attribute (no spaces)]])&gt;0,"%% no spaces allowed in attribute: "&amp;erdAttributes[[#This Row],[Attribute (no spaces)]]),"")</f>
        <v/>
      </c>
      <c r="Q9" t="str">
        <v/>
      </c>
      <c r="AF9" s="23"/>
      <c r="AG9" s="23"/>
      <c r="AH9" s="23" t="str">
        <v>}</v>
      </c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G9" t="str">
        <v>json parts</v>
      </c>
    </row>
    <row r="10" spans="1:59">
      <c r="I10" t="s">
        <v>293</v>
      </c>
      <c r="J10" t="s">
        <v>317</v>
      </c>
      <c r="K10" t="s">
        <v>388</v>
      </c>
      <c r="L10" t="s">
        <v>303</v>
      </c>
      <c r="N10" t="str">
        <f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f>
        <v>string carRegistrationNumber PK, FK</v>
      </c>
      <c r="O10" t="str">
        <f>IFERROR(IF(FIND(" ",erdAttributes[[#This Row],[Attribute (no spaces)]])&gt;0,"%% no spaces allowed in attribute: "&amp;erdAttributes[[#This Row],[Attribute (no spaces)]]),"")</f>
        <v/>
      </c>
      <c r="Q10" t="str">
        <v>%% Attributes</v>
      </c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G10" t="str">
        <v>%% no spaces allowed in attribute: reg number</v>
      </c>
    </row>
    <row r="11" spans="1:59">
      <c r="I11" t="s">
        <v>293</v>
      </c>
      <c r="J11" t="s">
        <v>313</v>
      </c>
      <c r="K11" t="s">
        <v>388</v>
      </c>
      <c r="L11" t="s">
        <v>304</v>
      </c>
      <c r="N11" t="str">
        <f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f>
        <v>string driversLicense FK, UK</v>
      </c>
      <c r="O11" t="str">
        <f>IFERROR(IF(FIND(" ",erdAttributes[[#This Row],[Attribute (no spaces)]])&gt;0,"%% no spaces allowed in attribute: "&amp;erdAttributes[[#This Row],[Attribute (no spaces)]]),"")</f>
        <v/>
      </c>
      <c r="Q11" t="str">
        <v>Named-Driver{</v>
      </c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G11" t="str">
        <v>string VIN UK</v>
      </c>
    </row>
    <row r="12" spans="1:59">
      <c r="N12" t="str">
        <f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f>
        <v/>
      </c>
      <c r="O12" t="str">
        <f>IFERROR(IF(FIND(" ",erdAttributes[[#This Row],[Attribute (no spaces)]])&gt;0,"%% no spaces allowed in attribute: "&amp;erdAttributes[[#This Row],[Attribute (no spaces)]]),"")</f>
        <v/>
      </c>
      <c r="Q12" t="str">
        <v>string carRegistrationNumber PK, FK</v>
      </c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G12" t="str">
        <v>}</v>
      </c>
    </row>
    <row r="13" spans="1:59">
      <c r="N13" t="str">
        <f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f>
        <v/>
      </c>
      <c r="O13" t="str">
        <f>IFERROR(IF(FIND(" ",erdAttributes[[#This Row],[Attribute (no spaces)]])&gt;0,"%% no spaces allowed in attribute: "&amp;erdAttributes[[#This Row],[Attribute (no spaces)]]),"")</f>
        <v/>
      </c>
      <c r="Q13" t="str">
        <v>string driversLicense FK, UK</v>
      </c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G13" t="str">
        <v>Person{</v>
      </c>
    </row>
    <row r="14" spans="1:59">
      <c r="I14" t="s">
        <v>291</v>
      </c>
      <c r="J14" t="s">
        <v>313</v>
      </c>
      <c r="K14" t="s">
        <v>388</v>
      </c>
      <c r="L14" t="s">
        <v>302</v>
      </c>
      <c r="N14" t="str">
        <f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f>
        <v>string driversLicense UK</v>
      </c>
      <c r="O14" t="str">
        <f>IFERROR(IF(FIND(" ",erdAttributes[[#This Row],[Attribute (no spaces)]])&gt;0,"%% no spaces allowed in attribute: "&amp;erdAttributes[[#This Row],[Attribute (no spaces)]]),"")</f>
        <v/>
      </c>
      <c r="Q14" t="str">
        <v>}</v>
      </c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G14" t="str">
        <v>string driversLicense UK</v>
      </c>
    </row>
    <row r="15" spans="1:59">
      <c r="I15" t="s">
        <v>291</v>
      </c>
      <c r="J15" t="s">
        <v>414</v>
      </c>
      <c r="K15" t="s">
        <v>307</v>
      </c>
      <c r="N15" t="str">
        <f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f>
        <v>json name</v>
      </c>
      <c r="O15" t="str">
        <f>IFERROR(IF(FIND(" ",erdAttributes[[#This Row],[Attribute (no spaces)]])&gt;0,"%% no spaces allowed in attribute: "&amp;erdAttributes[[#This Row],[Attribute (no spaces)]]),"")</f>
        <v/>
      </c>
      <c r="Q15" t="str">
        <v>Car{</v>
      </c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G15" t="str">
        <v>json name</v>
      </c>
    </row>
    <row r="16" spans="1:59">
      <c r="I16" t="s">
        <v>291</v>
      </c>
      <c r="J16" t="s">
        <v>323</v>
      </c>
      <c r="K16" t="s">
        <v>308</v>
      </c>
      <c r="N16" t="str">
        <f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f>
        <v>polygon serviceArea</v>
      </c>
      <c r="O16" t="str">
        <f>IFERROR(IF(FIND(" ",erdAttributes[[#This Row],[Attribute (no spaces)]])&gt;0,"%% no spaces allowed in attribute: "&amp;erdAttributes[[#This Row],[Attribute (no spaces)]]),"")</f>
        <v/>
      </c>
      <c r="Q16" t="str">
        <v>string make "my comment"</v>
      </c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G16" t="str">
        <v>polygon serviceArea</v>
      </c>
    </row>
    <row r="17" spans="7:59">
      <c r="I17" t="s">
        <v>291</v>
      </c>
      <c r="J17" t="s">
        <v>191</v>
      </c>
      <c r="K17" t="s">
        <v>388</v>
      </c>
      <c r="L17" t="s">
        <v>302</v>
      </c>
      <c r="N17" t="str">
        <f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f>
        <v>string phone UK</v>
      </c>
      <c r="O17" t="str">
        <f>IFERROR(IF(FIND(" ",erdAttributes[[#This Row],[Attribute (no spaces)]])&gt;0,"%% no spaces allowed in attribute: "&amp;erdAttributes[[#This Row],[Attribute (no spaces)]]),"")</f>
        <v/>
      </c>
      <c r="Q17" t="str">
        <v>string model</v>
      </c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G17" t="str">
        <v>string phone UK</v>
      </c>
    </row>
    <row r="18" spans="7:59">
      <c r="I18" t="s">
        <v>291</v>
      </c>
      <c r="J18" t="s">
        <v>417</v>
      </c>
      <c r="K18" t="s">
        <v>388</v>
      </c>
      <c r="L18" t="s">
        <v>301</v>
      </c>
      <c r="N18" t="str">
        <f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f>
        <v>string householdUUID FK</v>
      </c>
      <c r="O18" t="str">
        <f>IFERROR(IF(FIND(" ",erdAttributes[[#This Row],[Attribute (no spaces)]])&gt;0,"%% no spaces allowed in attribute: "&amp;erdAttributes[[#This Row],[Attribute (no spaces)]]),"")</f>
        <v/>
      </c>
      <c r="Q18" t="str">
        <v>json parts</v>
      </c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G18" t="str">
        <v>string householdUUID FK</v>
      </c>
    </row>
    <row r="19" spans="7:59">
      <c r="I19" t="s">
        <v>291</v>
      </c>
      <c r="J19" t="s">
        <v>418</v>
      </c>
      <c r="K19" t="s">
        <v>388</v>
      </c>
      <c r="L19" t="s">
        <v>300</v>
      </c>
      <c r="N19" t="str">
        <f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f>
        <v>string personUUID PK</v>
      </c>
      <c r="O19" t="str">
        <f>IFERROR(IF(FIND(" ",erdAttributes[[#This Row],[Attribute (no spaces)]])&gt;0,"%% no spaces allowed in attribute: "&amp;erdAttributes[[#This Row],[Attribute (no spaces)]]),"")</f>
        <v/>
      </c>
      <c r="Q19" t="str">
        <v>%% no spaces allowed in attribute: reg number</v>
      </c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G19" t="str">
        <v>string personUUID PK</v>
      </c>
    </row>
    <row r="20" spans="7:59">
      <c r="N20" t="str">
        <f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f>
        <v/>
      </c>
      <c r="O20" t="str">
        <f>IFERROR(IF(FIND(" ",erdAttributes[[#This Row],[Attribute (no spaces)]])&gt;0,"%% no spaces allowed in attribute: "&amp;erdAttributes[[#This Row],[Attribute (no spaces)]]),"")</f>
        <v/>
      </c>
      <c r="Q20" t="str">
        <v>string VIN UK</v>
      </c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G20" t="str">
        <v>}</v>
      </c>
    </row>
    <row r="21" spans="7:59">
      <c r="N21" t="str">
        <f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f>
        <v/>
      </c>
      <c r="O21" t="str">
        <f>IFERROR(IF(FIND(" ",erdAttributes[[#This Row],[Attribute (no spaces)]])&gt;0,"%% no spaces allowed in attribute: "&amp;erdAttributes[[#This Row],[Attribute (no spaces)]]),"")</f>
        <v/>
      </c>
      <c r="Q21" t="str">
        <v>}</v>
      </c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G21" t="str">
        <v>household{</v>
      </c>
    </row>
    <row r="22" spans="7:59">
      <c r="N22" t="str">
        <f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f>
        <v/>
      </c>
      <c r="O22" t="str">
        <f>IFERROR(IF(FIND(" ",erdAttributes[[#This Row],[Attribute (no spaces)]])&gt;0,"%% no spaces allowed in attribute: "&amp;erdAttributes[[#This Row],[Attribute (no spaces)]]),"")</f>
        <v/>
      </c>
      <c r="Q22" t="str">
        <v>Person{</v>
      </c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G22" t="str">
        <v>string householdUUID PK</v>
      </c>
    </row>
    <row r="23" spans="7:59">
      <c r="I23" t="s">
        <v>415</v>
      </c>
      <c r="J23" t="s">
        <v>417</v>
      </c>
      <c r="K23" t="s">
        <v>388</v>
      </c>
      <c r="L23" t="s">
        <v>300</v>
      </c>
      <c r="N23" t="str">
        <f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f>
        <v>string householdUUID PK</v>
      </c>
      <c r="O23" t="str">
        <f>IFERROR(IF(FIND(" ",erdAttributes[[#This Row],[Attribute (no spaces)]])&gt;0,"%% no spaces allowed in attribute: "&amp;erdAttributes[[#This Row],[Attribute (no spaces)]]),"")</f>
        <v/>
      </c>
      <c r="Q23" t="str">
        <v>string driversLicense UK</v>
      </c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G23" t="str">
        <v>json address</v>
      </c>
    </row>
    <row r="24" spans="7:59">
      <c r="I24" t="s">
        <v>415</v>
      </c>
      <c r="J24" t="s">
        <v>413</v>
      </c>
      <c r="K24" t="s">
        <v>307</v>
      </c>
      <c r="N24" t="str">
        <f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f>
        <v>json address</v>
      </c>
      <c r="O24" t="str">
        <f>IFERROR(IF(FIND(" ",erdAttributes[[#This Row],[Attribute (no spaces)]])&gt;0,"%% no spaces allowed in attribute: "&amp;erdAttributes[[#This Row],[Attribute (no spaces)]]),"")</f>
        <v/>
      </c>
      <c r="Q24" t="str">
        <v>json name</v>
      </c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G24" t="str">
        <v>string personUUID FK</v>
      </c>
    </row>
    <row r="25" spans="7:59">
      <c r="I25" t="s">
        <v>415</v>
      </c>
      <c r="J25" t="s">
        <v>418</v>
      </c>
      <c r="K25" t="s">
        <v>388</v>
      </c>
      <c r="L25" t="s">
        <v>301</v>
      </c>
      <c r="N25" t="str">
        <f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f>
        <v>string personUUID FK</v>
      </c>
      <c r="O25" t="str">
        <f>IFERROR(IF(FIND(" ",erdAttributes[[#This Row],[Attribute (no spaces)]])&gt;0,"%% no spaces allowed in attribute: "&amp;erdAttributes[[#This Row],[Attribute (no spaces)]]),"")</f>
        <v/>
      </c>
      <c r="Q25" t="str">
        <v>polygon serviceArea</v>
      </c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G25" t="str">
        <v>}</v>
      </c>
    </row>
    <row r="26" spans="7:59">
      <c r="N26" t="str">
        <f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f>
        <v/>
      </c>
      <c r="O26" t="str">
        <f>IFERROR(IF(FIND(" ",erdAttributes[[#This Row],[Attribute (no spaces)]])&gt;0,"%% no spaces allowed in attribute: "&amp;erdAttributes[[#This Row],[Attribute (no spaces)]]),"")</f>
        <v/>
      </c>
      <c r="Q26" t="str">
        <v>string phone UK</v>
      </c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G26" t="str">
        <v/>
      </c>
    </row>
    <row r="27" spans="7:59">
      <c r="N27" t="str">
        <f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f>
        <v/>
      </c>
      <c r="O27" t="str">
        <f>IFERROR(IF(FIND(" ",erdAttributes[[#This Row],[Attribute (no spaces)]])&gt;0,"%% no spaces allowed in attribute: "&amp;erdAttributes[[#This Row],[Attribute (no spaces)]]),"")</f>
        <v/>
      </c>
      <c r="Q27" t="str">
        <v>string householdUUID FK</v>
      </c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G27" t="str">
        <v/>
      </c>
    </row>
    <row r="28" spans="7:59">
      <c r="N28" t="str">
        <f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f>
        <v/>
      </c>
      <c r="O28" t="str">
        <f>IFERROR(IF(FIND(" ",erdAttributes[[#This Row],[Attribute (no spaces)]])&gt;0,"%% no spaces allowed in attribute: "&amp;erdAttributes[[#This Row],[Attribute (no spaces)]]),"")</f>
        <v/>
      </c>
      <c r="Q28" t="str">
        <v>string personUUID PK</v>
      </c>
      <c r="BG28" t="str">
        <v/>
      </c>
    </row>
    <row r="29" spans="7:59">
      <c r="G29" s="2"/>
      <c r="N29" t="str">
        <f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f>
        <v/>
      </c>
      <c r="O29" t="str">
        <f>IFERROR(IF(FIND(" ",erdAttributes[[#This Row],[Attribute (no spaces)]])&gt;0,"%% no spaces allowed in attribute: "&amp;erdAttributes[[#This Row],[Attribute (no spaces)]]),"")</f>
        <v/>
      </c>
      <c r="Q29" t="str">
        <v>}</v>
      </c>
      <c r="BG29" t="str">
        <v/>
      </c>
    </row>
    <row r="30" spans="7:59">
      <c r="G30" s="2"/>
      <c r="N30" t="str">
        <f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f>
        <v/>
      </c>
      <c r="O30" t="str">
        <f>IFERROR(IF(FIND(" ",erdAttributes[[#This Row],[Attribute (no spaces)]])&gt;0,"%% no spaces allowed in attribute: "&amp;erdAttributes[[#This Row],[Attribute (no spaces)]]),"")</f>
        <v/>
      </c>
      <c r="Q30" t="str">
        <v>household{</v>
      </c>
      <c r="BG30" t="str">
        <v/>
      </c>
    </row>
    <row r="31" spans="7:59">
      <c r="G31" s="2"/>
      <c r="N31" t="str">
        <f>IF(erdAttributes[[#This Row],[error]]&lt;&gt;"",erdAttributes[[#This Row],[error]],_xlfn.TEXTJOIN(" ",TRUE,erdAttributes[[#This Row],[Type]],erdAttributes[[#This Row],[Attribute (no spaces)]],erdAttributes[[#This Row],[key]],IF(erdAttributes[[#This Row],[Comment]]="","",""""&amp;erdAttributes[[#This Row],[Comment]]&amp;"""")))</f>
        <v/>
      </c>
      <c r="O31" t="str">
        <f>IFERROR(IF(FIND(" ",erdAttributes[[#This Row],[Attribute (no spaces)]])&gt;0,"%% no spaces allowed in attribute: "&amp;erdAttributes[[#This Row],[Attribute (no spaces)]]),"")</f>
        <v/>
      </c>
      <c r="Q31" t="str">
        <v>string householdUUID PK</v>
      </c>
      <c r="BG31" t="str">
        <v/>
      </c>
    </row>
    <row r="32" spans="7:59">
      <c r="G32" s="2"/>
      <c r="Q32" t="str">
        <v>json address</v>
      </c>
      <c r="BG32" t="str">
        <v/>
      </c>
    </row>
    <row r="33" spans="7:59">
      <c r="G33" s="2"/>
      <c r="Q33" t="str">
        <v>string personUUID FK</v>
      </c>
      <c r="BG33" t="str">
        <v/>
      </c>
    </row>
    <row r="34" spans="7:59">
      <c r="Q34" t="str">
        <v>}</v>
      </c>
      <c r="BG34" t="str">
        <v/>
      </c>
    </row>
    <row r="35" spans="7:59">
      <c r="Q35" t="str">
        <v/>
      </c>
      <c r="BG35" t="str">
        <v/>
      </c>
    </row>
    <row r="36" spans="7:59">
      <c r="Q36" t="str">
        <v/>
      </c>
      <c r="BG36" t="str">
        <v/>
      </c>
    </row>
    <row r="37" spans="7:59">
      <c r="Q37" t="str">
        <v/>
      </c>
      <c r="BG37" t="str">
        <v/>
      </c>
    </row>
    <row r="38" spans="7:59">
      <c r="Q38" t="str">
        <v/>
      </c>
      <c r="BG38" t="str">
        <v/>
      </c>
    </row>
    <row r="39" spans="7:59">
      <c r="Q39" t="str">
        <v/>
      </c>
      <c r="BG39" t="str">
        <v/>
      </c>
    </row>
    <row r="40" spans="7:59">
      <c r="Q40" t="str">
        <v/>
      </c>
      <c r="BG40" t="str">
        <v/>
      </c>
    </row>
    <row r="41" spans="7:59">
      <c r="Q41" t="str">
        <v/>
      </c>
      <c r="BG41" t="str">
        <v/>
      </c>
    </row>
    <row r="42" spans="7:59">
      <c r="Q42" t="str">
        <v/>
      </c>
      <c r="BG42" t="str">
        <v/>
      </c>
    </row>
    <row r="43" spans="7:59">
      <c r="Q43" t="str">
        <v/>
      </c>
      <c r="BG43" t="str">
        <v/>
      </c>
    </row>
    <row r="44" spans="7:59">
      <c r="Q44" t="str">
        <v/>
      </c>
      <c r="BG44" t="str">
        <v/>
      </c>
    </row>
    <row r="45" spans="7:59">
      <c r="Q45" t="str">
        <v/>
      </c>
      <c r="BG45" t="str">
        <v/>
      </c>
    </row>
    <row r="46" spans="7:59">
      <c r="Q46" t="str">
        <v/>
      </c>
      <c r="BG46" t="str">
        <v/>
      </c>
    </row>
    <row r="47" spans="7:59">
      <c r="Q47" t="str">
        <v/>
      </c>
      <c r="BG47" t="str">
        <v/>
      </c>
    </row>
    <row r="48" spans="7:59">
      <c r="Q48" t="str">
        <v/>
      </c>
    </row>
    <row r="49" spans="17:17">
      <c r="Q49" t="str">
        <v/>
      </c>
    </row>
    <row r="50" spans="17:17">
      <c r="Q50" t="str">
        <v/>
      </c>
    </row>
    <row r="51" spans="17:17">
      <c r="Q51" t="str">
        <v/>
      </c>
    </row>
    <row r="52" spans="17:17">
      <c r="Q52" t="str">
        <v/>
      </c>
    </row>
    <row r="53" spans="17:17">
      <c r="Q53" t="str">
        <v/>
      </c>
    </row>
    <row r="54" spans="17:17">
      <c r="Q54" t="str">
        <v/>
      </c>
    </row>
    <row r="55" spans="17:17">
      <c r="Q55" t="str">
        <v/>
      </c>
    </row>
    <row r="56" spans="17:17">
      <c r="Q56" t="str">
        <v/>
      </c>
    </row>
  </sheetData>
  <dataConsolidate/>
  <conditionalFormatting sqref="G29:G33">
    <cfRule type="expression" dxfId="15" priority="2">
      <formula>_xlfn.ISFORMULA(G29)</formula>
    </cfRule>
  </conditionalFormatting>
  <conditionalFormatting sqref="J2:J31">
    <cfRule type="expression" dxfId="14" priority="1">
      <formula>IFERROR(FIND(" ",J2)&gt;0,FALSE)</formula>
    </cfRule>
  </conditionalFormatting>
  <dataValidations count="4">
    <dataValidation type="list" allowBlank="1" showInputMessage="1" showErrorMessage="1" sqref="K13:K31 K10:K11 K2:K6" xr:uid="{890A5CCF-14E6-4F29-98F3-5AD28D2D43FE}">
      <formula1>_xlfn.ANCHORARRAY($U$1)</formula1>
    </dataValidation>
    <dataValidation type="list" allowBlank="1" showInputMessage="1" showErrorMessage="1" sqref="B5:B8" xr:uid="{1DB91003-BA4A-44F2-B288-441D0334649B}">
      <formula1>_xlfn.ANCHORARRAY($W$1)</formula1>
    </dataValidation>
    <dataValidation type="list" allowBlank="1" showInputMessage="1" showErrorMessage="1" sqref="B1 C5:D8" xr:uid="{AC65ED86-E4A2-476B-8C82-B8CA5FB6610A}">
      <formula1>_xlfn.ANCHORARRAY($T$1)</formula1>
    </dataValidation>
    <dataValidation type="list" allowBlank="1" showInputMessage="1" showErrorMessage="1" sqref="L2:L7 L10:L11 L13:L31" xr:uid="{2FBE0DFB-7032-47C7-BDA2-B922E8F00C86}">
      <formula1>_xlfn.ANCHORARRAY($V$1)</formula1>
    </dataValidation>
  </dataValidations>
  <pageMargins left="0.7" right="0.7" top="0.75" bottom="0.75" header="0.3" footer="0.3"/>
  <pageSetup orientation="portrait" horizontalDpi="0" verticalDpi="0" r:id="rId1"/>
  <drawing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082D9-94ED-48A7-9E31-5B446D0ECEC0}">
  <dimension ref="A1:AB29"/>
  <sheetViews>
    <sheetView showGridLines="0" workbookViewId="0">
      <selection activeCell="U2" sqref="U2:U18"/>
    </sheetView>
  </sheetViews>
  <sheetFormatPr defaultRowHeight="14.6"/>
  <cols>
    <col min="1" max="1" width="10.4609375" bestFit="1" customWidth="1"/>
    <col min="2" max="2" width="14" bestFit="1" customWidth="1"/>
    <col min="3" max="3" width="18.69140625" bestFit="1" customWidth="1"/>
    <col min="5" max="5" width="9.765625" bestFit="1" customWidth="1"/>
    <col min="6" max="6" width="11.69140625" bestFit="1" customWidth="1"/>
    <col min="7" max="7" width="9" bestFit="1" customWidth="1"/>
    <col min="8" max="8" width="20.3046875" bestFit="1" customWidth="1"/>
    <col min="9" max="9" width="8" bestFit="1" customWidth="1"/>
    <col min="10" max="10" width="11.921875" hidden="1" customWidth="1"/>
    <col min="11" max="11" width="8.765625" hidden="1" customWidth="1"/>
    <col min="12" max="12" width="8.3828125" hidden="1" customWidth="1"/>
    <col min="13" max="14" width="13.3046875" hidden="1" customWidth="1"/>
    <col min="15" max="15" width="29.4609375" hidden="1" customWidth="1"/>
    <col min="16" max="16" width="2.84375" hidden="1" customWidth="1"/>
    <col min="17" max="17" width="13.4609375" hidden="1" customWidth="1"/>
    <col min="18" max="18" width="12.07421875" hidden="1" customWidth="1"/>
    <col min="19" max="19" width="0" hidden="1" customWidth="1"/>
    <col min="21" max="21" width="29.4609375" bestFit="1" customWidth="1"/>
    <col min="24" max="24" width="9.23046875" style="19"/>
    <col min="25" max="25" width="13.3046875" hidden="1" customWidth="1"/>
    <col min="26" max="26" width="37.921875" bestFit="1" customWidth="1"/>
    <col min="27" max="27" width="117.4609375" bestFit="1" customWidth="1"/>
    <col min="28" max="28" width="24.53515625" bestFit="1" customWidth="1"/>
  </cols>
  <sheetData>
    <row r="1" spans="1:28">
      <c r="A1" t="s">
        <v>146</v>
      </c>
      <c r="B1" t="s">
        <v>393</v>
      </c>
      <c r="C1" t="s">
        <v>5</v>
      </c>
      <c r="E1" t="s">
        <v>396</v>
      </c>
      <c r="F1" t="s">
        <v>389</v>
      </c>
      <c r="G1" t="s">
        <v>407</v>
      </c>
      <c r="H1" t="s">
        <v>403</v>
      </c>
      <c r="I1" t="s">
        <v>406</v>
      </c>
      <c r="J1" t="s">
        <v>426</v>
      </c>
      <c r="K1" t="s">
        <v>422</v>
      </c>
      <c r="L1" t="s">
        <v>425</v>
      </c>
      <c r="M1" t="s">
        <v>402</v>
      </c>
      <c r="N1" t="s">
        <v>431</v>
      </c>
      <c r="O1" t="s">
        <v>5</v>
      </c>
      <c r="P1" t="s">
        <v>428</v>
      </c>
      <c r="Q1" t="s">
        <v>427</v>
      </c>
      <c r="R1" t="s">
        <v>429</v>
      </c>
      <c r="S1" t="s">
        <v>430</v>
      </c>
      <c r="U1" s="4" t="s">
        <v>137</v>
      </c>
      <c r="X1"/>
      <c r="Y1" s="19" t="str" cm="1">
        <f t="array" ref="Y1:Y9">_xlfn.UNIQUE(_xlfn.VSTACK(ganttTasks[taskUID],_xlfn._xlws.FILTER(ganttTasks[startAtOrAfter],ganttTasks[startAtOrAfter]&lt;&gt;"","")))</f>
        <v/>
      </c>
      <c r="AB1" t="s">
        <v>328</v>
      </c>
    </row>
    <row r="2" spans="1:28">
      <c r="A2" t="s">
        <v>390</v>
      </c>
      <c r="B2" t="s">
        <v>394</v>
      </c>
      <c r="C2" t="str">
        <f>ganttElements[[#This Row],[Element]]&amp;" " &amp;ganttElements[[#This Row],[value]]</f>
        <v>dateFormat dd-mmm</v>
      </c>
      <c r="E2" t="s">
        <v>397</v>
      </c>
      <c r="G2" s="18"/>
      <c r="H2" s="22"/>
      <c r="I2" s="21"/>
      <c r="J2" s="18" t="str">
        <f>IF(ganttTasks[[#This Row],[TaskName]]="","",IF(ganttTasks[[#This Row],[startAtOrAfter]]="","Previous Task",IF(ISNUMBER(ganttTasks[[#This Row],[startAtOrAfter]]),"Date","Other Task")))</f>
        <v/>
      </c>
      <c r="K2" s="20" t="str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/>
      </c>
      <c r="L2" s="20" t="str">
        <f>IF(ganttTasks[[#This Row],[TaskName]]="","",IF(ganttTasks[[#This Row],[StartDate]]="",L1,ganttTasks[[#This Row],[duration]]+ganttTasks[[#This Row],[StartDate]]))</f>
        <v/>
      </c>
      <c r="M2" t="str">
        <f>IF(ganttTasks[[#This Row],[TaskName]]="","",ganttTasks[[#This Row],[taskSectionID]]&amp;":"&amp;ganttTasks[[#This Row],[TaskName]])</f>
        <v/>
      </c>
      <c r="N2" t="str">
        <f>IF(ganttTasks[[#This Row],[TaskName]]="","",ganttTasks[[#This Row],[sectionName]]&amp;":"&amp;ganttTasks[[#This Row],[TaskName]])</f>
        <v/>
      </c>
      <c r="O2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>section Section 1</v>
      </c>
      <c r="P2">
        <f>ROW()</f>
        <v>2</v>
      </c>
      <c r="Q2" t="str" cm="1">
        <f t="array" ref="Q2">IFERROR(MAX(_xlfn._xlws.FILTER(ganttTasks[ID],ganttTasks[ID]&lt;ganttTasks[[#This Row],[ID]],"")),"")</f>
        <v/>
      </c>
      <c r="R2" cm="1">
        <f t="array" ref="R2">MAX(_xlfn._xlws.FILTER(ganttTasks[ID],(ganttTasks[ID]&lt;ganttTasks[[#This Row],[ID]])*(ganttTasks[Section]&lt;&gt;""),0))</f>
        <v>0</v>
      </c>
      <c r="S2" s="16" t="str">
        <f>IF(ganttTasks[[#This Row],[TaskName]]="","",IF(ganttTasks[[#This Row],[Section]]&lt;&gt;"","",_xlfn.XLOOKUP(ganttTasks[[#This Row],[taskSectionID]],ganttTasks[ID],ganttTasks[Section])))</f>
        <v/>
      </c>
      <c r="U2" t="str" cm="1">
        <f t="array" ref="U2:U18">_xlfn.VSTACK(
"gantt",
"",
"%% Setup",
ganttElements[mmSyntax],
"",
"%% Tasks",
_xlfn._xlws.FILTER(ganttTasks[mmSyntax],ganttTasks[mmSyntax]&lt;&gt;""))</f>
        <v>gantt</v>
      </c>
      <c r="X2"/>
      <c r="Y2" s="19" t="str">
        <v>Section 1:Task A</v>
      </c>
      <c r="AB2" t="s">
        <v>329</v>
      </c>
    </row>
    <row r="3" spans="1:28">
      <c r="A3" t="s">
        <v>0</v>
      </c>
      <c r="B3" t="s">
        <v>395</v>
      </c>
      <c r="C3" t="str">
        <f>ganttElements[[#This Row],[Element]]&amp;" " &amp;ganttElements[[#This Row],[value]]</f>
        <v>title Example GANTT</v>
      </c>
      <c r="F3" t="s">
        <v>399</v>
      </c>
      <c r="G3" s="18" t="s">
        <v>408</v>
      </c>
      <c r="H3" s="22">
        <v>45411</v>
      </c>
      <c r="I3" s="21">
        <v>9</v>
      </c>
      <c r="J3" s="18" t="str">
        <f>IF(ganttTasks[[#This Row],[TaskName]]="","",IF(ganttTasks[[#This Row],[startAtOrAfter]]="","Previous Task",IF(ISNUMBER(ganttTasks[[#This Row],[startAtOrAfter]]),"Date","Other Task")))</f>
        <v>Date</v>
      </c>
      <c r="K3" s="20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>45411</v>
      </c>
      <c r="L3" s="20">
        <f>IF(ganttTasks[[#This Row],[TaskName]]="","",IF(ganttTasks[[#This Row],[StartDate]]="",L2,ganttTasks[[#This Row],[duration]]+ganttTasks[[#This Row],[StartDate]]))</f>
        <v>45420</v>
      </c>
      <c r="M3" t="str">
        <f>IF(ganttTasks[[#This Row],[TaskName]]="","",ganttTasks[[#This Row],[taskSectionID]]&amp;":"&amp;ganttTasks[[#This Row],[TaskName]])</f>
        <v>2:Task A</v>
      </c>
      <c r="N3" t="str">
        <f>IF(ganttTasks[[#This Row],[TaskName]]="","",ganttTasks[[#This Row],[sectionName]]&amp;":"&amp;ganttTasks[[#This Row],[TaskName]])</f>
        <v>Section 1:Task A</v>
      </c>
      <c r="O3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>Task A : done, 29-Apr, 9d</v>
      </c>
      <c r="P3">
        <f>ROW()</f>
        <v>3</v>
      </c>
      <c r="Q3" cm="1">
        <f t="array" ref="Q3">IFERROR(MAX(_xlfn._xlws.FILTER(ganttTasks[ID],ganttTasks[ID]&lt;ganttTasks[[#This Row],[ID]],"")),"")</f>
        <v>2</v>
      </c>
      <c r="R3" cm="1">
        <f t="array" ref="R3">MAX(_xlfn._xlws.FILTER(ganttTasks[ID],(ganttTasks[ID]&lt;ganttTasks[[#This Row],[ID]])*(ganttTasks[Section]&lt;&gt;""),0))</f>
        <v>2</v>
      </c>
      <c r="S3" s="16" t="str">
        <f>IF(ganttTasks[[#This Row],[TaskName]]="","",IF(ganttTasks[[#This Row],[Section]]&lt;&gt;"","",_xlfn.XLOOKUP(ganttTasks[[#This Row],[taskSectionID]],ganttTasks[ID],ganttTasks[Section])))</f>
        <v>Section 1</v>
      </c>
      <c r="U3" t="str">
        <v/>
      </c>
      <c r="X3"/>
      <c r="Y3" s="19" t="str">
        <v>Section 1:Crit bug fix</v>
      </c>
    </row>
    <row r="4" spans="1:28">
      <c r="A4" t="s">
        <v>391</v>
      </c>
      <c r="B4" t="s">
        <v>392</v>
      </c>
      <c r="C4" t="str">
        <f>ganttElements[[#This Row],[Element]]&amp;" " &amp;ganttElements[[#This Row],[value]]</f>
        <v>excludes weekends</v>
      </c>
      <c r="F4" t="s">
        <v>411</v>
      </c>
      <c r="G4" t="s">
        <v>424</v>
      </c>
      <c r="H4" s="22">
        <v>45413</v>
      </c>
      <c r="I4" s="21">
        <v>4</v>
      </c>
      <c r="J4" s="18" t="str">
        <f>IF(ganttTasks[[#This Row],[TaskName]]="","",IF(ganttTasks[[#This Row],[startAtOrAfter]]="","Previous Task",IF(ISNUMBER(ganttTasks[[#This Row],[startAtOrAfter]]),"Date","Other Task")))</f>
        <v>Date</v>
      </c>
      <c r="K4" s="20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>45413</v>
      </c>
      <c r="L4" s="20">
        <f>IF(ganttTasks[[#This Row],[TaskName]]="","",IF(ganttTasks[[#This Row],[StartDate]]="",L3,ganttTasks[[#This Row],[duration]]+ganttTasks[[#This Row],[StartDate]]))</f>
        <v>45417</v>
      </c>
      <c r="M4" t="str">
        <f>IF(ganttTasks[[#This Row],[TaskName]]="","",ganttTasks[[#This Row],[taskSectionID]]&amp;":"&amp;ganttTasks[[#This Row],[TaskName]])</f>
        <v>2:Crit bug fix</v>
      </c>
      <c r="N4" t="str">
        <f>IF(ganttTasks[[#This Row],[TaskName]]="","",ganttTasks[[#This Row],[sectionName]]&amp;":"&amp;ganttTasks[[#This Row],[TaskName]])</f>
        <v>Section 1:Crit bug fix</v>
      </c>
      <c r="O4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>Crit bug fix : crit, 01-May, 4d</v>
      </c>
      <c r="P4">
        <f>ROW()</f>
        <v>4</v>
      </c>
      <c r="Q4" cm="1">
        <f t="array" ref="Q4">IFERROR(MAX(_xlfn._xlws.FILTER(ganttTasks[ID],ganttTasks[ID]&lt;ganttTasks[[#This Row],[ID]],"")),"")</f>
        <v>3</v>
      </c>
      <c r="R4" cm="1">
        <f t="array" ref="R4">MAX(_xlfn._xlws.FILTER(ganttTasks[ID],(ganttTasks[ID]&lt;ganttTasks[[#This Row],[ID]])*(ganttTasks[Section]&lt;&gt;""),0))</f>
        <v>2</v>
      </c>
      <c r="S4" s="16" t="str">
        <f>IF(ganttTasks[[#This Row],[TaskName]]="","",IF(ganttTasks[[#This Row],[Section]]&lt;&gt;"","",_xlfn.XLOOKUP(ganttTasks[[#This Row],[taskSectionID]],ganttTasks[ID],ganttTasks[Section])))</f>
        <v>Section 1</v>
      </c>
      <c r="U4" t="str">
        <v>%% Setup</v>
      </c>
      <c r="X4"/>
      <c r="Y4" s="19" t="str">
        <v>Section 1:Finish work</v>
      </c>
    </row>
    <row r="5" spans="1:28">
      <c r="F5" t="s">
        <v>400</v>
      </c>
      <c r="G5" t="s">
        <v>408</v>
      </c>
      <c r="H5" s="22"/>
      <c r="I5" s="21">
        <v>7</v>
      </c>
      <c r="J5" s="18" t="str">
        <f>IF(ganttTasks[[#This Row],[TaskName]]="","",IF(ganttTasks[[#This Row],[startAtOrAfter]]="","Previous Task",IF(ISNUMBER(ganttTasks[[#This Row],[startAtOrAfter]]),"Date","Other Task")))</f>
        <v>Previous Task</v>
      </c>
      <c r="K5" s="20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>45417</v>
      </c>
      <c r="L5" s="20">
        <f>IF(ganttTasks[[#This Row],[TaskName]]="","",IF(ganttTasks[[#This Row],[StartDate]]="",L4,ganttTasks[[#This Row],[duration]]+ganttTasks[[#This Row],[StartDate]]))</f>
        <v>45424</v>
      </c>
      <c r="M5" t="str">
        <f>IF(ganttTasks[[#This Row],[TaskName]]="","",ganttTasks[[#This Row],[taskSectionID]]&amp;":"&amp;ganttTasks[[#This Row],[TaskName]])</f>
        <v>2:Finish work</v>
      </c>
      <c r="N5" t="str">
        <f>IF(ganttTasks[[#This Row],[TaskName]]="","",ganttTasks[[#This Row],[sectionName]]&amp;":"&amp;ganttTasks[[#This Row],[TaskName]])</f>
        <v>Section 1:Finish work</v>
      </c>
      <c r="O5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>Finish work : done, 05-May, 7d</v>
      </c>
      <c r="P5">
        <f>ROW()</f>
        <v>5</v>
      </c>
      <c r="Q5" cm="1">
        <f t="array" ref="Q5">IFERROR(MAX(_xlfn._xlws.FILTER(ganttTasks[ID],ganttTasks[ID]&lt;ganttTasks[[#This Row],[ID]],"")),"")</f>
        <v>4</v>
      </c>
      <c r="R5" cm="1">
        <f t="array" ref="R5">MAX(_xlfn._xlws.FILTER(ganttTasks[ID],(ganttTasks[ID]&lt;ganttTasks[[#This Row],[ID]])*(ganttTasks[Section]&lt;&gt;""),0))</f>
        <v>2</v>
      </c>
      <c r="S5" s="16" t="str">
        <f>IF(ganttTasks[[#This Row],[TaskName]]="","",IF(ganttTasks[[#This Row],[Section]]&lt;&gt;"","",_xlfn.XLOOKUP(ganttTasks[[#This Row],[taskSectionID]],ganttTasks[ID],ganttTasks[Section])))</f>
        <v>Section 1</v>
      </c>
      <c r="U5" t="str">
        <v>dateFormat dd-mmm</v>
      </c>
      <c r="X5"/>
      <c r="Y5" s="19" t="str">
        <v>Section 2:Another Task</v>
      </c>
    </row>
    <row r="6" spans="1:28">
      <c r="H6" s="22"/>
      <c r="I6" s="21"/>
      <c r="J6" s="18" t="str">
        <f>IF(ganttTasks[[#This Row],[TaskName]]="","",IF(ganttTasks[[#This Row],[startAtOrAfter]]="","Previous Task",IF(ISNUMBER(ganttTasks[[#This Row],[startAtOrAfter]]),"Date","Other Task")))</f>
        <v/>
      </c>
      <c r="K6" s="20" t="str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/>
      </c>
      <c r="L6" s="20" t="str">
        <f>IF(ganttTasks[[#This Row],[TaskName]]="","",IF(ganttTasks[[#This Row],[StartDate]]="",L5,ganttTasks[[#This Row],[duration]]+ganttTasks[[#This Row],[StartDate]]))</f>
        <v/>
      </c>
      <c r="M6" t="str">
        <f>IF(ganttTasks[[#This Row],[TaskName]]="","",ganttTasks[[#This Row],[taskSectionID]]&amp;":"&amp;ganttTasks[[#This Row],[TaskName]])</f>
        <v/>
      </c>
      <c r="N6" t="str">
        <f>IF(ganttTasks[[#This Row],[TaskName]]="","",ganttTasks[[#This Row],[sectionName]]&amp;":"&amp;ganttTasks[[#This Row],[TaskName]])</f>
        <v/>
      </c>
      <c r="O6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/>
      </c>
      <c r="P6">
        <f>ROW()</f>
        <v>6</v>
      </c>
      <c r="Q6" cm="1">
        <f t="array" ref="Q6">IFERROR(MAX(_xlfn._xlws.FILTER(ganttTasks[ID],ganttTasks[ID]&lt;ganttTasks[[#This Row],[ID]],"")),"")</f>
        <v>5</v>
      </c>
      <c r="R6" cm="1">
        <f t="array" ref="R6">MAX(_xlfn._xlws.FILTER(ganttTasks[ID],(ganttTasks[ID]&lt;ganttTasks[[#This Row],[ID]])*(ganttTasks[Section]&lt;&gt;""),0))</f>
        <v>2</v>
      </c>
      <c r="S6" s="16" t="str">
        <f>IF(ganttTasks[[#This Row],[TaskName]]="","",IF(ganttTasks[[#This Row],[Section]]&lt;&gt;"","",_xlfn.XLOOKUP(ganttTasks[[#This Row],[taskSectionID]],ganttTasks[ID],ganttTasks[Section])))</f>
        <v/>
      </c>
      <c r="U6" t="str">
        <v>title Example GANTT</v>
      </c>
      <c r="X6"/>
      <c r="Y6" s="19" t="str">
        <v>lastSection:document</v>
      </c>
    </row>
    <row r="7" spans="1:28">
      <c r="H7" s="22"/>
      <c r="I7" s="21"/>
      <c r="J7" s="18" t="str">
        <f>IF(ganttTasks[[#This Row],[TaskName]]="","",IF(ganttTasks[[#This Row],[startAtOrAfter]]="","Previous Task",IF(ISNUMBER(ganttTasks[[#This Row],[startAtOrAfter]]),"Date","Other Task")))</f>
        <v/>
      </c>
      <c r="K7" s="20" t="str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/>
      </c>
      <c r="L7" s="20" t="str">
        <f>IF(ganttTasks[[#This Row],[TaskName]]="","",IF(ganttTasks[[#This Row],[StartDate]]="",L6,ganttTasks[[#This Row],[duration]]+ganttTasks[[#This Row],[StartDate]]))</f>
        <v/>
      </c>
      <c r="M7" t="str">
        <f>IF(ganttTasks[[#This Row],[TaskName]]="","",ganttTasks[[#This Row],[taskSectionID]]&amp;":"&amp;ganttTasks[[#This Row],[TaskName]])</f>
        <v/>
      </c>
      <c r="N7" t="str">
        <f>IF(ganttTasks[[#This Row],[TaskName]]="","",ganttTasks[[#This Row],[sectionName]]&amp;":"&amp;ganttTasks[[#This Row],[TaskName]])</f>
        <v/>
      </c>
      <c r="O7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/>
      </c>
      <c r="P7">
        <f>ROW()</f>
        <v>7</v>
      </c>
      <c r="Q7" cm="1">
        <f t="array" ref="Q7">IFERROR(MAX(_xlfn._xlws.FILTER(ganttTasks[ID],ganttTasks[ID]&lt;ganttTasks[[#This Row],[ID]],"")),"")</f>
        <v>6</v>
      </c>
      <c r="R7" cm="1">
        <f t="array" ref="R7">MAX(_xlfn._xlws.FILTER(ganttTasks[ID],(ganttTasks[ID]&lt;ganttTasks[[#This Row],[ID]])*(ganttTasks[Section]&lt;&gt;""),0))</f>
        <v>2</v>
      </c>
      <c r="S7" s="16" t="str">
        <f>IF(ganttTasks[[#This Row],[TaskName]]="","",IF(ganttTasks[[#This Row],[Section]]&lt;&gt;"","",_xlfn.XLOOKUP(ganttTasks[[#This Row],[taskSectionID]],ganttTasks[ID],ganttTasks[Section])))</f>
        <v/>
      </c>
      <c r="U7" t="str">
        <v>excludes weekends</v>
      </c>
      <c r="X7"/>
      <c r="Y7" s="19" t="str">
        <v>lastSection:publish</v>
      </c>
    </row>
    <row r="8" spans="1:28">
      <c r="H8" s="22"/>
      <c r="I8" s="21"/>
      <c r="J8" s="18" t="str">
        <f>IF(ganttTasks[[#This Row],[TaskName]]="","",IF(ganttTasks[[#This Row],[startAtOrAfter]]="","Previous Task",IF(ISNUMBER(ganttTasks[[#This Row],[startAtOrAfter]]),"Date","Other Task")))</f>
        <v/>
      </c>
      <c r="K8" s="20" t="str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/>
      </c>
      <c r="L8" s="20" t="str">
        <f>IF(ganttTasks[[#This Row],[TaskName]]="","",IF(ganttTasks[[#This Row],[StartDate]]="",L7,ganttTasks[[#This Row],[duration]]+ganttTasks[[#This Row],[StartDate]]))</f>
        <v/>
      </c>
      <c r="M8" s="16" t="str">
        <f>IF(ganttTasks[[#This Row],[TaskName]]="","",ganttTasks[[#This Row],[taskSectionID]]&amp;":"&amp;ganttTasks[[#This Row],[TaskName]])</f>
        <v/>
      </c>
      <c r="N8" s="16" t="str">
        <f>IF(ganttTasks[[#This Row],[TaskName]]="","",ganttTasks[[#This Row],[sectionName]]&amp;":"&amp;ganttTasks[[#This Row],[TaskName]])</f>
        <v/>
      </c>
      <c r="O8" s="16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/>
      </c>
      <c r="P8">
        <f>ROW()</f>
        <v>8</v>
      </c>
      <c r="Q8" cm="1">
        <f t="array" ref="Q8">IFERROR(MAX(_xlfn._xlws.FILTER(ganttTasks[ID],ganttTasks[ID]&lt;ganttTasks[[#This Row],[ID]],"")),"")</f>
        <v>7</v>
      </c>
      <c r="R8" cm="1">
        <f t="array" ref="R8">MAX(_xlfn._xlws.FILTER(ganttTasks[ID],(ganttTasks[ID]&lt;ganttTasks[[#This Row],[ID]])*(ganttTasks[Section]&lt;&gt;""),0))</f>
        <v>2</v>
      </c>
      <c r="S8" s="16" t="str">
        <f>IF(ganttTasks[[#This Row],[TaskName]]="","",IF(ganttTasks[[#This Row],[Section]]&lt;&gt;"","",_xlfn.XLOOKUP(ganttTasks[[#This Row],[taskSectionID]],ganttTasks[ID],ganttTasks[Section])))</f>
        <v/>
      </c>
      <c r="U8" t="str">
        <v/>
      </c>
      <c r="X8"/>
      <c r="Y8" s="19">
        <v>45411</v>
      </c>
    </row>
    <row r="9" spans="1:28">
      <c r="E9" t="s">
        <v>398</v>
      </c>
      <c r="H9" s="22"/>
      <c r="I9" s="21"/>
      <c r="J9" s="18" t="str">
        <f>IF(ganttTasks[[#This Row],[TaskName]]="","",IF(ganttTasks[[#This Row],[startAtOrAfter]]="","Previous Task",IF(ISNUMBER(ganttTasks[[#This Row],[startAtOrAfter]]),"Date","Other Task")))</f>
        <v/>
      </c>
      <c r="K9" s="20" t="str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/>
      </c>
      <c r="L9" s="20" t="str">
        <f>IF(ganttTasks[[#This Row],[TaskName]]="","",IF(ganttTasks[[#This Row],[StartDate]]="",L8,ganttTasks[[#This Row],[duration]]+ganttTasks[[#This Row],[StartDate]]))</f>
        <v/>
      </c>
      <c r="M9" s="16" t="str">
        <f>IF(ganttTasks[[#This Row],[TaskName]]="","",ganttTasks[[#This Row],[taskSectionID]]&amp;":"&amp;ganttTasks[[#This Row],[TaskName]])</f>
        <v/>
      </c>
      <c r="N9" s="16" t="str">
        <f>IF(ganttTasks[[#This Row],[TaskName]]="","",ganttTasks[[#This Row],[sectionName]]&amp;":"&amp;ganttTasks[[#This Row],[TaskName]])</f>
        <v/>
      </c>
      <c r="O9" s="16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>section Section 2</v>
      </c>
      <c r="P9">
        <f>ROW()</f>
        <v>9</v>
      </c>
      <c r="Q9" cm="1">
        <f t="array" ref="Q9">IFERROR(MAX(_xlfn._xlws.FILTER(ganttTasks[ID],ganttTasks[ID]&lt;ganttTasks[[#This Row],[ID]],"")),"")</f>
        <v>8</v>
      </c>
      <c r="R9" cm="1">
        <f t="array" ref="R9">MAX(_xlfn._xlws.FILTER(ganttTasks[ID],(ganttTasks[ID]&lt;ganttTasks[[#This Row],[ID]])*(ganttTasks[Section]&lt;&gt;""),0))</f>
        <v>2</v>
      </c>
      <c r="S9" s="16" t="str">
        <f>IF(ganttTasks[[#This Row],[TaskName]]="","",IF(ganttTasks[[#This Row],[Section]]&lt;&gt;"","",_xlfn.XLOOKUP(ganttTasks[[#This Row],[taskSectionID]],ganttTasks[ID],ganttTasks[Section])))</f>
        <v/>
      </c>
      <c r="U9" t="str">
        <v>%% Tasks</v>
      </c>
      <c r="X9"/>
      <c r="Y9" s="19">
        <v>45413</v>
      </c>
    </row>
    <row r="10" spans="1:28">
      <c r="F10" t="s">
        <v>401</v>
      </c>
      <c r="G10" t="s">
        <v>409</v>
      </c>
      <c r="H10" s="22" t="s">
        <v>432</v>
      </c>
      <c r="I10" s="21">
        <v>14</v>
      </c>
      <c r="J10" s="18" t="str">
        <f>IF(ganttTasks[[#This Row],[TaskName]]="","",IF(ganttTasks[[#This Row],[startAtOrAfter]]="","Previous Task",IF(ISNUMBER(ganttTasks[[#This Row],[startAtOrAfter]]),"Date","Other Task")))</f>
        <v>Other Task</v>
      </c>
      <c r="K10" s="20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>45424</v>
      </c>
      <c r="L10" s="20">
        <f>IF(ganttTasks[[#This Row],[TaskName]]="","",IF(ganttTasks[[#This Row],[StartDate]]="",L9,ganttTasks[[#This Row],[duration]]+ganttTasks[[#This Row],[StartDate]]))</f>
        <v>45438</v>
      </c>
      <c r="M10" s="16" t="str">
        <f>IF(ganttTasks[[#This Row],[TaskName]]="","",ganttTasks[[#This Row],[taskSectionID]]&amp;":"&amp;ganttTasks[[#This Row],[TaskName]])</f>
        <v>9:Another Task</v>
      </c>
      <c r="N10" s="16" t="str">
        <f>IF(ganttTasks[[#This Row],[TaskName]]="","",ganttTasks[[#This Row],[sectionName]]&amp;":"&amp;ganttTasks[[#This Row],[TaskName]])</f>
        <v>Section 2:Another Task</v>
      </c>
      <c r="O10" s="16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>Another Task : active, 12-May, 14d</v>
      </c>
      <c r="P10">
        <f>ROW()</f>
        <v>10</v>
      </c>
      <c r="Q10" cm="1">
        <f t="array" ref="Q10">IFERROR(MAX(_xlfn._xlws.FILTER(ganttTasks[ID],ganttTasks[ID]&lt;ganttTasks[[#This Row],[ID]],"")),"")</f>
        <v>9</v>
      </c>
      <c r="R10" cm="1">
        <f t="array" ref="R10">MAX(_xlfn._xlws.FILTER(ganttTasks[ID],(ganttTasks[ID]&lt;ganttTasks[[#This Row],[ID]])*(ganttTasks[Section]&lt;&gt;""),0))</f>
        <v>9</v>
      </c>
      <c r="S10" s="16" t="str">
        <f>IF(ganttTasks[[#This Row],[TaskName]]="","",IF(ganttTasks[[#This Row],[Section]]&lt;&gt;"","",_xlfn.XLOOKUP(ganttTasks[[#This Row],[taskSectionID]],ganttTasks[ID],ganttTasks[Section])))</f>
        <v>Section 2</v>
      </c>
      <c r="U10" t="str">
        <v>section Section 1</v>
      </c>
      <c r="X10"/>
      <c r="Y10" s="19"/>
    </row>
    <row r="11" spans="1:28">
      <c r="H11" s="22"/>
      <c r="I11" s="21"/>
      <c r="J11" s="18" t="str">
        <f>IF(ganttTasks[[#This Row],[TaskName]]="","",IF(ganttTasks[[#This Row],[startAtOrAfter]]="","Previous Task",IF(ISNUMBER(ganttTasks[[#This Row],[startAtOrAfter]]),"Date","Other Task")))</f>
        <v/>
      </c>
      <c r="K11" s="20" t="str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/>
      </c>
      <c r="L11" s="20" t="str">
        <f>IF(ganttTasks[[#This Row],[TaskName]]="","",IF(ganttTasks[[#This Row],[StartDate]]="",L10,ganttTasks[[#This Row],[duration]]+ganttTasks[[#This Row],[StartDate]]))</f>
        <v/>
      </c>
      <c r="M11" s="16" t="str">
        <f>IF(ganttTasks[[#This Row],[TaskName]]="","",ganttTasks[[#This Row],[taskSectionID]]&amp;":"&amp;ganttTasks[[#This Row],[TaskName]])</f>
        <v/>
      </c>
      <c r="N11" s="16" t="str">
        <f>IF(ganttTasks[[#This Row],[TaskName]]="","",ganttTasks[[#This Row],[sectionName]]&amp;":"&amp;ganttTasks[[#This Row],[TaskName]])</f>
        <v/>
      </c>
      <c r="O11" s="16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/>
      </c>
      <c r="P11">
        <f>ROW()</f>
        <v>11</v>
      </c>
      <c r="Q11" cm="1">
        <f t="array" ref="Q11">IFERROR(MAX(_xlfn._xlws.FILTER(ganttTasks[ID],ganttTasks[ID]&lt;ganttTasks[[#This Row],[ID]],"")),"")</f>
        <v>10</v>
      </c>
      <c r="R11" cm="1">
        <f t="array" ref="R11">MAX(_xlfn._xlws.FILTER(ganttTasks[ID],(ganttTasks[ID]&lt;ganttTasks[[#This Row],[ID]])*(ganttTasks[Section]&lt;&gt;""),0))</f>
        <v>9</v>
      </c>
      <c r="S11" s="16" t="str">
        <f>IF(ganttTasks[[#This Row],[TaskName]]="","",IF(ganttTasks[[#This Row],[Section]]&lt;&gt;"","",_xlfn.XLOOKUP(ganttTasks[[#This Row],[taskSectionID]],ganttTasks[ID],ganttTasks[Section])))</f>
        <v/>
      </c>
      <c r="U11" t="str">
        <v>Task A : done, 29-Apr, 9d</v>
      </c>
      <c r="X11"/>
      <c r="Y11" s="19"/>
    </row>
    <row r="12" spans="1:28">
      <c r="H12" s="22"/>
      <c r="I12" s="21"/>
      <c r="J12" s="18" t="str">
        <f>IF(ganttTasks[[#This Row],[TaskName]]="","",IF(ganttTasks[[#This Row],[startAtOrAfter]]="","Previous Task",IF(ISNUMBER(ganttTasks[[#This Row],[startAtOrAfter]]),"Date","Other Task")))</f>
        <v/>
      </c>
      <c r="K12" s="20" t="str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/>
      </c>
      <c r="L12" s="20" t="str">
        <f>IF(ganttTasks[[#This Row],[TaskName]]="","",IF(ganttTasks[[#This Row],[StartDate]]="",L11,ganttTasks[[#This Row],[duration]]+ganttTasks[[#This Row],[StartDate]]))</f>
        <v/>
      </c>
      <c r="M12" s="16" t="str">
        <f>IF(ganttTasks[[#This Row],[TaskName]]="","",ganttTasks[[#This Row],[taskSectionID]]&amp;":"&amp;ganttTasks[[#This Row],[TaskName]])</f>
        <v/>
      </c>
      <c r="N12" s="16" t="str">
        <f>IF(ganttTasks[[#This Row],[TaskName]]="","",ganttTasks[[#This Row],[sectionName]]&amp;":"&amp;ganttTasks[[#This Row],[TaskName]])</f>
        <v/>
      </c>
      <c r="O12" s="16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/>
      </c>
      <c r="P12">
        <f>ROW()</f>
        <v>12</v>
      </c>
      <c r="Q12" cm="1">
        <f t="array" ref="Q12">IFERROR(MAX(_xlfn._xlws.FILTER(ganttTasks[ID],ganttTasks[ID]&lt;ganttTasks[[#This Row],[ID]],"")),"")</f>
        <v>11</v>
      </c>
      <c r="R12" cm="1">
        <f t="array" ref="R12">MAX(_xlfn._xlws.FILTER(ganttTasks[ID],(ganttTasks[ID]&lt;ganttTasks[[#This Row],[ID]])*(ganttTasks[Section]&lt;&gt;""),0))</f>
        <v>9</v>
      </c>
      <c r="S12" s="16" t="str">
        <f>IF(ganttTasks[[#This Row],[TaskName]]="","",IF(ganttTasks[[#This Row],[Section]]&lt;&gt;"","",_xlfn.XLOOKUP(ganttTasks[[#This Row],[taskSectionID]],ganttTasks[ID],ganttTasks[Section])))</f>
        <v/>
      </c>
      <c r="U12" t="str">
        <v>Crit bug fix : crit, 01-May, 4d</v>
      </c>
      <c r="X12"/>
      <c r="Y12" s="19"/>
    </row>
    <row r="13" spans="1:28">
      <c r="H13" s="22"/>
      <c r="I13" s="21"/>
      <c r="J13" s="18" t="str">
        <f>IF(ganttTasks[[#This Row],[TaskName]]="","",IF(ganttTasks[[#This Row],[startAtOrAfter]]="","Previous Task",IF(ISNUMBER(ganttTasks[[#This Row],[startAtOrAfter]]),"Date","Other Task")))</f>
        <v/>
      </c>
      <c r="K13" s="20" t="str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/>
      </c>
      <c r="L13" s="20" t="str">
        <f>IF(ganttTasks[[#This Row],[TaskName]]="","",IF(ganttTasks[[#This Row],[StartDate]]="",L12,ganttTasks[[#This Row],[duration]]+ganttTasks[[#This Row],[StartDate]]))</f>
        <v/>
      </c>
      <c r="M13" s="16" t="str">
        <f>IF(ganttTasks[[#This Row],[TaskName]]="","",ganttTasks[[#This Row],[taskSectionID]]&amp;":"&amp;ganttTasks[[#This Row],[TaskName]])</f>
        <v/>
      </c>
      <c r="N13" s="16" t="str">
        <f>IF(ganttTasks[[#This Row],[TaskName]]="","",ganttTasks[[#This Row],[sectionName]]&amp;":"&amp;ganttTasks[[#This Row],[TaskName]])</f>
        <v/>
      </c>
      <c r="O13" s="16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/>
      </c>
      <c r="P13">
        <f>ROW()</f>
        <v>13</v>
      </c>
      <c r="Q13" cm="1">
        <f t="array" ref="Q13">IFERROR(MAX(_xlfn._xlws.FILTER(ganttTasks[ID],ganttTasks[ID]&lt;ganttTasks[[#This Row],[ID]],"")),"")</f>
        <v>12</v>
      </c>
      <c r="R13" cm="1">
        <f t="array" ref="R13">MAX(_xlfn._xlws.FILTER(ganttTasks[ID],(ganttTasks[ID]&lt;ganttTasks[[#This Row],[ID]])*(ganttTasks[Section]&lt;&gt;""),0))</f>
        <v>9</v>
      </c>
      <c r="S13" s="16" t="str">
        <f>IF(ganttTasks[[#This Row],[TaskName]]="","",IF(ganttTasks[[#This Row],[Section]]&lt;&gt;"","",_xlfn.XLOOKUP(ganttTasks[[#This Row],[taskSectionID]],ganttTasks[ID],ganttTasks[Section])))</f>
        <v/>
      </c>
      <c r="U13" t="str">
        <v>Finish work : done, 05-May, 7d</v>
      </c>
      <c r="X13"/>
      <c r="Y13" s="19"/>
    </row>
    <row r="14" spans="1:28">
      <c r="H14" s="22"/>
      <c r="I14" s="21"/>
      <c r="J14" s="18" t="str">
        <f>IF(ganttTasks[[#This Row],[TaskName]]="","",IF(ganttTasks[[#This Row],[startAtOrAfter]]="","Previous Task",IF(ISNUMBER(ganttTasks[[#This Row],[startAtOrAfter]]),"Date","Other Task")))</f>
        <v/>
      </c>
      <c r="K14" s="20" t="str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/>
      </c>
      <c r="L14" s="20" t="str">
        <f>IF(ganttTasks[[#This Row],[TaskName]]="","",IF(ganttTasks[[#This Row],[StartDate]]="",L13,ganttTasks[[#This Row],[duration]]+ganttTasks[[#This Row],[StartDate]]))</f>
        <v/>
      </c>
      <c r="M14" s="16" t="str">
        <f>IF(ganttTasks[[#This Row],[TaskName]]="","",ganttTasks[[#This Row],[taskSectionID]]&amp;":"&amp;ganttTasks[[#This Row],[TaskName]])</f>
        <v/>
      </c>
      <c r="N14" s="16" t="str">
        <f>IF(ganttTasks[[#This Row],[TaskName]]="","",ganttTasks[[#This Row],[sectionName]]&amp;":"&amp;ganttTasks[[#This Row],[TaskName]])</f>
        <v/>
      </c>
      <c r="O14" s="16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/>
      </c>
      <c r="P14">
        <f>ROW()</f>
        <v>14</v>
      </c>
      <c r="Q14" cm="1">
        <f t="array" ref="Q14">IFERROR(MAX(_xlfn._xlws.FILTER(ganttTasks[ID],ganttTasks[ID]&lt;ganttTasks[[#This Row],[ID]],"")),"")</f>
        <v>13</v>
      </c>
      <c r="R14" cm="1">
        <f t="array" ref="R14">MAX(_xlfn._xlws.FILTER(ganttTasks[ID],(ganttTasks[ID]&lt;ganttTasks[[#This Row],[ID]])*(ganttTasks[Section]&lt;&gt;""),0))</f>
        <v>9</v>
      </c>
      <c r="S14" s="16" t="str">
        <f>IF(ganttTasks[[#This Row],[TaskName]]="","",IF(ganttTasks[[#This Row],[Section]]&lt;&gt;"","",_xlfn.XLOOKUP(ganttTasks[[#This Row],[taskSectionID]],ganttTasks[ID],ganttTasks[Section])))</f>
        <v/>
      </c>
      <c r="U14" t="str">
        <v>section Section 2</v>
      </c>
      <c r="X14"/>
      <c r="Y14" s="19"/>
    </row>
    <row r="15" spans="1:28">
      <c r="H15" s="22"/>
      <c r="I15" s="21"/>
      <c r="J15" s="18" t="str">
        <f>IF(ganttTasks[[#This Row],[TaskName]]="","",IF(ganttTasks[[#This Row],[startAtOrAfter]]="","Previous Task",IF(ISNUMBER(ganttTasks[[#This Row],[startAtOrAfter]]),"Date","Other Task")))</f>
        <v/>
      </c>
      <c r="K15" s="20" t="str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/>
      </c>
      <c r="L15" s="20" t="str">
        <f>IF(ganttTasks[[#This Row],[TaskName]]="","",IF(ganttTasks[[#This Row],[StartDate]]="",L14,ganttTasks[[#This Row],[duration]]+ganttTasks[[#This Row],[StartDate]]))</f>
        <v/>
      </c>
      <c r="M15" s="16" t="str">
        <f>IF(ganttTasks[[#This Row],[TaskName]]="","",ganttTasks[[#This Row],[taskSectionID]]&amp;":"&amp;ganttTasks[[#This Row],[TaskName]])</f>
        <v/>
      </c>
      <c r="N15" s="16" t="str">
        <f>IF(ganttTasks[[#This Row],[TaskName]]="","",ganttTasks[[#This Row],[sectionName]]&amp;":"&amp;ganttTasks[[#This Row],[TaskName]])</f>
        <v/>
      </c>
      <c r="O15" s="16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/>
      </c>
      <c r="P15">
        <f>ROW()</f>
        <v>15</v>
      </c>
      <c r="Q15" cm="1">
        <f t="array" ref="Q15">IFERROR(MAX(_xlfn._xlws.FILTER(ganttTasks[ID],ganttTasks[ID]&lt;ganttTasks[[#This Row],[ID]],"")),"")</f>
        <v>14</v>
      </c>
      <c r="R15" cm="1">
        <f t="array" ref="R15">MAX(_xlfn._xlws.FILTER(ganttTasks[ID],(ganttTasks[ID]&lt;ganttTasks[[#This Row],[ID]])*(ganttTasks[Section]&lt;&gt;""),0))</f>
        <v>9</v>
      </c>
      <c r="S15" s="16" t="str">
        <f>IF(ganttTasks[[#This Row],[TaskName]]="","",IF(ganttTasks[[#This Row],[Section]]&lt;&gt;"","",_xlfn.XLOOKUP(ganttTasks[[#This Row],[taskSectionID]],ganttTasks[ID],ganttTasks[Section])))</f>
        <v/>
      </c>
      <c r="U15" t="str">
        <v>Another Task : active, 12-May, 14d</v>
      </c>
      <c r="X15"/>
      <c r="Y15" s="19"/>
    </row>
    <row r="16" spans="1:28">
      <c r="H16" s="22"/>
      <c r="I16" s="21"/>
      <c r="J16" s="18" t="str">
        <f>IF(ganttTasks[[#This Row],[TaskName]]="","",IF(ganttTasks[[#This Row],[startAtOrAfter]]="","Previous Task",IF(ISNUMBER(ganttTasks[[#This Row],[startAtOrAfter]]),"Date","Other Task")))</f>
        <v/>
      </c>
      <c r="K16" s="20" t="str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/>
      </c>
      <c r="L16" s="20" t="str">
        <f>IF(ganttTasks[[#This Row],[TaskName]]="","",IF(ganttTasks[[#This Row],[StartDate]]="",L15,ganttTasks[[#This Row],[duration]]+ganttTasks[[#This Row],[StartDate]]))</f>
        <v/>
      </c>
      <c r="M16" s="16" t="str">
        <f>IF(ganttTasks[[#This Row],[TaskName]]="","",ganttTasks[[#This Row],[taskSectionID]]&amp;":"&amp;ganttTasks[[#This Row],[TaskName]])</f>
        <v/>
      </c>
      <c r="N16" s="16" t="str">
        <f>IF(ganttTasks[[#This Row],[TaskName]]="","",ganttTasks[[#This Row],[sectionName]]&amp;":"&amp;ganttTasks[[#This Row],[TaskName]])</f>
        <v/>
      </c>
      <c r="O16" s="16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/>
      </c>
      <c r="P16">
        <f>ROW()</f>
        <v>16</v>
      </c>
      <c r="Q16" cm="1">
        <f t="array" ref="Q16">IFERROR(MAX(_xlfn._xlws.FILTER(ganttTasks[ID],ganttTasks[ID]&lt;ganttTasks[[#This Row],[ID]],"")),"")</f>
        <v>15</v>
      </c>
      <c r="R16" cm="1">
        <f t="array" ref="R16">MAX(_xlfn._xlws.FILTER(ganttTasks[ID],(ganttTasks[ID]&lt;ganttTasks[[#This Row],[ID]])*(ganttTasks[Section]&lt;&gt;""),0))</f>
        <v>9</v>
      </c>
      <c r="S16" s="16" t="str">
        <f>IF(ganttTasks[[#This Row],[TaskName]]="","",IF(ganttTasks[[#This Row],[Section]]&lt;&gt;"","",_xlfn.XLOOKUP(ganttTasks[[#This Row],[taskSectionID]],ganttTasks[ID],ganttTasks[Section])))</f>
        <v/>
      </c>
      <c r="U16" t="str">
        <v>section lastSection</v>
      </c>
      <c r="X16"/>
      <c r="Y16" s="19"/>
    </row>
    <row r="17" spans="5:25">
      <c r="H17" s="22"/>
      <c r="I17" s="21"/>
      <c r="J17" s="18" t="str">
        <f>IF(ganttTasks[[#This Row],[TaskName]]="","",IF(ganttTasks[[#This Row],[startAtOrAfter]]="","Previous Task",IF(ISNUMBER(ganttTasks[[#This Row],[startAtOrAfter]]),"Date","Other Task")))</f>
        <v/>
      </c>
      <c r="K17" s="20" t="str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/>
      </c>
      <c r="L17" s="20" t="str">
        <f>IF(ganttTasks[[#This Row],[TaskName]]="","",IF(ganttTasks[[#This Row],[StartDate]]="",L16,ganttTasks[[#This Row],[duration]]+ganttTasks[[#This Row],[StartDate]]))</f>
        <v/>
      </c>
      <c r="M17" s="16" t="str">
        <f>IF(ganttTasks[[#This Row],[TaskName]]="","",ganttTasks[[#This Row],[taskSectionID]]&amp;":"&amp;ganttTasks[[#This Row],[TaskName]])</f>
        <v/>
      </c>
      <c r="N17" s="16" t="str">
        <f>IF(ganttTasks[[#This Row],[TaskName]]="","",ganttTasks[[#This Row],[sectionName]]&amp;":"&amp;ganttTasks[[#This Row],[TaskName]])</f>
        <v/>
      </c>
      <c r="O17" s="16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/>
      </c>
      <c r="P17">
        <f>ROW()</f>
        <v>17</v>
      </c>
      <c r="Q17" cm="1">
        <f t="array" ref="Q17">IFERROR(MAX(_xlfn._xlws.FILTER(ganttTasks[ID],ganttTasks[ID]&lt;ganttTasks[[#This Row],[ID]],"")),"")</f>
        <v>16</v>
      </c>
      <c r="R17" cm="1">
        <f t="array" ref="R17">MAX(_xlfn._xlws.FILTER(ganttTasks[ID],(ganttTasks[ID]&lt;ganttTasks[[#This Row],[ID]])*(ganttTasks[Section]&lt;&gt;""),0))</f>
        <v>9</v>
      </c>
      <c r="S17" s="16" t="str">
        <f>IF(ganttTasks[[#This Row],[TaskName]]="","",IF(ganttTasks[[#This Row],[Section]]&lt;&gt;"","",_xlfn.XLOOKUP(ganttTasks[[#This Row],[taskSectionID]],ganttTasks[ID],ganttTasks[Section])))</f>
        <v/>
      </c>
      <c r="U17" t="str">
        <v>document : active, 12-May, 3d</v>
      </c>
      <c r="X17"/>
      <c r="Y17" s="19"/>
    </row>
    <row r="18" spans="5:25">
      <c r="E18" t="s">
        <v>412</v>
      </c>
      <c r="H18" s="22"/>
      <c r="I18" s="21"/>
      <c r="J18" s="18" t="str">
        <f>IF(ganttTasks[[#This Row],[TaskName]]="","",IF(ganttTasks[[#This Row],[startAtOrAfter]]="","Previous Task",IF(ISNUMBER(ganttTasks[[#This Row],[startAtOrAfter]]),"Date","Other Task")))</f>
        <v/>
      </c>
      <c r="K18" s="20" t="str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/>
      </c>
      <c r="L18" s="20" t="str">
        <f>IF(ganttTasks[[#This Row],[TaskName]]="","",IF(ganttTasks[[#This Row],[StartDate]]="",L17,ganttTasks[[#This Row],[duration]]+ganttTasks[[#This Row],[StartDate]]))</f>
        <v/>
      </c>
      <c r="M18" s="16" t="str">
        <f>IF(ganttTasks[[#This Row],[TaskName]]="","",ganttTasks[[#This Row],[taskSectionID]]&amp;":"&amp;ganttTasks[[#This Row],[TaskName]])</f>
        <v/>
      </c>
      <c r="N18" s="16" t="str">
        <f>IF(ganttTasks[[#This Row],[TaskName]]="","",ganttTasks[[#This Row],[sectionName]]&amp;":"&amp;ganttTasks[[#This Row],[TaskName]])</f>
        <v/>
      </c>
      <c r="O18" s="16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>section lastSection</v>
      </c>
      <c r="P18">
        <f>ROW()</f>
        <v>18</v>
      </c>
      <c r="Q18" cm="1">
        <f t="array" ref="Q18">IFERROR(MAX(_xlfn._xlws.FILTER(ganttTasks[ID],ganttTasks[ID]&lt;ganttTasks[[#This Row],[ID]],"")),"")</f>
        <v>17</v>
      </c>
      <c r="R18" cm="1">
        <f t="array" ref="R18">MAX(_xlfn._xlws.FILTER(ganttTasks[ID],(ganttTasks[ID]&lt;ganttTasks[[#This Row],[ID]])*(ganttTasks[Section]&lt;&gt;""),0))</f>
        <v>9</v>
      </c>
      <c r="S18" s="16" t="str">
        <f>IF(ganttTasks[[#This Row],[TaskName]]="","",IF(ganttTasks[[#This Row],[Section]]&lt;&gt;"","",_xlfn.XLOOKUP(ganttTasks[[#This Row],[taskSectionID]],ganttTasks[ID],ganttTasks[Section])))</f>
        <v/>
      </c>
      <c r="U18" t="str">
        <v>publish : milestone, 15-May, d</v>
      </c>
      <c r="X18"/>
      <c r="Y18" s="19"/>
    </row>
    <row r="19" spans="5:25">
      <c r="F19" t="s">
        <v>404</v>
      </c>
      <c r="G19" t="s">
        <v>409</v>
      </c>
      <c r="H19" s="22" t="s">
        <v>432</v>
      </c>
      <c r="I19" s="21">
        <v>3</v>
      </c>
      <c r="J19" s="18" t="str">
        <f>IF(ganttTasks[[#This Row],[TaskName]]="","",IF(ganttTasks[[#This Row],[startAtOrAfter]]="","Previous Task",IF(ISNUMBER(ganttTasks[[#This Row],[startAtOrAfter]]),"Date","Other Task")))</f>
        <v>Other Task</v>
      </c>
      <c r="K19" s="20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>45424</v>
      </c>
      <c r="L19" s="20">
        <f>IF(ganttTasks[[#This Row],[TaskName]]="","",IF(ganttTasks[[#This Row],[StartDate]]="",L18,ganttTasks[[#This Row],[duration]]+ganttTasks[[#This Row],[StartDate]]))</f>
        <v>45427</v>
      </c>
      <c r="M19" s="16" t="str">
        <f>IF(ganttTasks[[#This Row],[TaskName]]="","",ganttTasks[[#This Row],[taskSectionID]]&amp;":"&amp;ganttTasks[[#This Row],[TaskName]])</f>
        <v>18:document</v>
      </c>
      <c r="N19" s="16" t="str">
        <f>IF(ganttTasks[[#This Row],[TaskName]]="","",ganttTasks[[#This Row],[sectionName]]&amp;":"&amp;ganttTasks[[#This Row],[TaskName]])</f>
        <v>lastSection:document</v>
      </c>
      <c r="O19" s="16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>document : active, 12-May, 3d</v>
      </c>
      <c r="P19">
        <f>ROW()</f>
        <v>19</v>
      </c>
      <c r="Q19" cm="1">
        <f t="array" ref="Q19">IFERROR(MAX(_xlfn._xlws.FILTER(ganttTasks[ID],ganttTasks[ID]&lt;ganttTasks[[#This Row],[ID]],"")),"")</f>
        <v>18</v>
      </c>
      <c r="R19" cm="1">
        <f t="array" ref="R19">MAX(_xlfn._xlws.FILTER(ganttTasks[ID],(ganttTasks[ID]&lt;ganttTasks[[#This Row],[ID]])*(ganttTasks[Section]&lt;&gt;""),0))</f>
        <v>18</v>
      </c>
      <c r="S19" s="16" t="str">
        <f>IF(ganttTasks[[#This Row],[TaskName]]="","",IF(ganttTasks[[#This Row],[Section]]&lt;&gt;"","",_xlfn.XLOOKUP(ganttTasks[[#This Row],[taskSectionID]],ganttTasks[ID],ganttTasks[Section])))</f>
        <v>lastSection</v>
      </c>
      <c r="X19"/>
      <c r="Y19" s="19"/>
    </row>
    <row r="20" spans="5:25">
      <c r="F20" t="s">
        <v>405</v>
      </c>
      <c r="G20" t="s">
        <v>410</v>
      </c>
      <c r="H20" s="22" t="s">
        <v>423</v>
      </c>
      <c r="I20" s="21"/>
      <c r="J20" s="18" t="str">
        <f>IF(ganttTasks[[#This Row],[TaskName]]="","",IF(ganttTasks[[#This Row],[startAtOrAfter]]="","Previous Task",IF(ISNUMBER(ganttTasks[[#This Row],[startAtOrAfter]]),"Date","Other Task")))</f>
        <v>Other Task</v>
      </c>
      <c r="K20" s="20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>45427</v>
      </c>
      <c r="L20" s="20">
        <f>IF(ganttTasks[[#This Row],[TaskName]]="","",IF(ganttTasks[[#This Row],[StartDate]]="",L19,ganttTasks[[#This Row],[duration]]+ganttTasks[[#This Row],[StartDate]]))</f>
        <v>45427</v>
      </c>
      <c r="M20" s="16" t="str">
        <f>IF(ganttTasks[[#This Row],[TaskName]]="","",ganttTasks[[#This Row],[taskSectionID]]&amp;":"&amp;ganttTasks[[#This Row],[TaskName]])</f>
        <v>18:publish</v>
      </c>
      <c r="N20" s="16" t="str">
        <f>IF(ganttTasks[[#This Row],[TaskName]]="","",ganttTasks[[#This Row],[sectionName]]&amp;":"&amp;ganttTasks[[#This Row],[TaskName]])</f>
        <v>lastSection:publish</v>
      </c>
      <c r="O20" s="16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>publish : milestone, 15-May, d</v>
      </c>
      <c r="P20">
        <f>ROW()</f>
        <v>20</v>
      </c>
      <c r="Q20" cm="1">
        <f t="array" ref="Q20">IFERROR(MAX(_xlfn._xlws.FILTER(ganttTasks[ID],ganttTasks[ID]&lt;ganttTasks[[#This Row],[ID]],"")),"")</f>
        <v>19</v>
      </c>
      <c r="R20" cm="1">
        <f t="array" ref="R20">MAX(_xlfn._xlws.FILTER(ganttTasks[ID],(ganttTasks[ID]&lt;ganttTasks[[#This Row],[ID]])*(ganttTasks[Section]&lt;&gt;""),0))</f>
        <v>18</v>
      </c>
      <c r="S20" s="16" t="str">
        <f>IF(ganttTasks[[#This Row],[TaskName]]="","",IF(ganttTasks[[#This Row],[Section]]&lt;&gt;"","",_xlfn.XLOOKUP(ganttTasks[[#This Row],[taskSectionID]],ganttTasks[ID],ganttTasks[Section])))</f>
        <v>lastSection</v>
      </c>
      <c r="X20"/>
      <c r="Y20" s="19"/>
    </row>
    <row r="21" spans="5:25">
      <c r="H21" s="22"/>
      <c r="I21" s="21"/>
      <c r="J21" s="18" t="str">
        <f>IF(ganttTasks[[#This Row],[TaskName]]="","",IF(ganttTasks[[#This Row],[startAtOrAfter]]="","Previous Task",IF(ISNUMBER(ganttTasks[[#This Row],[startAtOrAfter]]),"Date","Other Task")))</f>
        <v/>
      </c>
      <c r="K21" s="20" t="str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/>
      </c>
      <c r="L21" s="20" t="str">
        <f>IF(ganttTasks[[#This Row],[TaskName]]="","",IF(ganttTasks[[#This Row],[StartDate]]="",L20,ganttTasks[[#This Row],[duration]]+ganttTasks[[#This Row],[StartDate]]))</f>
        <v/>
      </c>
      <c r="M21" s="16" t="str">
        <f>IF(ganttTasks[[#This Row],[TaskName]]="","",ganttTasks[[#This Row],[taskSectionID]]&amp;":"&amp;ganttTasks[[#This Row],[TaskName]])</f>
        <v/>
      </c>
      <c r="N21" s="16" t="str">
        <f>IF(ganttTasks[[#This Row],[TaskName]]="","",ganttTasks[[#This Row],[sectionName]]&amp;":"&amp;ganttTasks[[#This Row],[TaskName]])</f>
        <v/>
      </c>
      <c r="O21" s="16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/>
      </c>
      <c r="P21">
        <f>ROW()</f>
        <v>21</v>
      </c>
      <c r="Q21" cm="1">
        <f t="array" ref="Q21">IFERROR(MAX(_xlfn._xlws.FILTER(ganttTasks[ID],ganttTasks[ID]&lt;ganttTasks[[#This Row],[ID]],"")),"")</f>
        <v>20</v>
      </c>
      <c r="R21" cm="1">
        <f t="array" ref="R21">MAX(_xlfn._xlws.FILTER(ganttTasks[ID],(ganttTasks[ID]&lt;ganttTasks[[#This Row],[ID]])*(ganttTasks[Section]&lt;&gt;""),0))</f>
        <v>18</v>
      </c>
      <c r="S21" s="16" t="str">
        <f>IF(ganttTasks[[#This Row],[TaskName]]="","",IF(ganttTasks[[#This Row],[Section]]&lt;&gt;"","",_xlfn.XLOOKUP(ganttTasks[[#This Row],[taskSectionID]],ganttTasks[ID],ganttTasks[Section])))</f>
        <v/>
      </c>
      <c r="X21"/>
      <c r="Y21" s="19"/>
    </row>
    <row r="22" spans="5:25">
      <c r="H22" s="22"/>
      <c r="I22" s="21"/>
      <c r="J22" s="18" t="str">
        <f>IF(ganttTasks[[#This Row],[TaskName]]="","",IF(ganttTasks[[#This Row],[startAtOrAfter]]="","Previous Task",IF(ISNUMBER(ganttTasks[[#This Row],[startAtOrAfter]]),"Date","Other Task")))</f>
        <v/>
      </c>
      <c r="K22" s="20" t="str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/>
      </c>
      <c r="L22" s="20" t="str">
        <f>IF(ganttTasks[[#This Row],[TaskName]]="","",IF(ganttTasks[[#This Row],[StartDate]]="",L21,ganttTasks[[#This Row],[duration]]+ganttTasks[[#This Row],[StartDate]]))</f>
        <v/>
      </c>
      <c r="M22" s="16" t="str">
        <f>IF(ganttTasks[[#This Row],[TaskName]]="","",ganttTasks[[#This Row],[taskSectionID]]&amp;":"&amp;ganttTasks[[#This Row],[TaskName]])</f>
        <v/>
      </c>
      <c r="N22" s="16" t="str">
        <f>IF(ganttTasks[[#This Row],[TaskName]]="","",ganttTasks[[#This Row],[sectionName]]&amp;":"&amp;ganttTasks[[#This Row],[TaskName]])</f>
        <v/>
      </c>
      <c r="O22" s="16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/>
      </c>
      <c r="P22">
        <f>ROW()</f>
        <v>22</v>
      </c>
      <c r="Q22" cm="1">
        <f t="array" ref="Q22">IFERROR(MAX(_xlfn._xlws.FILTER(ganttTasks[ID],ganttTasks[ID]&lt;ganttTasks[[#This Row],[ID]],"")),"")</f>
        <v>21</v>
      </c>
      <c r="R22" cm="1">
        <f t="array" ref="R22">MAX(_xlfn._xlws.FILTER(ganttTasks[ID],(ganttTasks[ID]&lt;ganttTasks[[#This Row],[ID]])*(ganttTasks[Section]&lt;&gt;""),0))</f>
        <v>18</v>
      </c>
      <c r="S22" s="16" t="str">
        <f>IF(ganttTasks[[#This Row],[TaskName]]="","",IF(ganttTasks[[#This Row],[Section]]&lt;&gt;"","",_xlfn.XLOOKUP(ganttTasks[[#This Row],[taskSectionID]],ganttTasks[ID],ganttTasks[Section])))</f>
        <v/>
      </c>
      <c r="X22"/>
      <c r="Y22" s="19"/>
    </row>
    <row r="23" spans="5:25">
      <c r="H23" s="22"/>
      <c r="I23" s="21"/>
      <c r="J23" s="18" t="str">
        <f>IF(ganttTasks[[#This Row],[TaskName]]="","",IF(ganttTasks[[#This Row],[startAtOrAfter]]="","Previous Task",IF(ISNUMBER(ganttTasks[[#This Row],[startAtOrAfter]]),"Date","Other Task")))</f>
        <v/>
      </c>
      <c r="K23" s="20" t="str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/>
      </c>
      <c r="L23" s="20" t="str">
        <f>IF(ganttTasks[[#This Row],[TaskName]]="","",IF(ganttTasks[[#This Row],[StartDate]]="",L22,ganttTasks[[#This Row],[duration]]+ganttTasks[[#This Row],[StartDate]]))</f>
        <v/>
      </c>
      <c r="M23" s="16" t="str">
        <f>IF(ganttTasks[[#This Row],[TaskName]]="","",ganttTasks[[#This Row],[taskSectionID]]&amp;":"&amp;ganttTasks[[#This Row],[TaskName]])</f>
        <v/>
      </c>
      <c r="N23" s="16" t="str">
        <f>IF(ganttTasks[[#This Row],[TaskName]]="","",ganttTasks[[#This Row],[sectionName]]&amp;":"&amp;ganttTasks[[#This Row],[TaskName]])</f>
        <v/>
      </c>
      <c r="O23" s="16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/>
      </c>
      <c r="P23">
        <f>ROW()</f>
        <v>23</v>
      </c>
      <c r="Q23" cm="1">
        <f t="array" ref="Q23">IFERROR(MAX(_xlfn._xlws.FILTER(ganttTasks[ID],ganttTasks[ID]&lt;ganttTasks[[#This Row],[ID]],"")),"")</f>
        <v>22</v>
      </c>
      <c r="R23" cm="1">
        <f t="array" ref="R23">MAX(_xlfn._xlws.FILTER(ganttTasks[ID],(ganttTasks[ID]&lt;ganttTasks[[#This Row],[ID]])*(ganttTasks[Section]&lt;&gt;""),0))</f>
        <v>18</v>
      </c>
      <c r="S23" s="16" t="str">
        <f>IF(ganttTasks[[#This Row],[TaskName]]="","",IF(ganttTasks[[#This Row],[Section]]&lt;&gt;"","",_xlfn.XLOOKUP(ganttTasks[[#This Row],[taskSectionID]],ganttTasks[ID],ganttTasks[Section])))</f>
        <v/>
      </c>
      <c r="X23"/>
      <c r="Y23" s="19"/>
    </row>
    <row r="24" spans="5:25">
      <c r="H24" s="22"/>
      <c r="I24" s="21"/>
      <c r="J24" s="18" t="str">
        <f>IF(ganttTasks[[#This Row],[TaskName]]="","",IF(ganttTasks[[#This Row],[startAtOrAfter]]="","Previous Task",IF(ISNUMBER(ganttTasks[[#This Row],[startAtOrAfter]]),"Date","Other Task")))</f>
        <v/>
      </c>
      <c r="K24" s="20" t="str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/>
      </c>
      <c r="L24" s="20" t="str">
        <f>IF(ganttTasks[[#This Row],[TaskName]]="","",IF(ganttTasks[[#This Row],[StartDate]]="",L23,ganttTasks[[#This Row],[duration]]+ganttTasks[[#This Row],[StartDate]]))</f>
        <v/>
      </c>
      <c r="M24" s="16" t="str">
        <f>IF(ganttTasks[[#This Row],[TaskName]]="","",ganttTasks[[#This Row],[taskSectionID]]&amp;":"&amp;ganttTasks[[#This Row],[TaskName]])</f>
        <v/>
      </c>
      <c r="N24" s="16" t="str">
        <f>IF(ganttTasks[[#This Row],[TaskName]]="","",ganttTasks[[#This Row],[sectionName]]&amp;":"&amp;ganttTasks[[#This Row],[TaskName]])</f>
        <v/>
      </c>
      <c r="O24" s="16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/>
      </c>
      <c r="P24">
        <f>ROW()</f>
        <v>24</v>
      </c>
      <c r="Q24" cm="1">
        <f t="array" ref="Q24">IFERROR(MAX(_xlfn._xlws.FILTER(ganttTasks[ID],ganttTasks[ID]&lt;ganttTasks[[#This Row],[ID]],"")),"")</f>
        <v>23</v>
      </c>
      <c r="R24" cm="1">
        <f t="array" ref="R24">MAX(_xlfn._xlws.FILTER(ganttTasks[ID],(ganttTasks[ID]&lt;ganttTasks[[#This Row],[ID]])*(ganttTasks[Section]&lt;&gt;""),0))</f>
        <v>18</v>
      </c>
      <c r="S24" s="16" t="str">
        <f>IF(ganttTasks[[#This Row],[TaskName]]="","",IF(ganttTasks[[#This Row],[Section]]&lt;&gt;"","",_xlfn.XLOOKUP(ganttTasks[[#This Row],[taskSectionID]],ganttTasks[ID],ganttTasks[Section])))</f>
        <v/>
      </c>
      <c r="X24"/>
      <c r="Y24" s="19"/>
    </row>
    <row r="25" spans="5:25">
      <c r="H25" s="22"/>
      <c r="I25" s="21"/>
      <c r="J25" s="18" t="str">
        <f>IF(ganttTasks[[#This Row],[TaskName]]="","",IF(ganttTasks[[#This Row],[startAtOrAfter]]="","Previous Task",IF(ISNUMBER(ganttTasks[[#This Row],[startAtOrAfter]]),"Date","Other Task")))</f>
        <v/>
      </c>
      <c r="K25" s="20" t="str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/>
      </c>
      <c r="L25" s="20" t="str">
        <f>IF(ganttTasks[[#This Row],[TaskName]]="","",IF(ganttTasks[[#This Row],[StartDate]]="",L24,ganttTasks[[#This Row],[duration]]+ganttTasks[[#This Row],[StartDate]]))</f>
        <v/>
      </c>
      <c r="M25" s="16" t="str">
        <f>IF(ganttTasks[[#This Row],[TaskName]]="","",ganttTasks[[#This Row],[taskSectionID]]&amp;":"&amp;ganttTasks[[#This Row],[TaskName]])</f>
        <v/>
      </c>
      <c r="N25" s="16" t="str">
        <f>IF(ganttTasks[[#This Row],[TaskName]]="","",ganttTasks[[#This Row],[sectionName]]&amp;":"&amp;ganttTasks[[#This Row],[TaskName]])</f>
        <v/>
      </c>
      <c r="O25" s="16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/>
      </c>
      <c r="P25">
        <f>ROW()</f>
        <v>25</v>
      </c>
      <c r="Q25" cm="1">
        <f t="array" ref="Q25">IFERROR(MAX(_xlfn._xlws.FILTER(ganttTasks[ID],ganttTasks[ID]&lt;ganttTasks[[#This Row],[ID]],"")),"")</f>
        <v>24</v>
      </c>
      <c r="R25" cm="1">
        <f t="array" ref="R25">MAX(_xlfn._xlws.FILTER(ganttTasks[ID],(ganttTasks[ID]&lt;ganttTasks[[#This Row],[ID]])*(ganttTasks[Section]&lt;&gt;""),0))</f>
        <v>18</v>
      </c>
      <c r="S25" s="16" t="str">
        <f>IF(ganttTasks[[#This Row],[TaskName]]="","",IF(ganttTasks[[#This Row],[Section]]&lt;&gt;"","",_xlfn.XLOOKUP(ganttTasks[[#This Row],[taskSectionID]],ganttTasks[ID],ganttTasks[Section])))</f>
        <v/>
      </c>
      <c r="X25"/>
      <c r="Y25" s="19"/>
    </row>
    <row r="26" spans="5:25">
      <c r="H26" s="22"/>
      <c r="I26" s="21"/>
      <c r="J26" s="18" t="str">
        <f>IF(ganttTasks[[#This Row],[TaskName]]="","",IF(ganttTasks[[#This Row],[startAtOrAfter]]="","Previous Task",IF(ISNUMBER(ganttTasks[[#This Row],[startAtOrAfter]]),"Date","Other Task")))</f>
        <v/>
      </c>
      <c r="K26" s="20" t="str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/>
      </c>
      <c r="L26" s="20" t="str">
        <f>IF(ganttTasks[[#This Row],[TaskName]]="","",IF(ganttTasks[[#This Row],[StartDate]]="",L25,ganttTasks[[#This Row],[duration]]+ganttTasks[[#This Row],[StartDate]]))</f>
        <v/>
      </c>
      <c r="M26" s="16" t="str">
        <f>IF(ganttTasks[[#This Row],[TaskName]]="","",ganttTasks[[#This Row],[taskSectionID]]&amp;":"&amp;ganttTasks[[#This Row],[TaskName]])</f>
        <v/>
      </c>
      <c r="N26" s="16" t="str">
        <f>IF(ganttTasks[[#This Row],[TaskName]]="","",ganttTasks[[#This Row],[sectionName]]&amp;":"&amp;ganttTasks[[#This Row],[TaskName]])</f>
        <v/>
      </c>
      <c r="O26" s="16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/>
      </c>
      <c r="P26">
        <f>ROW()</f>
        <v>26</v>
      </c>
      <c r="Q26" cm="1">
        <f t="array" ref="Q26">IFERROR(MAX(_xlfn._xlws.FILTER(ganttTasks[ID],ganttTasks[ID]&lt;ganttTasks[[#This Row],[ID]],"")),"")</f>
        <v>25</v>
      </c>
      <c r="R26" cm="1">
        <f t="array" ref="R26">MAX(_xlfn._xlws.FILTER(ganttTasks[ID],(ganttTasks[ID]&lt;ganttTasks[[#This Row],[ID]])*(ganttTasks[Section]&lt;&gt;""),0))</f>
        <v>18</v>
      </c>
      <c r="S26" s="16" t="str">
        <f>IF(ganttTasks[[#This Row],[TaskName]]="","",IF(ganttTasks[[#This Row],[Section]]&lt;&gt;"","",_xlfn.XLOOKUP(ganttTasks[[#This Row],[taskSectionID]],ganttTasks[ID],ganttTasks[Section])))</f>
        <v/>
      </c>
      <c r="X26"/>
      <c r="Y26" s="19"/>
    </row>
    <row r="27" spans="5:25">
      <c r="H27" s="22"/>
      <c r="I27" s="21"/>
      <c r="J27" s="18" t="str">
        <f>IF(ganttTasks[[#This Row],[TaskName]]="","",IF(ganttTasks[[#This Row],[startAtOrAfter]]="","Previous Task",IF(ISNUMBER(ganttTasks[[#This Row],[startAtOrAfter]]),"Date","Other Task")))</f>
        <v/>
      </c>
      <c r="K27" s="20" t="str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/>
      </c>
      <c r="L27" s="20" t="str">
        <f>IF(ganttTasks[[#This Row],[TaskName]]="","",IF(ganttTasks[[#This Row],[StartDate]]="",L26,ganttTasks[[#This Row],[duration]]+ganttTasks[[#This Row],[StartDate]]))</f>
        <v/>
      </c>
      <c r="M27" s="16" t="str">
        <f>IF(ganttTasks[[#This Row],[TaskName]]="","",ganttTasks[[#This Row],[taskSectionID]]&amp;":"&amp;ganttTasks[[#This Row],[TaskName]])</f>
        <v/>
      </c>
      <c r="N27" s="16" t="str">
        <f>IF(ganttTasks[[#This Row],[TaskName]]="","",ganttTasks[[#This Row],[sectionName]]&amp;":"&amp;ganttTasks[[#This Row],[TaskName]])</f>
        <v/>
      </c>
      <c r="O27" s="16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/>
      </c>
      <c r="P27">
        <f>ROW()</f>
        <v>27</v>
      </c>
      <c r="Q27" cm="1">
        <f t="array" ref="Q27">IFERROR(MAX(_xlfn._xlws.FILTER(ganttTasks[ID],ganttTasks[ID]&lt;ganttTasks[[#This Row],[ID]],"")),"")</f>
        <v>26</v>
      </c>
      <c r="R27" cm="1">
        <f t="array" ref="R27">MAX(_xlfn._xlws.FILTER(ganttTasks[ID],(ganttTasks[ID]&lt;ganttTasks[[#This Row],[ID]])*(ganttTasks[Section]&lt;&gt;""),0))</f>
        <v>18</v>
      </c>
      <c r="S27" s="16" t="str">
        <f>IF(ganttTasks[[#This Row],[TaskName]]="","",IF(ganttTasks[[#This Row],[Section]]&lt;&gt;"","",_xlfn.XLOOKUP(ganttTasks[[#This Row],[taskSectionID]],ganttTasks[ID],ganttTasks[Section])))</f>
        <v/>
      </c>
      <c r="X27"/>
      <c r="Y27" s="19"/>
    </row>
    <row r="28" spans="5:25">
      <c r="H28" s="22"/>
      <c r="I28" s="21"/>
      <c r="J28" s="18" t="str">
        <f>IF(ganttTasks[[#This Row],[TaskName]]="","",IF(ganttTasks[[#This Row],[startAtOrAfter]]="","Previous Task",IF(ISNUMBER(ganttTasks[[#This Row],[startAtOrAfter]]),"Date","Other Task")))</f>
        <v/>
      </c>
      <c r="K28" s="20" t="str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/>
      </c>
      <c r="L28" s="20" t="str">
        <f>IF(ganttTasks[[#This Row],[TaskName]]="","",IF(ganttTasks[[#This Row],[StartDate]]="",L27,ganttTasks[[#This Row],[duration]]+ganttTasks[[#This Row],[StartDate]]))</f>
        <v/>
      </c>
      <c r="M28" s="16" t="str">
        <f>IF(ganttTasks[[#This Row],[TaskName]]="","",ganttTasks[[#This Row],[taskSectionID]]&amp;":"&amp;ganttTasks[[#This Row],[TaskName]])</f>
        <v/>
      </c>
      <c r="N28" s="16" t="str">
        <f>IF(ganttTasks[[#This Row],[TaskName]]="","",ganttTasks[[#This Row],[sectionName]]&amp;":"&amp;ganttTasks[[#This Row],[TaskName]])</f>
        <v/>
      </c>
      <c r="O28" s="16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/>
      </c>
      <c r="P28">
        <f>ROW()</f>
        <v>28</v>
      </c>
      <c r="Q28" cm="1">
        <f t="array" ref="Q28">IFERROR(MAX(_xlfn._xlws.FILTER(ganttTasks[ID],ganttTasks[ID]&lt;ganttTasks[[#This Row],[ID]],"")),"")</f>
        <v>27</v>
      </c>
      <c r="R28" cm="1">
        <f t="array" ref="R28">MAX(_xlfn._xlws.FILTER(ganttTasks[ID],(ganttTasks[ID]&lt;ganttTasks[[#This Row],[ID]])*(ganttTasks[Section]&lt;&gt;""),0))</f>
        <v>18</v>
      </c>
      <c r="S28" s="16" t="str">
        <f>IF(ganttTasks[[#This Row],[TaskName]]="","",IF(ganttTasks[[#This Row],[Section]]&lt;&gt;"","",_xlfn.XLOOKUP(ganttTasks[[#This Row],[taskSectionID]],ganttTasks[ID],ganttTasks[Section])))</f>
        <v/>
      </c>
      <c r="X28"/>
      <c r="Y28" s="19"/>
    </row>
    <row r="29" spans="5:25">
      <c r="I29" s="21"/>
      <c r="J29" s="18" t="str">
        <f>IF(ganttTasks[[#This Row],[TaskName]]="","",IF(ganttTasks[[#This Row],[startAtOrAfter]]="","Previous Task",IF(ISNUMBER(ganttTasks[[#This Row],[startAtOrAfter]]),"Date","Other Task")))</f>
        <v/>
      </c>
      <c r="K29" s="20" t="str">
        <f>IF(ganttTasks[[#This Row],[TaskName]]="","",IF(ganttTasks[[#This Row],[StartType]]="Date",ganttTasks[[#This Row],[startAtOrAfter]],IF(ganttTasks[[#This Row],[StartType]]="Previous Task",_xlfn.XLOOKUP(ganttTasks[[#This Row],[PreviousTaskID]],ganttTasks[ID],ganttTasks[endDate],""),IF(ganttTasks[[#This Row],[StartType]]="Other Task",_xlfn.XLOOKUP(ganttTasks[[#This Row],[startAtOrAfter]],ganttTasks[taskUID],ganttTasks[endDate])))))</f>
        <v/>
      </c>
      <c r="L29" s="20" t="str">
        <f>IF(ganttTasks[[#This Row],[TaskName]]="","",IF(ganttTasks[[#This Row],[StartDate]]="",L28,ganttTasks[[#This Row],[duration]]+ganttTasks[[#This Row],[StartDate]]))</f>
        <v/>
      </c>
      <c r="M29" s="16" t="str">
        <f>IF(ganttTasks[[#This Row],[TaskName]]="","",ganttTasks[[#This Row],[taskSectionID]]&amp;":"&amp;ganttTasks[[#This Row],[TaskName]])</f>
        <v/>
      </c>
      <c r="N29" s="16" t="str">
        <f>IF(ganttTasks[[#This Row],[TaskName]]="","",ganttTasks[[#This Row],[sectionName]]&amp;":"&amp;ganttTasks[[#This Row],[TaskName]])</f>
        <v/>
      </c>
      <c r="O29" s="16" t="str">
        <f>IF(ganttTasks[[#This Row],[Section]]&lt;&gt;"","section "&amp;ganttTasks[[#This Row],[Section]],IF(ganttTasks[[#This Row],[TaskName]]="","",_xlfn.TEXTJOIN(" : ",TRUE,ganttTasks[[#This Row],[TaskName]],_xlfn.TEXTJOIN( ", ",TRUE, ganttTasks[[#This Row],[tags]],TEXT(ganttTasks[[#This Row],[StartDate]],"dd-mmm"),ganttTasks[[#This Row],[duration]]&amp;"d"))))</f>
        <v/>
      </c>
      <c r="P29">
        <f>ROW()</f>
        <v>29</v>
      </c>
      <c r="Q29" cm="1">
        <f t="array" ref="Q29">IFERROR(MAX(_xlfn._xlws.FILTER(ganttTasks[ID],ganttTasks[ID]&lt;ganttTasks[[#This Row],[ID]],"")),"")</f>
        <v>28</v>
      </c>
      <c r="R29" cm="1">
        <f t="array" ref="R29">MAX(_xlfn._xlws.FILTER(ganttTasks[ID],(ganttTasks[ID]&lt;ganttTasks[[#This Row],[ID]])*(ganttTasks[Section]&lt;&gt;""),0))</f>
        <v>18</v>
      </c>
      <c r="S29" s="16" t="str">
        <f>IF(ganttTasks[[#This Row],[TaskName]]="","",IF(ganttTasks[[#This Row],[Section]]&lt;&gt;"","",_xlfn.XLOOKUP(ganttTasks[[#This Row],[taskSectionID]],ganttTasks[ID],ganttTasks[Section])))</f>
        <v/>
      </c>
      <c r="X29"/>
      <c r="Y29" s="19"/>
    </row>
  </sheetData>
  <dataValidations count="2">
    <dataValidation type="list" allowBlank="1" showInputMessage="1" showErrorMessage="1" sqref="H2:H29" xr:uid="{5E9FF00F-E462-4986-AD24-72D028837F6C}">
      <formula1>_xlfn.ANCHORARRAY($Y$1)</formula1>
    </dataValidation>
    <dataValidation operator="greaterThanOrEqual" allowBlank="1" showInputMessage="1" showErrorMessage="1" sqref="K2:K29" xr:uid="{5C4351E0-93DF-497C-9C86-609A4ADD2890}"/>
  </dataValidations>
  <pageMargins left="0.7" right="0.7" top="0.75" bottom="0.75" header="0.3" footer="0.3"/>
  <pageSetup orientation="portrait" horizontalDpi="0" verticalDpi="0" r:id="rId1"/>
  <drawing r:id="rId2"/>
  <tableParts count="2"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A270D-A75A-40A0-BEB2-8C54F00A819C}">
  <dimension ref="A1:Y160"/>
  <sheetViews>
    <sheetView showGridLines="0" zoomScaleNormal="100" workbookViewId="0">
      <selection activeCell="M2" sqref="M2:M9"/>
    </sheetView>
  </sheetViews>
  <sheetFormatPr defaultRowHeight="14.6"/>
  <cols>
    <col min="1" max="1" width="18.3828125" customWidth="1"/>
    <col min="2" max="2" width="11.69140625" bestFit="1" customWidth="1"/>
    <col min="3" max="3" width="19.15234375" customWidth="1"/>
    <col min="4" max="4" width="19" hidden="1" customWidth="1"/>
    <col min="5" max="5" width="10" customWidth="1"/>
    <col min="6" max="7" width="12.15234375" bestFit="1" customWidth="1"/>
    <col min="8" max="8" width="6.15234375" customWidth="1"/>
    <col min="9" max="9" width="17.3828125" bestFit="1" customWidth="1"/>
    <col min="10" max="10" width="43.3046875" hidden="1" customWidth="1"/>
    <col min="11" max="11" width="5.3828125" hidden="1" customWidth="1"/>
    <col min="12" max="12" width="9.69140625" customWidth="1"/>
    <col min="13" max="13" width="57.3828125" customWidth="1"/>
    <col min="15" max="16" width="9.3046875" hidden="1" customWidth="1"/>
    <col min="17" max="17" width="9.23046875" hidden="1" customWidth="1"/>
    <col min="18" max="25" width="0" hidden="1" customWidth="1"/>
  </cols>
  <sheetData>
    <row r="1" spans="1:25">
      <c r="A1" s="4" t="s">
        <v>140</v>
      </c>
      <c r="B1" s="15" t="s">
        <v>29</v>
      </c>
      <c r="F1" s="4" t="s">
        <v>2</v>
      </c>
      <c r="G1" s="4" t="s">
        <v>4</v>
      </c>
      <c r="H1" s="4" t="s">
        <v>277</v>
      </c>
      <c r="I1" s="4" t="s">
        <v>139</v>
      </c>
      <c r="J1" s="4" t="s">
        <v>5</v>
      </c>
      <c r="K1" s="4" t="s">
        <v>465</v>
      </c>
      <c r="M1" s="4" t="s">
        <v>137</v>
      </c>
      <c r="O1" t="str" cm="1">
        <f t="array" ref="O1:O14">flownodes[nodeType]</f>
        <v>square</v>
      </c>
      <c r="P1" s="4" t="s">
        <v>126</v>
      </c>
      <c r="Q1" t="str" cm="1">
        <f t="array" ref="Q1:Q160">_xlfn._xlws.SORT(icon[Display])</f>
        <v>arrows-alt</v>
      </c>
      <c r="R1" cm="1">
        <f t="array" ref="R1:R25">flow[index]</f>
        <v>2</v>
      </c>
      <c r="W1" cm="1">
        <f t="array" ref="W1:Y6">_xlfn.HSTACK(_xlfn.SEQUENCE(COUNTA(_xlfn._xlws.FILTER(flow[label],flow[label]&lt;&gt;""))),_xlfn._xlws.FILTER(flow[label],flow[label]&lt;&gt;""),_xlfn._xlws.FILTER(flow[index],flow[label]&lt;&gt;""))</f>
        <v>1</v>
      </c>
      <c r="X1" t="str">
        <v>start</v>
      </c>
      <c r="Y1">
        <v>2</v>
      </c>
    </row>
    <row r="2" spans="1:25">
      <c r="A2" s="4" t="s">
        <v>386</v>
      </c>
      <c r="B2" s="15" t="s">
        <v>27</v>
      </c>
      <c r="F2" t="s">
        <v>129</v>
      </c>
      <c r="G2" t="s">
        <v>130</v>
      </c>
      <c r="I2" t="s">
        <v>129</v>
      </c>
      <c r="J2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>1(((fa:fa-bell start)))--&gt;|1: start|2(step1)</v>
      </c>
      <c r="K2">
        <f>IF(flow[[#This Row],[source]]="","",ROW())</f>
        <v>2</v>
      </c>
      <c r="M2" t="str" cm="1">
        <f t="array" ref="M2:M9">_xlfn.VSTACK(
"flowchart "&amp;B2,
_xlfn._xlws.FILTER(flow[mmSyntax],flow[mmSyntax]&lt;&gt;"")
)</f>
        <v>flowchart TD</v>
      </c>
      <c r="O2" t="str">
        <v>rounded box</v>
      </c>
      <c r="P2" t="str" cm="1">
        <f t="array" ref="P2:P7">(_xlfn.UNIQUE(_xlfn.VSTACK(_xlfn._xlws.FILTER(F:F,(F:F&lt;&gt;"source")*(F:F&lt;&gt;"")),_xlfn._xlws.FILTER(G:G,(G:G&lt;&gt;"target")*(G:G&lt;&gt;"")))))</f>
        <v>start</v>
      </c>
      <c r="Q2" t="str">
        <v>barcode</v>
      </c>
      <c r="R2">
        <v>3</v>
      </c>
      <c r="W2">
        <v>2</v>
      </c>
      <c r="X2" t="str">
        <v>goto step2</v>
      </c>
      <c r="Y2">
        <v>3</v>
      </c>
    </row>
    <row r="3" spans="1:25">
      <c r="A3" s="4" t="s">
        <v>466</v>
      </c>
      <c r="B3" s="15" t="s">
        <v>467</v>
      </c>
      <c r="F3" t="s">
        <v>130</v>
      </c>
      <c r="G3" t="s">
        <v>131</v>
      </c>
      <c r="I3" t="s">
        <v>135</v>
      </c>
      <c r="J3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>2(step1)--&gt;|2: goto step2|3[(fa:fa-database step2)]</v>
      </c>
      <c r="K3">
        <f>IF(flow[[#This Row],[source]]="","",ROW())</f>
        <v>3</v>
      </c>
      <c r="M3" t="str">
        <v>1(((fa:fa-bell start)))--&gt;|1: start|2(step1)</v>
      </c>
      <c r="O3" t="str">
        <v>pill</v>
      </c>
      <c r="P3" t="str">
        <v>step1</v>
      </c>
      <c r="Q3" t="str">
        <v>battery-empty</v>
      </c>
      <c r="R3" t="str">
        <v/>
      </c>
      <c r="W3">
        <v>3</v>
      </c>
      <c r="X3" t="str">
        <v>goto step4</v>
      </c>
      <c r="Y3">
        <v>13</v>
      </c>
    </row>
    <row r="4" spans="1:25">
      <c r="J4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4" t="str">
        <f>IF(flow[[#This Row],[source]]="","",ROW())</f>
        <v/>
      </c>
      <c r="M4" t="str">
        <v>2(step1)--&gt;|2: goto step2|3[(fa:fa-database step2)]</v>
      </c>
      <c r="O4" t="str">
        <v>database</v>
      </c>
      <c r="P4" t="str">
        <v>step2</v>
      </c>
      <c r="Q4" t="str">
        <v>battery-full</v>
      </c>
      <c r="R4" t="str">
        <v/>
      </c>
      <c r="W4">
        <v>4</v>
      </c>
      <c r="X4" t="str">
        <v>goto step1</v>
      </c>
      <c r="Y4">
        <v>14</v>
      </c>
    </row>
    <row r="5" spans="1:25">
      <c r="J5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5" t="str">
        <f>IF(flow[[#This Row],[source]]="","",ROW())</f>
        <v/>
      </c>
      <c r="M5" t="str">
        <v>3[(fa:fa-database step2)]--&gt;2(step1)</v>
      </c>
      <c r="O5" t="str">
        <v>circle</v>
      </c>
      <c r="P5" t="str">
        <v>step3</v>
      </c>
      <c r="Q5" t="str">
        <v>battery-half</v>
      </c>
      <c r="R5" t="str">
        <v/>
      </c>
      <c r="W5">
        <v>5</v>
      </c>
      <c r="X5" t="str">
        <v>goto step 1</v>
      </c>
      <c r="Y5">
        <v>15</v>
      </c>
    </row>
    <row r="6" spans="1:25">
      <c r="J6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6" t="str">
        <f>IF(flow[[#This Row],[source]]="","",ROW())</f>
        <v/>
      </c>
      <c r="M6" t="str">
        <v>4(step3)--&gt;|3: goto step4|5(step4)</v>
      </c>
      <c r="O6" t="str">
        <v>subroutine</v>
      </c>
      <c r="P6" t="str">
        <v>step4</v>
      </c>
      <c r="Q6" t="str">
        <v>bell</v>
      </c>
      <c r="R6" t="str">
        <v/>
      </c>
      <c r="W6">
        <v>6</v>
      </c>
      <c r="X6" t="str">
        <v>end</v>
      </c>
      <c r="Y6">
        <v>16</v>
      </c>
    </row>
    <row r="7" spans="1:25">
      <c r="A7" s="4" t="s">
        <v>141</v>
      </c>
      <c r="B7" s="4" t="s">
        <v>30</v>
      </c>
      <c r="C7" s="4" t="s">
        <v>156</v>
      </c>
      <c r="D7" s="4" t="s">
        <v>5</v>
      </c>
      <c r="J7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7" t="str">
        <f>IF(flow[[#This Row],[source]]="","",ROW())</f>
        <v/>
      </c>
      <c r="M7" s="1" t="str">
        <v>4(step3)--&gt;|4: goto step1|2(step1)</v>
      </c>
      <c r="O7" t="str">
        <v>flag</v>
      </c>
      <c r="P7" t="str">
        <v>end</v>
      </c>
      <c r="Q7" t="str">
        <v>bell-slash</v>
      </c>
      <c r="R7" t="str">
        <v/>
      </c>
    </row>
    <row r="8" spans="1:25">
      <c r="A8" s="17" t="s">
        <v>129</v>
      </c>
      <c r="B8" s="17" t="s">
        <v>31</v>
      </c>
      <c r="C8" s="17" t="s">
        <v>162</v>
      </c>
      <c r="D8" s="17" t="str">
        <f>(_xlfn.XLOOKUP(flowObjects12[[#This Row],[shape]],flownodes[nodeType],flownodes[mmPrefix],"")&amp;_xlfn.XLOOKUP(flowObjects12[[#This Row],[icon]],icon[Display],icon[Icon]," ")&amp;" "&amp;flowObjects12[[#This Row],[object]]&amp;_xlfn.XLOOKUP(flowObjects12[[#This Row],[shape]],flownodes[nodeType],flownodes[mmSuffix],""))</f>
        <v>(((fa:fa-bell start)))</v>
      </c>
      <c r="J8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8" t="str">
        <f>IF(flow[[#This Row],[source]]="","",ROW())</f>
        <v/>
      </c>
      <c r="M8" t="str">
        <v>4(step3)--&gt;|5: goto step 1|3[(fa:fa-database step2)]</v>
      </c>
      <c r="O8" t="str">
        <v>rhombus</v>
      </c>
      <c r="Q8" t="str">
        <v>bolt</v>
      </c>
      <c r="R8" t="str">
        <v/>
      </c>
    </row>
    <row r="9" spans="1:25">
      <c r="A9" s="17" t="s">
        <v>131</v>
      </c>
      <c r="B9" s="17" t="s">
        <v>32</v>
      </c>
      <c r="C9" s="17" t="s">
        <v>32</v>
      </c>
      <c r="D9" s="17" t="str">
        <f>(_xlfn.XLOOKUP(flowObjects12[[#This Row],[shape]],flownodes[nodeType],flownodes[mmPrefix],"")&amp;_xlfn.XLOOKUP(flowObjects12[[#This Row],[icon]],icon[Display],icon[Icon]," ")&amp;" "&amp;flowObjects12[[#This Row],[object]]&amp;_xlfn.XLOOKUP(flowObjects12[[#This Row],[shape]],flownodes[nodeType],flownodes[mmSuffix],""))</f>
        <v>[(fa:fa-database step2)]</v>
      </c>
      <c r="J9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9" t="str">
        <f>IF(flow[[#This Row],[source]]="","",ROW())</f>
        <v/>
      </c>
      <c r="M9" t="str">
        <v>5(step4)--&gt;|6: end|6(end)</v>
      </c>
      <c r="O9" t="str">
        <v>parallelogram</v>
      </c>
      <c r="Q9" t="str">
        <v>bookmark</v>
      </c>
      <c r="R9" t="str">
        <v/>
      </c>
    </row>
    <row r="10" spans="1:25">
      <c r="A10" s="17"/>
      <c r="B10" s="17"/>
      <c r="C10" s="17"/>
      <c r="D10" s="24" t="str">
        <f>(_xlfn.XLOOKUP(flowObjects12[[#This Row],[shape]],flownodes[nodeType],flownodes[mmPrefix],"")&amp;_xlfn.XLOOKUP(flowObjects12[[#This Row],[icon]],icon[Display],icon[Icon]," ")&amp;" "&amp;flowObjects12[[#This Row],[object]]&amp;_xlfn.XLOOKUP(flowObjects12[[#This Row],[shape]],flownodes[nodeType],flownodes[mmSuffix],""))</f>
        <v xml:space="preserve"> </v>
      </c>
      <c r="J10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10" t="str">
        <f>IF(flow[[#This Row],[source]]="","",ROW())</f>
        <v/>
      </c>
      <c r="O10" t="str">
        <v>hexagon</v>
      </c>
      <c r="Q10" t="str">
        <v>bug</v>
      </c>
      <c r="R10" t="str">
        <v/>
      </c>
    </row>
    <row r="11" spans="1:25">
      <c r="A11" s="17"/>
      <c r="B11" s="17"/>
      <c r="C11" s="17"/>
      <c r="D11" s="24" t="str">
        <f>(_xlfn.XLOOKUP(flowObjects12[[#This Row],[shape]],flownodes[nodeType],flownodes[mmPrefix],"")&amp;_xlfn.XLOOKUP(flowObjects12[[#This Row],[icon]],icon[Display],icon[Icon]," ")&amp;" "&amp;flowObjects12[[#This Row],[object]]&amp;_xlfn.XLOOKUP(flowObjects12[[#This Row],[shape]],flownodes[nodeType],flownodes[mmSuffix],""))</f>
        <v xml:space="preserve"> </v>
      </c>
      <c r="J11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11" t="str">
        <f>IF(flow[[#This Row],[source]]="","",ROW())</f>
        <v/>
      </c>
      <c r="O11" t="str">
        <v>parallelogram alt</v>
      </c>
      <c r="Q11" t="str">
        <v>building</v>
      </c>
      <c r="R11">
        <v>12</v>
      </c>
    </row>
    <row r="12" spans="1:25">
      <c r="A12" s="17"/>
      <c r="B12" s="17"/>
      <c r="C12" s="17"/>
      <c r="D12" s="24" t="str">
        <f>(_xlfn.XLOOKUP(flowObjects12[[#This Row],[shape]],flownodes[nodeType],flownodes[mmPrefix],"")&amp;_xlfn.XLOOKUP(flowObjects12[[#This Row],[icon]],icon[Display],icon[Icon]," ")&amp;" "&amp;flowObjects12[[#This Row],[object]]&amp;_xlfn.XLOOKUP(flowObjects12[[#This Row],[shape]],flownodes[nodeType],flownodes[mmSuffix],""))</f>
        <v xml:space="preserve"> </v>
      </c>
      <c r="F12" t="s">
        <v>131</v>
      </c>
      <c r="G12" t="s">
        <v>130</v>
      </c>
      <c r="J12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>3[(fa:fa-database step2)]--&gt;2(step1)</v>
      </c>
      <c r="K12">
        <f>IF(flow[[#This Row],[source]]="","",ROW())</f>
        <v>12</v>
      </c>
      <c r="O12" t="str">
        <v>trapezoid</v>
      </c>
      <c r="Q12" t="str">
        <v>calendar</v>
      </c>
      <c r="R12">
        <v>13</v>
      </c>
    </row>
    <row r="13" spans="1:25">
      <c r="A13" s="17"/>
      <c r="B13" s="17"/>
      <c r="C13" s="17"/>
      <c r="D13" s="24" t="str">
        <f>(_xlfn.XLOOKUP(flowObjects12[[#This Row],[shape]],flownodes[nodeType],flownodes[mmPrefix],"")&amp;_xlfn.XLOOKUP(flowObjects12[[#This Row],[icon]],icon[Display],icon[Icon]," ")&amp;" "&amp;flowObjects12[[#This Row],[object]]&amp;_xlfn.XLOOKUP(flowObjects12[[#This Row],[shape]],flownodes[nodeType],flownodes[mmSuffix],""))</f>
        <v xml:space="preserve"> </v>
      </c>
      <c r="F13" t="s">
        <v>132</v>
      </c>
      <c r="G13" t="s">
        <v>133</v>
      </c>
      <c r="I13" t="s">
        <v>136</v>
      </c>
      <c r="J13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>4(step3)--&gt;|3: goto step4|5(step4)</v>
      </c>
      <c r="K13">
        <f>IF(flow[[#This Row],[source]]="","",ROW())</f>
        <v>13</v>
      </c>
      <c r="O13" t="str">
        <v>trapezoid alt</v>
      </c>
      <c r="Q13" t="str">
        <v>calendar-alt</v>
      </c>
      <c r="R13">
        <v>14</v>
      </c>
    </row>
    <row r="14" spans="1:25">
      <c r="A14" s="17"/>
      <c r="B14" s="17"/>
      <c r="C14" s="17"/>
      <c r="D14" s="24" t="str">
        <f>(_xlfn.XLOOKUP(flowObjects12[[#This Row],[shape]],flownodes[nodeType],flownodes[mmPrefix],"")&amp;_xlfn.XLOOKUP(flowObjects12[[#This Row],[icon]],icon[Display],icon[Icon]," ")&amp;" "&amp;flowObjects12[[#This Row],[object]]&amp;_xlfn.XLOOKUP(flowObjects12[[#This Row],[shape]],flownodes[nodeType],flownodes[mmSuffix],""))</f>
        <v xml:space="preserve"> </v>
      </c>
      <c r="F14" t="s">
        <v>132</v>
      </c>
      <c r="G14" t="s">
        <v>130</v>
      </c>
      <c r="I14" t="s">
        <v>134</v>
      </c>
      <c r="J14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>4(step3)--&gt;|4: goto step1|2(step1)</v>
      </c>
      <c r="K14">
        <f>IF(flow[[#This Row],[source]]="","",ROW())</f>
        <v>14</v>
      </c>
      <c r="O14" t="str">
        <v>double circle</v>
      </c>
      <c r="Q14" t="str">
        <v>clock</v>
      </c>
      <c r="R14">
        <v>15</v>
      </c>
    </row>
    <row r="15" spans="1:25">
      <c r="A15" s="17"/>
      <c r="B15" s="17"/>
      <c r="C15" s="17"/>
      <c r="D15" s="24" t="str">
        <f>(_xlfn.XLOOKUP(flowObjects12[[#This Row],[shape]],flownodes[nodeType],flownodes[mmPrefix],"")&amp;_xlfn.XLOOKUP(flowObjects12[[#This Row],[icon]],icon[Display],icon[Icon]," ")&amp;" "&amp;flowObjects12[[#This Row],[object]]&amp;_xlfn.XLOOKUP(flowObjects12[[#This Row],[shape]],flownodes[nodeType],flownodes[mmSuffix],""))</f>
        <v xml:space="preserve"> </v>
      </c>
      <c r="F15" t="s">
        <v>132</v>
      </c>
      <c r="G15" t="s">
        <v>131</v>
      </c>
      <c r="I15" t="s">
        <v>138</v>
      </c>
      <c r="J15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>4(step3)--&gt;|5: goto step 1|3[(fa:fa-database step2)]</v>
      </c>
      <c r="K15">
        <f>IF(flow[[#This Row],[source]]="","",ROW())</f>
        <v>15</v>
      </c>
      <c r="Q15" t="str">
        <v>cloud-rain</v>
      </c>
      <c r="R15">
        <v>16</v>
      </c>
    </row>
    <row r="16" spans="1:25">
      <c r="A16" s="17"/>
      <c r="B16" s="17"/>
      <c r="C16" s="17"/>
      <c r="D16" s="24" t="str">
        <f>(_xlfn.XLOOKUP(flowObjects12[[#This Row],[shape]],flownodes[nodeType],flownodes[mmPrefix],"")&amp;_xlfn.XLOOKUP(flowObjects12[[#This Row],[icon]],icon[Display],icon[Icon]," ")&amp;" "&amp;flowObjects12[[#This Row],[object]]&amp;_xlfn.XLOOKUP(flowObjects12[[#This Row],[shape]],flownodes[nodeType],flownodes[mmSuffix],""))</f>
        <v xml:space="preserve"> </v>
      </c>
      <c r="F16" t="s">
        <v>133</v>
      </c>
      <c r="G16" t="s">
        <v>107</v>
      </c>
      <c r="I16" t="s">
        <v>107</v>
      </c>
      <c r="J16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>5(step4)--&gt;|6: end|6(end)</v>
      </c>
      <c r="K16">
        <f>IF(flow[[#This Row],[source]]="","",ROW())</f>
        <v>16</v>
      </c>
      <c r="Q16" t="str">
        <v>code</v>
      </c>
      <c r="R16" t="str">
        <v/>
      </c>
    </row>
    <row r="17" spans="1:18">
      <c r="A17" s="17"/>
      <c r="B17" s="17"/>
      <c r="C17" s="17"/>
      <c r="D17" s="24" t="str">
        <f>(_xlfn.XLOOKUP(flowObjects12[[#This Row],[shape]],flownodes[nodeType],flownodes[mmPrefix],"")&amp;_xlfn.XLOOKUP(flowObjects12[[#This Row],[icon]],icon[Display],icon[Icon]," ")&amp;" "&amp;flowObjects12[[#This Row],[object]]&amp;_xlfn.XLOOKUP(flowObjects12[[#This Row],[shape]],flownodes[nodeType],flownodes[mmSuffix],""))</f>
        <v xml:space="preserve"> </v>
      </c>
      <c r="J17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17" t="str">
        <f>IF(flow[[#This Row],[source]]="","",ROW())</f>
        <v/>
      </c>
      <c r="Q17" t="str">
        <v>code-branch</v>
      </c>
      <c r="R17" t="str">
        <v/>
      </c>
    </row>
    <row r="18" spans="1:18">
      <c r="A18" s="17"/>
      <c r="B18" s="17"/>
      <c r="C18" s="17"/>
      <c r="D18" s="24" t="str">
        <f>(_xlfn.XLOOKUP(flowObjects12[[#This Row],[shape]],flownodes[nodeType],flownodes[mmPrefix],"")&amp;_xlfn.XLOOKUP(flowObjects12[[#This Row],[icon]],icon[Display],icon[Icon]," ")&amp;" "&amp;flowObjects12[[#This Row],[object]]&amp;_xlfn.XLOOKUP(flowObjects12[[#This Row],[shape]],flownodes[nodeType],flownodes[mmSuffix],""))</f>
        <v xml:space="preserve"> </v>
      </c>
      <c r="J18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18" t="str">
        <f>IF(flow[[#This Row],[source]]="","",ROW())</f>
        <v/>
      </c>
      <c r="Q18" t="str">
        <v>comment</v>
      </c>
      <c r="R18" t="str">
        <v/>
      </c>
    </row>
    <row r="19" spans="1:18">
      <c r="A19" s="17"/>
      <c r="B19" s="17"/>
      <c r="C19" s="17"/>
      <c r="D19" s="24" t="str">
        <f>(_xlfn.XLOOKUP(flowObjects12[[#This Row],[shape]],flownodes[nodeType],flownodes[mmPrefix],"")&amp;_xlfn.XLOOKUP(flowObjects12[[#This Row],[icon]],icon[Display],icon[Icon]," ")&amp;" "&amp;flowObjects12[[#This Row],[object]]&amp;_xlfn.XLOOKUP(flowObjects12[[#This Row],[shape]],flownodes[nodeType],flownodes[mmSuffix],""))</f>
        <v xml:space="preserve"> </v>
      </c>
      <c r="J19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19" t="str">
        <f>IF(flow[[#This Row],[source]]="","",ROW())</f>
        <v/>
      </c>
      <c r="Q19" t="str">
        <v>comment</v>
      </c>
      <c r="R19" t="str">
        <v/>
      </c>
    </row>
    <row r="20" spans="1:18">
      <c r="A20" s="17"/>
      <c r="B20" s="17"/>
      <c r="C20" s="17"/>
      <c r="D20" s="24" t="str">
        <f>(_xlfn.XLOOKUP(flowObjects12[[#This Row],[shape]],flownodes[nodeType],flownodes[mmPrefix],"")&amp;_xlfn.XLOOKUP(flowObjects12[[#This Row],[icon]],icon[Display],icon[Icon]," ")&amp;" "&amp;flowObjects12[[#This Row],[object]]&amp;_xlfn.XLOOKUP(flowObjects12[[#This Row],[shape]],flownodes[nodeType],flownodes[mmSuffix],""))</f>
        <v xml:space="preserve"> </v>
      </c>
      <c r="J20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20" t="str">
        <f>IF(flow[[#This Row],[source]]="","",ROW())</f>
        <v/>
      </c>
      <c r="Q20" t="str">
        <v>comment-alt</v>
      </c>
      <c r="R20" t="str">
        <v/>
      </c>
    </row>
    <row r="21" spans="1:18">
      <c r="A21" s="17"/>
      <c r="B21" s="17"/>
      <c r="C21" s="17"/>
      <c r="D21" s="24" t="str">
        <f>(_xlfn.XLOOKUP(flowObjects12[[#This Row],[shape]],flownodes[nodeType],flownodes[mmPrefix],"")&amp;_xlfn.XLOOKUP(flowObjects12[[#This Row],[icon]],icon[Display],icon[Icon]," ")&amp;" "&amp;flowObjects12[[#This Row],[object]]&amp;_xlfn.XLOOKUP(flowObjects12[[#This Row],[shape]],flownodes[nodeType],flownodes[mmSuffix],""))</f>
        <v xml:space="preserve"> </v>
      </c>
      <c r="J21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21" t="str">
        <f>IF(flow[[#This Row],[source]]="","",ROW())</f>
        <v/>
      </c>
      <c r="Q21" t="str">
        <v>comments</v>
      </c>
      <c r="R21" t="str">
        <v/>
      </c>
    </row>
    <row r="22" spans="1:18">
      <c r="A22" s="17"/>
      <c r="B22" s="17"/>
      <c r="C22" s="17"/>
      <c r="D22" s="24" t="str">
        <f>(_xlfn.XLOOKUP(flowObjects12[[#This Row],[shape]],flownodes[nodeType],flownodes[mmPrefix],"")&amp;_xlfn.XLOOKUP(flowObjects12[[#This Row],[icon]],icon[Display],icon[Icon]," ")&amp;" "&amp;flowObjects12[[#This Row],[object]]&amp;_xlfn.XLOOKUP(flowObjects12[[#This Row],[shape]],flownodes[nodeType],flownodes[mmSuffix],""))</f>
        <v xml:space="preserve"> </v>
      </c>
      <c r="J22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22" t="str">
        <f>IF(flow[[#This Row],[source]]="","",ROW())</f>
        <v/>
      </c>
      <c r="Q22" t="str">
        <v>comment-slash</v>
      </c>
      <c r="R22" t="str">
        <v/>
      </c>
    </row>
    <row r="23" spans="1:18">
      <c r="J23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23" t="str">
        <f>IF(flow[[#This Row],[source]]="","",ROW())</f>
        <v/>
      </c>
      <c r="Q23" t="str">
        <v>compass</v>
      </c>
      <c r="R23" t="str">
        <v/>
      </c>
    </row>
    <row r="24" spans="1:18">
      <c r="J24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24" t="str">
        <f>IF(flow[[#This Row],[source]]="","",ROW())</f>
        <v/>
      </c>
      <c r="Q24" t="str">
        <v>database</v>
      </c>
      <c r="R24" t="str">
        <v/>
      </c>
    </row>
    <row r="25" spans="1:18">
      <c r="J25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25" t="str">
        <f>IF(flow[[#This Row],[source]]="","",ROW())</f>
        <v/>
      </c>
      <c r="Q25" t="str">
        <v>desktop</v>
      </c>
      <c r="R25" t="str">
        <v/>
      </c>
    </row>
    <row r="26" spans="1:18">
      <c r="J26" t="str">
        <f>IF(flow[[#This Row],[source]]="","",
_xlfn.XMATCH(flow[[#This Row],[source]],P:P)-1&amp;_xlfn.XLOOKUP(flow[[#This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Row],[label]]="","","|"&amp;IF(flow[[#This Row],[label]]="","",IF($B$3&lt;&gt;"",_xlfn.XLOOKUP(flow[[#This Row],[index]],$Y:$Y,$W:$W)&amp;$B$3&amp;_xlfn.XLOOKUP(flow[[#This Row],[index]],$Y:$Y,$X:$X),flow[[#This Row],[label]]))&amp;"|"))
&amp;
_xlfn.XMATCH(flow[[#This Row],[target]],P:P)-1&amp;_xlfn.XLOOKUP(flow[[#This Row],[target]],flowObjects12[object],flowObjects12[mmSyntax],_xlfn.XLOOKUP($B$1,flownodes[nodeType],flownodes[mmPrefix])&amp;flow[[#This Row],[target]]&amp;_xlfn.XLOOKUP($B$1,flownodes[nodeType],flownodes[mmSuffix])))</f>
        <v/>
      </c>
      <c r="K26" t="str">
        <f>IF(flow[[#This Row],[source]]="","",ROW())</f>
        <v/>
      </c>
      <c r="Q26" t="str">
        <v>door-closed</v>
      </c>
    </row>
    <row r="27" spans="1:18">
      <c r="Q27" t="str">
        <v>door-open</v>
      </c>
    </row>
    <row r="28" spans="1:18">
      <c r="Q28" t="str">
        <v>download</v>
      </c>
    </row>
    <row r="29" spans="1:18">
      <c r="E29" s="2"/>
      <c r="Q29" t="str">
        <v>ethernet</v>
      </c>
    </row>
    <row r="30" spans="1:18">
      <c r="E30" s="2"/>
      <c r="Q30" t="str">
        <v>exclamation</v>
      </c>
    </row>
    <row r="31" spans="1:18">
      <c r="E31" s="2"/>
      <c r="Q31" t="str">
        <v>exclamation-circle</v>
      </c>
    </row>
    <row r="32" spans="1:18">
      <c r="E32" s="2"/>
      <c r="Q32" t="str">
        <v>exclamation-triangle</v>
      </c>
    </row>
    <row r="33" spans="5:17">
      <c r="E33" s="2"/>
      <c r="Q33" t="str">
        <v>eye</v>
      </c>
    </row>
    <row r="34" spans="5:17">
      <c r="Q34" t="str">
        <v>eye-slash</v>
      </c>
    </row>
    <row r="35" spans="5:17">
      <c r="Q35" t="str">
        <v>file</v>
      </c>
    </row>
    <row r="36" spans="5:17">
      <c r="Q36" t="str">
        <v>file</v>
      </c>
    </row>
    <row r="37" spans="5:17">
      <c r="Q37" t="str">
        <v>file-alt</v>
      </c>
    </row>
    <row r="38" spans="5:17">
      <c r="Q38" t="str">
        <v>file-alt</v>
      </c>
    </row>
    <row r="39" spans="5:17">
      <c r="Q39" t="str">
        <v>file-code</v>
      </c>
    </row>
    <row r="40" spans="5:17">
      <c r="Q40" t="str">
        <v>filter</v>
      </c>
    </row>
    <row r="41" spans="5:17">
      <c r="Q41" t="str">
        <v>flag</v>
      </c>
    </row>
    <row r="42" spans="5:17">
      <c r="Q42" t="str">
        <v>folder</v>
      </c>
    </row>
    <row r="43" spans="5:17">
      <c r="Q43" t="str">
        <v>folder</v>
      </c>
    </row>
    <row r="44" spans="5:17">
      <c r="Q44" t="str">
        <v>folder-open</v>
      </c>
    </row>
    <row r="45" spans="5:17">
      <c r="Q45" t="str">
        <v>folder-open</v>
      </c>
    </row>
    <row r="46" spans="5:17">
      <c r="Q46" t="str">
        <v>frown</v>
      </c>
    </row>
    <row r="47" spans="5:17">
      <c r="Q47" t="str">
        <v>globe</v>
      </c>
    </row>
    <row r="48" spans="5:17">
      <c r="Q48" t="str">
        <v>hdd</v>
      </c>
    </row>
    <row r="49" spans="17:17">
      <c r="Q49" t="str">
        <v>home</v>
      </c>
    </row>
    <row r="50" spans="17:17">
      <c r="Q50" t="str">
        <v>hourglass</v>
      </c>
    </row>
    <row r="51" spans="17:17">
      <c r="Q51" t="str">
        <v>id-badge</v>
      </c>
    </row>
    <row r="52" spans="17:17">
      <c r="Q52" t="str">
        <v>id-card</v>
      </c>
    </row>
    <row r="53" spans="17:17">
      <c r="Q53" t="str">
        <v>id-card-alt</v>
      </c>
    </row>
    <row r="54" spans="17:17">
      <c r="Q54" t="str">
        <v>info</v>
      </c>
    </row>
    <row r="55" spans="17:17">
      <c r="Q55" t="str">
        <v>info-circle</v>
      </c>
    </row>
    <row r="56" spans="17:17">
      <c r="Q56" t="str">
        <v>keyboard</v>
      </c>
    </row>
    <row r="57" spans="17:17">
      <c r="Q57" t="str">
        <v>laptop</v>
      </c>
    </row>
    <row r="58" spans="17:17">
      <c r="Q58" t="str">
        <v>layer-group</v>
      </c>
    </row>
    <row r="59" spans="17:17">
      <c r="Q59" t="str">
        <v>lightbulb</v>
      </c>
    </row>
    <row r="60" spans="17:17">
      <c r="Q60" t="str">
        <v>location-arrow</v>
      </c>
    </row>
    <row r="61" spans="17:17">
      <c r="Q61" t="str">
        <v>lock</v>
      </c>
    </row>
    <row r="62" spans="17:17">
      <c r="Q62" t="str">
        <v>lock-open</v>
      </c>
    </row>
    <row r="63" spans="17:17">
      <c r="Q63" t="str">
        <v>map</v>
      </c>
    </row>
    <row r="64" spans="17:17">
      <c r="Q64" t="str">
        <v>map-marker</v>
      </c>
    </row>
    <row r="65" spans="17:17">
      <c r="Q65" t="str">
        <v>map-marker</v>
      </c>
    </row>
    <row r="66" spans="17:17">
      <c r="Q66" t="str">
        <v>map-pin</v>
      </c>
    </row>
    <row r="67" spans="17:17">
      <c r="Q67" t="str">
        <v>meh</v>
      </c>
    </row>
    <row r="68" spans="17:17">
      <c r="Q68" t="str">
        <v>memory</v>
      </c>
    </row>
    <row r="69" spans="17:17">
      <c r="Q69" t="str">
        <v>microphone</v>
      </c>
    </row>
    <row r="70" spans="17:17">
      <c r="Q70" t="str">
        <v>microphone</v>
      </c>
    </row>
    <row r="71" spans="17:17">
      <c r="Q71" t="str">
        <v>minus</v>
      </c>
    </row>
    <row r="72" spans="17:17">
      <c r="Q72" t="str">
        <v>minus-circle</v>
      </c>
    </row>
    <row r="73" spans="17:17">
      <c r="Q73" t="str">
        <v>mobile</v>
      </c>
    </row>
    <row r="74" spans="17:17">
      <c r="Q74" t="str">
        <v>parking</v>
      </c>
    </row>
    <row r="75" spans="17:17">
      <c r="Q75" t="str">
        <v>phone</v>
      </c>
    </row>
    <row r="76" spans="17:17">
      <c r="Q76" t="str">
        <v>plus</v>
      </c>
    </row>
    <row r="77" spans="17:17">
      <c r="Q77" t="str">
        <v>plus-circle</v>
      </c>
    </row>
    <row r="78" spans="17:17">
      <c r="Q78" t="str">
        <v>plus-square</v>
      </c>
    </row>
    <row r="79" spans="17:17">
      <c r="Q79" t="str">
        <v>poo</v>
      </c>
    </row>
    <row r="80" spans="17:17">
      <c r="Q80" t="str">
        <v>power-off</v>
      </c>
    </row>
    <row r="81" spans="17:17">
      <c r="Q81" t="str">
        <v>print</v>
      </c>
    </row>
    <row r="82" spans="17:17">
      <c r="Q82" t="str">
        <v>question</v>
      </c>
    </row>
    <row r="83" spans="17:17">
      <c r="Q83" t="str">
        <v>question-circle</v>
      </c>
    </row>
    <row r="84" spans="17:17">
      <c r="Q84" t="str">
        <v>recycle</v>
      </c>
    </row>
    <row r="85" spans="17:17">
      <c r="Q85" t="str">
        <v>satellite</v>
      </c>
    </row>
    <row r="86" spans="17:17">
      <c r="Q86" t="str">
        <v>sd-card</v>
      </c>
    </row>
    <row r="87" spans="17:17">
      <c r="Q87" t="str">
        <v>search</v>
      </c>
    </row>
    <row r="88" spans="17:17">
      <c r="Q88" t="str">
        <v>search-minus</v>
      </c>
    </row>
    <row r="89" spans="17:17">
      <c r="Q89" t="str">
        <v>search-plus</v>
      </c>
    </row>
    <row r="90" spans="17:17">
      <c r="Q90" t="str">
        <v>server</v>
      </c>
    </row>
    <row r="91" spans="17:17">
      <c r="Q91" t="str">
        <v>shield-alt</v>
      </c>
    </row>
    <row r="92" spans="17:17">
      <c r="Q92" t="str">
        <v>shopping-cart</v>
      </c>
    </row>
    <row r="93" spans="17:17">
      <c r="Q93" t="str">
        <v>sign-in-alt</v>
      </c>
    </row>
    <row r="94" spans="17:17">
      <c r="Q94" t="str">
        <v>sim-card</v>
      </c>
    </row>
    <row r="95" spans="17:17">
      <c r="Q95" t="str">
        <v>smile</v>
      </c>
    </row>
    <row r="96" spans="17:17">
      <c r="Q96" t="str">
        <v>snowflake</v>
      </c>
    </row>
    <row r="97" spans="17:17">
      <c r="Q97" t="str">
        <v>stopwatch</v>
      </c>
    </row>
    <row r="98" spans="17:17">
      <c r="Q98" t="str">
        <v>stream</v>
      </c>
    </row>
    <row r="99" spans="17:17">
      <c r="Q99" t="str">
        <v>stream</v>
      </c>
    </row>
    <row r="100" spans="17:17">
      <c r="Q100" t="str">
        <v>table</v>
      </c>
    </row>
    <row r="101" spans="17:17">
      <c r="Q101" t="str">
        <v>tablet</v>
      </c>
    </row>
    <row r="102" spans="17:17">
      <c r="Q102" t="str">
        <v>terminal</v>
      </c>
    </row>
    <row r="103" spans="17:17">
      <c r="Q103" t="str">
        <v>thermometer-full</v>
      </c>
    </row>
    <row r="104" spans="17:17">
      <c r="Q104" t="str">
        <v>thumbs-down</v>
      </c>
    </row>
    <row r="105" spans="17:17">
      <c r="Q105" t="str">
        <v>thumbs-up</v>
      </c>
    </row>
    <row r="106" spans="17:17">
      <c r="Q106" t="str">
        <v>thumbtack</v>
      </c>
    </row>
    <row r="107" spans="17:17">
      <c r="Q107" t="str">
        <v>ticket-alt</v>
      </c>
    </row>
    <row r="108" spans="17:17">
      <c r="Q108" t="str">
        <v>tint</v>
      </c>
    </row>
    <row r="109" spans="17:17">
      <c r="Q109" t="str">
        <v>tint-slash</v>
      </c>
    </row>
    <row r="110" spans="17:17">
      <c r="Q110" t="str">
        <v>toggle-off</v>
      </c>
    </row>
    <row r="111" spans="17:17">
      <c r="Q111" t="str">
        <v>toggle-on</v>
      </c>
    </row>
    <row r="112" spans="17:17">
      <c r="Q112" t="str">
        <v>truck</v>
      </c>
    </row>
    <row r="113" spans="17:17">
      <c r="Q113" t="str">
        <v>unlock</v>
      </c>
    </row>
    <row r="114" spans="17:17">
      <c r="Q114" t="str">
        <v>unlock-alt</v>
      </c>
    </row>
    <row r="115" spans="17:17">
      <c r="Q115" t="str">
        <v>upload</v>
      </c>
    </row>
    <row r="116" spans="17:17">
      <c r="Q116" t="str">
        <v>user</v>
      </c>
    </row>
    <row r="117" spans="17:17">
      <c r="Q117" t="str">
        <v>user-circle</v>
      </c>
    </row>
    <row r="118" spans="17:17">
      <c r="Q118" t="str">
        <v>user-cog</v>
      </c>
    </row>
    <row r="119" spans="17:17">
      <c r="Q119" t="str">
        <v>user-edit</v>
      </c>
    </row>
    <row r="120" spans="17:17">
      <c r="Q120" t="str">
        <v>user-minus</v>
      </c>
    </row>
    <row r="121" spans="17:17">
      <c r="Q121" t="str">
        <v>user-plus</v>
      </c>
    </row>
    <row r="122" spans="17:17">
      <c r="Q122" t="str">
        <v>users</v>
      </c>
    </row>
    <row r="123" spans="17:17">
      <c r="Q123" t="str">
        <v>user-slash</v>
      </c>
    </row>
    <row r="124" spans="17:17">
      <c r="Q124" t="str">
        <v>user-tie</v>
      </c>
    </row>
    <row r="125" spans="17:17">
      <c r="Q125" t="str">
        <v>video</v>
      </c>
    </row>
    <row r="126" spans="17:17">
      <c r="Q126" t="str">
        <v>video-slash</v>
      </c>
    </row>
    <row r="127" spans="17:17">
      <c r="Q127" t="str">
        <v>water</v>
      </c>
    </row>
    <row r="128" spans="17:17">
      <c r="Q128" t="str">
        <v>wifi</v>
      </c>
    </row>
    <row r="129" spans="17:17">
      <c r="Q129" t="str">
        <v>wind</v>
      </c>
    </row>
    <row r="130" spans="17:17">
      <c r="Q130" t="str">
        <v>window-close</v>
      </c>
    </row>
    <row r="131" spans="17:17">
      <c r="Q131" t="str">
        <v>window-maximize</v>
      </c>
    </row>
    <row r="132" spans="17:17">
      <c r="Q132" t="str">
        <v>window-restore</v>
      </c>
    </row>
    <row r="133" spans="17:17">
      <c r="Q133" t="str">
        <v>wrench</v>
      </c>
    </row>
    <row r="134" spans="17:17">
      <c r="Q134">
        <v>0</v>
      </c>
    </row>
    <row r="135" spans="17:17">
      <c r="Q135">
        <v>0</v>
      </c>
    </row>
    <row r="136" spans="17:17">
      <c r="Q136">
        <v>0</v>
      </c>
    </row>
    <row r="137" spans="17:17">
      <c r="Q137">
        <v>0</v>
      </c>
    </row>
    <row r="138" spans="17:17">
      <c r="Q138">
        <v>0</v>
      </c>
    </row>
    <row r="139" spans="17:17">
      <c r="Q139">
        <v>0</v>
      </c>
    </row>
    <row r="140" spans="17:17">
      <c r="Q140">
        <v>0</v>
      </c>
    </row>
    <row r="141" spans="17:17">
      <c r="Q141">
        <v>0</v>
      </c>
    </row>
    <row r="142" spans="17:17">
      <c r="Q142">
        <v>0</v>
      </c>
    </row>
    <row r="143" spans="17:17">
      <c r="Q143">
        <v>0</v>
      </c>
    </row>
    <row r="144" spans="17:17">
      <c r="Q144">
        <v>0</v>
      </c>
    </row>
    <row r="145" spans="17:17">
      <c r="Q145">
        <v>0</v>
      </c>
    </row>
    <row r="146" spans="17:17">
      <c r="Q146">
        <v>0</v>
      </c>
    </row>
    <row r="147" spans="17:17">
      <c r="Q147">
        <v>0</v>
      </c>
    </row>
    <row r="148" spans="17:17">
      <c r="Q148">
        <v>0</v>
      </c>
    </row>
    <row r="149" spans="17:17">
      <c r="Q149">
        <v>0</v>
      </c>
    </row>
    <row r="150" spans="17:17">
      <c r="Q150">
        <v>0</v>
      </c>
    </row>
    <row r="151" spans="17:17">
      <c r="Q151">
        <v>0</v>
      </c>
    </row>
    <row r="152" spans="17:17">
      <c r="Q152">
        <v>0</v>
      </c>
    </row>
    <row r="153" spans="17:17">
      <c r="Q153">
        <v>0</v>
      </c>
    </row>
    <row r="154" spans="17:17">
      <c r="Q154">
        <v>0</v>
      </c>
    </row>
    <row r="155" spans="17:17">
      <c r="Q155">
        <v>0</v>
      </c>
    </row>
    <row r="156" spans="17:17">
      <c r="Q156">
        <v>0</v>
      </c>
    </row>
    <row r="157" spans="17:17">
      <c r="Q157">
        <v>0</v>
      </c>
    </row>
    <row r="158" spans="17:17">
      <c r="Q158">
        <v>0</v>
      </c>
    </row>
    <row r="159" spans="17:17">
      <c r="Q159">
        <v>0</v>
      </c>
    </row>
    <row r="160" spans="17:17">
      <c r="Q160">
        <v>0</v>
      </c>
    </row>
  </sheetData>
  <conditionalFormatting sqref="E29:E33">
    <cfRule type="expression" dxfId="13" priority="3">
      <formula>_xlfn.ISFORMULA(E29)</formula>
    </cfRule>
  </conditionalFormatting>
  <dataValidations count="8">
    <dataValidation type="list" allowBlank="1" showInputMessage="1" showErrorMessage="1" sqref="H2" xr:uid="{3C75D998-D9E6-4BE0-BD8F-3A334BAE844E}">
      <formula1>"--&gt;,&lt;--&gt;"</formula1>
    </dataValidation>
    <dataValidation type="list" allowBlank="1" showInputMessage="1" showErrorMessage="1" sqref="C8:C22" xr:uid="{052469E0-5CEA-4652-ABF3-46F0BFD91CC9}">
      <formula1>_xlfn.ANCHORARRAY($Q$1)</formula1>
    </dataValidation>
    <dataValidation type="list" allowBlank="1" showInputMessage="1" showErrorMessage="1" sqref="A8:A22 F2:G26" xr:uid="{C0E63196-21A6-46BC-9A39-70BC402D466D}">
      <formula1>_xlfn.ANCHORARRAY($P$2)</formula1>
    </dataValidation>
    <dataValidation type="list" allowBlank="1" showInputMessage="1" showErrorMessage="1" sqref="F27:H30" xr:uid="{252E5102-E5DE-44F6-A9E0-1FCDCB2FC8AD}">
      <formula1>$P$2</formula1>
    </dataValidation>
    <dataValidation type="list" allowBlank="1" showInputMessage="1" showErrorMessage="1" sqref="B8:B22 B1" xr:uid="{6D5F9A33-BF5F-49A4-AB13-271C03E99736}">
      <formula1>_xlfn.ANCHORARRAY($O$1)</formula1>
    </dataValidation>
    <dataValidation type="list" allowBlank="1" showInputMessage="1" showErrorMessage="1" sqref="H3:H26" xr:uid="{F1D0F96A-9EF6-4A15-A760-7AB5C0C924CA}">
      <formula1>"""--&gt;"",&lt;--&gt;"""</formula1>
    </dataValidation>
    <dataValidation type="list" allowBlank="1" showInputMessage="1" showErrorMessage="1" sqref="B2" xr:uid="{6C540B97-A033-41BE-89F2-EFE0E242A13D}">
      <formula1>"LR,TD"</formula1>
    </dataValidation>
    <dataValidation type="list" allowBlank="1" showInputMessage="1" showErrorMessage="1" sqref="B3" xr:uid="{EFA4FCB7-2BD4-404B-B2AC-070C2F0217F8}">
      <formula1>": , . "</formula1>
    </dataValidation>
  </dataValidations>
  <pageMargins left="0.7" right="0.7" top="0.75" bottom="0.75" header="0.3" footer="0.3"/>
  <pageSetup orientation="portrait" horizontalDpi="0" verticalDpi="0" r:id="rId1"/>
  <drawing r:id="rId2"/>
  <tableParts count="2"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47D0E-6986-4BAE-B1B1-FD48A86F6D78}">
  <dimension ref="A1:I22"/>
  <sheetViews>
    <sheetView showGridLines="0" workbookViewId="0">
      <selection activeCell="I4" sqref="I4:I21"/>
    </sheetView>
  </sheetViews>
  <sheetFormatPr defaultRowHeight="14.6"/>
  <cols>
    <col min="1" max="1" width="26.84375" bestFit="1" customWidth="1"/>
    <col min="2" max="2" width="7.07421875" customWidth="1"/>
    <col min="3" max="4" width="14.23046875" customWidth="1"/>
    <col min="5" max="5" width="12.23046875" customWidth="1"/>
    <col min="6" max="6" width="17.15234375" bestFit="1" customWidth="1"/>
    <col min="7" max="7" width="38.15234375" hidden="1" customWidth="1"/>
    <col min="9" max="9" width="38.15234375" bestFit="1" customWidth="1"/>
  </cols>
  <sheetData>
    <row r="1" spans="1:9">
      <c r="A1" s="4" t="s">
        <v>0</v>
      </c>
    </row>
    <row r="2" spans="1:9">
      <c r="A2" s="15" t="s">
        <v>490</v>
      </c>
    </row>
    <row r="3" spans="1:9">
      <c r="C3" t="s">
        <v>473</v>
      </c>
      <c r="D3" t="s">
        <v>477</v>
      </c>
      <c r="E3" t="s">
        <v>474</v>
      </c>
      <c r="F3" t="s">
        <v>475</v>
      </c>
      <c r="G3" t="s">
        <v>5</v>
      </c>
      <c r="I3" s="4" t="s">
        <v>137</v>
      </c>
    </row>
    <row r="4" spans="1:9">
      <c r="C4" t="s">
        <v>476</v>
      </c>
      <c r="G4" t="str">
        <f>IF(Table30[[#This Row],[section]]&lt;&gt;"","section " &amp;Table30[[#This Row],[section]],_xlfn.TEXTJOIN(" : ",TRUE,Table30[[#This Row],[Task]:[actors]]))</f>
        <v>section Sales</v>
      </c>
      <c r="I4" t="str" cm="1">
        <f t="array" ref="I4:I21">_xlfn.VSTACK(
"journey",
"",
"%% Title",
"title " &amp; $A$2,
"",
"%% Tasks",
_xlfn._xlws.FILTER(Table30[mmSyntax],Table30[mmSyntax]&lt;&gt;""))</f>
        <v>journey</v>
      </c>
    </row>
    <row r="5" spans="1:9">
      <c r="D5" t="s">
        <v>478</v>
      </c>
      <c r="E5">
        <v>7</v>
      </c>
      <c r="F5" t="s">
        <v>479</v>
      </c>
      <c r="G5" t="str">
        <f>IF(Table30[[#This Row],[section]]&lt;&gt;"","section " &amp;Table30[[#This Row],[section]],_xlfn.TEXTJOIN(" : ",TRUE,Table30[[#This Row],[Task]:[actors]]))</f>
        <v>Sales Engagement : 7 : sales</v>
      </c>
      <c r="I5" t="str">
        <v/>
      </c>
    </row>
    <row r="6" spans="1:9">
      <c r="D6" t="s">
        <v>480</v>
      </c>
      <c r="E6">
        <v>4</v>
      </c>
      <c r="F6" t="s">
        <v>482</v>
      </c>
      <c r="G6" t="str">
        <f>IF(Table30[[#This Row],[section]]&lt;&gt;"","section " &amp;Table30[[#This Row],[section]],_xlfn.TEXTJOIN(" : ",TRUE,Table30[[#This Row],[Task]:[actors]]))</f>
        <v>Discovery : 4 : presales</v>
      </c>
      <c r="I6" t="str">
        <v>%% Title</v>
      </c>
    </row>
    <row r="7" spans="1:9">
      <c r="D7" t="s">
        <v>481</v>
      </c>
      <c r="E7">
        <v>1</v>
      </c>
      <c r="F7" t="s">
        <v>479</v>
      </c>
      <c r="G7" t="str">
        <f>IF(Table30[[#This Row],[section]]&lt;&gt;"","section " &amp;Table30[[#This Row],[section]],_xlfn.TEXTJOIN(" : ",TRUE,Table30[[#This Row],[Task]:[actors]]))</f>
        <v>Price Negotiation : 1 : sales</v>
      </c>
      <c r="I7" t="str">
        <v>title Customer Experience Lifecycle</v>
      </c>
    </row>
    <row r="8" spans="1:9">
      <c r="G8" t="str">
        <f>IF(Table30[[#This Row],[section]]&lt;&gt;"","section " &amp;Table30[[#This Row],[section]],_xlfn.TEXTJOIN(" : ",TRUE,Table30[[#This Row],[Task]:[actors]]))</f>
        <v/>
      </c>
      <c r="I8" t="str">
        <v/>
      </c>
    </row>
    <row r="9" spans="1:9">
      <c r="C9" t="s">
        <v>483</v>
      </c>
      <c r="G9" t="str">
        <f>IF(Table30[[#This Row],[section]]&lt;&gt;"","section " &amp;Table30[[#This Row],[section]],_xlfn.TEXTJOIN(" : ",TRUE,Table30[[#This Row],[Task]:[actors]]))</f>
        <v>section Delivery</v>
      </c>
      <c r="I9" t="str">
        <v>%% Tasks</v>
      </c>
    </row>
    <row r="10" spans="1:9">
      <c r="D10" t="s">
        <v>484</v>
      </c>
      <c r="E10">
        <v>5</v>
      </c>
      <c r="F10" t="s">
        <v>487</v>
      </c>
      <c r="G10" t="str">
        <f>IF(Table30[[#This Row],[section]]&lt;&gt;"","section " &amp;Table30[[#This Row],[section]],_xlfn.TEXTJOIN(" : ",TRUE,Table30[[#This Row],[Task]:[actors]]))</f>
        <v>Delivery timing : 5 : services</v>
      </c>
      <c r="I10" t="str">
        <v>section Sales</v>
      </c>
    </row>
    <row r="11" spans="1:9">
      <c r="D11" t="s">
        <v>485</v>
      </c>
      <c r="E11">
        <v>4</v>
      </c>
      <c r="F11" t="s">
        <v>487</v>
      </c>
      <c r="G11" t="str">
        <f>IF(Table30[[#This Row],[section]]&lt;&gt;"","section " &amp;Table30[[#This Row],[section]],_xlfn.TEXTJOIN(" : ",TRUE,Table30[[#This Row],[Task]:[actors]]))</f>
        <v>Installation : 4 : services</v>
      </c>
      <c r="I11" t="str">
        <v>Sales Engagement : 7 : sales</v>
      </c>
    </row>
    <row r="12" spans="1:9">
      <c r="D12" t="s">
        <v>486</v>
      </c>
      <c r="E12">
        <v>3</v>
      </c>
      <c r="F12" t="s">
        <v>488</v>
      </c>
      <c r="G12" t="str">
        <f>IF(Table30[[#This Row],[section]]&lt;&gt;"","section " &amp;Table30[[#This Row],[section]],_xlfn.TEXTJOIN(" : ",TRUE,Table30[[#This Row],[Task]:[actors]]))</f>
        <v>Knowledge Transfer : 3 : education, services</v>
      </c>
      <c r="I12" t="str">
        <v>Discovery : 4 : presales</v>
      </c>
    </row>
    <row r="13" spans="1:9">
      <c r="G13" t="str">
        <f>IF(Table30[[#This Row],[section]]&lt;&gt;"","section " &amp;Table30[[#This Row],[section]],_xlfn.TEXTJOIN(" : ",TRUE,Table30[[#This Row],[Task]:[actors]]))</f>
        <v/>
      </c>
      <c r="I13" t="str">
        <v>Price Negotiation : 1 : sales</v>
      </c>
    </row>
    <row r="14" spans="1:9">
      <c r="C14" t="s">
        <v>489</v>
      </c>
      <c r="G14" t="str">
        <f>IF(Table30[[#This Row],[section]]&lt;&gt;"","section " &amp;Table30[[#This Row],[section]],_xlfn.TEXTJOIN(" : ",TRUE,Table30[[#This Row],[Task]:[actors]]))</f>
        <v>section Operation</v>
      </c>
      <c r="I14" t="str">
        <v>section Delivery</v>
      </c>
    </row>
    <row r="15" spans="1:9">
      <c r="D15" t="s">
        <v>491</v>
      </c>
      <c r="E15">
        <v>5</v>
      </c>
      <c r="F15" t="s">
        <v>487</v>
      </c>
      <c r="G15" t="str">
        <f>IF(Table30[[#This Row],[section]]&lt;&gt;"","section " &amp;Table30[[#This Row],[section]],_xlfn.TEXTJOIN(" : ",TRUE,Table30[[#This Row],[Task]:[actors]]))</f>
        <v>HW Support : 5 : services</v>
      </c>
      <c r="I15" t="str">
        <v>Delivery timing : 5 : services</v>
      </c>
    </row>
    <row r="16" spans="1:9">
      <c r="D16" t="s">
        <v>492</v>
      </c>
      <c r="E16">
        <v>3</v>
      </c>
      <c r="F16" t="s">
        <v>487</v>
      </c>
      <c r="G16" t="str">
        <f>IF(Table30[[#This Row],[section]]&lt;&gt;"","section " &amp;Table30[[#This Row],[section]],_xlfn.TEXTJOIN(" : ",TRUE,Table30[[#This Row],[Task]:[actors]]))</f>
        <v>SW Support : 3 : services</v>
      </c>
      <c r="I16" t="str">
        <v>Installation : 4 : services</v>
      </c>
    </row>
    <row r="17" spans="4:9">
      <c r="D17" t="s">
        <v>493</v>
      </c>
      <c r="E17">
        <v>4</v>
      </c>
      <c r="F17" t="s">
        <v>494</v>
      </c>
      <c r="G17" t="str">
        <f>IF(Table30[[#This Row],[section]]&lt;&gt;"","section " &amp;Table30[[#This Row],[section]],_xlfn.TEXTJOIN(" : ",TRUE,Table30[[#This Row],[Task]:[actors]]))</f>
        <v>SLA : 4 : logistics</v>
      </c>
      <c r="I17" t="str">
        <v>Knowledge Transfer : 3 : education, services</v>
      </c>
    </row>
    <row r="18" spans="4:9">
      <c r="G18" t="str">
        <f>IF(Table30[[#This Row],[section]]&lt;&gt;"","section " &amp;Table30[[#This Row],[section]],_xlfn.TEXTJOIN(" : ",TRUE,Table30[[#This Row],[Task]:[actors]]))</f>
        <v/>
      </c>
      <c r="I18" t="str">
        <v>section Operation</v>
      </c>
    </row>
    <row r="19" spans="4:9">
      <c r="G19" t="str">
        <f>IF(Table30[[#This Row],[section]]&lt;&gt;"","section " &amp;Table30[[#This Row],[section]],_xlfn.TEXTJOIN(" : ",TRUE,Table30[[#This Row],[Task]:[actors]]))</f>
        <v/>
      </c>
      <c r="I19" t="str">
        <v>HW Support : 5 : services</v>
      </c>
    </row>
    <row r="20" spans="4:9">
      <c r="G20" t="str">
        <f>IF(Table30[[#This Row],[section]]&lt;&gt;"","section " &amp;Table30[[#This Row],[section]],_xlfn.TEXTJOIN(" : ",TRUE,Table30[[#This Row],[Task]:[actors]]))</f>
        <v/>
      </c>
      <c r="I20" t="str">
        <v>SW Support : 3 : services</v>
      </c>
    </row>
    <row r="21" spans="4:9">
      <c r="G21" t="str">
        <f>IF(Table30[[#This Row],[section]]&lt;&gt;"","section " &amp;Table30[[#This Row],[section]],_xlfn.TEXTJOIN(" : ",TRUE,Table30[[#This Row],[Task]:[actors]]))</f>
        <v/>
      </c>
      <c r="I21" t="str">
        <v>SLA : 4 : logistics</v>
      </c>
    </row>
    <row r="22" spans="4:9">
      <c r="G22" t="str">
        <f>IF(Table30[[#This Row],[section]]&lt;&gt;"","section " &amp;Table30[[#This Row],[section]],_xlfn.TEXTJOIN(" : ",TRUE,Table30[[#This Row],[Task]:[actors]]))</f>
        <v/>
      </c>
    </row>
  </sheetData>
  <dataValidations count="1">
    <dataValidation type="whole" allowBlank="1" showInputMessage="1" showErrorMessage="1" sqref="E4:E22" xr:uid="{C1474C54-11AF-4A09-B6CB-4D50C3AC260B}">
      <formula1>1</formula1>
      <formula2>7</formula2>
    </dataValidation>
  </dataValidations>
  <pageMargins left="0.7" right="0.7" top="0.75" bottom="0.75" header="0.3" footer="0.3"/>
  <pageSetup orientation="portrait" horizontalDpi="0" verticalDpi="0" r:id="rId1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05F73-F987-43A9-8066-D2F771CAA4BE}">
  <dimension ref="A1:U33"/>
  <sheetViews>
    <sheetView showGridLines="0" zoomScaleNormal="100" workbookViewId="0">
      <selection activeCell="L36" sqref="L36"/>
    </sheetView>
  </sheetViews>
  <sheetFormatPr defaultRowHeight="14.6"/>
  <cols>
    <col min="1" max="1" width="18.3828125" customWidth="1"/>
    <col min="2" max="2" width="10.07421875" bestFit="1" customWidth="1"/>
    <col min="3" max="3" width="14.3828125" bestFit="1" customWidth="1"/>
    <col min="4" max="4" width="15.53515625" bestFit="1" customWidth="1"/>
    <col min="5" max="5" width="19.15234375" customWidth="1"/>
    <col min="6" max="6" width="26.61328125" hidden="1" customWidth="1"/>
    <col min="7" max="7" width="10" customWidth="1"/>
    <col min="8" max="8" width="12.3828125" bestFit="1" customWidth="1"/>
    <col min="9" max="9" width="7.4609375" bestFit="1" customWidth="1"/>
    <col min="10" max="10" width="20.07421875" bestFit="1" customWidth="1"/>
    <col min="11" max="11" width="5.84375" bestFit="1" customWidth="1"/>
    <col min="12" max="12" width="18.3046875" customWidth="1"/>
    <col min="13" max="13" width="43.3046875" hidden="1" customWidth="1"/>
    <col min="14" max="14" width="18.07421875" customWidth="1"/>
    <col min="15" max="15" width="9.69140625" customWidth="1"/>
    <col min="16" max="16" width="57.3828125" customWidth="1"/>
    <col min="18" max="19" width="9.3046875" hidden="1" customWidth="1"/>
    <col min="20" max="20" width="9.23046875" hidden="1" customWidth="1"/>
    <col min="21" max="21" width="0" hidden="1" customWidth="1"/>
  </cols>
  <sheetData>
    <row r="1" spans="1:21">
      <c r="A1" t="s">
        <v>294</v>
      </c>
      <c r="B1" t="s">
        <v>296</v>
      </c>
      <c r="C1" t="s">
        <v>319</v>
      </c>
      <c r="D1" t="s">
        <v>320</v>
      </c>
      <c r="E1" t="s">
        <v>295</v>
      </c>
      <c r="F1" t="s">
        <v>5</v>
      </c>
      <c r="H1" s="4" t="s">
        <v>290</v>
      </c>
      <c r="I1" s="4" t="s">
        <v>299</v>
      </c>
      <c r="J1" s="4" t="s">
        <v>327</v>
      </c>
      <c r="K1" s="4" t="s">
        <v>310</v>
      </c>
      <c r="L1" s="4" t="s">
        <v>318</v>
      </c>
      <c r="M1" s="4" t="s">
        <v>5</v>
      </c>
      <c r="P1" s="4" t="s">
        <v>137</v>
      </c>
      <c r="R1" t="str" cm="1">
        <f t="array" ref="R1:R4">_xlfn.UNIQUE(_xlfn.VSTACK(erdEntities17[Source],erdEntities17[Target]))</f>
        <v>Manufacturer</v>
      </c>
      <c r="S1" t="str" cm="1">
        <f t="array" ref="S1:S4">erdDirections[Meaning]</f>
        <v>==1</v>
      </c>
      <c r="T1" t="e" cm="1">
        <f t="array" ref="T1">#REF!</f>
        <v>#REF!</v>
      </c>
      <c r="U1" t="str" cm="1">
        <f t="array" ref="U1:U5">keyTypes[KeyTypes]</f>
        <v>PK</v>
      </c>
    </row>
    <row r="2" spans="1:21">
      <c r="A2" t="s">
        <v>325</v>
      </c>
      <c r="B2" t="s">
        <v>326</v>
      </c>
      <c r="C2" t="s">
        <v>285</v>
      </c>
      <c r="D2" t="s">
        <v>321</v>
      </c>
      <c r="E2" t="s">
        <v>292</v>
      </c>
      <c r="F2" s="16" t="e">
        <f>erdEntities17[[#This Row],[Source]]&amp;_xlfn.XLOOKUP(erdEntities17[[#This Row],[LeftRelationship]],erdDirections[Meaning],erdDirections[Value (left)])&amp;"--"&amp;_xlfn.XLOOKUP(erdEntities17[[#This Row],[RightRelationship]],erdDirections[Meaning],erdDirections[Value (right)])&amp;erdEntities17[[#This Row],[Target]]&amp;IF(erdEntities17[[#This Row],[description]]="",""," : " &amp; erdEntities17[[#This Row],[description]])</f>
        <v>#N/A</v>
      </c>
      <c r="H2" t="s">
        <v>292</v>
      </c>
      <c r="I2" t="s">
        <v>309</v>
      </c>
      <c r="J2" t="s">
        <v>316</v>
      </c>
      <c r="K2" t="s">
        <v>300</v>
      </c>
      <c r="L2" t="s">
        <v>324</v>
      </c>
      <c r="M2" t="str">
        <f>_xlfn.TEXTJOIN(" ",TRUE,erdAttributes4[[#This Row],[Type]],erdAttributes4[[#This Row],[Attribute (no spaces)]],erdAttributes4[[#This Row],[key]],IF(erdAttributes4[[#This Row],[Comment]]="","",""""&amp;erdAttributes4[[#This Row],[Comment]]&amp;""""))</f>
        <v>text registationNumber PK "my comment"</v>
      </c>
      <c r="P2" t="e" cm="1">
        <f t="array" ref="P2">_xlfn.VSTACK(
"```mermaid","",
"erDiagram",
erdEntities17[mmSyntax],
_xlfn._xlws.FILTER(erdAttrMmSyntax,erdAttrMmSyntax&lt;&gt;"","")
)</f>
        <v>#REF!</v>
      </c>
      <c r="R2" t="str">
        <v>Car</v>
      </c>
      <c r="S2" t="str">
        <v>&gt;=1</v>
      </c>
      <c r="U2" t="str">
        <v>FK</v>
      </c>
    </row>
    <row r="3" spans="1:21">
      <c r="A3" t="s">
        <v>292</v>
      </c>
      <c r="B3" t="s">
        <v>297</v>
      </c>
      <c r="C3" t="s">
        <v>285</v>
      </c>
      <c r="D3" t="s">
        <v>321</v>
      </c>
      <c r="E3" t="s">
        <v>293</v>
      </c>
      <c r="F3" t="e">
        <f>erdEntities17[[#This Row],[Source]]&amp;_xlfn.XLOOKUP(erdEntities17[[#This Row],[LeftRelationship]],erdDirections[Meaning],erdDirections[Value (left)])&amp;"--"&amp;_xlfn.XLOOKUP(erdEntities17[[#This Row],[RightRelationship]],erdDirections[Meaning],erdDirections[Value (right)])&amp;erdEntities17[[#This Row],[Target]]&amp;IF(erdEntities17[[#This Row],[description]]="",""," : " &amp; erdEntities17[[#This Row],[description]])</f>
        <v>#N/A</v>
      </c>
      <c r="H3" t="s">
        <v>292</v>
      </c>
      <c r="I3" t="s">
        <v>309</v>
      </c>
      <c r="J3" t="s">
        <v>311</v>
      </c>
      <c r="M3" t="str">
        <f>_xlfn.TEXTJOIN(" ",TRUE,erdAttributes4[[#This Row],[Type]],erdAttributes4[[#This Row],[Attribute (no spaces)]],erdAttributes4[[#This Row],[key]],IF(erdAttributes4[[#This Row],[Comment]]="","",""""&amp;erdAttributes4[[#This Row],[Comment]]&amp;""""))</f>
        <v>text make</v>
      </c>
      <c r="R3" t="str">
        <v>Person</v>
      </c>
      <c r="S3" t="str">
        <v>&gt;=0</v>
      </c>
      <c r="U3" t="str">
        <v>UK</v>
      </c>
    </row>
    <row r="4" spans="1:21">
      <c r="A4" t="s">
        <v>291</v>
      </c>
      <c r="B4" t="s">
        <v>298</v>
      </c>
      <c r="C4" t="s">
        <v>285</v>
      </c>
      <c r="D4" t="s">
        <v>321</v>
      </c>
      <c r="E4" t="s">
        <v>293</v>
      </c>
      <c r="F4" t="e">
        <f>erdEntities17[[#This Row],[Source]]&amp;_xlfn.XLOOKUP(erdEntities17[[#This Row],[LeftRelationship]],erdDirections[Meaning],erdDirections[Value (left)])&amp;"--"&amp;_xlfn.XLOOKUP(erdEntities17[[#This Row],[RightRelationship]],erdDirections[Meaning],erdDirections[Value (right)])&amp;erdEntities17[[#This Row],[Target]]&amp;IF(erdEntities17[[#This Row],[description]]="",""," : " &amp; erdEntities17[[#This Row],[description]])</f>
        <v>#N/A</v>
      </c>
      <c r="H4" t="s">
        <v>292</v>
      </c>
      <c r="I4" t="s">
        <v>309</v>
      </c>
      <c r="J4" t="s">
        <v>306</v>
      </c>
      <c r="M4" t="str">
        <f>_xlfn.TEXTJOIN(" ",TRUE,erdAttributes4[[#This Row],[Type]],erdAttributes4[[#This Row],[Attribute (no spaces)]],erdAttributes4[[#This Row],[key]],IF(erdAttributes4[[#This Row],[Comment]]="","",""""&amp;erdAttributes4[[#This Row],[Comment]]&amp;""""))</f>
        <v>text model</v>
      </c>
      <c r="R4" t="str">
        <v>Named-Driver</v>
      </c>
      <c r="S4" t="str">
        <v>0 ∨ 1</v>
      </c>
      <c r="U4" t="str">
        <v>PK, FK</v>
      </c>
    </row>
    <row r="5" spans="1:21">
      <c r="H5" t="s">
        <v>292</v>
      </c>
      <c r="I5" t="s">
        <v>307</v>
      </c>
      <c r="J5" t="s">
        <v>312</v>
      </c>
      <c r="M5" t="str">
        <f>_xlfn.TEXTJOIN(" ",TRUE,erdAttributes4[[#This Row],[Type]],erdAttributes4[[#This Row],[Attribute (no spaces)]],erdAttributes4[[#This Row],[key]],IF(erdAttributes4[[#This Row],[Comment]]="","",""""&amp;erdAttributes4[[#This Row],[Comment]]&amp;""""))</f>
        <v>json parts</v>
      </c>
      <c r="U5" t="str">
        <v>FK, UK</v>
      </c>
    </row>
    <row r="6" spans="1:21">
      <c r="H6" t="s">
        <v>291</v>
      </c>
      <c r="I6" t="s">
        <v>309</v>
      </c>
      <c r="J6" t="s">
        <v>313</v>
      </c>
      <c r="M6" t="str">
        <f>_xlfn.TEXTJOIN(" ",TRUE,erdAttributes4[[#This Row],[Type]],erdAttributes4[[#This Row],[Attribute (no spaces)]],erdAttributes4[[#This Row],[key]],IF(erdAttributes4[[#This Row],[Comment]]="","",""""&amp;erdAttributes4[[#This Row],[Comment]]&amp;""""))</f>
        <v>text driversLicense</v>
      </c>
    </row>
    <row r="7" spans="1:21">
      <c r="H7" t="s">
        <v>291</v>
      </c>
      <c r="I7" t="s">
        <v>309</v>
      </c>
      <c r="J7" t="s">
        <v>314</v>
      </c>
      <c r="M7" t="str">
        <f>_xlfn.TEXTJOIN(" ",TRUE,erdAttributes4[[#This Row],[Type]],erdAttributes4[[#This Row],[Attribute (no spaces)]],erdAttributes4[[#This Row],[key]],IF(erdAttributes4[[#This Row],[Comment]]="","",""""&amp;erdAttributes4[[#This Row],[Comment]]&amp;""""))</f>
        <v>text firstName</v>
      </c>
      <c r="P7" s="1"/>
    </row>
    <row r="8" spans="1:21">
      <c r="H8" t="s">
        <v>291</v>
      </c>
      <c r="I8" t="s">
        <v>309</v>
      </c>
      <c r="J8" t="s">
        <v>315</v>
      </c>
      <c r="M8" t="str">
        <f>_xlfn.TEXTJOIN(" ",TRUE,erdAttributes4[[#This Row],[Type]],erdAttributes4[[#This Row],[Attribute (no spaces)]],erdAttributes4[[#This Row],[key]],IF(erdAttributes4[[#This Row],[Comment]]="","",""""&amp;erdAttributes4[[#This Row],[Comment]]&amp;""""))</f>
        <v>text LastName</v>
      </c>
    </row>
    <row r="9" spans="1:21">
      <c r="H9" t="s">
        <v>291</v>
      </c>
      <c r="I9" t="s">
        <v>308</v>
      </c>
      <c r="J9" t="s">
        <v>323</v>
      </c>
      <c r="M9" s="16" t="str">
        <f>_xlfn.TEXTJOIN(" ",TRUE,erdAttributes4[[#This Row],[Type]],erdAttributes4[[#This Row],[Attribute (no spaces)]],erdAttributes4[[#This Row],[key]],IF(erdAttributes4[[#This Row],[Comment]]="","",""""&amp;erdAttributes4[[#This Row],[Comment]]&amp;""""))</f>
        <v>polygon serviceArea</v>
      </c>
    </row>
    <row r="10" spans="1:21">
      <c r="H10" t="s">
        <v>291</v>
      </c>
      <c r="I10" t="s">
        <v>309</v>
      </c>
      <c r="J10" t="s">
        <v>191</v>
      </c>
      <c r="K10" t="s">
        <v>302</v>
      </c>
      <c r="M10" s="16" t="str">
        <f>_xlfn.TEXTJOIN(" ",TRUE,erdAttributes4[[#This Row],[Type]],erdAttributes4[[#This Row],[Attribute (no spaces)]],erdAttributes4[[#This Row],[key]],IF(erdAttributes4[[#This Row],[Comment]]="","",""""&amp;erdAttributes4[[#This Row],[Comment]]&amp;""""))</f>
        <v>text phone UK</v>
      </c>
    </row>
    <row r="11" spans="1:21">
      <c r="H11" t="s">
        <v>293</v>
      </c>
      <c r="I11" t="s">
        <v>309</v>
      </c>
      <c r="J11" t="s">
        <v>317</v>
      </c>
      <c r="K11" t="s">
        <v>303</v>
      </c>
      <c r="M11" s="16" t="str">
        <f>_xlfn.TEXTJOIN(" ",TRUE,erdAttributes4[[#This Row],[Type]],erdAttributes4[[#This Row],[Attribute (no spaces)]],erdAttributes4[[#This Row],[key]],IF(erdAttributes4[[#This Row],[Comment]]="","",""""&amp;erdAttributes4[[#This Row],[Comment]]&amp;""""))</f>
        <v>text carRegistrationNumber PK, FK</v>
      </c>
    </row>
    <row r="12" spans="1:21">
      <c r="H12" t="s">
        <v>293</v>
      </c>
      <c r="I12" t="s">
        <v>309</v>
      </c>
      <c r="J12" t="s">
        <v>313</v>
      </c>
      <c r="K12" t="s">
        <v>303</v>
      </c>
      <c r="M12" s="16" t="str">
        <f>_xlfn.TEXTJOIN(" ",TRUE,erdAttributes4[[#This Row],[Type]],erdAttributes4[[#This Row],[Attribute (no spaces)]],erdAttributes4[[#This Row],[key]],IF(erdAttributes4[[#This Row],[Comment]]="","",""""&amp;erdAttributes4[[#This Row],[Comment]]&amp;""""))</f>
        <v>text driversLicense PK, FK</v>
      </c>
    </row>
    <row r="29" spans="7:7">
      <c r="G29" s="2"/>
    </row>
    <row r="30" spans="7:7">
      <c r="G30" s="2"/>
    </row>
    <row r="31" spans="7:7">
      <c r="G31" s="2"/>
    </row>
    <row r="32" spans="7:7">
      <c r="G32" s="2"/>
    </row>
    <row r="33" spans="7:7">
      <c r="G33" s="2"/>
    </row>
  </sheetData>
  <conditionalFormatting sqref="G29:G33">
    <cfRule type="expression" dxfId="12" priority="3">
      <formula>_xlfn.ISFORMULA(G29)</formula>
    </cfRule>
  </conditionalFormatting>
  <conditionalFormatting sqref="H2:M12">
    <cfRule type="expression" dxfId="11" priority="1" stopIfTrue="1">
      <formula>$H2=""</formula>
    </cfRule>
    <cfRule type="expression" dxfId="10" priority="2">
      <formula>MOD(ROW(),2)=0</formula>
    </cfRule>
  </conditionalFormatting>
  <dataValidations count="4">
    <dataValidation type="list" allowBlank="1" showInputMessage="1" showErrorMessage="1" sqref="K2:K12" xr:uid="{5D63223B-B8F3-42B4-91EC-EEEE1EF93950}">
      <formula1>_xlfn.ANCHORARRAY($U$1)</formula1>
    </dataValidation>
    <dataValidation type="list" allowBlank="1" showInputMessage="1" showErrorMessage="1" sqref="I2:I12" xr:uid="{494387D7-D198-4532-A8B1-01E72212F51E}">
      <formula1>_xlfn.ANCHORARRAY($T$1)</formula1>
    </dataValidation>
    <dataValidation type="list" allowBlank="1" showInputMessage="1" showErrorMessage="1" sqref="H2:H12" xr:uid="{5AB72BDE-3E95-4F5D-9C04-D379BFE0DCED}">
      <formula1>_xlfn.ANCHORARRAY($R$1)</formula1>
    </dataValidation>
    <dataValidation type="list" allowBlank="1" showInputMessage="1" showErrorMessage="1" sqref="C2:D4" xr:uid="{4D444C49-111F-43E4-A930-CB9CB900D7A3}">
      <formula1>_xlfn.ANCHORARRAY($S$1)</formula1>
    </dataValidation>
  </dataValidations>
  <pageMargins left="0.7" right="0.7" top="0.75" bottom="0.75" header="0.3" footer="0.3"/>
  <pageSetup orientation="portrait" horizontalDpi="0" verticalDpi="0" r:id="rId1"/>
  <drawing r:id="rId2"/>
  <tableParts count="2"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7D779-D0FF-4298-9FF1-908237A40BA4}">
  <dimension ref="A1:R38"/>
  <sheetViews>
    <sheetView showGridLines="0" zoomScale="115" zoomScaleNormal="115" workbookViewId="0">
      <selection activeCell="S30" sqref="S30"/>
    </sheetView>
  </sheetViews>
  <sheetFormatPr defaultRowHeight="14.6"/>
  <cols>
    <col min="1" max="1" width="10.15234375" bestFit="1" customWidth="1"/>
    <col min="2" max="2" width="16.15234375" bestFit="1" customWidth="1"/>
    <col min="3" max="3" width="20" customWidth="1"/>
    <col min="4" max="4" width="5.53515625" customWidth="1"/>
    <col min="5" max="5" width="10" customWidth="1"/>
    <col min="6" max="7" width="12.3046875" customWidth="1"/>
    <col min="8" max="8" width="0.61328125" hidden="1" customWidth="1"/>
    <col min="9" max="9" width="5.3046875" bestFit="1" customWidth="1"/>
    <col min="10" max="10" width="26.3046875" bestFit="1" customWidth="1"/>
    <col min="11" max="12" width="7.3828125" customWidth="1"/>
    <col min="13" max="13" width="11.07421875" hidden="1" customWidth="1"/>
    <col min="14" max="14" width="25.15234375" hidden="1" customWidth="1"/>
    <col min="15" max="15" width="9.3046875" customWidth="1"/>
    <col min="16" max="16" width="26.3046875" bestFit="1" customWidth="1"/>
    <col min="17" max="17" width="10.84375" bestFit="1" customWidth="1"/>
  </cols>
  <sheetData>
    <row r="1" spans="1:18">
      <c r="A1" t="s">
        <v>146</v>
      </c>
      <c r="B1" t="s">
        <v>147</v>
      </c>
      <c r="C1" t="s">
        <v>5</v>
      </c>
      <c r="E1" t="s">
        <v>153</v>
      </c>
      <c r="F1" t="s">
        <v>154</v>
      </c>
      <c r="G1" t="s">
        <v>155</v>
      </c>
      <c r="H1" t="s">
        <v>5</v>
      </c>
      <c r="J1" s="4" t="s">
        <v>148</v>
      </c>
      <c r="K1" s="4" t="s">
        <v>149</v>
      </c>
      <c r="L1" s="4" t="s">
        <v>150</v>
      </c>
      <c r="M1" s="4" t="s">
        <v>597</v>
      </c>
      <c r="N1" s="4" t="s">
        <v>5</v>
      </c>
      <c r="P1" s="4" t="s">
        <v>137</v>
      </c>
      <c r="R1" s="28" t="str">
        <f>HYPERLINK("https://xkcd.com/2929/","Credit XKCD")</f>
        <v>Credit XKCD</v>
      </c>
    </row>
    <row r="2" spans="1:18">
      <c r="A2" t="s">
        <v>0</v>
      </c>
      <c r="B2" t="s">
        <v>618</v>
      </c>
      <c r="C2" t="str">
        <f>IF(OR(quadElement[[#This Row],[Element]]="",quadElement[[#This Row],[Value]]=""),"",_xlfn.TEXTJOIN(" ",TRUE,quadElement[[#This Row],[Element]:[Value]]))</f>
        <v>title Good and Bad ideas  (https://xkcd.com/2929/)</v>
      </c>
      <c r="E2" t="s">
        <v>151</v>
      </c>
      <c r="F2" t="s">
        <v>581</v>
      </c>
      <c r="G2" t="s">
        <v>579</v>
      </c>
      <c r="H2" t="str">
        <f>quadAxis[[#This Row],[Axis]]&amp;" " &amp; quadAxis[[#This Row],[lowLabel]]&amp;" --&gt; "&amp;quadAxis[[#This Row],[highLabel]]</f>
        <v>x-axis sounds good --&gt; sounds bad</v>
      </c>
      <c r="J2" t="s">
        <v>584</v>
      </c>
      <c r="K2">
        <v>0.3</v>
      </c>
      <c r="L2">
        <v>0.76</v>
      </c>
      <c r="M2" t="str">
        <f>IF(quadBuild[[#This Row],[mmSyntax]]="","",_xlfn.XLOOKUP(IF(quadBuild[[#This Row],[Y]]&gt;=0.5,"bottom","top")&amp;IF(quadBuild[[#This Row],[X]]&gt;=0.5,"left","right"),quadNames[orientation],quadNames[quadNo]))</f>
        <v>4</v>
      </c>
      <c r="N2" t="str">
        <f>IF(OR(quadBuild[[#This Row],[Label]]="",quadBuild[[#This Row],[X]]="",quadBuild[[#This Row],[Y]]=""),"",J2&amp;": ["&amp;K2&amp;", "&amp;L2&amp;"]")</f>
        <v>Always saying what you think: [0.3, 0.76]</v>
      </c>
      <c r="P2" t="str" cm="1">
        <f t="array" ref="P2:P38">_xlfn.VSTACK(
"quadrantChart",
"",
"%% Quadrant Setup",
_xlfn._xlws.FILTER(quadElement[mmSyntax],quadElement[mmSyntax]&lt;&gt;""),
"",
"%% Axis Setup",
quadAxis[mmSyntax],
"",
"%% values",
_xlfn._xlws.FILTER(quadBuild[mmSyntax],quadBuild[mmSyntax]&lt;&gt;""))</f>
        <v>quadrantChart</v>
      </c>
    </row>
    <row r="3" spans="1:18">
      <c r="A3" t="s">
        <v>142</v>
      </c>
      <c r="C3" t="str">
        <f>IF(OR(quadElement[[#This Row],[Element]]="",quadElement[[#This Row],[Value]]=""),"",_xlfn.TEXTJOIN(" ",TRUE,quadElement[[#This Row],[Element]:[Value]]))</f>
        <v/>
      </c>
      <c r="E3" t="s">
        <v>152</v>
      </c>
      <c r="F3" t="s">
        <v>582</v>
      </c>
      <c r="G3" t="s">
        <v>580</v>
      </c>
      <c r="H3" t="str">
        <f>quadAxis[[#This Row],[Axis]]&amp;" " &amp; quadAxis[[#This Row],[lowLabel]]&amp;" --&gt; "&amp;quadAxis[[#This Row],[highLabel]]</f>
        <v>y-axis actually good --&gt; actually bad</v>
      </c>
      <c r="J3" t="s">
        <v>583</v>
      </c>
      <c r="K3">
        <v>0.15</v>
      </c>
      <c r="L3">
        <v>0.85</v>
      </c>
      <c r="M3" t="str">
        <f>IF(quadBuild[[#This Row],[mmSyntax]]="","",_xlfn.XLOOKUP(IF(quadBuild[[#This Row],[Y]]&gt;=0.5,"bottom","top")&amp;IF(quadBuild[[#This Row],[X]]&gt;=0.5,"left","right"),quadNames[orientation],quadNames[quadNo]))</f>
        <v>4</v>
      </c>
      <c r="N3" t="str">
        <f>IF(OR(quadBuild[[#This Row],[Label]]="",quadBuild[[#This Row],[X]]="",quadBuild[[#This Row],[Y]]=""),"",J3&amp;": ["&amp;K3&amp;", "&amp;L3&amp;"]")</f>
        <v>Asbestos: [0.15, 0.85]</v>
      </c>
      <c r="P3" t="str">
        <v/>
      </c>
    </row>
    <row r="4" spans="1:18">
      <c r="A4" t="s">
        <v>143</v>
      </c>
      <c r="C4" t="str">
        <f>IF(OR(quadElement[[#This Row],[Element]]="",quadElement[[#This Row],[Value]]=""),"",_xlfn.TEXTJOIN(" ",TRUE,quadElement[[#This Row],[Element]:[Value]]))</f>
        <v/>
      </c>
      <c r="J4" t="s">
        <v>590</v>
      </c>
      <c r="K4">
        <v>0.85</v>
      </c>
      <c r="L4">
        <v>0.95</v>
      </c>
      <c r="M4" t="str">
        <f>IF(quadBuild[[#This Row],[mmSyntax]]="","",_xlfn.XLOOKUP(IF(quadBuild[[#This Row],[Y]]&gt;=0.5,"bottom","top")&amp;IF(quadBuild[[#This Row],[X]]&gt;=0.5,"left","right"),quadNames[orientation],quadNames[quadNo]))</f>
        <v>3</v>
      </c>
      <c r="N4" t="str">
        <f>IF(OR(quadBuild[[#This Row],[Label]]="",quadBuild[[#This Row],[X]]="",quadBuild[[#This Row],[Y]]=""),"",J4&amp;": ["&amp;K4&amp;", "&amp;L4&amp;"]")</f>
        <v>Bloodletting: [0.85, 0.95]</v>
      </c>
      <c r="P4" t="str">
        <v>%% Quadrant Setup</v>
      </c>
    </row>
    <row r="5" spans="1:18">
      <c r="A5" t="s">
        <v>144</v>
      </c>
      <c r="C5" t="str">
        <f>IF(OR(quadElement[[#This Row],[Element]]="",quadElement[[#This Row],[Value]]=""),"",_xlfn.TEXTJOIN(" ",TRUE,quadElement[[#This Row],[Element]:[Value]]))</f>
        <v/>
      </c>
      <c r="J5" t="s">
        <v>604</v>
      </c>
      <c r="K5">
        <v>0.15</v>
      </c>
      <c r="L5">
        <v>0.45</v>
      </c>
      <c r="M5" t="str">
        <f>IF(quadBuild[[#This Row],[mmSyntax]]="","",_xlfn.XLOOKUP(IF(quadBuild[[#This Row],[Y]]&gt;=0.5,"bottom","top")&amp;IF(quadBuild[[#This Row],[X]]&gt;=0.5,"left","right"),quadNames[orientation],quadNames[quadNo]))</f>
        <v>1</v>
      </c>
      <c r="N5" t="str">
        <f>IF(OR(quadBuild[[#This Row],[Label]]="",quadBuild[[#This Row],[X]]="",quadBuild[[#This Row],[Y]]=""),"",J5&amp;": ["&amp;K5&amp;", "&amp;L5&amp;"]")</f>
        <v>Combo washer dryers: [0.15, 0.45]</v>
      </c>
      <c r="P5" t="str">
        <v>title Good and Bad ideas  (https://xkcd.com/2929/)</v>
      </c>
    </row>
    <row r="6" spans="1:18">
      <c r="A6" t="s">
        <v>145</v>
      </c>
      <c r="C6" t="str">
        <f>IF(OR(quadElement[[#This Row],[Element]]="",quadElement[[#This Row],[Value]]=""),"",_xlfn.TEXTJOIN(" ",TRUE,quadElement[[#This Row],[Element]:[Value]]))</f>
        <v/>
      </c>
      <c r="J6" t="s">
        <v>599</v>
      </c>
      <c r="K6">
        <v>0.75</v>
      </c>
      <c r="L6">
        <v>0.25</v>
      </c>
      <c r="M6" t="str">
        <f>IF(quadBuild[[#This Row],[mmSyntax]]="","",_xlfn.XLOOKUP(IF(quadBuild[[#This Row],[Y]]&gt;=0.5,"bottom","top")&amp;IF(quadBuild[[#This Row],[X]]&gt;=0.5,"left","right"),quadNames[orientation],quadNames[quadNo]))</f>
        <v>2</v>
      </c>
      <c r="N6" t="str">
        <f>IF(OR(quadBuild[[#This Row],[Label]]="",quadBuild[[#This Row],[X]]="",quadBuild[[#This Row],[Y]]=""),"",J6&amp;": ["&amp;K6&amp;", "&amp;L6&amp;"]")</f>
        <v>Crumple zones: [0.75, 0.25]</v>
      </c>
      <c r="P6" t="str">
        <v/>
      </c>
    </row>
    <row r="7" spans="1:18">
      <c r="F7" s="29"/>
      <c r="G7" s="30"/>
      <c r="J7" t="s">
        <v>594</v>
      </c>
      <c r="K7">
        <v>0.59</v>
      </c>
      <c r="L7">
        <v>0.59</v>
      </c>
      <c r="M7" t="str">
        <f>IF(quadBuild[[#This Row],[mmSyntax]]="","",_xlfn.XLOOKUP(IF(quadBuild[[#This Row],[Y]]&gt;=0.5,"bottom","top")&amp;IF(quadBuild[[#This Row],[X]]&gt;=0.5,"left","right"),quadNames[orientation],quadNames[quadNo]))</f>
        <v>3</v>
      </c>
      <c r="N7" t="str">
        <f>IF(OR(quadBuild[[#This Row],[Label]]="",quadBuild[[#This Row],[X]]="",quadBuild[[#This Row],[Y]]=""),"",J7&amp;": ["&amp;K7&amp;", "&amp;L7&amp;"]")</f>
        <v>cutting pizza in squares: [0.59, 0.59]</v>
      </c>
      <c r="P7" s="1" t="str">
        <v>%% Axis Setup</v>
      </c>
    </row>
    <row r="8" spans="1:18">
      <c r="F8" s="29"/>
      <c r="G8" s="30"/>
      <c r="J8" t="s">
        <v>603</v>
      </c>
      <c r="K8">
        <v>0.36</v>
      </c>
      <c r="L8">
        <v>0.36</v>
      </c>
      <c r="M8" t="str">
        <f>IF(quadBuild[[#This Row],[mmSyntax]]="","",_xlfn.XLOOKUP(IF(quadBuild[[#This Row],[Y]]&gt;=0.5,"bottom","top")&amp;IF(quadBuild[[#This Row],[X]]&gt;=0.5,"left","right"),quadNames[orientation],quadNames[quadNo]))</f>
        <v>1</v>
      </c>
      <c r="N8" t="str">
        <f>IF(OR(quadBuild[[#This Row],[Label]]="",quadBuild[[#This Row],[X]]="",quadBuild[[#This Row],[Y]]=""),"",J8&amp;": ["&amp;K8&amp;", "&amp;L8&amp;"]")</f>
        <v>Cutting sandwiches diagonally: [0.36, 0.36]</v>
      </c>
      <c r="P8" t="str">
        <v>x-axis sounds good --&gt; sounds bad</v>
      </c>
    </row>
    <row r="9" spans="1:18">
      <c r="F9" s="29"/>
      <c r="G9" s="30"/>
      <c r="J9" t="s">
        <v>598</v>
      </c>
      <c r="K9">
        <v>0.7</v>
      </c>
      <c r="L9">
        <v>0.4</v>
      </c>
      <c r="M9" t="str">
        <f>IF(quadBuild[[#This Row],[mmSyntax]]="","",_xlfn.XLOOKUP(IF(quadBuild[[#This Row],[Y]]&gt;=0.5,"bottom","top")&amp;IF(quadBuild[[#This Row],[X]]&gt;=0.5,"left","right"),quadNames[orientation],quadNames[quadNo]))</f>
        <v>2</v>
      </c>
      <c r="N9" t="str">
        <f>IF(OR(quadBuild[[#This Row],[Label]]="",quadBuild[[#This Row],[X]]="",quadBuild[[#This Row],[Y]]=""),"",J9&amp;": ["&amp;K9&amp;", "&amp;L9&amp;"]")</f>
        <v>Diverging diamond interchanges: [0.7, 0.4]</v>
      </c>
      <c r="P9" t="str">
        <v>y-axis actually good --&gt; actually bad</v>
      </c>
    </row>
    <row r="10" spans="1:18">
      <c r="F10" s="31"/>
      <c r="G10" s="32"/>
      <c r="J10" t="s">
        <v>610</v>
      </c>
      <c r="K10">
        <v>0.5</v>
      </c>
      <c r="L10">
        <v>0.22</v>
      </c>
      <c r="M10" t="str">
        <f>IF(quadBuild[[#This Row],[mmSyntax]]="","",_xlfn.XLOOKUP(IF(quadBuild[[#This Row],[Y]]&gt;=0.5,"bottom","top")&amp;IF(quadBuild[[#This Row],[X]]&gt;=0.5,"left","right"),quadNames[orientation],quadNames[quadNo]))</f>
        <v>2</v>
      </c>
      <c r="N10" t="str">
        <f>IF(OR(quadBuild[[#This Row],[Label]]="",quadBuild[[#This Row],[X]]="",quadBuild[[#This Row],[Y]]=""),"",J10&amp;": ["&amp;K10&amp;", "&amp;L10&amp;"]")</f>
        <v>Eating citrus fruit while at sea: [0.5, 0.22]</v>
      </c>
      <c r="P10" t="str">
        <v/>
      </c>
    </row>
    <row r="11" spans="1:18">
      <c r="F11" s="31"/>
      <c r="G11" s="32"/>
      <c r="J11" t="s">
        <v>596</v>
      </c>
      <c r="K11">
        <v>0.5</v>
      </c>
      <c r="L11">
        <v>0.99</v>
      </c>
      <c r="M11" t="str">
        <f>IF(quadBuild[[#This Row],[mmSyntax]]="","",_xlfn.XLOOKUP(IF(quadBuild[[#This Row],[Y]]&gt;=0.5,"bottom","top")&amp;IF(quadBuild[[#This Row],[X]]&gt;=0.5,"left","right"),quadNames[orientation],quadNames[quadNo]))</f>
        <v>3</v>
      </c>
      <c r="N11" t="str">
        <f>IF(OR(quadBuild[[#This Row],[Label]]="",quadBuild[[#This Row],[X]]="",quadBuild[[#This Row],[Y]]=""),"",J11&amp;": ["&amp;K11&amp;", "&amp;L11&amp;"]")</f>
        <v>Extension cores with prongs on both ends: [0.5, 0.99]</v>
      </c>
      <c r="P11" t="str">
        <v>%% values</v>
      </c>
    </row>
    <row r="12" spans="1:18">
      <c r="F12" s="31"/>
      <c r="G12" s="32"/>
      <c r="J12" t="s">
        <v>591</v>
      </c>
      <c r="K12">
        <v>0.98</v>
      </c>
      <c r="L12">
        <v>0.92</v>
      </c>
      <c r="M12" t="str">
        <f>IF(quadBuild[[#This Row],[mmSyntax]]="","",_xlfn.XLOOKUP(IF(quadBuild[[#This Row],[Y]]&gt;=0.5,"bottom","top")&amp;IF(quadBuild[[#This Row],[X]]&gt;=0.5,"left","right"),quadNames[orientation],quadNames[quadNo]))</f>
        <v>3</v>
      </c>
      <c r="N12" t="str">
        <f>IF(OR(quadBuild[[#This Row],[Label]]="",quadBuild[[#This Row],[X]]="",quadBuild[[#This Row],[Y]]=""),"",J12&amp;": ["&amp;K12&amp;", "&amp;L12&amp;"]")</f>
        <v>Fake prank fire extinguishers: [0.98, 0.92]</v>
      </c>
      <c r="P12" t="str">
        <v>Always saying what you think: [0.3, 0.76]</v>
      </c>
    </row>
    <row r="13" spans="1:18">
      <c r="J13" t="s">
        <v>601</v>
      </c>
      <c r="K13">
        <v>0.9</v>
      </c>
      <c r="L13">
        <v>0.05</v>
      </c>
      <c r="M13" t="str">
        <f>IF(quadBuild[[#This Row],[mmSyntax]]="","",_xlfn.XLOOKUP(IF(quadBuild[[#This Row],[Y]]&gt;=0.5,"bottom","top")&amp;IF(quadBuild[[#This Row],[X]]&gt;=0.5,"left","right"),quadNames[orientation],quadNames[quadNo]))</f>
        <v>2</v>
      </c>
      <c r="N13" t="str">
        <f>IF(OR(quadBuild[[#This Row],[Label]]="",quadBuild[[#This Row],[X]]="",quadBuild[[#This Row],[Y]]=""),"",J13&amp;": ["&amp;K13&amp;", "&amp;L13&amp;"]")</f>
        <v>Fecal transplants: [0.9, 0.05]</v>
      </c>
      <c r="P13" t="str">
        <v>Asbestos: [0.15, 0.85]</v>
      </c>
    </row>
    <row r="14" spans="1:18">
      <c r="J14" t="s">
        <v>607</v>
      </c>
      <c r="K14">
        <v>0.22</v>
      </c>
      <c r="L14">
        <v>0.04</v>
      </c>
      <c r="M14" t="str">
        <f>IF(quadBuild[[#This Row],[mmSyntax]]="","",_xlfn.XLOOKUP(IF(quadBuild[[#This Row],[Y]]&gt;=0.5,"bottom","top")&amp;IF(quadBuild[[#This Row],[X]]&gt;=0.5,"left","right"),quadNames[orientation],quadNames[quadNo]))</f>
        <v>1</v>
      </c>
      <c r="N14" t="str">
        <f>IF(OR(quadBuild[[#This Row],[Label]]="",quadBuild[[#This Row],[X]]="",quadBuild[[#This Row],[Y]]=""),"",J14&amp;": ["&amp;K14&amp;", "&amp;L14&amp;"]")</f>
        <v>Heat pumps: [0.22, 0.04]</v>
      </c>
      <c r="P14" t="str">
        <v>Bloodletting: [0.85, 0.95]</v>
      </c>
    </row>
    <row r="15" spans="1:18">
      <c r="J15" t="s">
        <v>586</v>
      </c>
      <c r="K15">
        <v>0.4</v>
      </c>
      <c r="L15">
        <v>0.6</v>
      </c>
      <c r="M15" t="str">
        <f>IF(quadBuild[[#This Row],[mmSyntax]]="","",_xlfn.XLOOKUP(IF(quadBuild[[#This Row],[Y]]&gt;=0.5,"bottom","top")&amp;IF(quadBuild[[#This Row],[X]]&gt;=0.5,"left","right"),quadNames[orientation],quadNames[quadNo]))</f>
        <v>4</v>
      </c>
      <c r="N15" t="str">
        <f>IF(OR(quadBuild[[#This Row],[Label]]="",quadBuild[[#This Row],[X]]="",quadBuild[[#This Row],[Y]]=""),"",J15&amp;": ["&amp;K15&amp;", "&amp;L15&amp;"]")</f>
        <v>Heelies: [0.4, 0.6]</v>
      </c>
      <c r="P15" t="str">
        <v>Combo washer dryers: [0.15, 0.45]</v>
      </c>
    </row>
    <row r="16" spans="1:18">
      <c r="J16" t="s">
        <v>600</v>
      </c>
      <c r="K16">
        <v>0.64</v>
      </c>
      <c r="L16">
        <v>0.05</v>
      </c>
      <c r="M16" t="str">
        <f>IF(quadBuild[[#This Row],[mmSyntax]]="","",_xlfn.XLOOKUP(IF(quadBuild[[#This Row],[Y]]&gt;=0.5,"bottom","top")&amp;IF(quadBuild[[#This Row],[X]]&gt;=0.5,"left","right"),quadNames[orientation],quadNames[quadNo]))</f>
        <v>2</v>
      </c>
      <c r="N16" t="str">
        <f>IF(OR(quadBuild[[#This Row],[Label]]="",quadBuild[[#This Row],[X]]="",quadBuild[[#This Row],[Y]]=""),"",J16&amp;": ["&amp;K16&amp;", "&amp;L16&amp;"]")</f>
        <v>Laser eye surgery: [0.64, 0.05]</v>
      </c>
      <c r="P16" t="str">
        <v>Crumple zones: [0.75, 0.25]</v>
      </c>
    </row>
    <row r="17" spans="1:16">
      <c r="J17" t="s">
        <v>589</v>
      </c>
      <c r="K17">
        <v>0.2</v>
      </c>
      <c r="L17">
        <v>0.95</v>
      </c>
      <c r="M17" t="str">
        <f>IF(quadBuild[[#This Row],[mmSyntax]]="","",_xlfn.XLOOKUP(IF(quadBuild[[#This Row],[Y]]&gt;=0.5,"bottom","top")&amp;IF(quadBuild[[#This Row],[X]]&gt;=0.5,"left","right"),quadNames[orientation],quadNames[quadNo]))</f>
        <v>4</v>
      </c>
      <c r="N17" t="str">
        <f>IF(OR(quadBuild[[#This Row],[Label]]="",quadBuild[[#This Row],[X]]="",quadBuild[[#This Row],[Y]]=""),"",J17&amp;": ["&amp;K17&amp;", "&amp;L17&amp;"]")</f>
        <v>Leaded Gasoline: [0.2, 0.95]</v>
      </c>
      <c r="P17" t="str">
        <v>cutting pizza in squares: [0.59, 0.59]</v>
      </c>
    </row>
    <row r="18" spans="1:16">
      <c r="J18" t="s">
        <v>608</v>
      </c>
      <c r="K18">
        <v>0.24</v>
      </c>
      <c r="L18">
        <v>0.08</v>
      </c>
      <c r="M18" t="str">
        <f>IF(quadBuild[[#This Row],[mmSyntax]]="","",_xlfn.XLOOKUP(IF(quadBuild[[#This Row],[Y]]&gt;=0.5,"bottom","top")&amp;IF(quadBuild[[#This Row],[X]]&gt;=0.5,"left","right"),quadNames[orientation],quadNames[quadNo]))</f>
        <v>1</v>
      </c>
      <c r="N18" t="str">
        <f>IF(OR(quadBuild[[#This Row],[Label]]="",quadBuild[[#This Row],[X]]="",quadBuild[[#This Row],[Y]]=""),"",J18&amp;": ["&amp;K18&amp;", "&amp;L18&amp;"]")</f>
        <v>Pizza: [0.24, 0.08]</v>
      </c>
      <c r="P18" t="str">
        <v>Cutting sandwiches diagonally: [0.36, 0.36]</v>
      </c>
    </row>
    <row r="19" spans="1:16">
      <c r="J19" t="s">
        <v>587</v>
      </c>
      <c r="K19">
        <v>0.1</v>
      </c>
      <c r="L19">
        <v>0.55000000000000004</v>
      </c>
      <c r="M19" t="str">
        <f>IF(quadBuild[[#This Row],[mmSyntax]]="","",_xlfn.XLOOKUP(IF(quadBuild[[#This Row],[Y]]&gt;=0.5,"bottom","top")&amp;IF(quadBuild[[#This Row],[X]]&gt;=0.5,"left","right"),quadNames[orientation],quadNames[quadNo]))</f>
        <v>4</v>
      </c>
      <c r="N19" t="str">
        <f>IF(OR(quadBuild[[#This Row],[Label]]="",quadBuild[[#This Row],[X]]="",quadBuild[[#This Row],[Y]]=""),"",J19&amp;": ["&amp;K19&amp;", "&amp;L19&amp;"]")</f>
        <v>Prequels: [0.1, 0.55]</v>
      </c>
      <c r="P19" t="str">
        <v>Diverging diamond interchanges: [0.7, 0.4]</v>
      </c>
    </row>
    <row r="20" spans="1:16">
      <c r="J20" t="s">
        <v>595</v>
      </c>
      <c r="K20">
        <v>0.9</v>
      </c>
      <c r="L20">
        <v>0.6</v>
      </c>
      <c r="M20" t="str">
        <f>IF(quadBuild[[#This Row],[mmSyntax]]="","",_xlfn.XLOOKUP(IF(quadBuild[[#This Row],[Y]]&gt;=0.5,"bottom","top")&amp;IF(quadBuild[[#This Row],[X]]&gt;=0.5,"left","right"),quadNames[orientation],quadNames[quadNo]))</f>
        <v>3</v>
      </c>
      <c r="N20" t="str">
        <f>IF(OR(quadBuild[[#This Row],[Label]]="",quadBuild[[#This Row],[X]]="",quadBuild[[#This Row],[Y]]=""),"",J20&amp;": ["&amp;K20&amp;", "&amp;L20&amp;"]")</f>
        <v>Project Orion: [0.9, 0.6]</v>
      </c>
      <c r="P20" t="str">
        <v>Eating citrus fruit while at sea: [0.5, 0.22]</v>
      </c>
    </row>
    <row r="21" spans="1:16">
      <c r="J21" t="s">
        <v>602</v>
      </c>
      <c r="K21">
        <v>0.9</v>
      </c>
      <c r="L21">
        <v>0.15</v>
      </c>
      <c r="M21" t="str">
        <f>IF(quadBuild[[#This Row],[mmSyntax]]="","",_xlfn.XLOOKUP(IF(quadBuild[[#This Row],[Y]]&gt;=0.5,"bottom","top")&amp;IF(quadBuild[[#This Row],[X]]&gt;=0.5,"left","right"),quadNames[orientation],quadNames[quadNo]))</f>
        <v>2</v>
      </c>
      <c r="N21" t="str">
        <f>IF(OR(quadBuild[[#This Row],[Label]]="",quadBuild[[#This Row],[X]]="",quadBuild[[#This Row],[Y]]=""),"",J21&amp;": ["&amp;K21&amp;", "&amp;L21&amp;"]")</f>
        <v>Putting mold on infections: [0.9, 0.15]</v>
      </c>
      <c r="P21" t="str">
        <v>Extension cores with prongs on both ends: [0.5, 0.99]</v>
      </c>
    </row>
    <row r="22" spans="1:16">
      <c r="A22" t="s">
        <v>588</v>
      </c>
      <c r="J22" t="s">
        <v>593</v>
      </c>
      <c r="K22">
        <v>0.56000000000000005</v>
      </c>
      <c r="L22">
        <v>0.7</v>
      </c>
      <c r="M22" t="str">
        <f>IF(quadBuild[[#This Row],[mmSyntax]]="","",_xlfn.XLOOKUP(IF(quadBuild[[#This Row],[Y]]&gt;=0.5,"bottom","top")&amp;IF(quadBuild[[#This Row],[X]]&gt;=0.5,"left","right"),quadNames[orientation],quadNames[quadNo]))</f>
        <v>3</v>
      </c>
      <c r="N22" t="str">
        <f>IF(OR(quadBuild[[#This Row],[Label]]="",quadBuild[[#This Row],[X]]="",quadBuild[[#This Row],[Y]]=""),"",J22&amp;": ["&amp;K22&amp;", "&amp;L22&amp;"]")</f>
        <v>Replying to spammers: [0.56, 0.7]</v>
      </c>
      <c r="P22" t="str">
        <v>Fake prank fire extinguishers: [0.98, 0.92]</v>
      </c>
    </row>
    <row r="23" spans="1:16">
      <c r="J23" t="s">
        <v>605</v>
      </c>
      <c r="K23">
        <v>0.05</v>
      </c>
      <c r="L23">
        <v>0.15</v>
      </c>
      <c r="M23" t="str">
        <f>IF(quadBuild[[#This Row],[mmSyntax]]="","",_xlfn.XLOOKUP(IF(quadBuild[[#This Row],[Y]]&gt;=0.5,"bottom","top")&amp;IF(quadBuild[[#This Row],[X]]&gt;=0.5,"left","right"),quadNames[orientation],quadNames[quadNo]))</f>
        <v>1</v>
      </c>
      <c r="N23" t="str">
        <f>IF(OR(quadBuild[[#This Row],[Label]]="",quadBuild[[#This Row],[X]]="",quadBuild[[#This Row],[Y]]=""),"",J23&amp;": ["&amp;K23&amp;", "&amp;L23&amp;"]")</f>
        <v>sliced bread: [0.05, 0.15]</v>
      </c>
      <c r="P23" t="str">
        <v>Fecal transplants: [0.9, 0.05]</v>
      </c>
    </row>
    <row r="24" spans="1:16">
      <c r="J24" t="s">
        <v>585</v>
      </c>
      <c r="K24">
        <v>0.05</v>
      </c>
      <c r="L24">
        <v>0.6</v>
      </c>
      <c r="M24" t="str">
        <f>IF(quadBuild[[#This Row],[mmSyntax]]="","",_xlfn.XLOOKUP(IF(quadBuild[[#This Row],[Y]]&gt;=0.5,"bottom","top")&amp;IF(quadBuild[[#This Row],[X]]&gt;=0.5,"left","right"),quadNames[orientation],quadNames[quadNo]))</f>
        <v>4</v>
      </c>
      <c r="N24" t="str">
        <f>IF(OR(quadBuild[[#This Row],[Label]]="",quadBuild[[#This Row],[X]]="",quadBuild[[#This Row],[Y]]=""),"",J24&amp;": ["&amp;K24&amp;", "&amp;L24&amp;"]")</f>
        <v>Solar cars: [0.05, 0.6]</v>
      </c>
      <c r="P24" t="str">
        <v>Heat pumps: [0.22, 0.04]</v>
      </c>
    </row>
    <row r="25" spans="1:16">
      <c r="J25" t="s">
        <v>617</v>
      </c>
      <c r="K25">
        <v>0.5</v>
      </c>
      <c r="L25">
        <v>0.5</v>
      </c>
      <c r="M25" t="str">
        <f>IF(quadBuild[[#This Row],[mmSyntax]]="","",_xlfn.XLOOKUP(IF(quadBuild[[#This Row],[Y]]&gt;=0.5,"bottom","top")&amp;IF(quadBuild[[#This Row],[X]]&gt;=0.5,"left","right"),quadNames[orientation],quadNames[quadNo]))</f>
        <v>3</v>
      </c>
      <c r="N25" t="str">
        <f>IF(OR(quadBuild[[#This Row],[Label]]="",quadBuild[[#This Row],[X]]="",quadBuild[[#This Row],[Y]]=""),"",J25&amp;": ["&amp;K25&amp;", "&amp;L25&amp;"]")</f>
        <v>soup: [0.5, 0.5]</v>
      </c>
      <c r="P25" t="str">
        <v>Heelies: [0.4, 0.6]</v>
      </c>
    </row>
    <row r="26" spans="1:16">
      <c r="J26" t="s">
        <v>592</v>
      </c>
      <c r="K26">
        <v>0.75</v>
      </c>
      <c r="L26">
        <v>0.8</v>
      </c>
      <c r="M26" t="str">
        <f>IF(quadBuild[[#This Row],[mmSyntax]]="","",_xlfn.XLOOKUP(IF(quadBuild[[#This Row],[Y]]&gt;=0.5,"bottom","top")&amp;IF(quadBuild[[#This Row],[X]]&gt;=0.5,"left","right"),quadNames[orientation],quadNames[quadNo]))</f>
        <v>3</v>
      </c>
      <c r="N26" t="str">
        <f>IF(OR(quadBuild[[#This Row],[Label]]="",quadBuild[[#This Row],[X]]="",quadBuild[[#This Row],[Y]]=""),"",J26&amp;": ["&amp;K26&amp;", "&amp;L26&amp;"]")</f>
        <v>Stair Kayaking: [0.75, 0.8]</v>
      </c>
      <c r="P26" t="str">
        <v>Laser eye surgery: [0.64, 0.05]</v>
      </c>
    </row>
    <row r="27" spans="1:16">
      <c r="J27" t="s">
        <v>609</v>
      </c>
      <c r="K27">
        <v>0.25</v>
      </c>
      <c r="L27">
        <v>0.2</v>
      </c>
      <c r="M27" t="str">
        <f>IF(quadBuild[[#This Row],[mmSyntax]]="","",_xlfn.XLOOKUP(IF(quadBuild[[#This Row],[Y]]&gt;=0.5,"bottom","top")&amp;IF(quadBuild[[#This Row],[X]]&gt;=0.5,"left","right"),quadNames[orientation],quadNames[quadNo]))</f>
        <v>1</v>
      </c>
      <c r="N27" t="str">
        <f>IF(OR(quadBuild[[#This Row],[Label]]="",quadBuild[[#This Row],[X]]="",quadBuild[[#This Row],[Y]]=""),"",J27&amp;": ["&amp;K27&amp;", "&amp;L27&amp;"]")</f>
        <v>Toasting sandwiches: [0.25, 0.2]</v>
      </c>
      <c r="P27" t="str">
        <v>Leaded Gasoline: [0.2, 0.95]</v>
      </c>
    </row>
    <row r="28" spans="1:16">
      <c r="J28" t="s">
        <v>606</v>
      </c>
      <c r="K28">
        <v>0</v>
      </c>
      <c r="L28">
        <v>0.05</v>
      </c>
      <c r="M28" t="str">
        <f>IF(quadBuild[[#This Row],[mmSyntax]]="","",_xlfn.XLOOKUP(IF(quadBuild[[#This Row],[Y]]&gt;=0.5,"bottom","top")&amp;IF(quadBuild[[#This Row],[X]]&gt;=0.5,"left","right"),quadNames[orientation],quadNames[quadNo]))</f>
        <v>1</v>
      </c>
      <c r="N28" t="str">
        <f>IF(OR(quadBuild[[#This Row],[Label]]="",quadBuild[[#This Row],[X]]="",quadBuild[[#This Row],[Y]]=""),"",J28&amp;": ["&amp;K28&amp;", "&amp;L28&amp;"]")</f>
        <v>Wheels on luggage: [0, 0.05]</v>
      </c>
      <c r="P28" t="str">
        <v>Pizza: [0.24, 0.08]</v>
      </c>
    </row>
    <row r="29" spans="1:16">
      <c r="E29" s="2"/>
      <c r="M29" t="str">
        <f>IF(quadBuild[[#This Row],[mmSyntax]]="","",_xlfn.XLOOKUP(IF(quadBuild[[#This Row],[Y]]&gt;=0.5,"bottom","top")&amp;IF(quadBuild[[#This Row],[X]]&gt;=0.5,"left","right"),quadNames[orientation],quadNames[quadNo]))</f>
        <v/>
      </c>
      <c r="N29" t="str">
        <f>IF(OR(quadBuild[[#This Row],[Label]]="",quadBuild[[#This Row],[X]]="",quadBuild[[#This Row],[Y]]=""),"",J29&amp;": ["&amp;K29&amp;", "&amp;L29&amp;"]")</f>
        <v/>
      </c>
      <c r="P29" t="str">
        <v>Prequels: [0.1, 0.55]</v>
      </c>
    </row>
    <row r="30" spans="1:16">
      <c r="E30" s="2"/>
      <c r="M30" t="str">
        <f>IF(quadBuild[[#This Row],[mmSyntax]]="","",_xlfn.XLOOKUP(IF(quadBuild[[#This Row],[Y]]&gt;=0.5,"bottom","top")&amp;IF(quadBuild[[#This Row],[X]]&gt;=0.5,"left","right"),quadNames[orientation],quadNames[quadNo]))</f>
        <v/>
      </c>
      <c r="N30" t="str">
        <f>IF(OR(quadBuild[[#This Row],[Label]]="",quadBuild[[#This Row],[X]]="",quadBuild[[#This Row],[Y]]=""),"",J30&amp;": ["&amp;K30&amp;", "&amp;L30&amp;"]")</f>
        <v/>
      </c>
      <c r="P30" t="str">
        <v>Project Orion: [0.9, 0.6]</v>
      </c>
    </row>
    <row r="31" spans="1:16">
      <c r="E31" s="2"/>
      <c r="M31" t="str">
        <f>IF(quadBuild[[#This Row],[mmSyntax]]="","",_xlfn.XLOOKUP(IF(quadBuild[[#This Row],[Y]]&gt;=0.5,"bottom","top")&amp;IF(quadBuild[[#This Row],[X]]&gt;=0.5,"left","right"),quadNames[orientation],quadNames[quadNo]))</f>
        <v/>
      </c>
      <c r="N31" t="str">
        <f>IF(OR(quadBuild[[#This Row],[Label]]="",quadBuild[[#This Row],[X]]="",quadBuild[[#This Row],[Y]]=""),"",J31&amp;": ["&amp;K31&amp;", "&amp;L31&amp;"]")</f>
        <v/>
      </c>
      <c r="P31" t="str">
        <v>Putting mold on infections: [0.9, 0.15]</v>
      </c>
    </row>
    <row r="32" spans="1:16">
      <c r="E32" s="2"/>
      <c r="M32" t="str">
        <f>IF(quadBuild[[#This Row],[mmSyntax]]="","",_xlfn.XLOOKUP(IF(quadBuild[[#This Row],[Y]]&gt;=0.5,"bottom","top")&amp;IF(quadBuild[[#This Row],[X]]&gt;=0.5,"left","right"),quadNames[orientation],quadNames[quadNo]))</f>
        <v/>
      </c>
      <c r="N32" t="str">
        <f>IF(OR(quadBuild[[#This Row],[Label]]="",quadBuild[[#This Row],[X]]="",quadBuild[[#This Row],[Y]]=""),"",J32&amp;": ["&amp;K32&amp;", "&amp;L32&amp;"]")</f>
        <v/>
      </c>
      <c r="P32" t="str">
        <v>Replying to spammers: [0.56, 0.7]</v>
      </c>
    </row>
    <row r="33" spans="5:16">
      <c r="E33" s="2"/>
      <c r="M33" t="str">
        <f>IF(quadBuild[[#This Row],[mmSyntax]]="","",_xlfn.XLOOKUP(IF(quadBuild[[#This Row],[Y]]&gt;=0.5,"bottom","top")&amp;IF(quadBuild[[#This Row],[X]]&gt;=0.5,"left","right"),quadNames[orientation],quadNames[quadNo]))</f>
        <v/>
      </c>
      <c r="N33" t="str">
        <f>IF(OR(quadBuild[[#This Row],[Label]]="",quadBuild[[#This Row],[X]]="",quadBuild[[#This Row],[Y]]=""),"",J33&amp;": ["&amp;K33&amp;", "&amp;L33&amp;"]")</f>
        <v/>
      </c>
      <c r="P33" t="str">
        <v>sliced bread: [0.05, 0.15]</v>
      </c>
    </row>
    <row r="34" spans="5:16">
      <c r="M34" t="str">
        <f>IF(quadBuild[[#This Row],[mmSyntax]]="","",_xlfn.XLOOKUP(IF(quadBuild[[#This Row],[Y]]&gt;=0.5,"bottom","top")&amp;IF(quadBuild[[#This Row],[X]]&gt;=0.5,"left","right"),quadNames[orientation],quadNames[quadNo]))</f>
        <v/>
      </c>
      <c r="N34" t="str">
        <f>IF(OR(quadBuild[[#This Row],[Label]]="",quadBuild[[#This Row],[X]]="",quadBuild[[#This Row],[Y]]=""),"",J34&amp;": ["&amp;K34&amp;", "&amp;L34&amp;"]")</f>
        <v/>
      </c>
      <c r="P34" t="str">
        <v>Solar cars: [0.05, 0.6]</v>
      </c>
    </row>
    <row r="35" spans="5:16">
      <c r="M35" t="str">
        <f>IF(quadBuild[[#This Row],[mmSyntax]]="","",_xlfn.XLOOKUP(IF(quadBuild[[#This Row],[Y]]&gt;=0.5,"bottom","top")&amp;IF(quadBuild[[#This Row],[X]]&gt;=0.5,"left","right"),quadNames[orientation],quadNames[quadNo]))</f>
        <v/>
      </c>
      <c r="N35" t="str">
        <f>IF(OR(quadBuild[[#This Row],[Label]]="",quadBuild[[#This Row],[X]]="",quadBuild[[#This Row],[Y]]=""),"",J35&amp;": ["&amp;K35&amp;", "&amp;L35&amp;"]")</f>
        <v/>
      </c>
      <c r="P35" t="str">
        <v>soup: [0.5, 0.5]</v>
      </c>
    </row>
    <row r="36" spans="5:16">
      <c r="P36" t="str">
        <v>Stair Kayaking: [0.75, 0.8]</v>
      </c>
    </row>
    <row r="37" spans="5:16">
      <c r="P37" t="str">
        <v>Toasting sandwiches: [0.25, 0.2]</v>
      </c>
    </row>
    <row r="38" spans="5:16">
      <c r="P38" t="str">
        <v>Wheels on luggage: [0, 0.05]</v>
      </c>
    </row>
  </sheetData>
  <conditionalFormatting sqref="E29:E33">
    <cfRule type="expression" dxfId="9" priority="7">
      <formula>_xlfn.ISFORMULA(E29)</formula>
    </cfRule>
  </conditionalFormatting>
  <conditionalFormatting sqref="F36:J64 F17:I35">
    <cfRule type="expression" dxfId="8" priority="5" stopIfTrue="1">
      <formula>$F17=""</formula>
    </cfRule>
    <cfRule type="expression" dxfId="7" priority="6">
      <formula>MOD(ROW(),2)=0</formula>
    </cfRule>
  </conditionalFormatting>
  <conditionalFormatting sqref="J2:J35">
    <cfRule type="expression" dxfId="6" priority="1">
      <formula>M2="4"</formula>
    </cfRule>
    <cfRule type="expression" dxfId="5" priority="2">
      <formula>M2="3"</formula>
    </cfRule>
    <cfRule type="expression" dxfId="4" priority="3">
      <formula>M2="2"</formula>
    </cfRule>
    <cfRule type="expression" dxfId="3" priority="4">
      <formula>M2="1"</formula>
    </cfRule>
  </conditionalFormatting>
  <dataValidations count="3">
    <dataValidation type="decimal" allowBlank="1" showInputMessage="1" showErrorMessage="1" sqref="K2:L35" xr:uid="{AFF01507-DDCC-463C-B841-05A4FEC657E7}">
      <formula1>0</formula1>
      <formula2>1</formula2>
    </dataValidation>
    <dataValidation type="list" allowBlank="1" showInputMessage="1" showErrorMessage="1" sqref="F17:H64" xr:uid="{8ADAD223-ADDB-403E-9D76-F8720A4928DD}">
      <formula1>_xlfn.ANCHORARRAY(#REF!)</formula1>
    </dataValidation>
    <dataValidation type="list" allowBlank="1" showInputMessage="1" showErrorMessage="1" sqref="F65:H103" xr:uid="{E496BCF2-E4CD-4B6F-B62C-1AF30D033A27}">
      <formula1>#REF!</formula1>
    </dataValidation>
  </dataValidations>
  <pageMargins left="0.7" right="0.7" top="0.75" bottom="0.75" header="0.3" footer="0.3"/>
  <pageSetup orientation="portrait" horizontalDpi="0" verticalDpi="0" r:id="rId1"/>
  <drawing r:id="rId2"/>
  <tableParts count="3">
    <tablePart r:id="rId3"/>
    <tablePart r:id="rId4"/>
    <tablePart r:id="rId5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162BC-DA8D-4B5F-B33D-7B3A7070FE97}">
  <dimension ref="A1:AV58"/>
  <sheetViews>
    <sheetView showGridLines="0" topLeftCell="B1" zoomScale="115" zoomScaleNormal="115" workbookViewId="0">
      <selection activeCell="M2" sqref="M2:M34"/>
    </sheetView>
  </sheetViews>
  <sheetFormatPr defaultRowHeight="14.6"/>
  <cols>
    <col min="1" max="1" width="15.69140625" bestFit="1" customWidth="1"/>
    <col min="2" max="2" width="16.15234375" bestFit="1" customWidth="1"/>
    <col min="3" max="3" width="15.23046875" bestFit="1" customWidth="1"/>
    <col min="4" max="4" width="21.61328125" bestFit="1" customWidth="1"/>
    <col min="5" max="5" width="10" customWidth="1"/>
    <col min="6" max="6" width="8.23046875" bestFit="1" customWidth="1"/>
    <col min="7" max="8" width="12.07421875" bestFit="1" customWidth="1"/>
    <col min="9" max="9" width="17.07421875" bestFit="1" customWidth="1"/>
    <col min="10" max="10" width="9.23046875" bestFit="1" customWidth="1"/>
    <col min="11" max="11" width="43.23046875" bestFit="1" customWidth="1"/>
    <col min="12" max="12" width="8.15234375" customWidth="1"/>
    <col min="13" max="13" width="43.23046875" bestFit="1" customWidth="1"/>
    <col min="14" max="14" width="0" hidden="1" customWidth="1"/>
    <col min="16" max="16" width="6.53515625" hidden="1" customWidth="1"/>
    <col min="17" max="17" width="12.07421875" hidden="1" customWidth="1"/>
    <col min="18" max="18" width="0" hidden="1" customWidth="1"/>
  </cols>
  <sheetData>
    <row r="1" spans="1:48">
      <c r="A1" s="4" t="s">
        <v>0</v>
      </c>
      <c r="B1" s="8" t="s">
        <v>1</v>
      </c>
      <c r="F1" s="4" t="s">
        <v>450</v>
      </c>
      <c r="G1" s="4" t="s">
        <v>2</v>
      </c>
      <c r="H1" s="4" t="s">
        <v>4</v>
      </c>
      <c r="I1" s="4" t="s">
        <v>443</v>
      </c>
      <c r="J1" s="4" t="s">
        <v>3</v>
      </c>
      <c r="K1" s="4" t="s">
        <v>5</v>
      </c>
      <c r="M1" s="4" t="s">
        <v>137</v>
      </c>
      <c r="P1" t="str" cm="1">
        <f t="array" ref="P1:P2">_xlfn.UNIQUE(_xlfn._xlws.FILTER(seqObjects[Box],seqObjects[Box]&lt;&gt;"",""))</f>
        <v>middle</v>
      </c>
      <c r="Q1" s="4" t="s">
        <v>126</v>
      </c>
      <c r="R1" t="str" cm="1">
        <f t="array" ref="R1:R13">sequencegroups[Sequence Group]</f>
        <v>end</v>
      </c>
      <c r="S1" t="str" cm="1">
        <f t="array" ref="S1:S17">_xlfn._xlws.FILTER(seq[mmSyntax],(seq[mmSyntax]&lt;&gt;"mmSyntax")*(seq[mmSyntax]&lt;&gt;""))</f>
        <v xml:space="preserve">loop </v>
      </c>
      <c r="U1" t="str" cm="1">
        <f t="array" ref="U1:V1">TRANSPOSE(_xlfn.UNIQUE(_xlfn._xlws.FILTER(seqObjects[Box],seqObjects[Box]&lt;&gt;"","")))</f>
        <v>middle</v>
      </c>
      <c r="V1" t="str">
        <v>front</v>
      </c>
    </row>
    <row r="2" spans="1:48">
      <c r="A2" s="4" t="s">
        <v>6</v>
      </c>
      <c r="B2" s="10" t="b">
        <v>1</v>
      </c>
      <c r="K2" t="str">
        <f>IF(seq[[#This Row],[Action]]="",IF(seq[[#This Row],[connector]]="","",_xlfn.TEXTJOIN("",TRUE,seq[[#This Row],[source]],(_xlfn.XLOOKUP(seq[[#This Row],[connector]],tblSeqConn[display],tblSeqConn[mmSyntax])))&amp;seq[[#This Row],[target]]&amp;": "&amp;seq[[#This Row],[message]]),seq[[#This Row],[Action]]&amp;" " &amp; seq[[#This Row],[message]])</f>
        <v/>
      </c>
      <c r="M2" t="str" cm="1">
        <f t="array" ref="M2:M58">_xlfn.VSTACK(
"sequenceDiagram",
IF(B3=TRUE,"autonumber",""),
"","%% Actors",
_xlfn._xlws.FILTER(seqObjects[mmSyntax],seqObjects[mmSyntax]&lt;&gt;""),"",
"%% Boxes",_xlfn.ANCHORARRAY(
$AV$2)
)</f>
        <v>sequenceDiagram</v>
      </c>
      <c r="P2" t="str">
        <v>front</v>
      </c>
      <c r="Q2" t="str" cm="1">
        <f t="array" ref="Q2:Q4">_xlfn._xlws.SORT(_xlfn.UNIQUE(_xlfn.VSTACK(_xlfn._xlws.FILTER(seq[source],(seq[source]&lt;&gt;"source")*(seq[source]&lt;&gt;"")),_xlfn._xlws.FILTER(seq[target],(seq[target]&lt;&gt;"source")*(seq[target]&lt;&gt;"")))))</f>
        <v>app</v>
      </c>
      <c r="R2" t="str">
        <v>loop</v>
      </c>
      <c r="S2" t="str">
        <v>user-&gt;&gt;app: userID</v>
      </c>
      <c r="U2" s="23" t="str" cm="1">
        <f t="array" ref="U2:U4">IF(U1="","",_xlfn.VSTACK(
_xlfn.XLOOKUP(U1,Table4[Box],Table4[mmSyntax]),
_xlfn._xlws.FILTER(seqObjects[mmSyntax],seqObjects[Box]=U1),
"end"))</f>
        <v>Box middle</v>
      </c>
      <c r="V2" s="23" t="str" cm="1">
        <f t="array" ref="V2:V4">IF(V1="","",_xlfn.VSTACK(
_xlfn.XLOOKUP(V1,Table4[Box],Table4[mmSyntax]),
_xlfn._xlws.FILTER(seqObjects[mmSyntax],seqObjects[Box]=V1),
"end"))</f>
        <v>Box gray front</v>
      </c>
      <c r="W2" s="23" t="str" cm="1">
        <f t="array" ref="W2">IF(W1="","",_xlfn.VSTACK(
_xlfn.XLOOKUP(W1,Table4[Box],Table4[mmSyntax]),
_xlfn._xlws.FILTER(seqObjects[mmSyntax],seqObjects[Box]=W1),
"end"))</f>
        <v/>
      </c>
      <c r="X2" s="23" t="str" cm="1">
        <f t="array" ref="X2">IF(X1="","",_xlfn.VSTACK(
_xlfn.XLOOKUP(X1,Table4[Box],Table4[mmSyntax]),
_xlfn._xlws.FILTER(seqObjects[mmSyntax],seqObjects[Box]=X1),
"end"))</f>
        <v/>
      </c>
      <c r="Y2" s="23" t="str" cm="1">
        <f t="array" ref="Y2">IF(Y1="","",_xlfn.VSTACK(
_xlfn.XLOOKUP(Y1,Table4[Box],Table4[mmSyntax]),
_xlfn._xlws.FILTER(seqObjects[mmSyntax],seqObjects[Box]=Y1),
"end"))</f>
        <v/>
      </c>
      <c r="Z2" s="23" t="str" cm="1">
        <f t="array" ref="Z2">IF(Z1="","",_xlfn.VSTACK(
_xlfn.XLOOKUP(Z1,Table4[Box],Table4[mmSyntax]),
_xlfn._xlws.FILTER(seqObjects[mmSyntax],seqObjects[Box]=Z1),
"end"))</f>
        <v/>
      </c>
      <c r="AA2" s="23" t="str" cm="1">
        <f t="array" ref="AA2">IF(AA1="","",_xlfn.VSTACK(
_xlfn.XLOOKUP(AA1,Table4[Box],Table4[mmSyntax]),
_xlfn._xlws.FILTER(seqObjects[mmSyntax],seqObjects[Box]=AA1),
"end"))</f>
        <v/>
      </c>
      <c r="AB2" s="23" t="str" cm="1">
        <f t="array" ref="AB2">IF(AB1="","",_xlfn.VSTACK(
_xlfn.XLOOKUP(AB1,Table4[Box],Table4[mmSyntax]),
_xlfn._xlws.FILTER(seqObjects[mmSyntax],seqObjects[Box]=AB1),
"end"))</f>
        <v/>
      </c>
      <c r="AC2" s="23" t="str" cm="1">
        <f t="array" ref="AC2">IF(AC1="","",_xlfn.VSTACK(
_xlfn.XLOOKUP(AC1,Table4[Box],Table4[mmSyntax]),
_xlfn._xlws.FILTER(seqObjects[mmSyntax],seqObjects[Box]=AC1),
"end"))</f>
        <v/>
      </c>
      <c r="AD2" s="23" t="str" cm="1">
        <f t="array" ref="AD2">IF(AD1="","",_xlfn.VSTACK(
_xlfn.XLOOKUP(AD1,Table4[Box],Table4[mmSyntax]),
_xlfn._xlws.FILTER(seqObjects[mmSyntax],seqObjects[Box]=AD1),
"end"))</f>
        <v/>
      </c>
      <c r="AE2" s="23" t="str" cm="1">
        <f t="array" ref="AE2">IF(AE1="","",_xlfn.VSTACK(
_xlfn.XLOOKUP(AE1,Table4[Box],Table4[mmSyntax]),
_xlfn._xlws.FILTER(seqObjects[mmSyntax],seqObjects[Box]=AE1),
"end"))</f>
        <v/>
      </c>
      <c r="AF2" s="23" t="str" cm="1">
        <f t="array" ref="AF2">IF(AF1="","",_xlfn.VSTACK(
_xlfn.XLOOKUP(AF1,Table4[Box],Table4[mmSyntax]),
_xlfn._xlws.FILTER(seqObjects[mmSyntax],seqObjects[Box]=AF1),
"end"))</f>
        <v/>
      </c>
      <c r="AG2" s="23" t="str" cm="1">
        <f t="array" ref="AG2">IF(AG1="","",_xlfn.VSTACK(
_xlfn.XLOOKUP(AG1,Table4[Box],Table4[mmSyntax]),
_xlfn._xlws.FILTER(seqObjects[mmSyntax],seqObjects[Box]=AG1),
"end"))</f>
        <v/>
      </c>
      <c r="AH2" s="23" t="str" cm="1">
        <f t="array" ref="AH2">IF(AH1="","",_xlfn.VSTACK(
_xlfn.XLOOKUP(AH1,Table4[Box],Table4[mmSyntax]),
_xlfn._xlws.FILTER(seqObjects[mmSyntax],seqObjects[Box]=AH1),
"end"))</f>
        <v/>
      </c>
      <c r="AI2" s="23" t="str" cm="1">
        <f t="array" ref="AI2">IF(AI1="","",_xlfn.VSTACK(
_xlfn.XLOOKUP(AI1,Table4[Color],Table4[Box]),
_xlfn._xlws.FILTER(seqObjects[Object],seqObjects[type]=AI1),
"end"))</f>
        <v/>
      </c>
      <c r="AJ2" s="23" t="str" cm="1">
        <f t="array" ref="AJ2">IF(AJ1="","",_xlfn.VSTACK(
_xlfn.XLOOKUP(AJ1,Table4[mmSyntax],Table4[Color]),
_xlfn._xlws.FILTER(seqObjects[Box],seqObjects[mmSyntax]=AJ1),
"end"))</f>
        <v/>
      </c>
      <c r="AK2" s="23" t="str" cm="1">
        <f t="array" ref="AK2">IF(AK1="","",_xlfn.VSTACK(
_xlfn.XLOOKUP(AK1,Table4[Box],Table4[mmSyntax]),
_xlfn._xlws.FILTER(seqObjects[type],seqObjects[Object]=AK1),
"end"))</f>
        <v/>
      </c>
      <c r="AL2" s="23" t="str" cm="1">
        <f t="array" ref="AL2">IF(AL1="","",_xlfn.VSTACK(
_xlfn.XLOOKUP(AL1,Table4[Color],Table4[Box]),
_xlfn._xlws.FILTER(seqObjects[mmSyntax],seqObjects[Box]=AL1),
"end"))</f>
        <v/>
      </c>
      <c r="AM2" s="23" t="str" cm="1">
        <f t="array" ref="AM2">IF(AM1="","",_xlfn.VSTACK(
_xlfn.XLOOKUP(AM1,Table4[mmSyntax],Table4[Color]),
_xlfn._xlws.FILTER(seqObjects[Object],seqObjects[type]=AM1),
"end"))</f>
        <v/>
      </c>
      <c r="AN2" s="23" t="str" cm="1">
        <f t="array" ref="AN2">IF(AN1="","",_xlfn.VSTACK(
_xlfn.XLOOKUP(AN1,Table4[Box],Table4[mmSyntax]),
_xlfn._xlws.FILTER(seqObjects[Box],seqObjects[mmSyntax]=AN1),
"end"))</f>
        <v/>
      </c>
      <c r="AO2" s="23" t="str" cm="1">
        <f t="array" ref="AO2">IF(AO1="","",_xlfn.VSTACK(
_xlfn.XLOOKUP(AO1,Table4[Color],Table4[Box]),
_xlfn._xlws.FILTER(seqObjects[type],seqObjects[Object]=AO1),
"end"))</f>
        <v/>
      </c>
      <c r="AP2" s="23" t="str" cm="1">
        <f t="array" ref="AP2">IF(AP1="","",_xlfn.VSTACK(
_xlfn.XLOOKUP(AP1,Table4[mmSyntax],Table4[Color]),
_xlfn._xlws.FILTER(seqObjects[mmSyntax],seqObjects[Box]=AP1),
"end"))</f>
        <v/>
      </c>
      <c r="AQ2" s="23" t="str" cm="1">
        <f t="array" ref="AQ2">IF(AQ1="","",_xlfn.VSTACK(
_xlfn.XLOOKUP(AQ1,Table4[Box],Table4[mmSyntax]),
_xlfn._xlws.FILTER(seqObjects[Object],seqObjects[type]=AQ1),
"end"))</f>
        <v/>
      </c>
      <c r="AR2" s="23" t="str" cm="1">
        <f t="array" ref="AR2">IF(AR1="","",_xlfn.VSTACK(
_xlfn.XLOOKUP(AR1,Table4[Color],Table4[Box]),
_xlfn._xlws.FILTER(seqObjects[Box],seqObjects[mmSyntax]=AR1),
"end"))</f>
        <v/>
      </c>
      <c r="AS2" s="23" t="str" cm="1">
        <f t="array" ref="AS2">IF(AS1="","",_xlfn.VSTACK(
_xlfn.XLOOKUP(AS1,Table4[mmSyntax],Table4[Color]),
_xlfn._xlws.FILTER(seqObjects[type],seqObjects[Object]=AS1),
"end"))</f>
        <v/>
      </c>
      <c r="AT2" s="23" t="str" cm="1">
        <f t="array" ref="AT2">IF(AT1="","",_xlfn.VSTACK(
_xlfn.XLOOKUP(AT1,Table4[Box],Table4[mmSyntax]),
_xlfn._xlws.FILTER(seqObjects[mmSyntax],seqObjects[Box]=AT1),
"end"))</f>
        <v/>
      </c>
      <c r="AV2" s="23" t="str" cm="1">
        <f t="array" ref="AV2:AV50">_xlfn.VSTACK(
"",
"%% Diagram",
_xlfn._xlws.FILTER(seq[mmSyntax],(seq[mmSyntax]&lt;&gt;"mmSyntax")*(seq[mmSyntax]&lt;&gt;"")),
_xlfn._xlws.FILTER(V2:V27,V2:V27&lt;&gt;"",""),_xlfn._xlws.FILTER(U2:U27,U2:U27&lt;&gt;"",""),_xlfn._xlws.FILTER(W2:W27,W2:W27&lt;&gt;"",""),_xlfn._xlws.FILTER(X2:X27,X2:X27&lt;&gt;"",""),_xlfn._xlws.FILTER(Y2:Y27,Y2:Y27&lt;&gt;"",""),_xlfn._xlws.FILTER(Z2:Z27,Z2:Z27&lt;&gt;"",""),_xlfn._xlws.FILTER(AA2:AA27,AA2:AA27&lt;&gt;"",""),_xlfn._xlws.FILTER(AB2:AB27,AB2:AB27&lt;&gt;"",""),_xlfn._xlws.FILTER(AC2:AC27,AC2:AC27&lt;&gt;"",""),_xlfn._xlws.FILTER(AD2:AD27,AD2:AD27&lt;&gt;"",""),_xlfn._xlws.FILTER(AE2:AE27,AE2:AE27&lt;&gt;"",""),_xlfn._xlws.FILTER(AF2:AF27,AF2:AF27&lt;&gt;"",""),_xlfn._xlws.FILTER(AG2:AG27,AG2:AG27&lt;&gt;"",""),_xlfn._xlws.FILTER(AH2:AH27,AH2:AH27&lt;&gt;"",""),_xlfn._xlws.FILTER(AI2:AI27,AI2:AI27&lt;&gt;"",""),_xlfn._xlws.FILTER(AJ2:AJ27,AJ2:AJ27&lt;&gt;"",""),_xlfn._xlws.FILTER(AK2:AK27,AK2:AK27&lt;&gt;"",""),_xlfn._xlws.FILTER(AL2:AL27,AL2:AL27&lt;&gt;"",""),_xlfn._xlws.FILTER(AM2:AM27,AM2:AM27&lt;&gt;"",""),_xlfn._xlws.FILTER(AN2:AN27,AN2:AN27&lt;&gt;"",""),_xlfn._xlws.FILTER(AO2:AO27,AO2:AO27&lt;&gt;"",""),_xlfn._xlws.FILTER(AP2:AP27,AP2:AP27&lt;&gt;"",""),_xlfn._xlws.FILTER(AQ2:AQ27,AQ2:AQ27&lt;&gt;"",""),_xlfn._xlws.FILTER(AR2:AR27,AR2:AR27&lt;&gt;"",""),_xlfn._xlws.FILTER(AS2:AS27,AS2:AS27&lt;&gt;"",""),_xlfn._xlws.FILTER(AT2:AT27,AT2:AT27&lt;&gt;"",""))</f>
        <v/>
      </c>
    </row>
    <row r="3" spans="1:48">
      <c r="A3" s="4" t="s">
        <v>11</v>
      </c>
      <c r="B3" s="10" t="b">
        <v>1</v>
      </c>
      <c r="F3" t="s">
        <v>123</v>
      </c>
      <c r="K3" t="str">
        <f>IF(seq[[#This Row],[Action]]="",IF(seq[[#This Row],[connector]]="","",_xlfn.TEXTJOIN("",TRUE,seq[[#This Row],[source]],(_xlfn.XLOOKUP(seq[[#This Row],[connector]],tblSeqConn[display],tblSeqConn[mmSyntax])))&amp;seq[[#This Row],[target]]&amp;": "&amp;seq[[#This Row],[message]]),seq[[#This Row],[Action]]&amp;" " &amp; seq[[#This Row],[message]])</f>
        <v xml:space="preserve">loop </v>
      </c>
      <c r="M3" t="str">
        <v>autonumber</v>
      </c>
      <c r="Q3" t="str">
        <v>authenticator</v>
      </c>
      <c r="R3" t="str">
        <v>alt</v>
      </c>
      <c r="S3" t="str">
        <v>app-&gt;&gt;authenticator: open with userID</v>
      </c>
      <c r="U3" s="23" t="str">
        <v>Participant authenticator</v>
      </c>
      <c r="V3" s="23" t="str">
        <v>Actor user</v>
      </c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V3" t="str">
        <v>%% Diagram</v>
      </c>
    </row>
    <row r="4" spans="1:48">
      <c r="A4" s="4" t="s">
        <v>14</v>
      </c>
      <c r="B4" s="10" t="b">
        <v>0</v>
      </c>
      <c r="G4" t="s">
        <v>7</v>
      </c>
      <c r="H4" t="s">
        <v>10</v>
      </c>
      <c r="I4" t="s">
        <v>9</v>
      </c>
      <c r="J4" t="s">
        <v>8</v>
      </c>
      <c r="K4" t="str">
        <f>IF(seq[[#This Row],[Action]]="",IF(seq[[#This Row],[connector]]="","",_xlfn.TEXTJOIN("",TRUE,seq[[#This Row],[source]],(_xlfn.XLOOKUP(seq[[#This Row],[connector]],tblSeqConn[display],tblSeqConn[mmSyntax])))&amp;seq[[#This Row],[target]]&amp;": "&amp;seq[[#This Row],[message]]),seq[[#This Row],[Action]]&amp;" " &amp; seq[[#This Row],[message]])</f>
        <v>user-&gt;&gt;app: userID</v>
      </c>
      <c r="M4" t="str">
        <v/>
      </c>
      <c r="Q4" t="str">
        <v>user</v>
      </c>
      <c r="R4" t="str">
        <v>opt</v>
      </c>
      <c r="S4" t="str">
        <v xml:space="preserve">end </v>
      </c>
      <c r="U4" s="23" t="str">
        <v>end</v>
      </c>
      <c r="V4" s="23" t="str">
        <v>end</v>
      </c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V4" t="str">
        <v xml:space="preserve">loop </v>
      </c>
    </row>
    <row r="5" spans="1:48">
      <c r="A5" s="7" t="s">
        <v>16</v>
      </c>
      <c r="B5" s="9" t="str" cm="1">
        <f t="array" aca="1" ref="B5" ca="1">DEC2HEX(_xlfn.LET(
  _xlpm.Y, _xlfn.LAMBDA(_xlpm.G,_xlpm.a,_xlpm.b,_xlpm.m,_xlpm.res,
    IF(0&lt;_xlpm.b,
      _xlpm.G(
        _xlpm.G,
        MOD(_xlpm.a, _xlpm.m) * 2,
        TRUNC(_xlpm.b / 2),
        _xlpm.m,
        IF(MOD(_xlpm.b, 2) = 1,
          MOD(_xlpm.res + MOD(_xlpm.a, _xlpm.m), _xlpm.m),
          _xlpm.res)),
      _xlpm.res)),
  _xlpm.mulmod, _xlfn.LAMBDA(_xlpm.a,_xlpm.b,_xlpm.m, _xlpm.Y(_xlpm.Y,_xlpm.a,_xlpm.b,_xlpm.m,0)),
  _xlpm.p, 16777619    +N("FNV_prime for 32 bits"),
  _xlpm.o, 2166136261  +N("FNV_offset_basis for 32 bits"),
  _xlpm.m, POWER(2,32) +N("modulus for 32 bits"),
  _xlpm.s, (_xlfn.TEXTJOIN("",TRUE,'🔢 sequence'!$K$2:$K$28)),
  IF(ISBLANK(_xlpm.s),
    0,
    _xlfn.REDUCE(_xlpm.o,
      ROW(INDIRECT("1:"&amp;LEN(_xlpm.s))),
      _xlfn.LAMBDA(_xlpm.acc,_xlpm.i,_xlpm.mulmod(_xlpm.p, _xlfn.BITXOR(_xlpm.acc, CODE(MID(_xlpm.s,_xlpm.i,1))), _xlpm.m))))))</f>
        <v>6A1656E7</v>
      </c>
      <c r="G5" t="s">
        <v>10</v>
      </c>
      <c r="H5" t="s">
        <v>13</v>
      </c>
      <c r="I5" t="s">
        <v>12</v>
      </c>
      <c r="J5" t="s">
        <v>8</v>
      </c>
      <c r="K5" t="str">
        <f>IF(seq[[#This Row],[Action]]="",IF(seq[[#This Row],[connector]]="","",_xlfn.TEXTJOIN("",TRUE,seq[[#This Row],[source]],(_xlfn.XLOOKUP(seq[[#This Row],[connector]],tblSeqConn[display],tblSeqConn[mmSyntax])))&amp;seq[[#This Row],[target]]&amp;": "&amp;seq[[#This Row],[message]]),seq[[#This Row],[Action]]&amp;" " &amp; seq[[#This Row],[message]])</f>
        <v>app-&gt;&gt;authenticator: open with userID</v>
      </c>
      <c r="M5" t="str">
        <v>%% Actors</v>
      </c>
      <c r="R5" t="str">
        <v>else</v>
      </c>
      <c r="S5" t="str">
        <v>alt has account</v>
      </c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V5" t="str">
        <v>user-&gt;&gt;app: userID</v>
      </c>
    </row>
    <row r="6" spans="1:48">
      <c r="F6" t="s">
        <v>107</v>
      </c>
      <c r="K6" t="str">
        <f>IF(seq[[#This Row],[Action]]="",IF(seq[[#This Row],[connector]]="","",_xlfn.TEXTJOIN("",TRUE,seq[[#This Row],[source]],(_xlfn.XLOOKUP(seq[[#This Row],[connector]],tblSeqConn[display],tblSeqConn[mmSyntax])))&amp;seq[[#This Row],[target]]&amp;": "&amp;seq[[#This Row],[message]]),seq[[#This Row],[Action]]&amp;" " &amp; seq[[#This Row],[message]])</f>
        <v xml:space="preserve">end </v>
      </c>
      <c r="M6" t="str">
        <v>Participant authenticator</v>
      </c>
      <c r="R6" t="str">
        <v>and</v>
      </c>
      <c r="S6" t="str">
        <v>authenticator-&gt;&gt;authenticator: map userID to cred</v>
      </c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V6" t="str">
        <v>app-&gt;&gt;authenticator: open with userID</v>
      </c>
    </row>
    <row r="7" spans="1:48">
      <c r="A7" t="s">
        <v>435</v>
      </c>
      <c r="B7" t="s">
        <v>442</v>
      </c>
      <c r="C7" t="s">
        <v>436</v>
      </c>
      <c r="D7" t="s">
        <v>5</v>
      </c>
      <c r="F7" t="s">
        <v>453</v>
      </c>
      <c r="I7" t="s">
        <v>452</v>
      </c>
      <c r="K7" t="str">
        <f>IF(seq[[#This Row],[Action]]="",IF(seq[[#This Row],[connector]]="","",_xlfn.TEXTJOIN("",TRUE,seq[[#This Row],[source]],(_xlfn.XLOOKUP(seq[[#This Row],[connector]],tblSeqConn[display],tblSeqConn[mmSyntax])))&amp;seq[[#This Row],[target]]&amp;": "&amp;seq[[#This Row],[message]]),seq[[#This Row],[Action]]&amp;" " &amp; seq[[#This Row],[message]])</f>
        <v>alt has account</v>
      </c>
      <c r="M7" s="1" t="str">
        <v>Actor user</v>
      </c>
      <c r="R7" t="str">
        <v>critical</v>
      </c>
      <c r="S7" t="str">
        <v>else no account</v>
      </c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V7" t="str">
        <v xml:space="preserve">end </v>
      </c>
    </row>
    <row r="8" spans="1:48">
      <c r="A8" t="s">
        <v>13</v>
      </c>
      <c r="B8" t="s">
        <v>440</v>
      </c>
      <c r="C8" t="s">
        <v>438</v>
      </c>
      <c r="D8" t="str">
        <f>IF(seqObjects[[#This Row],[Object]]="","",IF(seqObjects[[#This Row],[type]]="","Participant " &amp; seqObjects[[#This Row],[Object]],seqObjects[[#This Row],[type]]&amp;" "&amp;seqObjects[[#This Row],[Object]]))</f>
        <v>Participant authenticator</v>
      </c>
      <c r="G8" t="s">
        <v>13</v>
      </c>
      <c r="H8" t="s">
        <v>13</v>
      </c>
      <c r="I8" t="s">
        <v>15</v>
      </c>
      <c r="J8" t="s">
        <v>8</v>
      </c>
      <c r="K8" t="str">
        <f>IF(seq[[#This Row],[Action]]="",IF(seq[[#This Row],[connector]]="","",_xlfn.TEXTJOIN("",TRUE,seq[[#This Row],[source]],(_xlfn.XLOOKUP(seq[[#This Row],[connector]],tblSeqConn[display],tblSeqConn[mmSyntax])))&amp;seq[[#This Row],[target]]&amp;": "&amp;seq[[#This Row],[message]]),seq[[#This Row],[Action]]&amp;" " &amp; seq[[#This Row],[message]])</f>
        <v>authenticator-&gt;&gt;authenticator: map userID to cred</v>
      </c>
      <c r="M8" t="str">
        <v/>
      </c>
      <c r="R8" t="str">
        <v>option</v>
      </c>
      <c r="S8" t="str">
        <v>app--&gt;&gt;user: user onboard</v>
      </c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V8" t="str">
        <v>alt has account</v>
      </c>
    </row>
    <row r="9" spans="1:48">
      <c r="A9" t="s">
        <v>7</v>
      </c>
      <c r="B9" t="s">
        <v>441</v>
      </c>
      <c r="C9" t="s">
        <v>331</v>
      </c>
      <c r="D9" t="str">
        <f>IF(seqObjects[[#This Row],[Object]]="","",IF(seqObjects[[#This Row],[type]]="","Participant " &amp; seqObjects[[#This Row],[Object]],seqObjects[[#This Row],[type]]&amp;" "&amp;seqObjects[[#This Row],[Object]]))</f>
        <v>Actor user</v>
      </c>
      <c r="F9" t="s">
        <v>445</v>
      </c>
      <c r="I9" t="s">
        <v>456</v>
      </c>
      <c r="K9" t="str">
        <f>IF(seq[[#This Row],[Action]]="",IF(seq[[#This Row],[connector]]="","",_xlfn.TEXTJOIN("",TRUE,seq[[#This Row],[source]],(_xlfn.XLOOKUP(seq[[#This Row],[connector]],tblSeqConn[display],tblSeqConn[mmSyntax])))&amp;seq[[#This Row],[target]]&amp;": "&amp;seq[[#This Row],[message]]),seq[[#This Row],[Action]]&amp;" " &amp; seq[[#This Row],[message]])</f>
        <v>else no account</v>
      </c>
      <c r="M9" t="str">
        <v>%% Boxes</v>
      </c>
      <c r="R9" t="str">
        <v>note right of</v>
      </c>
      <c r="S9" t="str">
        <v xml:space="preserve">end </v>
      </c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V9" t="str">
        <v>authenticator-&gt;&gt;authenticator: map userID to cred</v>
      </c>
    </row>
    <row r="10" spans="1:48">
      <c r="D10" t="str">
        <f>IF(seqObjects[[#This Row],[Object]]="","",IF(seqObjects[[#This Row],[type]]="","Participant " &amp; seqObjects[[#This Row],[Object]],seqObjects[[#This Row],[type]]&amp;" "&amp;seqObjects[[#This Row],[Object]]))</f>
        <v/>
      </c>
      <c r="G10" t="s">
        <v>10</v>
      </c>
      <c r="H10" t="s">
        <v>7</v>
      </c>
      <c r="I10" t="s">
        <v>455</v>
      </c>
      <c r="J10" t="s">
        <v>17</v>
      </c>
      <c r="K10" t="str">
        <f>IF(seq[[#This Row],[Action]]="",IF(seq[[#This Row],[connector]]="","",_xlfn.TEXTJOIN("",TRUE,seq[[#This Row],[source]],(_xlfn.XLOOKUP(seq[[#This Row],[connector]],tblSeqConn[display],tblSeqConn[mmSyntax])))&amp;seq[[#This Row],[target]]&amp;": "&amp;seq[[#This Row],[message]]),seq[[#This Row],[Action]]&amp;" " &amp; seq[[#This Row],[message]])</f>
        <v>app--&gt;&gt;user: user onboard</v>
      </c>
      <c r="M10" t="str">
        <v/>
      </c>
      <c r="R10" t="str">
        <v>note left of</v>
      </c>
      <c r="S10" t="str">
        <v>authenticator--&gt;&gt;user: password challenge</v>
      </c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V10" t="str">
        <v>else no account</v>
      </c>
    </row>
    <row r="11" spans="1:48">
      <c r="D11" t="str">
        <f>IF(seqObjects[[#This Row],[Object]]="","",IF(seqObjects[[#This Row],[type]]="","Participant " &amp; seqObjects[[#This Row],[Object]],seqObjects[[#This Row],[type]]&amp;" "&amp;seqObjects[[#This Row],[Object]]))</f>
        <v/>
      </c>
      <c r="F11" t="s">
        <v>107</v>
      </c>
      <c r="K11" t="str">
        <f>IF(seq[[#This Row],[Action]]="",IF(seq[[#This Row],[connector]]="","",_xlfn.TEXTJOIN("",TRUE,seq[[#This Row],[source]],(_xlfn.XLOOKUP(seq[[#This Row],[connector]],tblSeqConn[display],tblSeqConn[mmSyntax])))&amp;seq[[#This Row],[target]]&amp;": "&amp;seq[[#This Row],[message]]),seq[[#This Row],[Action]]&amp;" " &amp; seq[[#This Row],[message]])</f>
        <v xml:space="preserve">end </v>
      </c>
      <c r="M11" t="str">
        <v>%% Diagram</v>
      </c>
      <c r="R11" t="str">
        <v>note over</v>
      </c>
      <c r="S11" t="str">
        <v>user-&gt;&gt;authenticator: password</v>
      </c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V11" t="str">
        <v>app--&gt;&gt;user: user onboard</v>
      </c>
    </row>
    <row r="12" spans="1:48">
      <c r="D12" t="str">
        <f>IF(seqObjects[[#This Row],[Object]]="","",IF(seqObjects[[#This Row],[type]]="","Participant " &amp; seqObjects[[#This Row],[Object]],seqObjects[[#This Row],[type]]&amp;" "&amp;seqObjects[[#This Row],[Object]]))</f>
        <v/>
      </c>
      <c r="G12" t="s">
        <v>13</v>
      </c>
      <c r="H12" t="s">
        <v>7</v>
      </c>
      <c r="I12" t="s">
        <v>18</v>
      </c>
      <c r="J12" t="s">
        <v>17</v>
      </c>
      <c r="K12" t="str">
        <f>IF(seq[[#This Row],[Action]]="",IF(seq[[#This Row],[connector]]="","",_xlfn.TEXTJOIN("",TRUE,seq[[#This Row],[source]],(_xlfn.XLOOKUP(seq[[#This Row],[connector]],tblSeqConn[display],tblSeqConn[mmSyntax])))&amp;seq[[#This Row],[target]]&amp;": "&amp;seq[[#This Row],[message]]),seq[[#This Row],[Action]]&amp;" " &amp; seq[[#This Row],[message]])</f>
        <v>authenticator--&gt;&gt;user: password challenge</v>
      </c>
      <c r="M12" t="str">
        <v xml:space="preserve">loop </v>
      </c>
      <c r="R12" t="str">
        <v>activate</v>
      </c>
      <c r="S12" t="str">
        <v>authenticator--&gt;&gt;user: otc challenge</v>
      </c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V12" t="str">
        <v xml:space="preserve">end </v>
      </c>
    </row>
    <row r="13" spans="1:48">
      <c r="D13" t="str">
        <f>IF(seqObjects[[#This Row],[Object]]="","",IF(seqObjects[[#This Row],[type]]="","Participant " &amp; seqObjects[[#This Row],[Object]],seqObjects[[#This Row],[type]]&amp;" "&amp;seqObjects[[#This Row],[Object]]))</f>
        <v/>
      </c>
      <c r="G13" t="s">
        <v>7</v>
      </c>
      <c r="H13" t="s">
        <v>13</v>
      </c>
      <c r="I13" t="s">
        <v>19</v>
      </c>
      <c r="J13" t="s">
        <v>8</v>
      </c>
      <c r="K13" t="str">
        <f>IF(seq[[#This Row],[Action]]="",IF(seq[[#This Row],[connector]]="","",_xlfn.TEXTJOIN("",TRUE,seq[[#This Row],[source]],(_xlfn.XLOOKUP(seq[[#This Row],[connector]],tblSeqConn[display],tblSeqConn[mmSyntax])))&amp;seq[[#This Row],[target]]&amp;": "&amp;seq[[#This Row],[message]]),seq[[#This Row],[Action]]&amp;" " &amp; seq[[#This Row],[message]])</f>
        <v>user-&gt;&gt;authenticator: password</v>
      </c>
      <c r="M13" t="str">
        <v>user-&gt;&gt;app: userID</v>
      </c>
      <c r="R13" t="str">
        <v>destroy</v>
      </c>
      <c r="S13" t="str">
        <v>user-&gt;&gt;authenticator: one-time code</v>
      </c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V13" t="str">
        <v>authenticator--&gt;&gt;user: password challenge</v>
      </c>
    </row>
    <row r="14" spans="1:48">
      <c r="D14" t="str">
        <f>IF(seqObjects[[#This Row],[Object]]="","",IF(seqObjects[[#This Row],[type]]="","Participant " &amp; seqObjects[[#This Row],[Object]],seqObjects[[#This Row],[type]]&amp;" "&amp;seqObjects[[#This Row],[Object]]))</f>
        <v/>
      </c>
      <c r="G14" t="s">
        <v>13</v>
      </c>
      <c r="H14" t="s">
        <v>7</v>
      </c>
      <c r="I14" t="s">
        <v>20</v>
      </c>
      <c r="J14" t="s">
        <v>17</v>
      </c>
      <c r="K14" t="str">
        <f>IF(seq[[#This Row],[Action]]="",IF(seq[[#This Row],[connector]]="","",_xlfn.TEXTJOIN("",TRUE,seq[[#This Row],[source]],(_xlfn.XLOOKUP(seq[[#This Row],[connector]],tblSeqConn[display],tblSeqConn[mmSyntax])))&amp;seq[[#This Row],[target]]&amp;": "&amp;seq[[#This Row],[message]]),seq[[#This Row],[Action]]&amp;" " &amp; seq[[#This Row],[message]])</f>
        <v>authenticator--&gt;&gt;user: otc challenge</v>
      </c>
      <c r="M14" t="str">
        <v>app-&gt;&gt;authenticator: open with userID</v>
      </c>
      <c r="S14" t="str">
        <v>user-&gt;&gt;authenticator: one-time code</v>
      </c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V14" t="str">
        <v>user-&gt;&gt;authenticator: password</v>
      </c>
    </row>
    <row r="15" spans="1:48">
      <c r="D15" t="str">
        <f>IF(seqObjects[[#This Row],[Object]]="","",IF(seqObjects[[#This Row],[type]]="","Participant " &amp; seqObjects[[#This Row],[Object]],seqObjects[[#This Row],[type]]&amp;" "&amp;seqObjects[[#This Row],[Object]]))</f>
        <v/>
      </c>
      <c r="G15" t="s">
        <v>7</v>
      </c>
      <c r="H15" t="s">
        <v>13</v>
      </c>
      <c r="I15" t="s">
        <v>21</v>
      </c>
      <c r="J15" t="s">
        <v>8</v>
      </c>
      <c r="K15" t="str">
        <f>IF(seq[[#This Row],[Action]]="",IF(seq[[#This Row],[connector]]="","",_xlfn.TEXTJOIN("",TRUE,seq[[#This Row],[source]],(_xlfn.XLOOKUP(seq[[#This Row],[connector]],tblSeqConn[display],tblSeqConn[mmSyntax])))&amp;seq[[#This Row],[target]]&amp;": "&amp;seq[[#This Row],[message]]),seq[[#This Row],[Action]]&amp;" " &amp; seq[[#This Row],[message]])</f>
        <v>user-&gt;&gt;authenticator: one-time code</v>
      </c>
      <c r="M15" t="str">
        <v xml:space="preserve">end </v>
      </c>
      <c r="S15" t="str">
        <v>destroy authenticator</v>
      </c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V15" t="str">
        <v>authenticator--&gt;&gt;user: otc challenge</v>
      </c>
    </row>
    <row r="16" spans="1:48">
      <c r="D16" t="str">
        <f>IF(seqObjects[[#This Row],[Object]]="","",IF(seqObjects[[#This Row],[type]]="","Participant " &amp; seqObjects[[#This Row],[Object]],seqObjects[[#This Row],[type]]&amp;" "&amp;seqObjects[[#This Row],[Object]]))</f>
        <v/>
      </c>
      <c r="K16" t="str">
        <f>IF(seq[[#This Row],[Action]]="",IF(seq[[#This Row],[connector]]="","",_xlfn.TEXTJOIN("",TRUE,seq[[#This Row],[source]],(_xlfn.XLOOKUP(seq[[#This Row],[connector]],tblSeqConn[display],tblSeqConn[mmSyntax])))&amp;seq[[#This Row],[target]]&amp;": "&amp;seq[[#This Row],[message]]),seq[[#This Row],[Action]]&amp;" " &amp; seq[[#This Row],[message]])</f>
        <v/>
      </c>
      <c r="M16" t="str">
        <v>alt has account</v>
      </c>
      <c r="S16" t="str">
        <v>authenticator-&gt;&gt;app: token</v>
      </c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V16" t="str">
        <v>user-&gt;&gt;authenticator: one-time code</v>
      </c>
    </row>
    <row r="17" spans="1:48">
      <c r="D17" t="str">
        <f>IF(seqObjects[[#This Row],[Object]]="","",IF(seqObjects[[#This Row],[type]]="","Participant " &amp; seqObjects[[#This Row],[Object]],seqObjects[[#This Row],[type]]&amp;" "&amp;seqObjects[[#This Row],[Object]]))</f>
        <v/>
      </c>
      <c r="G17" t="s">
        <v>7</v>
      </c>
      <c r="H17" t="s">
        <v>13</v>
      </c>
      <c r="I17" t="s">
        <v>21</v>
      </c>
      <c r="J17" t="s">
        <v>8</v>
      </c>
      <c r="K17" t="str">
        <f>IF(seq[[#This Row],[Action]]="",IF(seq[[#This Row],[connector]]="","",_xlfn.TEXTJOIN("",TRUE,seq[[#This Row],[source]],(_xlfn.XLOOKUP(seq[[#This Row],[connector]],tblSeqConn[display],tblSeqConn[mmSyntax])))&amp;seq[[#This Row],[target]]&amp;": "&amp;seq[[#This Row],[message]]),seq[[#This Row],[Action]]&amp;" " &amp; seq[[#This Row],[message]])</f>
        <v>user-&gt;&gt;authenticator: one-time code</v>
      </c>
      <c r="M17" t="str">
        <v>authenticator-&gt;&gt;authenticator: map userID to cred</v>
      </c>
      <c r="S17" t="str">
        <v>app-&gt;&gt;user: session established</v>
      </c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V17" t="str">
        <v>user-&gt;&gt;authenticator: one-time code</v>
      </c>
    </row>
    <row r="18" spans="1:48">
      <c r="D18" t="str">
        <f>IF(seqObjects[[#This Row],[Object]]="","",IF(seqObjects[[#This Row],[type]]="","Participant " &amp; seqObjects[[#This Row],[Object]],seqObjects[[#This Row],[type]]&amp;" "&amp;seqObjects[[#This Row],[Object]]))</f>
        <v/>
      </c>
      <c r="K18" t="str">
        <f>IF(seq[[#This Row],[Action]]="",IF(seq[[#This Row],[connector]]="","",_xlfn.TEXTJOIN("",TRUE,seq[[#This Row],[source]],(_xlfn.XLOOKUP(seq[[#This Row],[connector]],tblSeqConn[display],tblSeqConn[mmSyntax])))&amp;seq[[#This Row],[target]]&amp;": "&amp;seq[[#This Row],[message]]),seq[[#This Row],[Action]]&amp;" " &amp; seq[[#This Row],[message]])</f>
        <v/>
      </c>
      <c r="M18" t="str">
        <v>else no account</v>
      </c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V18" t="str">
        <v>destroy authenticator</v>
      </c>
    </row>
    <row r="19" spans="1:48">
      <c r="D19" t="str">
        <f>IF(seqObjects[[#This Row],[Object]]="","",IF(seqObjects[[#This Row],[type]]="","Participant " &amp; seqObjects[[#This Row],[Object]],seqObjects[[#This Row],[type]]&amp;" "&amp;seqObjects[[#This Row],[Object]]))</f>
        <v/>
      </c>
      <c r="K19" t="str">
        <f>IF(seq[[#This Row],[Action]]="",IF(seq[[#This Row],[connector]]="","",_xlfn.TEXTJOIN("",TRUE,seq[[#This Row],[source]],(_xlfn.XLOOKUP(seq[[#This Row],[connector]],tblSeqConn[display],tblSeqConn[mmSyntax])))&amp;seq[[#This Row],[target]]&amp;": "&amp;seq[[#This Row],[message]]),seq[[#This Row],[Action]]&amp;" " &amp; seq[[#This Row],[message]])</f>
        <v/>
      </c>
      <c r="M19" t="str">
        <v>app--&gt;&gt;user: user onboard</v>
      </c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V19" t="str">
        <v>authenticator-&gt;&gt;app: token</v>
      </c>
    </row>
    <row r="20" spans="1:48">
      <c r="F20" t="s">
        <v>104</v>
      </c>
      <c r="I20" t="s">
        <v>13</v>
      </c>
      <c r="K20" t="str">
        <f>IF(seq[[#This Row],[Action]]="",IF(seq[[#This Row],[connector]]="","",_xlfn.TEXTJOIN("",TRUE,seq[[#This Row],[source]],(_xlfn.XLOOKUP(seq[[#This Row],[connector]],tblSeqConn[display],tblSeqConn[mmSyntax])))&amp;seq[[#This Row],[target]]&amp;": "&amp;seq[[#This Row],[message]]),seq[[#This Row],[Action]]&amp;" " &amp; seq[[#This Row],[message]])</f>
        <v>destroy authenticator</v>
      </c>
      <c r="M20" t="str">
        <v xml:space="preserve">end </v>
      </c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V20" t="str">
        <v>app-&gt;&gt;user: session established</v>
      </c>
    </row>
    <row r="21" spans="1:48">
      <c r="G21" t="s">
        <v>13</v>
      </c>
      <c r="H21" t="s">
        <v>10</v>
      </c>
      <c r="I21" t="s">
        <v>23</v>
      </c>
      <c r="J21" t="s">
        <v>8</v>
      </c>
      <c r="K21" t="str">
        <f>IF(seq[[#This Row],[Action]]="",IF(seq[[#This Row],[connector]]="","",_xlfn.TEXTJOIN("",TRUE,seq[[#This Row],[source]],(_xlfn.XLOOKUP(seq[[#This Row],[connector]],tblSeqConn[display],tblSeqConn[mmSyntax])))&amp;seq[[#This Row],[target]]&amp;": "&amp;seq[[#This Row],[message]]),seq[[#This Row],[Action]]&amp;" " &amp; seq[[#This Row],[message]])</f>
        <v>authenticator-&gt;&gt;app: token</v>
      </c>
      <c r="M21" t="str">
        <v>authenticator--&gt;&gt;user: password challenge</v>
      </c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V21" t="str">
        <v>Box gray front</v>
      </c>
    </row>
    <row r="22" spans="1:48">
      <c r="K22" t="str">
        <f>IF(seq[[#This Row],[Action]]="",IF(seq[[#This Row],[connector]]="","",_xlfn.TEXTJOIN("",TRUE,seq[[#This Row],[source]],(_xlfn.XLOOKUP(seq[[#This Row],[connector]],tblSeqConn[display],tblSeqConn[mmSyntax])))&amp;seq[[#This Row],[target]]&amp;": "&amp;seq[[#This Row],[message]]),seq[[#This Row],[Action]]&amp;" " &amp; seq[[#This Row],[message]])</f>
        <v/>
      </c>
      <c r="M22" t="str">
        <v>user-&gt;&gt;authenticator: password</v>
      </c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V22" t="str">
        <v>Actor user</v>
      </c>
    </row>
    <row r="23" spans="1:48">
      <c r="K23" t="str">
        <f>IF(seq[[#This Row],[Action]]="",IF(seq[[#This Row],[connector]]="","",_xlfn.TEXTJOIN("",TRUE,seq[[#This Row],[source]],(_xlfn.XLOOKUP(seq[[#This Row],[connector]],tblSeqConn[display],tblSeqConn[mmSyntax])))&amp;seq[[#This Row],[target]]&amp;": "&amp;seq[[#This Row],[message]]),seq[[#This Row],[Action]]&amp;" " &amp; seq[[#This Row],[message]])</f>
        <v/>
      </c>
      <c r="M23" t="str">
        <v>authenticator--&gt;&gt;user: otc challenge</v>
      </c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V23" t="str">
        <v>end</v>
      </c>
    </row>
    <row r="24" spans="1:48">
      <c r="A24" t="s">
        <v>442</v>
      </c>
      <c r="B24" t="s">
        <v>437</v>
      </c>
      <c r="C24" t="s">
        <v>5</v>
      </c>
      <c r="K24" t="str">
        <f>IF(seq[[#This Row],[Action]]="",IF(seq[[#This Row],[connector]]="","",_xlfn.TEXTJOIN("",TRUE,seq[[#This Row],[source]],(_xlfn.XLOOKUP(seq[[#This Row],[connector]],tblSeqConn[display],tblSeqConn[mmSyntax])))&amp;seq[[#This Row],[target]]&amp;": "&amp;seq[[#This Row],[message]]),seq[[#This Row],[Action]]&amp;" " &amp; seq[[#This Row],[message]])</f>
        <v/>
      </c>
      <c r="M24" t="str">
        <v>user-&gt;&gt;authenticator: one-time code</v>
      </c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V24" t="str">
        <v>Box middle</v>
      </c>
    </row>
    <row r="25" spans="1:48">
      <c r="A25" t="s">
        <v>441</v>
      </c>
      <c r="B25" t="s">
        <v>439</v>
      </c>
      <c r="C25" t="str">
        <f>IF(Table4[[#This Row],[Box]]="","",IF(Table4[[#This Row],[Color]]="","Box " &amp; Table4[[#This Row],[Box]],"Box " &amp; Table4[[#This Row],[Color]] &amp; " " &amp; Table4[[#This Row],[Box]]))</f>
        <v>Box gray front</v>
      </c>
      <c r="G25" t="s">
        <v>10</v>
      </c>
      <c r="H25" t="s">
        <v>7</v>
      </c>
      <c r="I25" t="s">
        <v>24</v>
      </c>
      <c r="J25" t="s">
        <v>8</v>
      </c>
      <c r="K25" t="str">
        <f>IF(seq[[#This Row],[Action]]="",IF(seq[[#This Row],[connector]]="","",_xlfn.TEXTJOIN("",TRUE,seq[[#This Row],[source]],(_xlfn.XLOOKUP(seq[[#This Row],[connector]],tblSeqConn[display],tblSeqConn[mmSyntax])))&amp;seq[[#This Row],[target]]&amp;": "&amp;seq[[#This Row],[message]]),seq[[#This Row],[Action]]&amp;" " &amp; seq[[#This Row],[message]])</f>
        <v>app-&gt;&gt;user: session established</v>
      </c>
      <c r="M25" t="str">
        <v>user-&gt;&gt;authenticator: one-time code</v>
      </c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V25" t="str">
        <v>Participant authenticator</v>
      </c>
    </row>
    <row r="26" spans="1:48">
      <c r="A26" t="s">
        <v>440</v>
      </c>
      <c r="C26" t="str">
        <f>IF(Table4[[#This Row],[Box]]="","",IF(Table4[[#This Row],[Color]]="","Box " &amp; Table4[[#This Row],[Box]],"Box " &amp; Table4[[#This Row],[Color]] &amp; " " &amp; Table4[[#This Row],[Box]]))</f>
        <v>Box middle</v>
      </c>
      <c r="K26" t="str">
        <f>IF(seq[[#This Row],[Action]]="",IF(seq[[#This Row],[connector]]="","",_xlfn.TEXTJOIN("",TRUE,seq[[#This Row],[source]],(_xlfn.XLOOKUP(seq[[#This Row],[connector]],tblSeqConn[display],tblSeqConn[mmSyntax])))&amp;seq[[#This Row],[target]]&amp;": "&amp;seq[[#This Row],[message]]),seq[[#This Row],[Action]]&amp;" " &amp; seq[[#This Row],[message]])</f>
        <v/>
      </c>
      <c r="M26" t="str">
        <v>destroy authenticator</v>
      </c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V26" t="str">
        <v>end</v>
      </c>
    </row>
    <row r="27" spans="1:48">
      <c r="C27" t="str">
        <f>IF(Table4[[#This Row],[Box]]="","",IF(Table4[[#This Row],[Color]]="","Box " &amp; Table4[[#This Row],[Box]],"Box " &amp; Table4[[#This Row],[Color]] &amp; " " &amp; Table4[[#This Row],[Box]]))</f>
        <v/>
      </c>
      <c r="K27" t="str">
        <f>IF(seq[[#This Row],[Action]]="",IF(seq[[#This Row],[connector]]="","",_xlfn.TEXTJOIN("",TRUE,seq[[#This Row],[source]],(_xlfn.XLOOKUP(seq[[#This Row],[connector]],tblSeqConn[display],tblSeqConn[mmSyntax])))&amp;seq[[#This Row],[target]]&amp;": "&amp;seq[[#This Row],[message]]),seq[[#This Row],[Action]]&amp;" " &amp; seq[[#This Row],[message]])</f>
        <v/>
      </c>
      <c r="M27" t="str">
        <v>authenticator-&gt;&gt;app: token</v>
      </c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V27" t="str">
        <v/>
      </c>
    </row>
    <row r="28" spans="1:48">
      <c r="C28" t="str">
        <f>IF(Table4[[#This Row],[Box]]="","",IF(Table4[[#This Row],[Color]]="","Box " &amp; Table4[[#This Row],[Box]],"Box " &amp; Table4[[#This Row],[Color]] &amp; " " &amp; Table4[[#This Row],[Box]]))</f>
        <v/>
      </c>
      <c r="K28" t="str">
        <f>IF(seq[[#This Row],[Action]]="",IF(seq[[#This Row],[connector]]="","",_xlfn.TEXTJOIN("",TRUE,seq[[#This Row],[source]],(_xlfn.XLOOKUP(seq[[#This Row],[connector]],tblSeqConn[display],tblSeqConn[mmSyntax])))&amp;seq[[#This Row],[target]]&amp;": "&amp;seq[[#This Row],[message]]),seq[[#This Row],[Action]]&amp;" " &amp; seq[[#This Row],[message]])</f>
        <v/>
      </c>
      <c r="M28" t="str">
        <v>app-&gt;&gt;user: session established</v>
      </c>
      <c r="AV28" t="str">
        <v/>
      </c>
    </row>
    <row r="29" spans="1:48">
      <c r="A29" s="2"/>
      <c r="C29" t="str">
        <f>IF(Table4[[#This Row],[Box]]="","",IF(Table4[[#This Row],[Color]]="","Box " &amp; Table4[[#This Row],[Box]],"Box " &amp; Table4[[#This Row],[Color]] &amp; " " &amp; Table4[[#This Row],[Box]]))</f>
        <v/>
      </c>
      <c r="E29" s="2"/>
      <c r="M29" t="str">
        <v>Box gray front</v>
      </c>
      <c r="AV29" t="str">
        <v/>
      </c>
    </row>
    <row r="30" spans="1:48">
      <c r="A30" s="2"/>
      <c r="B30" s="2"/>
      <c r="C30" s="2" t="str">
        <f>IF(Table4[[#This Row],[Box]]="","",IF(Table4[[#This Row],[Color]]="","Box " &amp; Table4[[#This Row],[Box]],"Box " &amp; Table4[[#This Row],[Color]] &amp; " " &amp; Table4[[#This Row],[Box]]))</f>
        <v/>
      </c>
      <c r="E30" s="2"/>
      <c r="M30" t="str">
        <v>Actor user</v>
      </c>
      <c r="AV30" t="str">
        <v/>
      </c>
    </row>
    <row r="31" spans="1:48">
      <c r="A31" s="2"/>
      <c r="C31" t="str">
        <f>IF(Table4[[#This Row],[Box]]="","",IF(Table4[[#This Row],[Color]]="","Box " &amp; Table4[[#This Row],[Box]],"Box " &amp; Table4[[#This Row],[Color]] &amp; " " &amp; Table4[[#This Row],[Box]]))</f>
        <v/>
      </c>
      <c r="E31" s="2"/>
      <c r="M31" t="str">
        <v>end</v>
      </c>
      <c r="AV31" t="str">
        <v/>
      </c>
    </row>
    <row r="32" spans="1:48">
      <c r="A32" s="2"/>
      <c r="C32" t="str">
        <f>IF(Table4[[#This Row],[Box]]="","",IF(Table4[[#This Row],[Color]]="","Box " &amp; Table4[[#This Row],[Box]],"Box " &amp; Table4[[#This Row],[Color]] &amp; " " &amp; Table4[[#This Row],[Box]]))</f>
        <v/>
      </c>
      <c r="E32" s="2"/>
      <c r="M32" t="str">
        <v>Box middle</v>
      </c>
      <c r="AV32" t="str">
        <v/>
      </c>
    </row>
    <row r="33" spans="1:48">
      <c r="A33" s="2"/>
      <c r="E33" s="2"/>
      <c r="M33" t="str">
        <v>Participant authenticator</v>
      </c>
      <c r="AV33" t="str">
        <v/>
      </c>
    </row>
    <row r="34" spans="1:48">
      <c r="M34" t="str">
        <v>end</v>
      </c>
      <c r="AV34" t="str">
        <v/>
      </c>
    </row>
    <row r="35" spans="1:48">
      <c r="M35" t="str">
        <v/>
      </c>
      <c r="AV35" t="str">
        <v/>
      </c>
    </row>
    <row r="36" spans="1:48">
      <c r="M36" t="str">
        <v/>
      </c>
      <c r="AV36" t="str">
        <v/>
      </c>
    </row>
    <row r="37" spans="1:48">
      <c r="M37" t="str">
        <v/>
      </c>
      <c r="AV37" t="str">
        <v/>
      </c>
    </row>
    <row r="38" spans="1:48">
      <c r="M38" t="str">
        <v/>
      </c>
      <c r="AV38" t="str">
        <v/>
      </c>
    </row>
    <row r="39" spans="1:48">
      <c r="M39" t="str">
        <v/>
      </c>
      <c r="AV39" t="str">
        <v/>
      </c>
    </row>
    <row r="40" spans="1:48">
      <c r="M40" t="str">
        <v/>
      </c>
      <c r="AV40" t="str">
        <v/>
      </c>
    </row>
    <row r="41" spans="1:48">
      <c r="M41" t="str">
        <v/>
      </c>
      <c r="AV41" t="str">
        <v/>
      </c>
    </row>
    <row r="42" spans="1:48">
      <c r="M42" t="str">
        <v/>
      </c>
      <c r="AV42" t="str">
        <v/>
      </c>
    </row>
    <row r="43" spans="1:48">
      <c r="M43" t="str">
        <v/>
      </c>
      <c r="AV43" t="str">
        <v/>
      </c>
    </row>
    <row r="44" spans="1:48">
      <c r="M44" t="str">
        <v/>
      </c>
      <c r="AV44" t="str">
        <v/>
      </c>
    </row>
    <row r="45" spans="1:48">
      <c r="M45" t="str">
        <v/>
      </c>
      <c r="AV45" t="str">
        <v/>
      </c>
    </row>
    <row r="46" spans="1:48">
      <c r="M46" t="str">
        <v/>
      </c>
      <c r="AV46" t="str">
        <v/>
      </c>
    </row>
    <row r="47" spans="1:48">
      <c r="M47" t="str">
        <v/>
      </c>
      <c r="AV47" t="str">
        <v/>
      </c>
    </row>
    <row r="48" spans="1:48">
      <c r="M48" t="str">
        <v/>
      </c>
      <c r="AV48" t="str">
        <v/>
      </c>
    </row>
    <row r="49" spans="13:48">
      <c r="M49" t="str">
        <v/>
      </c>
      <c r="AV49" t="str">
        <v/>
      </c>
    </row>
    <row r="50" spans="13:48">
      <c r="M50" t="str">
        <v/>
      </c>
      <c r="AV50" t="str">
        <v/>
      </c>
    </row>
    <row r="51" spans="13:48">
      <c r="M51" t="str">
        <v/>
      </c>
    </row>
    <row r="52" spans="13:48">
      <c r="M52" t="str">
        <v/>
      </c>
    </row>
    <row r="53" spans="13:48">
      <c r="M53" t="str">
        <v/>
      </c>
    </row>
    <row r="54" spans="13:48">
      <c r="M54" t="str">
        <v/>
      </c>
    </row>
    <row r="55" spans="13:48">
      <c r="M55" t="str">
        <v/>
      </c>
    </row>
    <row r="56" spans="13:48">
      <c r="M56" t="str">
        <v/>
      </c>
    </row>
    <row r="57" spans="13:48">
      <c r="M57" t="str">
        <v/>
      </c>
    </row>
    <row r="58" spans="13:48">
      <c r="M58" t="str">
        <v/>
      </c>
    </row>
  </sheetData>
  <phoneticPr fontId="8" type="noConversion"/>
  <conditionalFormatting sqref="A29:A33 E29:E33 B30:C30">
    <cfRule type="expression" dxfId="2" priority="3">
      <formula>_xlfn.ISFORMULA(A29)</formula>
    </cfRule>
  </conditionalFormatting>
  <conditionalFormatting sqref="F29:J64">
    <cfRule type="expression" dxfId="1" priority="1" stopIfTrue="1">
      <formula>$F29=""</formula>
    </cfRule>
    <cfRule type="expression" dxfId="0" priority="2">
      <formula>MOD(ROW(),2)=0</formula>
    </cfRule>
  </conditionalFormatting>
  <dataValidations count="5">
    <dataValidation type="list" allowBlank="1" showInputMessage="1" showErrorMessage="1" sqref="A8:A19 F29:G64 G2:H28" xr:uid="{812B84D2-C1F4-424E-B64D-B50A679EF5A3}">
      <formula1>_xlfn.ANCHORARRAY($Q$2)</formula1>
    </dataValidation>
    <dataValidation type="list" allowBlank="1" showInputMessage="1" showErrorMessage="1" sqref="F65:G103" xr:uid="{F0CE48CD-F5DB-4719-9E2B-516AE8656DB2}">
      <formula1>$Q$2</formula1>
    </dataValidation>
    <dataValidation type="list" allowBlank="1" showInputMessage="1" showErrorMessage="1" sqref="B2:B4 D2:D4" xr:uid="{BCF83D24-8DC9-4A30-A569-41ABE5FF36D7}">
      <formula1>lstTrueFalse</formula1>
    </dataValidation>
    <dataValidation type="list" allowBlank="1" showInputMessage="1" showErrorMessage="1" sqref="A25:A32" xr:uid="{9D0EF362-7127-4C32-9170-1F0E2B925FAD}">
      <formula1>_xlfn.ANCHORARRAY($P$1)</formula1>
    </dataValidation>
    <dataValidation type="list" allowBlank="1" showInputMessage="1" showErrorMessage="1" sqref="F2:F28" xr:uid="{A7DB8789-F71A-4F2B-9DCF-CA61503A69E5}">
      <formula1>_xlfn.ANCHORARRAY($R$1)</formula1>
    </dataValidation>
  </dataValidations>
  <pageMargins left="0.7" right="0.7" top="0.75" bottom="0.75" header="0.3" footer="0.3"/>
  <pageSetup orientation="portrait" horizontalDpi="0" verticalDpi="0" r:id="rId1"/>
  <drawing r:id="rId2"/>
  <tableParts count="3">
    <tablePart r:id="rId3"/>
    <tablePart r:id="rId4"/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1011C74-5B7A-4A6B-B9BA-11343AD5EA77}">
          <x14:formula1>
            <xm:f>'supporting tables'!$V$2:$V$9</xm:f>
          </x14:formula1>
          <xm:sqref>J2:J28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9AC66-A117-42FC-A2D1-831558E5E969}">
  <dimension ref="A1:L30"/>
  <sheetViews>
    <sheetView showGridLines="0" zoomScale="115" zoomScaleNormal="115" workbookViewId="0">
      <selection activeCell="J2" sqref="J2:J12"/>
    </sheetView>
  </sheetViews>
  <sheetFormatPr defaultRowHeight="14.6"/>
  <cols>
    <col min="4" max="5" width="12.15234375" bestFit="1" customWidth="1"/>
    <col min="6" max="6" width="17.3828125" bestFit="1" customWidth="1"/>
    <col min="7" max="7" width="4.921875" bestFit="1" customWidth="1"/>
    <col min="8" max="8" width="43.3046875" customWidth="1"/>
    <col min="9" max="9" width="9.69140625" customWidth="1"/>
    <col min="10" max="10" width="57.3828125" customWidth="1"/>
    <col min="12" max="12" width="0" hidden="1" customWidth="1"/>
    <col min="14" max="14" width="10.84375" bestFit="1" customWidth="1"/>
  </cols>
  <sheetData>
    <row r="1" spans="1:12">
      <c r="A1" s="4" t="s">
        <v>386</v>
      </c>
      <c r="B1" s="15" t="s">
        <v>125</v>
      </c>
      <c r="D1" s="4" t="s">
        <v>2</v>
      </c>
      <c r="E1" s="4" t="s">
        <v>4</v>
      </c>
      <c r="F1" s="4" t="s">
        <v>139</v>
      </c>
      <c r="G1" s="4" t="s">
        <v>385</v>
      </c>
      <c r="H1" s="4" t="s">
        <v>5</v>
      </c>
      <c r="J1" s="4" t="s">
        <v>137</v>
      </c>
      <c r="L1" s="4" t="s">
        <v>126</v>
      </c>
    </row>
    <row r="2" spans="1:12">
      <c r="D2" t="s">
        <v>128</v>
      </c>
      <c r="E2" t="s">
        <v>130</v>
      </c>
      <c r="F2" t="s">
        <v>129</v>
      </c>
      <c r="H2" t="str">
        <f>IF(state[[#This Row],[Note]]="",_xlfn.TEXTJOIN("",TRUE,'🔄 simpleState'!$D2,(IF(state[[#This Row],[source]]="","","--&gt;"&amp;'🔄 simpleState'!$E2&amp;": "&amp;'🔄 simpleState'!$F2))),"note "&amp;state[[#This Row],[Note]]&amp; " of " &amp; D1 &amp;" : " &amp; state[[#This Row],[label]])</f>
        <v>[*]--&gt;step1: start</v>
      </c>
      <c r="J2" t="str" cm="1">
        <f t="array" ref="J2:J12">_xlfn.VSTACK(
"stateDiagram-v2",
"direction "&amp;stateDir,
_xlfn._xlws.FILTER(state[mmSyntax],state[mmSyntax]&lt;&gt;""))</f>
        <v>stateDiagram-v2</v>
      </c>
      <c r="L2" t="str" cm="1">
        <f t="array" ref="L2:L7">_xlfn._xlws.SORT(_xlfn.UNIQUE(_xlfn.VSTACK(_xlfn._xlws.FILTER(D:D,(D:D&lt;&gt;"source")*(D:D&lt;&gt;"")),_xlfn._xlws.FILTER(E:E,(E:E&lt;&gt;"target")*(E:E&lt;&gt;"")))))</f>
        <v>[*]</v>
      </c>
    </row>
    <row r="3" spans="1:12">
      <c r="D3" t="s">
        <v>130</v>
      </c>
      <c r="E3" t="s">
        <v>131</v>
      </c>
      <c r="F3" t="s">
        <v>135</v>
      </c>
      <c r="H3" t="str">
        <f>IF(state[[#This Row],[Note]]="",_xlfn.TEXTJOIN("",TRUE,'🔄 simpleState'!$D3,(IF(state[[#This Row],[source]]="","","--&gt;"&amp;'🔄 simpleState'!$E3&amp;": "&amp;'🔄 simpleState'!$F3))),"note "&amp;state[[#This Row],[Note]]&amp; " of " &amp; D2 &amp;" : " &amp; state[[#This Row],[label]])</f>
        <v>step1--&gt;step2: goto step2</v>
      </c>
      <c r="J3" t="str">
        <v>direction LR</v>
      </c>
      <c r="L3" t="str">
        <v>state join_state &lt;&lt;join&gt;&gt;</v>
      </c>
    </row>
    <row r="4" spans="1:12">
      <c r="F4" t="s">
        <v>434</v>
      </c>
      <c r="G4" t="s">
        <v>387</v>
      </c>
      <c r="H4" s="16" t="str">
        <f>IF(state[[#This Row],[Note]]="",_xlfn.TEXTJOIN("",TRUE,'🔄 simpleState'!$D4,(IF(state[[#This Row],[source]]="","","--&gt;"&amp;'🔄 simpleState'!$E4&amp;": "&amp;'🔄 simpleState'!$F4))),"note "&amp;state[[#This Row],[Note]]&amp; " of " &amp; D3 &amp;" : " &amp; state[[#This Row],[label]])</f>
        <v>note right of step1 : this is a note</v>
      </c>
      <c r="J4" t="str">
        <v>[*]--&gt;step1: start</v>
      </c>
      <c r="L4" t="str">
        <v>step1</v>
      </c>
    </row>
    <row r="5" spans="1:12">
      <c r="H5" s="16" t="str">
        <f>IF(state[[#This Row],[Note]]="",_xlfn.TEXTJOIN("",TRUE,'🔄 simpleState'!$D5,(IF(state[[#This Row],[source]]="","","--&gt;"&amp;'🔄 simpleState'!$E5&amp;": "&amp;'🔄 simpleState'!$F5))),"note "&amp;state[[#This Row],[Note]]&amp; " of " &amp; D4 &amp;" : " &amp; state[[#This Row],[label]])</f>
        <v/>
      </c>
      <c r="J5" t="str">
        <v>step1--&gt;step2: goto step2</v>
      </c>
      <c r="L5" t="str">
        <v>step2</v>
      </c>
    </row>
    <row r="6" spans="1:12">
      <c r="H6" s="16" t="str">
        <f>IF(state[[#This Row],[Note]]="",_xlfn.TEXTJOIN("",TRUE,'🔄 simpleState'!$D6,(IF(state[[#This Row],[source]]="","","--&gt;"&amp;'🔄 simpleState'!$E6&amp;": "&amp;'🔄 simpleState'!$F6))),"note "&amp;state[[#This Row],[Note]]&amp; " of " &amp; D5 &amp;" : " &amp; state[[#This Row],[label]])</f>
        <v/>
      </c>
      <c r="J6" t="str">
        <v>note right of step1 : this is a note</v>
      </c>
      <c r="L6" t="str">
        <v>step3</v>
      </c>
    </row>
    <row r="7" spans="1:12">
      <c r="H7" s="16" t="str">
        <f>IF(state[[#This Row],[Note]]="",_xlfn.TEXTJOIN("",TRUE,'🔄 simpleState'!$D7,(IF(state[[#This Row],[source]]="","","--&gt;"&amp;'🔄 simpleState'!$E7&amp;": "&amp;'🔄 simpleState'!$F7))),"note "&amp;state[[#This Row],[Note]]&amp; " of " &amp; D6 &amp;" : " &amp; state[[#This Row],[label]])</f>
        <v/>
      </c>
      <c r="J7" s="1" t="str">
        <v>step2--&gt;step1: goto step1</v>
      </c>
      <c r="L7" t="str">
        <v>step4</v>
      </c>
    </row>
    <row r="8" spans="1:12">
      <c r="D8" t="s">
        <v>131</v>
      </c>
      <c r="E8" t="s">
        <v>130</v>
      </c>
      <c r="F8" t="s">
        <v>134</v>
      </c>
      <c r="H8" s="16" t="str">
        <f>IF(state[[#This Row],[Note]]="",_xlfn.TEXTJOIN("",TRUE,'🔄 simpleState'!$D8,(IF(state[[#This Row],[source]]="","","--&gt;"&amp;'🔄 simpleState'!$E8&amp;": "&amp;'🔄 simpleState'!$F8))),"note "&amp;state[[#This Row],[Note]]&amp; " of " &amp; D7 &amp;" : " &amp; state[[#This Row],[label]])</f>
        <v>step2--&gt;step1: goto step1</v>
      </c>
      <c r="J8" t="str">
        <v xml:space="preserve">step3--&gt;step4: </v>
      </c>
    </row>
    <row r="9" spans="1:12">
      <c r="D9" t="s">
        <v>132</v>
      </c>
      <c r="E9" t="s">
        <v>133</v>
      </c>
      <c r="H9" s="16" t="str">
        <f>IF(state[[#This Row],[Note]]="",_xlfn.TEXTJOIN("",TRUE,'🔄 simpleState'!$D9,(IF(state[[#This Row],[source]]="","","--&gt;"&amp;'🔄 simpleState'!$E9&amp;": "&amp;'🔄 simpleState'!$F9))),"note "&amp;state[[#This Row],[Note]]&amp; " of " &amp; D8 &amp;" : " &amp; state[[#This Row],[label]])</f>
        <v xml:space="preserve">step3--&gt;step4: </v>
      </c>
      <c r="J9" t="str">
        <v>step3--&gt;step1: goto step1</v>
      </c>
    </row>
    <row r="10" spans="1:12">
      <c r="D10" t="s">
        <v>132</v>
      </c>
      <c r="E10" t="s">
        <v>130</v>
      </c>
      <c r="F10" t="s">
        <v>134</v>
      </c>
      <c r="H10" s="16" t="str">
        <f>IF(state[[#This Row],[Note]]="",_xlfn.TEXTJOIN("",TRUE,'🔄 simpleState'!$D10,(IF(state[[#This Row],[source]]="","","--&gt;"&amp;'🔄 simpleState'!$E10&amp;": "&amp;'🔄 simpleState'!$F10))),"note "&amp;state[[#This Row],[Note]]&amp; " of " &amp; D9 &amp;" : " &amp; state[[#This Row],[label]])</f>
        <v>step3--&gt;step1: goto step1</v>
      </c>
      <c r="J10" t="str">
        <v xml:space="preserve">state join_state &lt;&lt;join&gt;&gt;--&gt;: </v>
      </c>
    </row>
    <row r="11" spans="1:12">
      <c r="D11" t="s">
        <v>451</v>
      </c>
      <c r="H11" s="16" t="str">
        <f>IF(state[[#This Row],[Note]]="",_xlfn.TEXTJOIN("",TRUE,'🔄 simpleState'!$D11,(IF(state[[#This Row],[source]]="","","--&gt;"&amp;'🔄 simpleState'!$E11&amp;": "&amp;'🔄 simpleState'!$F11))),"note "&amp;state[[#This Row],[Note]]&amp; " of " &amp; D10 &amp;" : " &amp; state[[#This Row],[label]])</f>
        <v xml:space="preserve">state join_state &lt;&lt;join&gt;&gt;--&gt;: </v>
      </c>
      <c r="J11" t="str">
        <v>step3--&gt;step2: goto step 1</v>
      </c>
    </row>
    <row r="12" spans="1:12">
      <c r="H12" s="16" t="str">
        <f>IF(state[[#This Row],[Note]]="",_xlfn.TEXTJOIN("",TRUE,'🔄 simpleState'!$D12,(IF(state[[#This Row],[source]]="","","--&gt;"&amp;'🔄 simpleState'!$E12&amp;": "&amp;'🔄 simpleState'!$F12))),"note "&amp;state[[#This Row],[Note]]&amp; " of " &amp; D11 &amp;" : " &amp; state[[#This Row],[label]])</f>
        <v/>
      </c>
      <c r="J12" t="str">
        <v>step4--&gt;[*]: end</v>
      </c>
    </row>
    <row r="13" spans="1:12">
      <c r="D13" t="s">
        <v>132</v>
      </c>
      <c r="E13" t="s">
        <v>131</v>
      </c>
      <c r="F13" t="s">
        <v>138</v>
      </c>
      <c r="H13" s="16" t="str">
        <f>IF(state[[#This Row],[Note]]="",_xlfn.TEXTJOIN("",TRUE,'🔄 simpleState'!$D13,(IF(state[[#This Row],[source]]="","","--&gt;"&amp;'🔄 simpleState'!$E13&amp;": "&amp;'🔄 simpleState'!$F13))),"note "&amp;state[[#This Row],[Note]]&amp; " of " &amp; D12 &amp;" : " &amp; state[[#This Row],[label]])</f>
        <v>step3--&gt;step2: goto step 1</v>
      </c>
    </row>
    <row r="14" spans="1:12">
      <c r="D14" t="s">
        <v>133</v>
      </c>
      <c r="E14" t="s">
        <v>128</v>
      </c>
      <c r="F14" t="s">
        <v>107</v>
      </c>
      <c r="H14" s="16" t="str">
        <f>IF(state[[#This Row],[Note]]="",_xlfn.TEXTJOIN("",TRUE,'🔄 simpleState'!$D14,(IF(state[[#This Row],[source]]="","","--&gt;"&amp;'🔄 simpleState'!$E14&amp;": "&amp;'🔄 simpleState'!$F14))),"note "&amp;state[[#This Row],[Note]]&amp; " of " &amp; D13 &amp;" : " &amp; state[[#This Row],[label]])</f>
        <v>step4--&gt;[*]: end</v>
      </c>
    </row>
    <row r="15" spans="1:12">
      <c r="H15" s="16" t="str">
        <f>IF(state[[#This Row],[Note]]="",_xlfn.TEXTJOIN("",TRUE,'🔄 simpleState'!$D15,(IF(state[[#This Row],[source]]="","","--&gt;"&amp;'🔄 simpleState'!$E15&amp;": "&amp;'🔄 simpleState'!$F15))),"note "&amp;state[[#This Row],[Note]]&amp; " of " &amp; D14 &amp;" : " &amp; state[[#This Row],[label]])</f>
        <v/>
      </c>
    </row>
    <row r="16" spans="1:12">
      <c r="H16" s="16" t="str">
        <f>IF(state[[#This Row],[Note]]="",_xlfn.TEXTJOIN("",TRUE,'🔄 simpleState'!$D16,(IF(state[[#This Row],[source]]="","","--&gt;"&amp;'🔄 simpleState'!$E16&amp;": "&amp;'🔄 simpleState'!$F16))),"note "&amp;state[[#This Row],[Note]]&amp; " of " &amp; D15 &amp;" : " &amp; state[[#This Row],[label]])</f>
        <v/>
      </c>
    </row>
    <row r="17" spans="8:8">
      <c r="H17" s="16" t="str">
        <f>IF(state[[#This Row],[Note]]="",_xlfn.TEXTJOIN("",TRUE,'🔄 simpleState'!$D17,(IF(state[[#This Row],[source]]="","","--&gt;"&amp;'🔄 simpleState'!$E17&amp;": "&amp;'🔄 simpleState'!$F17))),"note "&amp;state[[#This Row],[Note]]&amp; " of " &amp; D16 &amp;" : " &amp; state[[#This Row],[label]])</f>
        <v/>
      </c>
    </row>
    <row r="18" spans="8:8">
      <c r="H18" s="16" t="str">
        <f>IF(state[[#This Row],[Note]]="",_xlfn.TEXTJOIN("",TRUE,'🔄 simpleState'!$D18,(IF(state[[#This Row],[source]]="","","--&gt;"&amp;'🔄 simpleState'!$E18&amp;": "&amp;'🔄 simpleState'!$F18))),"note "&amp;state[[#This Row],[Note]]&amp; " of " &amp; D17 &amp;" : " &amp; state[[#This Row],[label]])</f>
        <v/>
      </c>
    </row>
    <row r="19" spans="8:8">
      <c r="H19" s="16" t="str">
        <f>IF(state[[#This Row],[Note]]="",_xlfn.TEXTJOIN("",TRUE,'🔄 simpleState'!$D19,(IF(state[[#This Row],[source]]="","","--&gt;"&amp;'🔄 simpleState'!$E19&amp;": "&amp;'🔄 simpleState'!$F19))),"note "&amp;state[[#This Row],[Note]]&amp; " of " &amp; D18 &amp;" : " &amp; state[[#This Row],[label]])</f>
        <v/>
      </c>
    </row>
    <row r="20" spans="8:8">
      <c r="H20" s="16" t="str">
        <f>IF(state[[#This Row],[Note]]="",_xlfn.TEXTJOIN("",TRUE,'🔄 simpleState'!$D20,(IF(state[[#This Row],[source]]="","","--&gt;"&amp;'🔄 simpleState'!$E20&amp;": "&amp;'🔄 simpleState'!$F20))),"note "&amp;state[[#This Row],[Note]]&amp; " of " &amp; D19 &amp;" : " &amp; state[[#This Row],[label]])</f>
        <v/>
      </c>
    </row>
    <row r="21" spans="8:8">
      <c r="H21" s="16" t="str">
        <f>IF(state[[#This Row],[Note]]="",_xlfn.TEXTJOIN("",TRUE,'🔄 simpleState'!$D21,(IF(state[[#This Row],[source]]="","","--&gt;"&amp;'🔄 simpleState'!$E21&amp;": "&amp;'🔄 simpleState'!$F21))),"note "&amp;state[[#This Row],[Note]]&amp; " of " &amp; D20 &amp;" : " &amp; state[[#This Row],[label]])</f>
        <v/>
      </c>
    </row>
    <row r="22" spans="8:8">
      <c r="H22" s="16" t="str">
        <f>IF(state[[#This Row],[Note]]="",_xlfn.TEXTJOIN("",TRUE,'🔄 simpleState'!$D22,(IF(state[[#This Row],[source]]="","","--&gt;"&amp;'🔄 simpleState'!$E22&amp;": "&amp;'🔄 simpleState'!$F22))),"note "&amp;state[[#This Row],[Note]]&amp; " of " &amp; D21 &amp;" : " &amp; state[[#This Row],[label]])</f>
        <v/>
      </c>
    </row>
    <row r="23" spans="8:8">
      <c r="H23" s="16" t="str">
        <f>IF(state[[#This Row],[Note]]="",_xlfn.TEXTJOIN("",TRUE,'🔄 simpleState'!$D23,(IF(state[[#This Row],[source]]="","","--&gt;"&amp;'🔄 simpleState'!$E23&amp;": "&amp;'🔄 simpleState'!$F23))),"note "&amp;state[[#This Row],[Note]]&amp; " of " &amp; D22 &amp;" : " &amp; state[[#This Row],[label]])</f>
        <v/>
      </c>
    </row>
    <row r="24" spans="8:8">
      <c r="H24" s="16" t="str">
        <f>IF(state[[#This Row],[Note]]="",_xlfn.TEXTJOIN("",TRUE,'🔄 simpleState'!$D24,(IF(state[[#This Row],[source]]="","","--&gt;"&amp;'🔄 simpleState'!$E24&amp;": "&amp;'🔄 simpleState'!$F24))),"note "&amp;state[[#This Row],[Note]]&amp; " of " &amp; D23 &amp;" : " &amp; state[[#This Row],[label]])</f>
        <v/>
      </c>
    </row>
    <row r="25" spans="8:8">
      <c r="H25" s="16" t="str">
        <f>IF(state[[#This Row],[Note]]="",_xlfn.TEXTJOIN("",TRUE,'🔄 simpleState'!$D25,(IF(state[[#This Row],[source]]="","","--&gt;"&amp;'🔄 simpleState'!$E25&amp;": "&amp;'🔄 simpleState'!$F25))),"note "&amp;state[[#This Row],[Note]]&amp; " of " &amp; D24 &amp;" : " &amp; state[[#This Row],[label]])</f>
        <v/>
      </c>
    </row>
    <row r="26" spans="8:8">
      <c r="H26" s="16" t="str">
        <f>IF(state[[#This Row],[Note]]="",_xlfn.TEXTJOIN("",TRUE,'🔄 simpleState'!$D26,(IF(state[[#This Row],[source]]="","","--&gt;"&amp;'🔄 simpleState'!$E26&amp;": "&amp;'🔄 simpleState'!$F26))),"note "&amp;state[[#This Row],[Note]]&amp; " of " &amp; D25 &amp;" : " &amp; state[[#This Row],[label]])</f>
        <v/>
      </c>
    </row>
    <row r="27" spans="8:8">
      <c r="H27" s="16" t="str">
        <f>IF(state[[#This Row],[Note]]="",_xlfn.TEXTJOIN("",TRUE,'🔄 simpleState'!$D27,(IF(state[[#This Row],[source]]="","","--&gt;"&amp;'🔄 simpleState'!$E27&amp;": "&amp;'🔄 simpleState'!$F27))),"note "&amp;state[[#This Row],[Note]]&amp; " of " &amp; D26 &amp;" : " &amp; state[[#This Row],[label]])</f>
        <v/>
      </c>
    </row>
    <row r="28" spans="8:8">
      <c r="H28" s="16" t="str">
        <f>IF(state[[#This Row],[Note]]="",_xlfn.TEXTJOIN("",TRUE,'🔄 simpleState'!$D28,(IF(state[[#This Row],[source]]="","","--&gt;"&amp;'🔄 simpleState'!$E28&amp;": "&amp;'🔄 simpleState'!$F28))),"note "&amp;state[[#This Row],[Note]]&amp; " of " &amp; D27 &amp;" : " &amp; state[[#This Row],[label]])</f>
        <v/>
      </c>
    </row>
    <row r="29" spans="8:8">
      <c r="H29" s="16" t="str">
        <f>IF(state[[#This Row],[Note]]="",_xlfn.TEXTJOIN("",TRUE,'🔄 simpleState'!$D29,(IF(state[[#This Row],[source]]="","","--&gt;"&amp;'🔄 simpleState'!$E29&amp;": "&amp;'🔄 simpleState'!$F29))),"note "&amp;state[[#This Row],[Note]]&amp; " of " &amp; D28 &amp;" : " &amp; state[[#This Row],[label]])</f>
        <v/>
      </c>
    </row>
    <row r="30" spans="8:8">
      <c r="H30" s="16" t="str">
        <f>IF(state[[#This Row],[Note]]="",_xlfn.TEXTJOIN("",TRUE,'🔄 simpleState'!$D30,(IF(state[[#This Row],[source]]="","","--&gt;"&amp;'🔄 simpleState'!$E30&amp;": "&amp;'🔄 simpleState'!$F30))),"note "&amp;state[[#This Row],[Note]]&amp; " of " &amp; D29 &amp;" : " &amp; state[[#This Row],[label]])</f>
        <v/>
      </c>
    </row>
  </sheetData>
  <dataValidations count="2">
    <dataValidation type="list" allowBlank="1" showInputMessage="1" showErrorMessage="1" sqref="D31:E69" xr:uid="{984CF140-4F46-4686-BCF3-0824E10E5B78}">
      <formula1>$L$2</formula1>
    </dataValidation>
    <dataValidation type="list" allowBlank="1" showInputMessage="1" showErrorMessage="1" sqref="D2:E4 D18:E30 E8:E17 D5:D10 D12:D16" xr:uid="{D9D56CFC-1DB1-4AFD-9F99-F19EB15EC836}">
      <formula1>_xlfn.ANCHORARRAY($L$2)</formula1>
    </dataValidation>
  </dataValidations>
  <pageMargins left="0.7" right="0.7" top="0.75" bottom="0.75" header="0.3" footer="0.3"/>
  <pageSetup orientation="portrait" horizontalDpi="0" verticalDpi="0" r:id="rId1"/>
  <drawing r:id="rId2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3443E-5D19-4727-B1D4-AE494ADE7025}">
  <sheetPr codeName="Sheet2"/>
  <dimension ref="A1:M23"/>
  <sheetViews>
    <sheetView showGridLines="0" zoomScale="115" zoomScaleNormal="115" workbookViewId="0">
      <selection activeCell="C36" sqref="C36"/>
    </sheetView>
  </sheetViews>
  <sheetFormatPr defaultRowHeight="14.6"/>
  <cols>
    <col min="1" max="1" width="18.3828125" bestFit="1" customWidth="1"/>
    <col min="2" max="2" width="19" bestFit="1" customWidth="1"/>
    <col min="3" max="3" width="10" customWidth="1"/>
    <col min="4" max="5" width="12.15234375" bestFit="1" customWidth="1"/>
    <col min="6" max="6" width="17.3828125" bestFit="1" customWidth="1"/>
    <col min="7" max="7" width="11.3828125" bestFit="1" customWidth="1"/>
    <col min="8" max="8" width="43.3046875" bestFit="1" customWidth="1"/>
    <col min="9" max="9" width="9.69140625" customWidth="1"/>
    <col min="10" max="10" width="57.3828125" customWidth="1"/>
    <col min="13" max="13" width="0" hidden="1" customWidth="1"/>
    <col min="14" max="14" width="10.84375" bestFit="1" customWidth="1"/>
  </cols>
  <sheetData>
    <row r="1" spans="1:13">
      <c r="A1" s="4" t="s">
        <v>0</v>
      </c>
      <c r="B1" s="8" t="s">
        <v>1</v>
      </c>
      <c r="D1" t="s">
        <v>2</v>
      </c>
      <c r="E1" t="s">
        <v>4</v>
      </c>
      <c r="F1" t="s">
        <v>127</v>
      </c>
      <c r="G1" t="s">
        <v>3</v>
      </c>
      <c r="H1" t="s">
        <v>5</v>
      </c>
      <c r="J1" s="4" t="s">
        <v>137</v>
      </c>
      <c r="M1" s="4" t="s">
        <v>126</v>
      </c>
    </row>
    <row r="2" spans="1:13">
      <c r="A2" s="4" t="s">
        <v>6</v>
      </c>
      <c r="B2" s="10" t="b">
        <v>1</v>
      </c>
      <c r="D2" t="s">
        <v>7</v>
      </c>
      <c r="E2" t="s">
        <v>10</v>
      </c>
      <c r="F2" t="s">
        <v>9</v>
      </c>
      <c r="G2" t="s">
        <v>8</v>
      </c>
      <c r="H2" t="str">
        <f>IF('🔢 simpleSequence'!$G2="","",_xlfn.TEXTJOIN("",TRUE,'🔢 simpleSequence'!$D2,(_xlfn.XLOOKUP('🔢 simpleSequence'!$G2,tblSeqConn[display],tblSeqConn[mmSyntax])))&amp;'🔢 simpleSequence'!$E2&amp;": "&amp;'🔢 simpleSequence'!$F2)</f>
        <v>user-&gt;&gt;app: userID</v>
      </c>
      <c r="J2" t="str" cm="1">
        <f t="array" ref="J2:J14">_xlfn.VSTACK(
"sequenceDiagram",
IF($B$2=TRUE,"note left of "&amp;$D$2&amp;": "&amp;B1),
IF(B4=TRUE,"note left of "&amp;$D$2&amp;": "&amp;B5,""),
IF(B3=TRUE,"autonumber",""),
_xlfn._xlws.FILTER(simpleSequence[mmSyntax],(simpleSequence[mmSyntax]&lt;&gt;"mmSyntax")*(simpleSequence[mmSyntax]&lt;&gt;"")))</f>
        <v>sequenceDiagram</v>
      </c>
      <c r="M2" t="str" cm="1">
        <f t="array" ref="M2:M5">_xlfn._xlws.SORT(_xlfn.UNIQUE(_xlfn.VSTACK(_xlfn._xlws.FILTER(D:D,(D:D&lt;&gt;"source")*(D:D&lt;&gt;"")),_xlfn._xlws.FILTER(E:E,(E:E&lt;&gt;"source")*(E:E&lt;&gt;"")))))</f>
        <v>app</v>
      </c>
    </row>
    <row r="3" spans="1:13">
      <c r="A3" s="4" t="s">
        <v>11</v>
      </c>
      <c r="B3" s="10" t="b">
        <v>1</v>
      </c>
      <c r="D3" t="s">
        <v>10</v>
      </c>
      <c r="E3" t="s">
        <v>13</v>
      </c>
      <c r="F3" t="s">
        <v>12</v>
      </c>
      <c r="G3" t="s">
        <v>8</v>
      </c>
      <c r="H3" t="str">
        <f>IF('🔢 simpleSequence'!$G3="","",_xlfn.TEXTJOIN("",TRUE,'🔢 simpleSequence'!$D3,(_xlfn.XLOOKUP('🔢 simpleSequence'!$G3,tblSeqConn[display],tblSeqConn[mmSyntax])))&amp;'🔢 simpleSequence'!$E3&amp;": "&amp;'🔢 simpleSequence'!$F3)</f>
        <v>app-&gt;&gt;authenticator: open with userID</v>
      </c>
      <c r="J3" t="str">
        <v>note left of user: multi factor auth</v>
      </c>
      <c r="M3" t="str">
        <v>authenticator</v>
      </c>
    </row>
    <row r="4" spans="1:13">
      <c r="A4" s="4" t="s">
        <v>14</v>
      </c>
      <c r="B4" s="10" t="b">
        <v>0</v>
      </c>
      <c r="D4" t="s">
        <v>13</v>
      </c>
      <c r="E4" t="s">
        <v>13</v>
      </c>
      <c r="F4" t="s">
        <v>15</v>
      </c>
      <c r="G4" t="s">
        <v>8</v>
      </c>
      <c r="H4" t="str">
        <f>IF('🔢 simpleSequence'!$G4="","",_xlfn.TEXTJOIN("",TRUE,'🔢 simpleSequence'!$D4,(_xlfn.XLOOKUP('🔢 simpleSequence'!$G4,tblSeqConn[display],tblSeqConn[mmSyntax])))&amp;'🔢 simpleSequence'!$E4&amp;": "&amp;'🔢 simpleSequence'!$F4)</f>
        <v>authenticator-&gt;&gt;authenticator: map userID to cred</v>
      </c>
      <c r="J4" t="str">
        <v/>
      </c>
      <c r="M4" t="str">
        <v>target</v>
      </c>
    </row>
    <row r="5" spans="1:13">
      <c r="A5" s="7" t="s">
        <v>16</v>
      </c>
      <c r="B5" s="9" t="str" cm="1">
        <f t="array" aca="1" ref="B5" ca="1">DEC2HEX(_xlfn.LET(
  _xlpm.Y, _xlfn.LAMBDA(_xlpm.G,_xlpm.a,_xlpm.b,_xlpm.m,_xlpm.res,
    IF(0&lt;_xlpm.b,
      _xlpm.G(
        _xlpm.G,
        MOD(_xlpm.a, _xlpm.m) * 2,
        TRUNC(_xlpm.b / 2),
        _xlpm.m,
        IF(MOD(_xlpm.b, 2) = 1,
          MOD(_xlpm.res + MOD(_xlpm.a, _xlpm.m), _xlpm.m),
          _xlpm.res)),
      _xlpm.res)),
  _xlpm.mulmod, _xlfn.LAMBDA(_xlpm.a,_xlpm.b,_xlpm.m, _xlpm.Y(_xlpm.Y,_xlpm.a,_xlpm.b,_xlpm.m,0)),
  _xlpm.p, 16777619    +N("FNV_prime for 32 bits"),
  _xlpm.o, 2166136261  +N("FNV_offset_basis for 32 bits"),
  _xlpm.m, POWER(2,32) +N("modulus for 32 bits"),
  _xlpm.s, (_xlfn.TEXTJOIN("",TRUE,'🔢 simpleSequence'!$H$2:$H$23)),
  IF(ISBLANK(_xlpm.s),
    0,
    _xlfn.REDUCE(_xlpm.o,
      ROW(INDIRECT("1:"&amp;LEN(_xlpm.s))),
      _xlfn.LAMBDA(_xlpm.acc,_xlpm.i,_xlpm.mulmod(_xlpm.p, _xlfn.BITXOR(_xlpm.acc, CODE(MID(_xlpm.s,_xlpm.i,1))), _xlpm.m))))))</f>
        <v>4E215EC</v>
      </c>
      <c r="D5" t="s">
        <v>13</v>
      </c>
      <c r="E5" t="s">
        <v>7</v>
      </c>
      <c r="F5" t="s">
        <v>18</v>
      </c>
      <c r="G5" t="s">
        <v>17</v>
      </c>
      <c r="H5" t="str">
        <f>IF('🔢 simpleSequence'!$G5="","",_xlfn.TEXTJOIN("",TRUE,'🔢 simpleSequence'!$D5,(_xlfn.XLOOKUP('🔢 simpleSequence'!$G5,tblSeqConn[display],tblSeqConn[mmSyntax])))&amp;'🔢 simpleSequence'!$E5&amp;": "&amp;'🔢 simpleSequence'!$F5)</f>
        <v>authenticator--&gt;&gt;user: password challenge</v>
      </c>
      <c r="J5" t="str">
        <v>autonumber</v>
      </c>
      <c r="M5" t="str">
        <v>user</v>
      </c>
    </row>
    <row r="6" spans="1:13">
      <c r="D6" t="s">
        <v>7</v>
      </c>
      <c r="E6" t="s">
        <v>13</v>
      </c>
      <c r="F6" t="s">
        <v>19</v>
      </c>
      <c r="G6" t="s">
        <v>8</v>
      </c>
      <c r="H6" t="str">
        <f>IF('🔢 simpleSequence'!$G6="","",_xlfn.TEXTJOIN("",TRUE,'🔢 simpleSequence'!$D6,(_xlfn.XLOOKUP('🔢 simpleSequence'!$G6,tblSeqConn[display],tblSeqConn[mmSyntax])))&amp;'🔢 simpleSequence'!$E6&amp;": "&amp;'🔢 simpleSequence'!$F6)</f>
        <v>user-&gt;&gt;authenticator: password</v>
      </c>
      <c r="J6" t="str">
        <v>user-&gt;&gt;app: userID</v>
      </c>
    </row>
    <row r="7" spans="1:13">
      <c r="D7" t="s">
        <v>13</v>
      </c>
      <c r="E7" t="s">
        <v>7</v>
      </c>
      <c r="F7" t="s">
        <v>20</v>
      </c>
      <c r="G7" t="s">
        <v>17</v>
      </c>
      <c r="H7" t="str">
        <f>IF('🔢 simpleSequence'!$G7="","",_xlfn.TEXTJOIN("",TRUE,'🔢 simpleSequence'!$D7,(_xlfn.XLOOKUP('🔢 simpleSequence'!$G7,tblSeqConn[display],tblSeqConn[mmSyntax])))&amp;'🔢 simpleSequence'!$E7&amp;": "&amp;'🔢 simpleSequence'!$F7)</f>
        <v>authenticator--&gt;&gt;user: otc challenge</v>
      </c>
      <c r="J7" s="1" t="str">
        <v>app-&gt;&gt;authenticator: open with userID</v>
      </c>
    </row>
    <row r="8" spans="1:13">
      <c r="D8" t="s">
        <v>7</v>
      </c>
      <c r="E8" t="s">
        <v>13</v>
      </c>
      <c r="F8" t="s">
        <v>21</v>
      </c>
      <c r="G8" t="s">
        <v>8</v>
      </c>
      <c r="H8" t="str">
        <f>IF('🔢 simpleSequence'!$G8="","",_xlfn.TEXTJOIN("",TRUE,'🔢 simpleSequence'!$D8,(_xlfn.XLOOKUP('🔢 simpleSequence'!$G8,tblSeqConn[display],tblSeqConn[mmSyntax])))&amp;'🔢 simpleSequence'!$E8&amp;": "&amp;'🔢 simpleSequence'!$F8)</f>
        <v>user-&gt;&gt;authenticator: one-time code</v>
      </c>
      <c r="J8" t="str">
        <v>authenticator-&gt;&gt;authenticator: map userID to cred</v>
      </c>
    </row>
    <row r="9" spans="1:13">
      <c r="D9" t="s">
        <v>13</v>
      </c>
      <c r="E9" t="s">
        <v>10</v>
      </c>
      <c r="F9" t="s">
        <v>23</v>
      </c>
      <c r="G9" t="s">
        <v>22</v>
      </c>
      <c r="H9" t="str">
        <f>IF('🔢 simpleSequence'!$G9="","",_xlfn.TEXTJOIN("",TRUE,'🔢 simpleSequence'!$D9,(_xlfn.XLOOKUP('🔢 simpleSequence'!$G9,tblSeqConn[display],tblSeqConn[mmSyntax])))&amp;'🔢 simpleSequence'!$E9&amp;": "&amp;'🔢 simpleSequence'!$F9)</f>
        <v>authenticator--xapp: token</v>
      </c>
      <c r="J9" t="str">
        <v>authenticator--&gt;&gt;user: password challenge</v>
      </c>
    </row>
    <row r="10" spans="1:13">
      <c r="D10" t="s">
        <v>10</v>
      </c>
      <c r="E10" t="s">
        <v>7</v>
      </c>
      <c r="F10" t="s">
        <v>24</v>
      </c>
      <c r="G10" t="s">
        <v>8</v>
      </c>
      <c r="H10" t="str">
        <f>IF('🔢 simpleSequence'!$G10="","",_xlfn.TEXTJOIN("",TRUE,'🔢 simpleSequence'!$D10,(_xlfn.XLOOKUP('🔢 simpleSequence'!$G10,tblSeqConn[display],tblSeqConn[mmSyntax])))&amp;'🔢 simpleSequence'!$E10&amp;": "&amp;'🔢 simpleSequence'!$F10)</f>
        <v>app-&gt;&gt;user: session established</v>
      </c>
      <c r="J10" t="str">
        <v>user-&gt;&gt;authenticator: password</v>
      </c>
    </row>
    <row r="11" spans="1:13">
      <c r="H11" t="str">
        <f>IF('🔢 simpleSequence'!$G11="","",_xlfn.TEXTJOIN("",TRUE,'🔢 simpleSequence'!$D11,(_xlfn.XLOOKUP('🔢 simpleSequence'!$G11,tblSeqConn[display],tblSeqConn[mmSyntax])))&amp;'🔢 simpleSequence'!$E11&amp;": "&amp;'🔢 simpleSequence'!$F11)</f>
        <v/>
      </c>
      <c r="J11" t="str">
        <v>authenticator--&gt;&gt;user: otc challenge</v>
      </c>
    </row>
    <row r="12" spans="1:13">
      <c r="H12" t="str">
        <f>IF('🔢 simpleSequence'!$G12="","",_xlfn.TEXTJOIN("",TRUE,'🔢 simpleSequence'!$D12,(_xlfn.XLOOKUP('🔢 simpleSequence'!$G12,tblSeqConn[display],tblSeqConn[mmSyntax])))&amp;'🔢 simpleSequence'!$E12&amp;": "&amp;'🔢 simpleSequence'!$F12)</f>
        <v/>
      </c>
      <c r="J12" t="str">
        <v>user-&gt;&gt;authenticator: one-time code</v>
      </c>
    </row>
    <row r="13" spans="1:13">
      <c r="H13" t="str">
        <f>IF('🔢 simpleSequence'!$G13="","",_xlfn.TEXTJOIN("",TRUE,'🔢 simpleSequence'!$D13,(_xlfn.XLOOKUP('🔢 simpleSequence'!$G13,tblSeqConn[display],tblSeqConn[mmSyntax])))&amp;'🔢 simpleSequence'!$E13&amp;": "&amp;'🔢 simpleSequence'!$F13)</f>
        <v/>
      </c>
      <c r="J13" t="str">
        <v>authenticator--xapp: token</v>
      </c>
    </row>
    <row r="14" spans="1:13">
      <c r="H14" t="str">
        <f>IF('🔢 simpleSequence'!$G14="","",_xlfn.TEXTJOIN("",TRUE,'🔢 simpleSequence'!$D14,(_xlfn.XLOOKUP('🔢 simpleSequence'!$G14,tblSeqConn[display],tblSeqConn[mmSyntax])))&amp;'🔢 simpleSequence'!$E14&amp;": "&amp;'🔢 simpleSequence'!$F14)</f>
        <v/>
      </c>
      <c r="J14" t="str">
        <v>app-&gt;&gt;user: session established</v>
      </c>
    </row>
    <row r="15" spans="1:13">
      <c r="H15" t="str">
        <f>IF('🔢 simpleSequence'!$G15="","",_xlfn.TEXTJOIN("",TRUE,'🔢 simpleSequence'!$D15,(_xlfn.XLOOKUP('🔢 simpleSequence'!$G15,tblSeqConn[display],tblSeqConn[mmSyntax])))&amp;'🔢 simpleSequence'!$E15&amp;": "&amp;'🔢 simpleSequence'!$F15)</f>
        <v/>
      </c>
    </row>
    <row r="16" spans="1:13">
      <c r="H16" t="str">
        <f>IF('🔢 simpleSequence'!$G16="","",_xlfn.TEXTJOIN("",TRUE,'🔢 simpleSequence'!$D16,(_xlfn.XLOOKUP('🔢 simpleSequence'!$G16,tblSeqConn[display],tblSeqConn[mmSyntax])))&amp;'🔢 simpleSequence'!$E16&amp;": "&amp;'🔢 simpleSequence'!$F16)</f>
        <v/>
      </c>
    </row>
    <row r="17" spans="8:8">
      <c r="H17" t="str">
        <f>IF('🔢 simpleSequence'!$G17="","",_xlfn.TEXTJOIN("",TRUE,'🔢 simpleSequence'!$D17,(_xlfn.XLOOKUP('🔢 simpleSequence'!$G17,tblSeqConn[display],tblSeqConn[mmSyntax])))&amp;'🔢 simpleSequence'!$E17&amp;": "&amp;'🔢 simpleSequence'!$F17)</f>
        <v/>
      </c>
    </row>
    <row r="18" spans="8:8">
      <c r="H18" t="str">
        <f>IF('🔢 simpleSequence'!$G18="","",_xlfn.TEXTJOIN("",TRUE,'🔢 simpleSequence'!$D18,(_xlfn.XLOOKUP('🔢 simpleSequence'!$G18,tblSeqConn[display],tblSeqConn[mmSyntax])))&amp;'🔢 simpleSequence'!$E18&amp;": "&amp;'🔢 simpleSequence'!$F18)</f>
        <v/>
      </c>
    </row>
    <row r="19" spans="8:8">
      <c r="H19" t="str">
        <f>IF('🔢 simpleSequence'!$G19="","",_xlfn.TEXTJOIN("",TRUE,'🔢 simpleSequence'!$D19,(_xlfn.XLOOKUP('🔢 simpleSequence'!$G19,tblSeqConn[display],tblSeqConn[mmSyntax])))&amp;'🔢 simpleSequence'!$E19&amp;": "&amp;'🔢 simpleSequence'!$F19)</f>
        <v/>
      </c>
    </row>
    <row r="20" spans="8:8">
      <c r="H20" t="str">
        <f>IF('🔢 simpleSequence'!$G20="","",_xlfn.TEXTJOIN("",TRUE,'🔢 simpleSequence'!$D20,(_xlfn.XLOOKUP('🔢 simpleSequence'!$G20,tblSeqConn[display],tblSeqConn[mmSyntax])))&amp;'🔢 simpleSequence'!$E20&amp;": "&amp;'🔢 simpleSequence'!$F20)</f>
        <v/>
      </c>
    </row>
    <row r="21" spans="8:8">
      <c r="H21" t="str">
        <f>IF('🔢 simpleSequence'!$G21="","",_xlfn.TEXTJOIN("",TRUE,'🔢 simpleSequence'!$D21,(_xlfn.XLOOKUP('🔢 simpleSequence'!$G21,tblSeqConn[display],tblSeqConn[mmSyntax])))&amp;'🔢 simpleSequence'!$E21&amp;": "&amp;'🔢 simpleSequence'!$F21)</f>
        <v/>
      </c>
    </row>
    <row r="22" spans="8:8">
      <c r="H22" t="str">
        <f>IF('🔢 simpleSequence'!$G22="","",_xlfn.TEXTJOIN("",TRUE,'🔢 simpleSequence'!$D22,(_xlfn.XLOOKUP('🔢 simpleSequence'!$G22,tblSeqConn[display],tblSeqConn[mmSyntax])))&amp;'🔢 simpleSequence'!$E22&amp;": "&amp;'🔢 simpleSequence'!$F22)</f>
        <v/>
      </c>
    </row>
    <row r="23" spans="8:8">
      <c r="H23" t="str">
        <f>IF('🔢 simpleSequence'!$G23="","",_xlfn.TEXTJOIN("",TRUE,'🔢 simpleSequence'!$D23,(_xlfn.XLOOKUP('🔢 simpleSequence'!$G23,tblSeqConn[display],tblSeqConn[mmSyntax])))&amp;'🔢 simpleSequence'!$E23&amp;": "&amp;'🔢 simpleSequence'!$F23)</f>
        <v/>
      </c>
    </row>
  </sheetData>
  <dataValidations count="3">
    <dataValidation type="list" allowBlank="1" showInputMessage="1" showErrorMessage="1" sqref="B2:B4" xr:uid="{DBF1F258-8724-4D13-872E-C999025FA168}">
      <formula1>lstTrueFalse</formula1>
    </dataValidation>
    <dataValidation type="list" allowBlank="1" showInputMessage="1" showErrorMessage="1" sqref="D65:E103" xr:uid="{4E35E35E-73C3-4152-AC8E-FE812DD22CA4}">
      <formula1>$M$2</formula1>
    </dataValidation>
    <dataValidation type="list" allowBlank="1" showInputMessage="1" showErrorMessage="1" sqref="D2:E23" xr:uid="{F2D4D6AA-D54E-4330-91EF-CE4D1527EE6E}">
      <formula1>_xlfn.ANCHORARRAY($M$2)</formula1>
    </dataValidation>
  </dataValidations>
  <pageMargins left="0.7" right="0.7" top="0.75" bottom="0.75" header="0.3" footer="0.3"/>
  <pageSetup orientation="portrait" horizontalDpi="0" verticalDpi="0" r:id="rId1"/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DD4A8B1-7817-42B2-B391-208B82CF28A5}">
          <x14:formula1>
            <xm:f>'supporting tables'!$V$2:$V$9</xm:f>
          </x14:formula1>
          <xm:sqref>G2:G23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1E360-8F3A-4405-9A5D-1C621532B1C7}">
  <sheetPr codeName="Sheet3">
    <tabColor theme="1" tint="0.499984740745262"/>
  </sheetPr>
  <dimension ref="A1:Z194"/>
  <sheetViews>
    <sheetView topLeftCell="G1" workbookViewId="0">
      <selection activeCell="Z16" sqref="Z16"/>
    </sheetView>
  </sheetViews>
  <sheetFormatPr defaultRowHeight="14.6"/>
  <cols>
    <col min="1" max="1" width="14.53515625" customWidth="1"/>
    <col min="2" max="2" width="30.15234375" bestFit="1" customWidth="1"/>
    <col min="3" max="3" width="10.15234375" customWidth="1"/>
    <col min="7" max="7" width="11.765625" customWidth="1"/>
    <col min="8" max="8" width="12.84375" customWidth="1"/>
    <col min="9" max="9" width="9.84375" customWidth="1"/>
    <col min="12" max="12" width="16.3828125" bestFit="1" customWidth="1"/>
    <col min="13" max="13" width="11.4609375" customWidth="1"/>
    <col min="14" max="14" width="12.3828125" customWidth="1"/>
    <col min="17" max="17" width="10.4609375" customWidth="1"/>
    <col min="21" max="21" width="41.3046875" bestFit="1" customWidth="1"/>
    <col min="24" max="24" width="11.921875" customWidth="1"/>
    <col min="25" max="25" width="11.69140625" customWidth="1"/>
  </cols>
  <sheetData>
    <row r="1" spans="1:26">
      <c r="A1" s="6" t="s">
        <v>33</v>
      </c>
      <c r="B1" s="5" t="b">
        <v>1</v>
      </c>
      <c r="E1" t="s">
        <v>25</v>
      </c>
      <c r="F1" t="s">
        <v>26</v>
      </c>
      <c r="G1" t="s">
        <v>34</v>
      </c>
      <c r="H1" t="s">
        <v>5</v>
      </c>
      <c r="I1" t="s">
        <v>35</v>
      </c>
      <c r="L1" t="s">
        <v>25</v>
      </c>
      <c r="M1" t="s">
        <v>35</v>
      </c>
      <c r="O1" t="str" cm="1">
        <f t="array" ref="O1:O3">_xlfn.UNIQUE(tblFcConn[connLength])</f>
        <v>1</v>
      </c>
      <c r="Q1" t="s">
        <v>36</v>
      </c>
      <c r="T1" t="s">
        <v>5</v>
      </c>
      <c r="U1" t="s">
        <v>37</v>
      </c>
      <c r="V1" t="s">
        <v>35</v>
      </c>
      <c r="X1" t="s">
        <v>534</v>
      </c>
      <c r="Y1" s="16" t="s">
        <v>393</v>
      </c>
    </row>
    <row r="2" spans="1:26">
      <c r="E2" t="s">
        <v>28</v>
      </c>
      <c r="F2" t="s">
        <v>38</v>
      </c>
      <c r="G2" t="str">
        <f>tblFcConn[[#This Row],[connType]]&amp;tblFcConn[[#This Row],[connLength]]</f>
        <v>Normal1</v>
      </c>
      <c r="H2" t="s">
        <v>39</v>
      </c>
      <c r="L2" t="s">
        <v>28</v>
      </c>
      <c r="M2" t="s">
        <v>40</v>
      </c>
      <c r="O2" t="str">
        <v>2</v>
      </c>
      <c r="Q2" t="b">
        <v>1</v>
      </c>
      <c r="T2" t="s">
        <v>41</v>
      </c>
      <c r="U2" t="s">
        <v>42</v>
      </c>
      <c r="V2" s="3" t="s">
        <v>43</v>
      </c>
      <c r="X2" t="s">
        <v>535</v>
      </c>
      <c r="Y2" s="16" t="str">
        <f>"*"</f>
        <v>*</v>
      </c>
    </row>
    <row r="3" spans="1:26">
      <c r="E3" t="s">
        <v>28</v>
      </c>
      <c r="F3" t="s">
        <v>44</v>
      </c>
      <c r="G3" t="str">
        <f>tblFcConn[[#This Row],[connType]]&amp;tblFcConn[[#This Row],[connLength]]</f>
        <v>Normal2</v>
      </c>
      <c r="H3" t="s">
        <v>45</v>
      </c>
      <c r="L3" t="s">
        <v>46</v>
      </c>
      <c r="M3" t="s">
        <v>47</v>
      </c>
      <c r="O3" t="str">
        <v>3</v>
      </c>
      <c r="Q3" t="b">
        <v>0</v>
      </c>
      <c r="T3" t="s">
        <v>48</v>
      </c>
      <c r="U3" t="s">
        <v>49</v>
      </c>
      <c r="V3" s="3" t="s">
        <v>50</v>
      </c>
      <c r="X3" t="s">
        <v>536</v>
      </c>
      <c r="Y3" s="16" t="str">
        <f>"$"</f>
        <v>$</v>
      </c>
    </row>
    <row r="4" spans="1:26">
      <c r="A4" t="s">
        <v>51</v>
      </c>
      <c r="B4" t="s">
        <v>52</v>
      </c>
      <c r="C4" t="s">
        <v>53</v>
      </c>
      <c r="E4" t="s">
        <v>28</v>
      </c>
      <c r="F4" t="s">
        <v>54</v>
      </c>
      <c r="G4" t="str">
        <f>tblFcConn[[#This Row],[connType]]&amp;tblFcConn[[#This Row],[connLength]]</f>
        <v>Normal3</v>
      </c>
      <c r="H4" t="s">
        <v>55</v>
      </c>
      <c r="L4" t="s">
        <v>56</v>
      </c>
      <c r="T4" t="s">
        <v>57</v>
      </c>
      <c r="U4" t="s">
        <v>58</v>
      </c>
      <c r="V4" t="s">
        <v>8</v>
      </c>
      <c r="Y4" s="16"/>
    </row>
    <row r="5" spans="1:26">
      <c r="A5" t="s">
        <v>59</v>
      </c>
      <c r="B5" t="str">
        <f>"["</f>
        <v>[</v>
      </c>
      <c r="C5" t="str">
        <f>"]"</f>
        <v>]</v>
      </c>
      <c r="E5" t="s">
        <v>46</v>
      </c>
      <c r="F5" t="s">
        <v>38</v>
      </c>
      <c r="G5" t="str">
        <f>tblFcConn[[#This Row],[connType]]&amp;tblFcConn[[#This Row],[connLength]]</f>
        <v>Normal with arrow1</v>
      </c>
      <c r="H5" t="s">
        <v>48</v>
      </c>
      <c r="L5" t="s">
        <v>60</v>
      </c>
      <c r="T5" t="s">
        <v>61</v>
      </c>
      <c r="U5" t="s">
        <v>62</v>
      </c>
      <c r="V5" t="s">
        <v>17</v>
      </c>
      <c r="X5" t="s">
        <v>537</v>
      </c>
      <c r="Y5" s="16" t="s">
        <v>393</v>
      </c>
    </row>
    <row r="6" spans="1:26">
      <c r="A6" t="s">
        <v>29</v>
      </c>
      <c r="B6" t="str">
        <f>"("</f>
        <v>(</v>
      </c>
      <c r="C6" t="str">
        <f>")"</f>
        <v>)</v>
      </c>
      <c r="E6" t="s">
        <v>46</v>
      </c>
      <c r="F6" t="s">
        <v>44</v>
      </c>
      <c r="G6" t="str">
        <f>tblFcConn[[#This Row],[connType]]&amp;tblFcConn[[#This Row],[connLength]]</f>
        <v>Normal with arrow2</v>
      </c>
      <c r="H6" t="s">
        <v>63</v>
      </c>
      <c r="L6" t="s">
        <v>64</v>
      </c>
      <c r="T6" t="s">
        <v>65</v>
      </c>
      <c r="U6" t="s">
        <v>66</v>
      </c>
      <c r="V6" s="3" t="s">
        <v>67</v>
      </c>
      <c r="X6" t="s">
        <v>538</v>
      </c>
      <c r="Y6" s="16" t="str">
        <f>"+"</f>
        <v>+</v>
      </c>
    </row>
    <row r="7" spans="1:26">
      <c r="A7" t="s">
        <v>68</v>
      </c>
      <c r="B7" t="str">
        <f>"(["</f>
        <v>([</v>
      </c>
      <c r="C7" t="str">
        <f>"])"</f>
        <v>])</v>
      </c>
      <c r="E7" t="s">
        <v>46</v>
      </c>
      <c r="F7" t="s">
        <v>54</v>
      </c>
      <c r="G7" t="str">
        <f>tblFcConn[[#This Row],[connType]]&amp;tblFcConn[[#This Row],[connLength]]</f>
        <v>Normal with arrow3</v>
      </c>
      <c r="H7" t="s">
        <v>69</v>
      </c>
      <c r="L7" t="s">
        <v>70</v>
      </c>
      <c r="T7" t="s">
        <v>71</v>
      </c>
      <c r="U7" t="s">
        <v>72</v>
      </c>
      <c r="V7" s="3" t="s">
        <v>22</v>
      </c>
      <c r="X7" t="s">
        <v>539</v>
      </c>
      <c r="Y7" s="16" t="str">
        <f>"-"</f>
        <v>-</v>
      </c>
    </row>
    <row r="8" spans="1:26">
      <c r="A8" t="s">
        <v>32</v>
      </c>
      <c r="B8" t="str">
        <f>"[("</f>
        <v>[(</v>
      </c>
      <c r="C8" t="str">
        <f>")]"</f>
        <v>)]</v>
      </c>
      <c r="E8" t="s">
        <v>56</v>
      </c>
      <c r="F8" t="s">
        <v>38</v>
      </c>
      <c r="G8" t="str">
        <f>tblFcConn[[#This Row],[connType]]&amp;tblFcConn[[#This Row],[connLength]]</f>
        <v>Thick1</v>
      </c>
      <c r="H8" t="s">
        <v>73</v>
      </c>
      <c r="L8" t="s">
        <v>74</v>
      </c>
      <c r="T8" t="s">
        <v>75</v>
      </c>
      <c r="U8" t="s">
        <v>76</v>
      </c>
      <c r="V8" t="s">
        <v>77</v>
      </c>
      <c r="X8" t="s">
        <v>541</v>
      </c>
      <c r="Y8" s="16" t="str">
        <f>"#"</f>
        <v>#</v>
      </c>
    </row>
    <row r="9" spans="1:26">
      <c r="A9" t="s">
        <v>78</v>
      </c>
      <c r="B9" t="s">
        <v>79</v>
      </c>
      <c r="C9" t="str">
        <f>"))"</f>
        <v>))</v>
      </c>
      <c r="E9" t="s">
        <v>56</v>
      </c>
      <c r="F9" t="s">
        <v>44</v>
      </c>
      <c r="G9" t="str">
        <f>tblFcConn[[#This Row],[connType]]&amp;tblFcConn[[#This Row],[connLength]]</f>
        <v>Thick2</v>
      </c>
      <c r="H9" t="s">
        <v>80</v>
      </c>
      <c r="T9" t="s">
        <v>81</v>
      </c>
      <c r="U9" t="s">
        <v>82</v>
      </c>
      <c r="V9" t="s">
        <v>83</v>
      </c>
      <c r="X9" t="s">
        <v>540</v>
      </c>
      <c r="Y9" s="16" t="str">
        <f>"~"</f>
        <v>~</v>
      </c>
    </row>
    <row r="10" spans="1:26">
      <c r="A10" t="s">
        <v>84</v>
      </c>
      <c r="B10" t="s">
        <v>85</v>
      </c>
      <c r="C10" t="s">
        <v>86</v>
      </c>
      <c r="E10" t="s">
        <v>56</v>
      </c>
      <c r="F10" t="s">
        <v>54</v>
      </c>
      <c r="G10" t="str">
        <f>tblFcConn[[#This Row],[connType]]&amp;tblFcConn[[#This Row],[connLength]]</f>
        <v>Thick3</v>
      </c>
      <c r="H10" t="s">
        <v>87</v>
      </c>
    </row>
    <row r="11" spans="1:26">
      <c r="A11" t="s">
        <v>88</v>
      </c>
      <c r="B11" t="str">
        <f>"&gt;"</f>
        <v>&gt;</v>
      </c>
      <c r="C11" t="str">
        <f>"]"</f>
        <v>]</v>
      </c>
      <c r="E11" t="s">
        <v>60</v>
      </c>
      <c r="F11" t="s">
        <v>38</v>
      </c>
      <c r="G11" t="str">
        <f>tblFcConn[[#This Row],[connType]]&amp;tblFcConn[[#This Row],[connLength]]</f>
        <v>Thick with arrow1</v>
      </c>
      <c r="H11" t="s">
        <v>89</v>
      </c>
    </row>
    <row r="12" spans="1:26">
      <c r="A12" t="s">
        <v>90</v>
      </c>
      <c r="B12" t="s">
        <v>91</v>
      </c>
      <c r="C12" t="s">
        <v>92</v>
      </c>
      <c r="E12" t="s">
        <v>60</v>
      </c>
      <c r="F12" t="s">
        <v>44</v>
      </c>
      <c r="G12" t="str">
        <f>tblFcConn[[#This Row],[connType]]&amp;tblFcConn[[#This Row],[connLength]]</f>
        <v>Thick with arrow2</v>
      </c>
      <c r="H12" t="s">
        <v>93</v>
      </c>
    </row>
    <row r="13" spans="1:26">
      <c r="A13" t="s">
        <v>94</v>
      </c>
      <c r="B13" t="str">
        <f>"[/"</f>
        <v>[/</v>
      </c>
      <c r="C13" t="str">
        <f>"/]"</f>
        <v>/]</v>
      </c>
      <c r="E13" t="s">
        <v>60</v>
      </c>
      <c r="F13" t="s">
        <v>54</v>
      </c>
      <c r="G13" t="str">
        <f>tblFcConn[[#This Row],[connType]]&amp;tblFcConn[[#This Row],[connLength]]</f>
        <v>Thick with arrow3</v>
      </c>
      <c r="H13" t="s">
        <v>95</v>
      </c>
      <c r="L13" s="11" t="s">
        <v>5</v>
      </c>
      <c r="M13" s="11" t="s">
        <v>37</v>
      </c>
    </row>
    <row r="14" spans="1:26">
      <c r="A14" t="s">
        <v>96</v>
      </c>
      <c r="B14" t="str">
        <f>"{{"</f>
        <v>{{</v>
      </c>
      <c r="C14" t="str">
        <f>"}}"</f>
        <v>}}</v>
      </c>
      <c r="E14" t="s">
        <v>64</v>
      </c>
      <c r="F14" t="s">
        <v>38</v>
      </c>
      <c r="G14" t="str">
        <f>tblFcConn[[#This Row],[connType]]&amp;tblFcConn[[#This Row],[connLength]]</f>
        <v>Dotted1</v>
      </c>
      <c r="H14" t="s">
        <v>97</v>
      </c>
      <c r="L14" s="12" t="s">
        <v>41</v>
      </c>
      <c r="M14" s="12" t="s">
        <v>42</v>
      </c>
      <c r="U14" t="s">
        <v>98</v>
      </c>
      <c r="X14" t="s">
        <v>615</v>
      </c>
      <c r="Y14" t="s">
        <v>616</v>
      </c>
      <c r="Z14" t="s">
        <v>619</v>
      </c>
    </row>
    <row r="15" spans="1:26">
      <c r="A15" t="s">
        <v>99</v>
      </c>
      <c r="B15" t="str">
        <f>"[\"</f>
        <v>[\</v>
      </c>
      <c r="C15" t="str">
        <f>"\]"</f>
        <v>\]</v>
      </c>
      <c r="E15" t="s">
        <v>64</v>
      </c>
      <c r="F15" t="s">
        <v>44</v>
      </c>
      <c r="G15" t="str">
        <f>tblFcConn[[#This Row],[connType]]&amp;tblFcConn[[#This Row],[connLength]]</f>
        <v>Dotted2</v>
      </c>
      <c r="H15" t="s">
        <v>100</v>
      </c>
      <c r="L15" s="13" t="s">
        <v>48</v>
      </c>
      <c r="M15" s="13" t="s">
        <v>49</v>
      </c>
      <c r="U15" t="s">
        <v>101</v>
      </c>
      <c r="X15" t="s">
        <v>611</v>
      </c>
      <c r="Y15" t="s">
        <v>145</v>
      </c>
      <c r="Z15" t="str">
        <f>RIGHT(quadNames[[#This Row],[quadName]],1)</f>
        <v>4</v>
      </c>
    </row>
    <row r="16" spans="1:26">
      <c r="A16" t="s">
        <v>102</v>
      </c>
      <c r="B16" t="str">
        <f>"[/"</f>
        <v>[/</v>
      </c>
      <c r="C16" t="str">
        <f>"\]"</f>
        <v>\]</v>
      </c>
      <c r="E16" t="s">
        <v>64</v>
      </c>
      <c r="F16" t="s">
        <v>54</v>
      </c>
      <c r="G16" t="str">
        <f>tblFcConn[[#This Row],[connType]]&amp;tblFcConn[[#This Row],[connLength]]</f>
        <v>Dotted3</v>
      </c>
      <c r="H16" t="s">
        <v>103</v>
      </c>
      <c r="L16" s="12" t="s">
        <v>57</v>
      </c>
      <c r="M16" s="12" t="s">
        <v>58</v>
      </c>
      <c r="U16" t="s">
        <v>104</v>
      </c>
      <c r="X16" t="s">
        <v>612</v>
      </c>
      <c r="Y16" t="s">
        <v>144</v>
      </c>
      <c r="Z16" t="str">
        <f>RIGHT(quadNames[[#This Row],[quadName]],1)</f>
        <v>3</v>
      </c>
    </row>
    <row r="17" spans="1:26">
      <c r="A17" t="s">
        <v>105</v>
      </c>
      <c r="B17" t="str">
        <f>"[\"</f>
        <v>[\</v>
      </c>
      <c r="C17" t="str">
        <f>"/]"</f>
        <v>/]</v>
      </c>
      <c r="E17" t="s">
        <v>70</v>
      </c>
      <c r="F17" t="s">
        <v>38</v>
      </c>
      <c r="G17" t="str">
        <f>tblFcConn[[#This Row],[connType]]&amp;tblFcConn[[#This Row],[connLength]]</f>
        <v>Dotted with arrow1</v>
      </c>
      <c r="H17" t="s">
        <v>106</v>
      </c>
      <c r="L17" s="13" t="s">
        <v>61</v>
      </c>
      <c r="M17" s="13" t="s">
        <v>62</v>
      </c>
      <c r="U17" t="s">
        <v>107</v>
      </c>
      <c r="X17" t="s">
        <v>613</v>
      </c>
      <c r="Y17" t="s">
        <v>143</v>
      </c>
      <c r="Z17" t="str">
        <f>RIGHT(quadNames[[#This Row],[quadName]],1)</f>
        <v>2</v>
      </c>
    </row>
    <row r="18" spans="1:26">
      <c r="A18" t="s">
        <v>31</v>
      </c>
      <c r="B18" t="str">
        <f>"((("</f>
        <v>(((</v>
      </c>
      <c r="C18" t="str">
        <f>")))"</f>
        <v>)))</v>
      </c>
      <c r="E18" t="s">
        <v>70</v>
      </c>
      <c r="F18" t="s">
        <v>44</v>
      </c>
      <c r="G18" t="str">
        <f>tblFcConn[[#This Row],[connType]]&amp;tblFcConn[[#This Row],[connLength]]</f>
        <v>Dotted with arrow2</v>
      </c>
      <c r="H18" t="s">
        <v>108</v>
      </c>
      <c r="L18" s="12" t="s">
        <v>65</v>
      </c>
      <c r="M18" s="12" t="s">
        <v>66</v>
      </c>
      <c r="U18" t="s">
        <v>109</v>
      </c>
      <c r="X18" t="s">
        <v>614</v>
      </c>
      <c r="Y18" t="s">
        <v>142</v>
      </c>
      <c r="Z18" t="str">
        <f>RIGHT(quadNames[[#This Row],[quadName]],1)</f>
        <v>1</v>
      </c>
    </row>
    <row r="19" spans="1:26">
      <c r="E19" t="s">
        <v>70</v>
      </c>
      <c r="F19" t="s">
        <v>54</v>
      </c>
      <c r="G19" t="str">
        <f>tblFcConn[[#This Row],[connType]]&amp;tblFcConn[[#This Row],[connLength]]</f>
        <v>Dotted with arrow3</v>
      </c>
      <c r="H19" t="s">
        <v>110</v>
      </c>
      <c r="L19" s="13" t="s">
        <v>71</v>
      </c>
      <c r="M19" s="13" t="s">
        <v>72</v>
      </c>
      <c r="U19" t="s">
        <v>111</v>
      </c>
    </row>
    <row r="20" spans="1:26">
      <c r="E20" t="s">
        <v>74</v>
      </c>
      <c r="F20" t="s">
        <v>38</v>
      </c>
      <c r="G20" t="str">
        <f>tblFcConn[[#This Row],[connType]]&amp;tblFcConn[[#This Row],[connLength]]</f>
        <v>Invisible1</v>
      </c>
      <c r="H20" t="s">
        <v>112</v>
      </c>
      <c r="L20" s="12" t="s">
        <v>75</v>
      </c>
      <c r="M20" s="12" t="s">
        <v>76</v>
      </c>
      <c r="U20" t="s">
        <v>113</v>
      </c>
    </row>
    <row r="21" spans="1:26">
      <c r="E21" t="s">
        <v>74</v>
      </c>
      <c r="F21" t="s">
        <v>44</v>
      </c>
      <c r="G21" t="str">
        <f>tblFcConn[[#This Row],[connType]]&amp;tblFcConn[[#This Row],[connLength]]</f>
        <v>Invisible2</v>
      </c>
      <c r="H21" t="s">
        <v>114</v>
      </c>
      <c r="L21" s="14" t="s">
        <v>81</v>
      </c>
      <c r="M21" s="14" t="s">
        <v>82</v>
      </c>
      <c r="U21" t="s">
        <v>115</v>
      </c>
    </row>
    <row r="22" spans="1:26">
      <c r="A22" t="s">
        <v>116</v>
      </c>
      <c r="E22" t="s">
        <v>74</v>
      </c>
      <c r="F22" t="s">
        <v>54</v>
      </c>
      <c r="G22" t="str">
        <f>tblFcConn[[#This Row],[connType]]&amp;tblFcConn[[#This Row],[connLength]]</f>
        <v>Invisible3</v>
      </c>
      <c r="H22" t="s">
        <v>117</v>
      </c>
      <c r="U22" t="s">
        <v>118</v>
      </c>
    </row>
    <row r="23" spans="1:26">
      <c r="A23" t="s">
        <v>119</v>
      </c>
      <c r="U23" t="s">
        <v>120</v>
      </c>
    </row>
    <row r="24" spans="1:26">
      <c r="A24" t="s">
        <v>27</v>
      </c>
      <c r="U24" t="s">
        <v>121</v>
      </c>
    </row>
    <row r="25" spans="1:26">
      <c r="A25" t="s">
        <v>122</v>
      </c>
      <c r="U25" t="s">
        <v>123</v>
      </c>
    </row>
    <row r="26" spans="1:26">
      <c r="A26" t="s">
        <v>124</v>
      </c>
    </row>
    <row r="27" spans="1:26">
      <c r="Q27" t="s">
        <v>305</v>
      </c>
    </row>
    <row r="28" spans="1:26">
      <c r="Q28" t="s">
        <v>300</v>
      </c>
    </row>
    <row r="29" spans="1:26">
      <c r="G29" t="s">
        <v>278</v>
      </c>
      <c r="H29" t="s">
        <v>279</v>
      </c>
      <c r="I29" t="s">
        <v>280</v>
      </c>
      <c r="J29" t="s">
        <v>35</v>
      </c>
      <c r="K29" t="s">
        <v>464</v>
      </c>
      <c r="L29" t="s">
        <v>457</v>
      </c>
      <c r="Q29" t="s">
        <v>301</v>
      </c>
    </row>
    <row r="30" spans="1:26">
      <c r="G30" t="s">
        <v>284</v>
      </c>
      <c r="H30" t="s">
        <v>284</v>
      </c>
      <c r="I30" t="str">
        <f>erdDirections[[#This Row],[display]]</f>
        <v>==1</v>
      </c>
      <c r="J30" t="str">
        <f>"==1"</f>
        <v>==1</v>
      </c>
      <c r="L30" t="s">
        <v>285</v>
      </c>
      <c r="Q30" t="s">
        <v>302</v>
      </c>
    </row>
    <row r="31" spans="1:26">
      <c r="G31" t="s">
        <v>288</v>
      </c>
      <c r="H31" t="s">
        <v>289</v>
      </c>
      <c r="I31" t="str">
        <f>erdDirections[[#This Row],[display]]</f>
        <v>&gt;=1</v>
      </c>
      <c r="J31" t="str">
        <f>"&gt;=1"</f>
        <v>&gt;=1</v>
      </c>
      <c r="L31" t="s">
        <v>322</v>
      </c>
      <c r="Q31" t="s">
        <v>303</v>
      </c>
    </row>
    <row r="32" spans="1:26">
      <c r="G32" t="s">
        <v>286</v>
      </c>
      <c r="H32" t="s">
        <v>287</v>
      </c>
      <c r="I32" t="str">
        <f>erdDirections[[#This Row],[display]]</f>
        <v>&gt;=0</v>
      </c>
      <c r="J32" t="str">
        <f>"&gt;=0"</f>
        <v>&gt;=0</v>
      </c>
      <c r="L32" t="s">
        <v>321</v>
      </c>
      <c r="Q32" t="s">
        <v>304</v>
      </c>
    </row>
    <row r="33" spans="2:21">
      <c r="G33" t="s">
        <v>281</v>
      </c>
      <c r="H33" t="s">
        <v>282</v>
      </c>
      <c r="I33" t="str">
        <f>erdDirections[[#This Row],[display]]</f>
        <v>0 ∨ 1</v>
      </c>
      <c r="J33" t="str">
        <f>"0"&amp;" ∨ "&amp;"1"</f>
        <v>0 ∨ 1</v>
      </c>
      <c r="L33" t="s">
        <v>283</v>
      </c>
    </row>
    <row r="34" spans="2:21">
      <c r="B34" t="s">
        <v>157</v>
      </c>
      <c r="C34" t="s">
        <v>158</v>
      </c>
      <c r="D34" t="s">
        <v>464</v>
      </c>
    </row>
    <row r="35" spans="2:21">
      <c r="B35" t="str">
        <f>"fa:fa-"&amp;icon[[#This Row],[Display]]</f>
        <v>fa:fa-battery-empty</v>
      </c>
      <c r="C35" t="s">
        <v>159</v>
      </c>
    </row>
    <row r="36" spans="2:21">
      <c r="B36" t="str">
        <f>"fa:fa-"&amp;icon[[#This Row],[Display]]</f>
        <v>fa:fa-battery-full</v>
      </c>
      <c r="C36" t="s">
        <v>160</v>
      </c>
      <c r="M36" t="s">
        <v>421</v>
      </c>
      <c r="U36" t="s">
        <v>384</v>
      </c>
    </row>
    <row r="37" spans="2:21">
      <c r="B37" t="str">
        <f>"fa:fa-"&amp;icon[[#This Row],[Display]]</f>
        <v>fa:fa-battery-half</v>
      </c>
      <c r="C37" t="s">
        <v>161</v>
      </c>
      <c r="M37" t="str">
        <f>"1:*"</f>
        <v>1:*</v>
      </c>
      <c r="U37" t="s">
        <v>331</v>
      </c>
    </row>
    <row r="38" spans="2:21">
      <c r="H38" t="s">
        <v>444</v>
      </c>
      <c r="M38" t="str">
        <f>"*:*"</f>
        <v>*:*</v>
      </c>
      <c r="U38" t="s">
        <v>330</v>
      </c>
    </row>
    <row r="39" spans="2:21">
      <c r="H39" t="s">
        <v>107</v>
      </c>
      <c r="M39" t="str">
        <f>"*:1"</f>
        <v>*:1</v>
      </c>
      <c r="U39" t="s">
        <v>332</v>
      </c>
    </row>
    <row r="40" spans="2:21">
      <c r="B40" t="str">
        <f>"fa:fa-"&amp;icon[[#This Row],[Display]]</f>
        <v>fa:fa-bell</v>
      </c>
      <c r="C40" t="s">
        <v>162</v>
      </c>
      <c r="H40" t="s">
        <v>123</v>
      </c>
      <c r="M40" t="str">
        <f>"1:1"</f>
        <v>1:1</v>
      </c>
      <c r="U40" t="s">
        <v>333</v>
      </c>
    </row>
    <row r="41" spans="2:21">
      <c r="B41" t="str">
        <f>"fa:fa-"&amp;icon[[#This Row],[Display]]</f>
        <v>fa:fa-bell-slash</v>
      </c>
      <c r="C41" t="s">
        <v>163</v>
      </c>
      <c r="H41" t="s">
        <v>453</v>
      </c>
      <c r="U41" t="s">
        <v>290</v>
      </c>
    </row>
    <row r="42" spans="2:21">
      <c r="B42" t="str">
        <f>"fa:fa-"&amp;icon[[#This Row],[Display]]</f>
        <v>fa:fa-calendar</v>
      </c>
      <c r="C42" t="s">
        <v>164</v>
      </c>
      <c r="H42" t="s">
        <v>454</v>
      </c>
      <c r="U42" t="s">
        <v>335</v>
      </c>
    </row>
    <row r="43" spans="2:21">
      <c r="B43" t="str">
        <f>"fa:fa-"&amp;icon[[#This Row],[Display]]</f>
        <v>fa:fa-calendar-alt</v>
      </c>
      <c r="C43" t="s">
        <v>165</v>
      </c>
      <c r="H43" t="s">
        <v>445</v>
      </c>
      <c r="U43" t="s">
        <v>334</v>
      </c>
    </row>
    <row r="44" spans="2:21">
      <c r="H44" t="s">
        <v>446</v>
      </c>
      <c r="U44" t="s">
        <v>336</v>
      </c>
    </row>
    <row r="45" spans="2:21">
      <c r="H45" t="s">
        <v>447</v>
      </c>
      <c r="U45" t="s">
        <v>337</v>
      </c>
    </row>
    <row r="46" spans="2:21">
      <c r="H46" t="s">
        <v>448</v>
      </c>
      <c r="M46" t="s">
        <v>107</v>
      </c>
      <c r="N46" t="s">
        <v>497</v>
      </c>
      <c r="U46" t="s">
        <v>338</v>
      </c>
    </row>
    <row r="47" spans="2:21">
      <c r="H47" t="s">
        <v>449</v>
      </c>
      <c r="M47" t="s">
        <v>526</v>
      </c>
      <c r="N47" t="s">
        <v>498</v>
      </c>
      <c r="U47" t="s">
        <v>339</v>
      </c>
    </row>
    <row r="48" spans="2:21">
      <c r="H48" t="s">
        <v>120</v>
      </c>
      <c r="M48" t="s">
        <v>514</v>
      </c>
      <c r="N48" t="s">
        <v>499</v>
      </c>
      <c r="U48" t="s">
        <v>340</v>
      </c>
    </row>
    <row r="49" spans="2:21">
      <c r="H49" t="s">
        <v>121</v>
      </c>
      <c r="J49" t="s">
        <v>505</v>
      </c>
      <c r="K49" t="s">
        <v>508</v>
      </c>
      <c r="M49" t="s">
        <v>523</v>
      </c>
      <c r="N49" t="s">
        <v>500</v>
      </c>
      <c r="U49" t="s">
        <v>341</v>
      </c>
    </row>
    <row r="50" spans="2:21">
      <c r="B50" t="str">
        <f>"fa:fa-"&amp;icon[[#This Row],[Display]]</f>
        <v>fa:fa-comment</v>
      </c>
      <c r="C50" t="s">
        <v>166</v>
      </c>
      <c r="D50" t="s">
        <v>472</v>
      </c>
      <c r="H50" t="s">
        <v>109</v>
      </c>
      <c r="J50" t="s">
        <v>516</v>
      </c>
      <c r="K50" t="s">
        <v>509</v>
      </c>
      <c r="M50" t="s">
        <v>524</v>
      </c>
      <c r="N50" t="s">
        <v>501</v>
      </c>
      <c r="U50" t="s">
        <v>342</v>
      </c>
    </row>
    <row r="51" spans="2:21">
      <c r="B51" t="str">
        <f>"fa:fa-"&amp;icon[[#This Row],[Display]]</f>
        <v>fa:fa-comment-alt</v>
      </c>
      <c r="C51" t="s">
        <v>167</v>
      </c>
      <c r="H51" t="s">
        <v>104</v>
      </c>
      <c r="J51" t="s">
        <v>517</v>
      </c>
      <c r="K51" t="s">
        <v>511</v>
      </c>
      <c r="M51" t="s">
        <v>527</v>
      </c>
      <c r="N51" t="s">
        <v>502</v>
      </c>
      <c r="U51" t="s">
        <v>343</v>
      </c>
    </row>
    <row r="52" spans="2:21">
      <c r="B52" t="str">
        <f>"fa:fa-"&amp;icon[[#This Row],[Display]]</f>
        <v>fa:fa-comment-slash</v>
      </c>
      <c r="C52" t="s">
        <v>168</v>
      </c>
      <c r="J52" t="s">
        <v>518</v>
      </c>
      <c r="K52" t="s">
        <v>322</v>
      </c>
      <c r="M52" t="s">
        <v>525</v>
      </c>
      <c r="N52" t="s">
        <v>503</v>
      </c>
      <c r="U52" t="s">
        <v>344</v>
      </c>
    </row>
    <row r="53" spans="2:21">
      <c r="B53" t="str">
        <f>"fa:fa-"&amp;icon[[#This Row],[Display]]</f>
        <v>fa:fa-compass</v>
      </c>
      <c r="C53" t="s">
        <v>169</v>
      </c>
      <c r="J53" t="s">
        <v>519</v>
      </c>
      <c r="K53" t="s">
        <v>510</v>
      </c>
      <c r="U53" t="s">
        <v>345</v>
      </c>
    </row>
    <row r="54" spans="2:21">
      <c r="B54" t="str">
        <f>"fa:fa-"&amp;icon[[#This Row],[Display]]</f>
        <v>fa:fa-door-closed</v>
      </c>
      <c r="C54" t="s">
        <v>170</v>
      </c>
      <c r="J54" t="s">
        <v>520</v>
      </c>
      <c r="K54" t="s">
        <v>506</v>
      </c>
      <c r="U54" t="s">
        <v>346</v>
      </c>
    </row>
    <row r="55" spans="2:21">
      <c r="B55" t="str">
        <f>"fa:fa-"&amp;icon[[#This Row],[Display]]</f>
        <v>fa:fa-door-open</v>
      </c>
      <c r="C55" t="s">
        <v>171</v>
      </c>
      <c r="J55" t="s">
        <v>521</v>
      </c>
      <c r="K55" t="s">
        <v>512</v>
      </c>
      <c r="U55" t="s">
        <v>347</v>
      </c>
    </row>
    <row r="56" spans="2:21">
      <c r="B56" t="str">
        <f>"fa:fa-"&amp;icon[[#This Row],[Display]]</f>
        <v>fa:fa-exclamation</v>
      </c>
      <c r="C56" t="s">
        <v>172</v>
      </c>
      <c r="J56" t="s">
        <v>522</v>
      </c>
      <c r="K56" t="s">
        <v>513</v>
      </c>
      <c r="U56" t="s">
        <v>348</v>
      </c>
    </row>
    <row r="57" spans="2:21">
      <c r="B57" t="str">
        <f>"fa:fa-"&amp;icon[[#This Row],[Display]]</f>
        <v>fa:fa-exclamation-circle</v>
      </c>
      <c r="C57" t="s">
        <v>173</v>
      </c>
      <c r="U57" t="s">
        <v>349</v>
      </c>
    </row>
    <row r="58" spans="2:21">
      <c r="B58" t="str">
        <f>"fa:fa-"&amp;icon[[#This Row],[Display]]</f>
        <v>fa:fa-exclamation-triangle</v>
      </c>
      <c r="C58" t="s">
        <v>174</v>
      </c>
      <c r="U58" t="s">
        <v>350</v>
      </c>
    </row>
    <row r="59" spans="2:21">
      <c r="B59" t="str">
        <f>"fa:fa-"&amp;icon[[#This Row],[Display]]</f>
        <v>fa:fa-eye</v>
      </c>
      <c r="C59" t="s">
        <v>175</v>
      </c>
      <c r="U59" t="s">
        <v>351</v>
      </c>
    </row>
    <row r="60" spans="2:21">
      <c r="B60" t="str">
        <f>"fa:fa-"&amp;icon[[#This Row],[Display]]</f>
        <v>fa:fa-eye-slash</v>
      </c>
      <c r="C60" t="s">
        <v>176</v>
      </c>
      <c r="U60" t="s">
        <v>352</v>
      </c>
    </row>
    <row r="61" spans="2:21">
      <c r="B61" t="str">
        <f>"fa:fa-"&amp;icon[[#This Row],[Display]]</f>
        <v>fa:fa-file</v>
      </c>
      <c r="C61" t="s">
        <v>177</v>
      </c>
      <c r="U61" t="s">
        <v>353</v>
      </c>
    </row>
    <row r="62" spans="2:21">
      <c r="B62" t="str">
        <f>"fa:fa-"&amp;icon[[#This Row],[Display]]</f>
        <v>fa:fa-file-alt</v>
      </c>
      <c r="C62" t="s">
        <v>178</v>
      </c>
      <c r="U62" t="s">
        <v>354</v>
      </c>
    </row>
    <row r="63" spans="2:21">
      <c r="B63" t="str">
        <f>"fa:fa-"&amp;icon[[#This Row],[Display]]</f>
        <v>fa:fa-folder</v>
      </c>
      <c r="C63" t="s">
        <v>179</v>
      </c>
      <c r="U63" t="s">
        <v>355</v>
      </c>
    </row>
    <row r="64" spans="2:21">
      <c r="B64" t="str">
        <f>"fa:fa-"&amp;icon[[#This Row],[Display]]</f>
        <v>fa:fa-folder-open</v>
      </c>
      <c r="C64" t="s">
        <v>180</v>
      </c>
      <c r="U64" t="s">
        <v>356</v>
      </c>
    </row>
    <row r="65" spans="2:21">
      <c r="U65" t="s">
        <v>357</v>
      </c>
    </row>
    <row r="66" spans="2:21">
      <c r="B66" t="str">
        <f>"fa:fa-"&amp;icon[[#This Row],[Display]]</f>
        <v>fa:fa-info</v>
      </c>
      <c r="C66" t="s">
        <v>181</v>
      </c>
      <c r="U66" t="s">
        <v>358</v>
      </c>
    </row>
    <row r="67" spans="2:21">
      <c r="B67" t="str">
        <f>"fa:fa-"&amp;icon[[#This Row],[Display]]</f>
        <v>fa:fa-info-circle</v>
      </c>
      <c r="C67" t="s">
        <v>182</v>
      </c>
      <c r="U67" t="s">
        <v>359</v>
      </c>
    </row>
    <row r="68" spans="2:21">
      <c r="B68" t="str">
        <f>"fa:fa-"&amp;icon[[#This Row],[Display]]</f>
        <v>fa:fa-lightbulb</v>
      </c>
      <c r="C68" t="s">
        <v>183</v>
      </c>
      <c r="U68" t="s">
        <v>360</v>
      </c>
    </row>
    <row r="69" spans="2:21">
      <c r="B69" t="str">
        <f>"fa:fa-"&amp;icon[[#This Row],[Display]]</f>
        <v>fa:fa-lock</v>
      </c>
      <c r="C69" t="s">
        <v>184</v>
      </c>
      <c r="U69" t="s">
        <v>361</v>
      </c>
    </row>
    <row r="70" spans="2:21">
      <c r="B70" t="str">
        <f>"fa:fa-"&amp;icon[[#This Row],[Display]]</f>
        <v>fa:fa-lock-open</v>
      </c>
      <c r="C70" t="s">
        <v>185</v>
      </c>
      <c r="U70" t="s">
        <v>362</v>
      </c>
    </row>
    <row r="71" spans="2:21">
      <c r="B71" t="str">
        <f>"fa:fa-"&amp;icon[[#This Row],[Display]]</f>
        <v>fa:fa-map-marker</v>
      </c>
      <c r="C71" t="s">
        <v>186</v>
      </c>
      <c r="U71" t="s">
        <v>363</v>
      </c>
    </row>
    <row r="72" spans="2:21">
      <c r="U72" t="s">
        <v>364</v>
      </c>
    </row>
    <row r="73" spans="2:21">
      <c r="B73" t="str">
        <f>"fa:fa-"&amp;icon[[#This Row],[Display]]</f>
        <v>fa:fa-microphone</v>
      </c>
      <c r="C73" t="s">
        <v>187</v>
      </c>
      <c r="U73" t="s">
        <v>365</v>
      </c>
    </row>
    <row r="74" spans="2:21">
      <c r="U74" t="s">
        <v>366</v>
      </c>
    </row>
    <row r="75" spans="2:21">
      <c r="U75" t="s">
        <v>367</v>
      </c>
    </row>
    <row r="76" spans="2:21">
      <c r="U76" t="s">
        <v>368</v>
      </c>
    </row>
    <row r="77" spans="2:21">
      <c r="B77" t="str">
        <f>"fa:fa-"&amp;icon[[#This Row],[Display]]</f>
        <v>fa:fa-minus</v>
      </c>
      <c r="C77" t="s">
        <v>188</v>
      </c>
      <c r="U77" t="s">
        <v>369</v>
      </c>
    </row>
    <row r="78" spans="2:21">
      <c r="B78" t="str">
        <f>"fa:fa-"&amp;icon[[#This Row],[Display]]</f>
        <v>fa:fa-minus-circle</v>
      </c>
      <c r="C78" t="s">
        <v>189</v>
      </c>
      <c r="U78" t="s">
        <v>371</v>
      </c>
    </row>
    <row r="79" spans="2:21">
      <c r="U79" t="s">
        <v>370</v>
      </c>
    </row>
    <row r="80" spans="2:21">
      <c r="B80" t="str">
        <f>"fa:fa-"&amp;icon[[#This Row],[Display]]</f>
        <v>fa:fa-parking</v>
      </c>
      <c r="C80" t="s">
        <v>190</v>
      </c>
      <c r="U80" t="s">
        <v>372</v>
      </c>
    </row>
    <row r="81" spans="2:21">
      <c r="B81" t="str">
        <f>"fa:fa-"&amp;icon[[#This Row],[Display]]</f>
        <v>fa:fa-phone</v>
      </c>
      <c r="C81" t="s">
        <v>191</v>
      </c>
      <c r="U81" t="s">
        <v>373</v>
      </c>
    </row>
    <row r="82" spans="2:21">
      <c r="U82" t="s">
        <v>374</v>
      </c>
    </row>
    <row r="83" spans="2:21">
      <c r="B83" t="str">
        <f>"fa:fa-"&amp;icon[[#This Row],[Display]]</f>
        <v>fa:fa-plus</v>
      </c>
      <c r="C83" t="s">
        <v>192</v>
      </c>
      <c r="U83" t="s">
        <v>375</v>
      </c>
    </row>
    <row r="84" spans="2:21">
      <c r="B84" t="str">
        <f>"fa:fa-"&amp;icon[[#This Row],[Display]]</f>
        <v>fa:fa-plus-circle</v>
      </c>
      <c r="C84" t="s">
        <v>193</v>
      </c>
      <c r="U84" t="s">
        <v>376</v>
      </c>
    </row>
    <row r="85" spans="2:21">
      <c r="B85" t="str">
        <f>"fa:fa-"&amp;icon[[#This Row],[Display]]</f>
        <v>fa:fa-plus-square</v>
      </c>
      <c r="C85" t="s">
        <v>194</v>
      </c>
      <c r="U85" t="s">
        <v>377</v>
      </c>
    </row>
    <row r="86" spans="2:21">
      <c r="B86" t="str">
        <f>"fa:fa-"&amp;icon[[#This Row],[Display]]</f>
        <v>fa:fa-print</v>
      </c>
      <c r="C86" t="s">
        <v>195</v>
      </c>
      <c r="U86" t="s">
        <v>378</v>
      </c>
    </row>
    <row r="87" spans="2:21">
      <c r="B87" t="str">
        <f>"fa:fa-"&amp;icon[[#This Row],[Display]]</f>
        <v>fa:fa-question</v>
      </c>
      <c r="C87" t="s">
        <v>196</v>
      </c>
      <c r="U87" t="s">
        <v>379</v>
      </c>
    </row>
    <row r="88" spans="2:21">
      <c r="B88" t="str">
        <f>"fa:fa-"&amp;icon[[#This Row],[Display]]</f>
        <v>fa:fa-question-circle</v>
      </c>
      <c r="C88" t="s">
        <v>197</v>
      </c>
      <c r="U88" t="s">
        <v>380</v>
      </c>
    </row>
    <row r="89" spans="2:21">
      <c r="B89" t="str">
        <f>"fa:fa-"&amp;icon[[#This Row],[Display]]</f>
        <v>fa:fa-shield-alt</v>
      </c>
      <c r="C89" t="s">
        <v>198</v>
      </c>
      <c r="U89" t="s">
        <v>381</v>
      </c>
    </row>
    <row r="90" spans="2:21">
      <c r="B90" t="str">
        <f>"fa:fa-"&amp;icon[[#This Row],[Display]]</f>
        <v>fa:fa-shopping-cart</v>
      </c>
      <c r="C90" t="s">
        <v>199</v>
      </c>
      <c r="U90" t="s">
        <v>382</v>
      </c>
    </row>
    <row r="91" spans="2:21">
      <c r="B91" t="str">
        <f>"fa:fa-"&amp;icon[[#This Row],[Display]]</f>
        <v>fa:fa-sign-in-alt</v>
      </c>
      <c r="C91" t="s">
        <v>200</v>
      </c>
      <c r="U91" t="s">
        <v>383</v>
      </c>
    </row>
    <row r="92" spans="2:21">
      <c r="B92" t="str">
        <f>"fa:fa-"&amp;icon[[#This Row],[Display]]</f>
        <v>fa:fa-stream</v>
      </c>
      <c r="C92" t="s">
        <v>201</v>
      </c>
    </row>
    <row r="94" spans="2:21">
      <c r="B94" t="str">
        <f>"fa:fa-"&amp;icon[[#This Row],[Display]]</f>
        <v>fa:fa-thermometer-full</v>
      </c>
      <c r="C94" t="s">
        <v>202</v>
      </c>
    </row>
    <row r="98" spans="2:4">
      <c r="B98" t="str">
        <f>"fa:fa-"&amp;icon[[#This Row],[Display]]</f>
        <v>fa:fa-thumbs-down</v>
      </c>
      <c r="C98" t="s">
        <v>203</v>
      </c>
    </row>
    <row r="99" spans="2:4">
      <c r="B99" t="str">
        <f>"fa:fa-"&amp;icon[[#This Row],[Display]]</f>
        <v>fa:fa-thumbs-up</v>
      </c>
      <c r="C99" t="s">
        <v>204</v>
      </c>
    </row>
    <row r="100" spans="2:4">
      <c r="B100" t="str">
        <f>"fa:fa-"&amp;icon[[#This Row],[Display]]</f>
        <v>fa:fa-tint</v>
      </c>
      <c r="C100" t="s">
        <v>205</v>
      </c>
    </row>
    <row r="101" spans="2:4">
      <c r="B101" t="str">
        <f>"fa:fa-"&amp;icon[[#This Row],[Display]]</f>
        <v>fa:fa-tint-slash</v>
      </c>
      <c r="C101" t="s">
        <v>206</v>
      </c>
    </row>
    <row r="102" spans="2:4">
      <c r="B102" t="str">
        <f>"fa:fa-"&amp;icon[[#This Row],[Display]]</f>
        <v>fa:fa-toggle-off</v>
      </c>
      <c r="C102" t="s">
        <v>207</v>
      </c>
    </row>
    <row r="103" spans="2:4">
      <c r="B103" t="str">
        <f>"fa:fa-"&amp;icon[[#This Row],[Display]]</f>
        <v>fa:fa-toggle-on</v>
      </c>
      <c r="C103" t="s">
        <v>208</v>
      </c>
    </row>
    <row r="104" spans="2:4">
      <c r="B104" t="str">
        <f>"fa:fa-"&amp;icon[[#This Row],[Display]]</f>
        <v>fa:fa-unlock</v>
      </c>
      <c r="C104" t="s">
        <v>209</v>
      </c>
    </row>
    <row r="105" spans="2:4">
      <c r="B105" t="str">
        <f>"fa:fa-"&amp;icon[[#This Row],[Display]]</f>
        <v>fa:fa-unlock-alt</v>
      </c>
      <c r="C105" t="s">
        <v>210</v>
      </c>
    </row>
    <row r="106" spans="2:4">
      <c r="B106" t="str">
        <f>"fa:fa-"&amp;icon[[#This Row],[Display]]</f>
        <v>fa:fa-user</v>
      </c>
      <c r="C106" t="s">
        <v>7</v>
      </c>
      <c r="D106" t="s">
        <v>472</v>
      </c>
    </row>
    <row r="109" spans="2:4">
      <c r="B109" t="str">
        <f>"fa:fa-"&amp;icon[[#This Row],[Display]]</f>
        <v>fa:fa-user-slash</v>
      </c>
      <c r="C109" t="s">
        <v>211</v>
      </c>
      <c r="D109" t="s">
        <v>472</v>
      </c>
    </row>
    <row r="110" spans="2:4">
      <c r="B110" t="str">
        <f>"fa:fa-"&amp;icon[[#This Row],[Display]]</f>
        <v>fa:fa-video</v>
      </c>
      <c r="C110" t="s">
        <v>212</v>
      </c>
    </row>
    <row r="111" spans="2:4">
      <c r="B111" t="str">
        <f>"fa:fa-"&amp;icon[[#This Row],[Display]]</f>
        <v>fa:fa-video-slash</v>
      </c>
      <c r="C111" t="s">
        <v>213</v>
      </c>
    </row>
    <row r="116" spans="2:4">
      <c r="B116" t="str">
        <f>"fa:fa-"&amp;icon[[#This Row],[Display]]</f>
        <v>fa:fa-wifi</v>
      </c>
      <c r="C116" t="s">
        <v>214</v>
      </c>
      <c r="D116" t="s">
        <v>472</v>
      </c>
    </row>
    <row r="117" spans="2:4">
      <c r="B117" t="str">
        <f>"fa:fa-"&amp;icon[[#This Row],[Display]]</f>
        <v>fa:fa-barcode</v>
      </c>
      <c r="C117" t="s">
        <v>215</v>
      </c>
      <c r="D117" t="s">
        <v>472</v>
      </c>
    </row>
    <row r="118" spans="2:4">
      <c r="B118" t="str">
        <f>"fa:fa-"&amp;icon[[#This Row],[Display]]</f>
        <v>fa:fa-bug</v>
      </c>
      <c r="C118" t="s">
        <v>216</v>
      </c>
      <c r="D118" t="s">
        <v>472</v>
      </c>
    </row>
    <row r="119" spans="2:4">
      <c r="B119" t="str">
        <f>"fa:fa-"&amp;icon[[#This Row],[Display]]</f>
        <v>fa:fa-code</v>
      </c>
      <c r="C119" t="s">
        <v>217</v>
      </c>
      <c r="D119" t="s">
        <v>472</v>
      </c>
    </row>
    <row r="120" spans="2:4">
      <c r="B120" t="str">
        <f>"fa:fa-"&amp;icon[[#This Row],[Display]]</f>
        <v>fa:fa-code-branch</v>
      </c>
      <c r="C120" t="s">
        <v>218</v>
      </c>
    </row>
    <row r="121" spans="2:4">
      <c r="B121" t="str">
        <f>"fa:fa-"&amp;icon[[#This Row],[Display]]</f>
        <v>fa:fa-file</v>
      </c>
      <c r="C121" t="s">
        <v>177</v>
      </c>
    </row>
    <row r="122" spans="2:4">
      <c r="B122" t="str">
        <f>"fa:fa-"&amp;icon[[#This Row],[Display]]</f>
        <v>fa:fa-file-alt</v>
      </c>
      <c r="C122" t="s">
        <v>178</v>
      </c>
    </row>
    <row r="123" spans="2:4">
      <c r="B123" t="str">
        <f>"fa:fa-"&amp;icon[[#This Row],[Display]]</f>
        <v>fa:fa-file-code</v>
      </c>
      <c r="C123" t="s">
        <v>219</v>
      </c>
    </row>
    <row r="124" spans="2:4">
      <c r="B124" t="str">
        <f>"fa:fa-"&amp;icon[[#This Row],[Display]]</f>
        <v>fa:fa-filter</v>
      </c>
      <c r="C124" t="s">
        <v>220</v>
      </c>
    </row>
    <row r="125" spans="2:4">
      <c r="B125" t="str">
        <f>"fa:fa-"&amp;icon[[#This Row],[Display]]</f>
        <v>fa:fa-keyboard</v>
      </c>
      <c r="C125" t="s">
        <v>221</v>
      </c>
    </row>
    <row r="126" spans="2:4">
      <c r="B126" t="str">
        <f>"fa:fa-"&amp;icon[[#This Row],[Display]]</f>
        <v>fa:fa-folder</v>
      </c>
      <c r="C126" t="s">
        <v>179</v>
      </c>
    </row>
    <row r="127" spans="2:4">
      <c r="B127" t="str">
        <f>"fa:fa-"&amp;icon[[#This Row],[Display]]</f>
        <v>fa:fa-folder-open</v>
      </c>
      <c r="C127" t="s">
        <v>180</v>
      </c>
    </row>
    <row r="128" spans="2:4">
      <c r="B128" t="str">
        <f>"fa:fa-"&amp;icon[[#This Row],[Display]]</f>
        <v>fa:fa-terminal</v>
      </c>
      <c r="C128" t="s">
        <v>222</v>
      </c>
    </row>
    <row r="129" spans="2:3">
      <c r="B129" t="str">
        <f>"fa:fa-"&amp;icon[[#This Row],[Display]]</f>
        <v>fa:fa-window-close</v>
      </c>
      <c r="C129" t="s">
        <v>223</v>
      </c>
    </row>
    <row r="130" spans="2:3">
      <c r="B130" t="str">
        <f>"fa:fa-"&amp;icon[[#This Row],[Display]]</f>
        <v>fa:fa-window-maximize</v>
      </c>
      <c r="C130" t="s">
        <v>224</v>
      </c>
    </row>
    <row r="131" spans="2:3">
      <c r="B131" t="str">
        <f>"fa:fa-"&amp;icon[[#This Row],[Display]]</f>
        <v>fa:fa-window-restore</v>
      </c>
      <c r="C131" t="s">
        <v>225</v>
      </c>
    </row>
    <row r="132" spans="2:3">
      <c r="B132" t="str">
        <f>"fa:fa-"&amp;icon[[#This Row],[Display]]</f>
        <v>fa:fa-comment</v>
      </c>
      <c r="C132" t="s">
        <v>166</v>
      </c>
    </row>
    <row r="133" spans="2:3">
      <c r="B133" t="str">
        <f>"fa:fa-"&amp;icon[[#This Row],[Display]]</f>
        <v>fa:fa-comments</v>
      </c>
      <c r="C133" t="s">
        <v>226</v>
      </c>
    </row>
    <row r="134" spans="2:3">
      <c r="B134" t="str">
        <f>"fa:fa-"&amp;icon[[#This Row],[Display]]</f>
        <v>fa:fa-microphone</v>
      </c>
      <c r="C134" t="s">
        <v>187</v>
      </c>
    </row>
    <row r="135" spans="2:3">
      <c r="B135" t="str">
        <f>"fa:fa-"&amp;icon[[#This Row],[Display]]</f>
        <v>fa:fa-mobile</v>
      </c>
      <c r="C135" t="s">
        <v>227</v>
      </c>
    </row>
    <row r="137" spans="2:3">
      <c r="B137" t="str">
        <f>"fa:fa-"&amp;icon[[#This Row],[Display]]</f>
        <v>fa:fa-database</v>
      </c>
      <c r="C137" t="s">
        <v>32</v>
      </c>
    </row>
    <row r="138" spans="2:3">
      <c r="B138" t="str">
        <f>"fa:fa-"&amp;icon[[#This Row],[Display]]</f>
        <v>fa:fa-desktop</v>
      </c>
      <c r="C138" t="s">
        <v>228</v>
      </c>
    </row>
    <row r="139" spans="2:3">
      <c r="B139" t="str">
        <f>"fa:fa-"&amp;icon[[#This Row],[Display]]</f>
        <v>fa:fa-hdd</v>
      </c>
      <c r="C139" t="s">
        <v>229</v>
      </c>
    </row>
    <row r="140" spans="2:3">
      <c r="B140" t="str">
        <f>"fa:fa-"&amp;icon[[#This Row],[Display]]</f>
        <v>fa:fa-ethernet</v>
      </c>
      <c r="C140" t="s">
        <v>230</v>
      </c>
    </row>
    <row r="141" spans="2:3">
      <c r="B141" t="str">
        <f>"fa:fa-"&amp;icon[[#This Row],[Display]]</f>
        <v>fa:fa-download</v>
      </c>
      <c r="C141" t="s">
        <v>231</v>
      </c>
    </row>
    <row r="142" spans="2:3">
      <c r="B142" t="str">
        <f>"fa:fa-"&amp;icon[[#This Row],[Display]]</f>
        <v>fa:fa-laptop</v>
      </c>
      <c r="C142" t="s">
        <v>232</v>
      </c>
    </row>
    <row r="143" spans="2:3">
      <c r="B143" t="str">
        <f>"fa:fa-"&amp;icon[[#This Row],[Display]]</f>
        <v>fa:fa-memory</v>
      </c>
      <c r="C143" t="s">
        <v>233</v>
      </c>
    </row>
    <row r="144" spans="2:3">
      <c r="B144" t="str">
        <f>"fa:fa-"&amp;icon[[#This Row],[Display]]</f>
        <v>fa:fa-power-off</v>
      </c>
      <c r="C144" t="s">
        <v>234</v>
      </c>
    </row>
    <row r="146" spans="2:4">
      <c r="B146" t="str">
        <f>"fa:fa-"&amp;icon[[#This Row],[Display]]</f>
        <v>fa:fa-satellite</v>
      </c>
      <c r="C146" t="s">
        <v>235</v>
      </c>
    </row>
    <row r="147" spans="2:4">
      <c r="B147" t="str">
        <f>"fa:fa-"&amp;icon[[#This Row],[Display]]</f>
        <v>fa:fa-sd-card</v>
      </c>
      <c r="C147" t="s">
        <v>236</v>
      </c>
    </row>
    <row r="148" spans="2:4">
      <c r="B148" t="str">
        <f>"fa:fa-"&amp;icon[[#This Row],[Display]]</f>
        <v>fa:fa-stream</v>
      </c>
      <c r="C148" t="s">
        <v>201</v>
      </c>
    </row>
    <row r="149" spans="2:4">
      <c r="B149" t="str">
        <f>"fa:fa-"&amp;icon[[#This Row],[Display]]</f>
        <v>fa:fa-tablet</v>
      </c>
      <c r="C149" t="s">
        <v>237</v>
      </c>
    </row>
    <row r="150" spans="2:4">
      <c r="B150" t="str">
        <f>"fa:fa-"&amp;icon[[#This Row],[Display]]</f>
        <v>fa:fa-sim-card</v>
      </c>
      <c r="C150" t="s">
        <v>238</v>
      </c>
      <c r="D150" t="s">
        <v>472</v>
      </c>
    </row>
    <row r="151" spans="2:4">
      <c r="B151" t="str">
        <f>"fa:fa-"&amp;icon[[#This Row],[Display]]</f>
        <v>fa:fa-upload</v>
      </c>
      <c r="C151" t="s">
        <v>239</v>
      </c>
    </row>
    <row r="152" spans="2:4">
      <c r="B152" t="str">
        <f>"fa:fa-"&amp;icon[[#This Row],[Display]]</f>
        <v>fa:fa-clock</v>
      </c>
      <c r="C152" t="s">
        <v>240</v>
      </c>
    </row>
    <row r="153" spans="2:4">
      <c r="B153" t="str">
        <f>"fa:fa-"&amp;icon[[#This Row],[Display]]</f>
        <v>fa:fa-hourglass</v>
      </c>
      <c r="C153" t="s">
        <v>241</v>
      </c>
    </row>
    <row r="154" spans="2:4">
      <c r="B154" t="str">
        <f>"fa:fa-"&amp;icon[[#This Row],[Display]]</f>
        <v>fa:fa-stopwatch</v>
      </c>
      <c r="C154" t="s">
        <v>242</v>
      </c>
    </row>
    <row r="155" spans="2:4">
      <c r="B155" t="str">
        <f>"fa:fa-"&amp;icon[[#This Row],[Display]]</f>
        <v>fa:fa-bookmark</v>
      </c>
      <c r="C155" t="s">
        <v>243</v>
      </c>
    </row>
    <row r="156" spans="2:4">
      <c r="B156" t="str">
        <f>"fa:fa-"&amp;icon[[#This Row],[Display]]</f>
        <v>fa:fa-building</v>
      </c>
      <c r="C156" t="s">
        <v>244</v>
      </c>
    </row>
    <row r="157" spans="2:4">
      <c r="B157" t="str">
        <f>"fa:fa-"&amp;icon[[#This Row],[Display]]</f>
        <v>fa:fa-truck</v>
      </c>
      <c r="C157" t="s">
        <v>468</v>
      </c>
    </row>
    <row r="158" spans="2:4">
      <c r="B158" t="str">
        <f>"fa:fa-"&amp;icon[[#This Row],[Display]]</f>
        <v>fa:fa-flag</v>
      </c>
      <c r="C158" t="s">
        <v>88</v>
      </c>
    </row>
    <row r="159" spans="2:4">
      <c r="B159" t="str">
        <f>"fa:fa-"&amp;icon[[#This Row],[Display]]</f>
        <v>fa:fa-globe</v>
      </c>
      <c r="C159" t="s">
        <v>245</v>
      </c>
    </row>
    <row r="160" spans="2:4">
      <c r="B160" t="str">
        <f>"fa:fa-"&amp;icon[[#This Row],[Display]]</f>
        <v>fa:fa-home</v>
      </c>
      <c r="C160" t="s">
        <v>246</v>
      </c>
    </row>
    <row r="161" spans="2:4">
      <c r="B161" t="str">
        <f>"fa:fa-"&amp;icon[[#This Row],[Display]]</f>
        <v>fa:fa-layer-group</v>
      </c>
      <c r="C161" t="s">
        <v>247</v>
      </c>
    </row>
    <row r="162" spans="2:4">
      <c r="B162" t="str">
        <f>"fa:fa-"&amp;icon[[#This Row],[Display]]</f>
        <v>fa:fa-location-arrow</v>
      </c>
      <c r="C162" t="s">
        <v>248</v>
      </c>
    </row>
    <row r="163" spans="2:4">
      <c r="B163" t="str">
        <f>"fa:fa-"&amp;icon[[#This Row],[Display]]</f>
        <v>fa:fa-map</v>
      </c>
      <c r="C163" t="s">
        <v>249</v>
      </c>
    </row>
    <row r="164" spans="2:4">
      <c r="B164" t="str">
        <f>"fa:fa-"&amp;icon[[#This Row],[Display]]</f>
        <v>fa:fa-map-marker</v>
      </c>
      <c r="C164" t="s">
        <v>186</v>
      </c>
    </row>
    <row r="165" spans="2:4">
      <c r="B165" t="str">
        <f>"fa:fa-"&amp;icon[[#This Row],[Display]]</f>
        <v>fa:fa-map-pin</v>
      </c>
      <c r="C165" t="s">
        <v>250</v>
      </c>
    </row>
    <row r="166" spans="2:4">
      <c r="B166" t="str">
        <f>"fa:fa-"&amp;icon[[#This Row],[Display]]</f>
        <v>fa:fa-search</v>
      </c>
      <c r="C166" t="s">
        <v>251</v>
      </c>
    </row>
    <row r="167" spans="2:4">
      <c r="B167" t="str">
        <f>"fa:fa-"&amp;icon[[#This Row],[Display]]</f>
        <v>fa:fa-search-minus</v>
      </c>
      <c r="C167" t="s">
        <v>252</v>
      </c>
    </row>
    <row r="168" spans="2:4">
      <c r="B168" t="str">
        <f>"fa:fa-"&amp;icon[[#This Row],[Display]]</f>
        <v>fa:fa-search-plus</v>
      </c>
      <c r="C168" t="s">
        <v>253</v>
      </c>
    </row>
    <row r="169" spans="2:4">
      <c r="B169" t="str">
        <f>"fa:fa-"&amp;icon[[#This Row],[Display]]</f>
        <v>fa:fa-ticket-alt</v>
      </c>
      <c r="C169" t="s">
        <v>254</v>
      </c>
    </row>
    <row r="170" spans="2:4">
      <c r="B170" t="str">
        <f>"fa:fa-"&amp;icon[[#This Row],[Display]]</f>
        <v>fa:fa-thumbtack</v>
      </c>
      <c r="C170" t="s">
        <v>255</v>
      </c>
    </row>
    <row r="171" spans="2:4">
      <c r="B171" t="str">
        <f>"fa:fa-"&amp;icon[[#This Row],[Display]]</f>
        <v>fa:fa-wrench</v>
      </c>
      <c r="C171" t="s">
        <v>256</v>
      </c>
    </row>
    <row r="172" spans="2:4">
      <c r="B172" t="str">
        <f>"fa:fa-"&amp;icon[[#This Row],[Display]]</f>
        <v>fa:fa-id-badge</v>
      </c>
      <c r="C172" t="s">
        <v>257</v>
      </c>
      <c r="D172" t="s">
        <v>472</v>
      </c>
    </row>
    <row r="173" spans="2:4">
      <c r="B173" t="str">
        <f>"fa:fa-"&amp;icon[[#This Row],[Display]]</f>
        <v>fa:fa-id-card</v>
      </c>
      <c r="C173" t="s">
        <v>258</v>
      </c>
    </row>
    <row r="174" spans="2:4">
      <c r="B174" t="str">
        <f>"fa:fa-"&amp;icon[[#This Row],[Display]]</f>
        <v>fa:fa-frown</v>
      </c>
      <c r="C174" t="s">
        <v>259</v>
      </c>
    </row>
    <row r="175" spans="2:4">
      <c r="B175" t="str">
        <f>"fa:fa-"&amp;icon[[#This Row],[Display]]</f>
        <v>fa:fa-smile</v>
      </c>
      <c r="C175" t="s">
        <v>260</v>
      </c>
    </row>
    <row r="176" spans="2:4">
      <c r="B176" t="str">
        <f>"fa:fa-"&amp;icon[[#This Row],[Display]]</f>
        <v>fa:fa-meh</v>
      </c>
      <c r="C176" t="s">
        <v>261</v>
      </c>
    </row>
    <row r="177" spans="2:4">
      <c r="B177" t="str">
        <f>"fa:fa-"&amp;icon[[#This Row],[Display]]</f>
        <v>fa:fa-poo</v>
      </c>
      <c r="C177" t="s">
        <v>262</v>
      </c>
    </row>
    <row r="178" spans="2:4">
      <c r="B178" t="str">
        <f>"fa:fa-"&amp;icon[[#This Row],[Display]]</f>
        <v>fa:fa-id-card-alt</v>
      </c>
      <c r="C178" t="s">
        <v>263</v>
      </c>
    </row>
    <row r="179" spans="2:4">
      <c r="B179" s="16" t="str">
        <f>"fa:fa-"&amp;icon[[#This Row],[Display]]</f>
        <v>fa:fa-recycle</v>
      </c>
      <c r="C179" t="s">
        <v>264</v>
      </c>
    </row>
    <row r="180" spans="2:4">
      <c r="B180" s="16" t="str">
        <f>"fa:fa-"&amp;icon[[#This Row],[Display]]</f>
        <v>fa:fa-user-circle</v>
      </c>
      <c r="C180" t="s">
        <v>265</v>
      </c>
    </row>
    <row r="181" spans="2:4">
      <c r="B181" s="16" t="str">
        <f>"fa:fa-"&amp;icon[[#This Row],[Display]]</f>
        <v>fa:fa-user-edit</v>
      </c>
      <c r="C181" t="s">
        <v>266</v>
      </c>
    </row>
    <row r="182" spans="2:4">
      <c r="B182" s="16" t="str">
        <f>"fa:fa-"&amp;icon[[#This Row],[Display]]</f>
        <v>fa:fa-user-cog</v>
      </c>
      <c r="C182" t="s">
        <v>267</v>
      </c>
    </row>
    <row r="183" spans="2:4">
      <c r="B183" s="16" t="str">
        <f>"fa:fa-"&amp;icon[[#This Row],[Display]]</f>
        <v>fa:fa-user-plus</v>
      </c>
      <c r="C183" t="s">
        <v>268</v>
      </c>
    </row>
    <row r="184" spans="2:4">
      <c r="B184" s="16" t="str">
        <f>"fa:fa-"&amp;icon[[#This Row],[Display]]</f>
        <v>fa:fa-user-minus</v>
      </c>
      <c r="C184" t="s">
        <v>269</v>
      </c>
    </row>
    <row r="185" spans="2:4">
      <c r="B185" s="16" t="str">
        <f>"fa:fa-"&amp;icon[[#This Row],[Display]]</f>
        <v>fa:fa-user-tie</v>
      </c>
      <c r="C185" t="s">
        <v>270</v>
      </c>
    </row>
    <row r="186" spans="2:4">
      <c r="B186" s="16" t="str">
        <f>"fa:fa-"&amp;icon[[#This Row],[Display]]</f>
        <v>fa:fa-users</v>
      </c>
      <c r="C186" t="s">
        <v>271</v>
      </c>
      <c r="D186" t="s">
        <v>472</v>
      </c>
    </row>
    <row r="187" spans="2:4">
      <c r="B187" s="16" t="str">
        <f>"fa:fa-"&amp;icon[[#This Row],[Display]]</f>
        <v>fa:fa-bolt</v>
      </c>
      <c r="C187" t="s">
        <v>272</v>
      </c>
    </row>
    <row r="188" spans="2:4">
      <c r="B188" s="16" t="str">
        <f>"fa:fa-"&amp;icon[[#This Row],[Display]]</f>
        <v>fa:fa-cloud-rain</v>
      </c>
      <c r="C188" t="s">
        <v>273</v>
      </c>
    </row>
    <row r="189" spans="2:4">
      <c r="B189" s="16" t="str">
        <f>"fa:fa-"&amp;icon[[#This Row],[Display]]</f>
        <v>fa:fa-snowflake</v>
      </c>
      <c r="C189" t="s">
        <v>274</v>
      </c>
    </row>
    <row r="190" spans="2:4">
      <c r="B190" s="16" t="str">
        <f>"fa:fa-"&amp;icon[[#This Row],[Display]]</f>
        <v>fa:fa-water</v>
      </c>
      <c r="C190" t="s">
        <v>275</v>
      </c>
    </row>
    <row r="191" spans="2:4">
      <c r="B191" s="16" t="str">
        <f>"fa:fa-"&amp;icon[[#This Row],[Display]]</f>
        <v>fa:fa-wind</v>
      </c>
      <c r="C191" t="s">
        <v>276</v>
      </c>
    </row>
    <row r="192" spans="2:4">
      <c r="B192" s="16" t="str">
        <f>"fa:fa-"&amp;icon[[#This Row],[Display]]</f>
        <v>fa:fa-table</v>
      </c>
      <c r="C192" t="s">
        <v>469</v>
      </c>
      <c r="D192" t="s">
        <v>472</v>
      </c>
    </row>
    <row r="193" spans="2:4">
      <c r="B193" s="16" t="str">
        <f>"fa:fa-"&amp;icon[[#This Row],[Display]]</f>
        <v>fa:fa-arrows-alt</v>
      </c>
      <c r="C193" t="s">
        <v>470</v>
      </c>
    </row>
    <row r="194" spans="2:4">
      <c r="B194" s="16" t="str">
        <f>"fa:fa-"&amp;icon[[#This Row],[Display]]</f>
        <v>fa:fa-server</v>
      </c>
      <c r="C194" t="s">
        <v>471</v>
      </c>
      <c r="D194" t="s">
        <v>472</v>
      </c>
    </row>
  </sheetData>
  <dataValidations disablePrompts="1" count="1">
    <dataValidation type="list" allowBlank="1" showInputMessage="1" showErrorMessage="1" sqref="B1" xr:uid="{651D3EE9-A876-4B4B-8847-E44A10141792}">
      <formula1>lstTrueFalse</formula1>
    </dataValidation>
  </dataValidations>
  <pageMargins left="0.7" right="0.7" top="0.75" bottom="0.75" header="0.3" footer="0.3"/>
  <pageSetup orientation="portrait" horizontalDpi="0" verticalDpi="0" r:id="rId1"/>
  <tableParts count="17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CBDB007945FB4DBF012F1B8FB5581E" ma:contentTypeVersion="10" ma:contentTypeDescription="Create a new document." ma:contentTypeScope="" ma:versionID="c08caee7d0dc98ff3384baad3e51a4ed">
  <xsd:schema xmlns:xsd="http://www.w3.org/2001/XMLSchema" xmlns:xs="http://www.w3.org/2001/XMLSchema" xmlns:p="http://schemas.microsoft.com/office/2006/metadata/properties" xmlns:ns2="426b871e-0fd8-49c7-9b91-2ad763ab72a7" xmlns:ns3="7d306715-03e7-46e9-a358-76b5f0b9cc3b" targetNamespace="http://schemas.microsoft.com/office/2006/metadata/properties" ma:root="true" ma:fieldsID="17f5495d1b5577983f131b36994bdf1d" ns2:_="" ns3:_="">
    <xsd:import namespace="426b871e-0fd8-49c7-9b91-2ad763ab72a7"/>
    <xsd:import namespace="7d306715-03e7-46e9-a358-76b5f0b9cc3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6b871e-0fd8-49c7-9b91-2ad763ab72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664acaca-c248-4730-80e7-4d93d4b674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306715-03e7-46e9-a358-76b5f0b9cc3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4983e04-eba5-426a-9001-06a0cf062a94}" ma:internalName="TaxCatchAll" ma:showField="CatchAllData" ma:web="7d306715-03e7-46e9-a358-76b5f0b9cc3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Props1.xml><?xml version="1.0" encoding="utf-8"?>
<ds:datastoreItem xmlns:ds="http://schemas.openxmlformats.org/officeDocument/2006/customXml" ds:itemID="{B5AB8E0D-9F12-4DF6-8A19-507F9D61EB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6b871e-0fd8-49c7-9b91-2ad763ab72a7"/>
    <ds:schemaRef ds:uri="7d306715-03e7-46e9-a358-76b5f0b9cc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CDBC664-1613-4973-9491-08D4D737EE2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58F7EE6-B84A-4711-942A-4366DA5BEA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3</vt:i4>
      </vt:variant>
    </vt:vector>
  </HeadingPairs>
  <TitlesOfParts>
    <vt:vector size="14" baseType="lpstr">
      <vt:lpstr>🔀 class</vt:lpstr>
      <vt:lpstr>※ entity</vt:lpstr>
      <vt:lpstr>📆 gantt</vt:lpstr>
      <vt:lpstr>🔀 flow</vt:lpstr>
      <vt:lpstr>🗾 journey</vt:lpstr>
      <vt:lpstr>zenUML</vt:lpstr>
      <vt:lpstr>🔳 quadrant</vt:lpstr>
      <vt:lpstr>🔢 sequence</vt:lpstr>
      <vt:lpstr>🔄 simpleState</vt:lpstr>
      <vt:lpstr>🔢 simpleSequence</vt:lpstr>
      <vt:lpstr>supporting tables</vt:lpstr>
      <vt:lpstr>dsfs</vt:lpstr>
      <vt:lpstr>'※ entity'!erdDefaultRelationship</vt:lpstr>
      <vt:lpstr>stateDir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Galjan, Paul</dc:creator>
  <cp:keywords/>
  <dc:description/>
  <cp:lastModifiedBy>Galjan, Paul</cp:lastModifiedBy>
  <cp:revision/>
  <dcterms:created xsi:type="dcterms:W3CDTF">2023-12-08T14:55:54Z</dcterms:created>
  <dcterms:modified xsi:type="dcterms:W3CDTF">2024-05-08T16:04:47Z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2023-12-08T15:01:31Z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c42f48f6-34aa-4b91-a880-7c5fe37888e6</vt:lpwstr>
  </property>
  <property fmtid="{D5CDD505-2E9C-101B-9397-08002B2CF9AE}" pid="8" name="MSIP_Label_dad3be33-4108-4738-9e07-d8656a181486_ContentBits">
    <vt:lpwstr>0</vt:lpwstr>
  </property>
</Properties>
</file>