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4110F435-0E80-4D6D-A85C-2CA877605200}" xr6:coauthVersionLast="47" xr6:coauthVersionMax="47" xr10:uidLastSave="{00000000-0000-0000-0000-000000000000}"/>
  <bookViews>
    <workbookView xWindow="57480" yWindow="-120" windowWidth="29040" windowHeight="15840" xr2:uid="{35843AF7-3579-4737-8D3C-BD5B4B67E81A}"/>
  </bookViews>
  <sheets>
    <sheet name="※ entity" sheetId="15" r:id="rId1"/>
    <sheet name="📆 gantt" sheetId="14" r:id="rId2"/>
    <sheet name="🔀 flow" sheetId="9" r:id="rId3"/>
    <sheet name="🗾 journey" sheetId="18" r:id="rId4"/>
    <sheet name="zenUML" sheetId="13" state="hidden" r:id="rId5"/>
    <sheet name="🔳 quadrant" sheetId="8" r:id="rId6"/>
    <sheet name="🔢 sequence" sheetId="17" r:id="rId7"/>
    <sheet name="🔄 simpleState" sheetId="6" r:id="rId8"/>
    <sheet name="🔢 simpleSequence" sheetId="5" r:id="rId9"/>
    <sheet name="supporting tables" sheetId="4" state="hidden" r:id="rId10"/>
  </sheets>
  <definedNames>
    <definedName name="dsfs">'※ entity'!$B$1</definedName>
    <definedName name="entities" localSheetId="0">_xlfn.HSTACK(_xlfn.SEQUENCE(ROWS(_xlfn.UNIQUE(_xlfn.VSTACK(erdEntities[Source],erdEntities[Target])))),_xlfn.UNIQUE(_xlfn.VSTACK(erdEntities[Source],erdEntities[Target])))</definedName>
    <definedName name="entities" localSheetId="4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0">'※ entity'!$B$1</definedName>
    <definedName name="erdDefaultRelationship">#REF!</definedName>
    <definedName name="erdv2Attr">#REF!</definedName>
    <definedName name="erdv2Attributes">_xlfn.ANCHORARRAY(#REF!)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8" l="1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M2" i="17" a="1"/>
  <c r="M2" i="17" s="1"/>
  <c r="AV2" i="17" a="1"/>
  <c r="AV2" i="17" s="1"/>
  <c r="S1" i="17" a="1"/>
  <c r="S1" i="17" s="1"/>
  <c r="AT2" i="17" a="1"/>
  <c r="AT2" i="17" s="1"/>
  <c r="AS2" i="17"/>
  <c r="AS2" i="17" a="1"/>
  <c r="AR2" i="17" a="1"/>
  <c r="AR2" i="17" s="1"/>
  <c r="AQ2" i="17" a="1"/>
  <c r="AQ2" i="17" s="1"/>
  <c r="AP2" i="17" a="1"/>
  <c r="AP2" i="17" s="1"/>
  <c r="AO2" i="17" a="1"/>
  <c r="AO2" i="17" s="1"/>
  <c r="AN2" i="17" a="1"/>
  <c r="AN2" i="17" s="1"/>
  <c r="AM2" i="17"/>
  <c r="AM2" i="17" a="1"/>
  <c r="AL2" i="17" a="1"/>
  <c r="AL2" i="17" s="1"/>
  <c r="AK2" i="17" a="1"/>
  <c r="AK2" i="17" s="1"/>
  <c r="AJ2" i="17" a="1"/>
  <c r="AJ2" i="17" s="1"/>
  <c r="AI2" i="17" a="1"/>
  <c r="AI2" i="17" s="1"/>
  <c r="AH2" i="17" a="1"/>
  <c r="AH2" i="17" s="1"/>
  <c r="AG2" i="17"/>
  <c r="AG2" i="17" a="1"/>
  <c r="AF2" i="17" a="1"/>
  <c r="AF2" i="17" s="1"/>
  <c r="AE2" i="17" a="1"/>
  <c r="AE2" i="17" s="1"/>
  <c r="AD2" i="17" a="1"/>
  <c r="AD2" i="17" s="1"/>
  <c r="AC2" i="17" a="1"/>
  <c r="AC2" i="17" s="1"/>
  <c r="AB2" i="17" a="1"/>
  <c r="AB2" i="17" s="1"/>
  <c r="AA2" i="17"/>
  <c r="AA2" i="17" a="1"/>
  <c r="Z2" i="17" a="1"/>
  <c r="Z2" i="17" s="1"/>
  <c r="Y2" i="17" a="1"/>
  <c r="Y2" i="17" s="1"/>
  <c r="X2" i="17" a="1"/>
  <c r="X2" i="17" s="1"/>
  <c r="W2" i="17" a="1"/>
  <c r="W2" i="17" s="1"/>
  <c r="U1" i="17" a="1"/>
  <c r="U1" i="17" s="1"/>
  <c r="U2" i="17" s="1" a="1"/>
  <c r="U2" i="17" s="1"/>
  <c r="Q2" i="15" a="1"/>
  <c r="Q2" i="15" s="1"/>
  <c r="AF1" i="15" a="1"/>
  <c r="AF1" i="15" s="1"/>
  <c r="AF2" i="15" s="1" a="1"/>
  <c r="AF2" i="15" s="1"/>
  <c r="BD2" i="15" a="1"/>
  <c r="BD2" i="15" s="1"/>
  <c r="BC2" i="15" a="1"/>
  <c r="BC2" i="15" s="1"/>
  <c r="BB2" i="15" a="1"/>
  <c r="BB2" i="15" s="1"/>
  <c r="BA2" i="15" a="1"/>
  <c r="BA2" i="15" s="1"/>
  <c r="AZ2" i="15" a="1"/>
  <c r="AZ2" i="15" s="1"/>
  <c r="AY2" i="15" a="1"/>
  <c r="AY2" i="15" s="1"/>
  <c r="AX2" i="15" a="1"/>
  <c r="AX2" i="15" s="1"/>
  <c r="AW2" i="15" a="1"/>
  <c r="AW2" i="15" s="1"/>
  <c r="AV2" i="15" a="1"/>
  <c r="AV2" i="15" s="1"/>
  <c r="AU2" i="15" a="1"/>
  <c r="AU2" i="15" s="1"/>
  <c r="AT2" i="15" a="1"/>
  <c r="AT2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BE2" i="15" a="1"/>
  <c r="BE2" i="15" s="1"/>
  <c r="J26" i="9"/>
  <c r="J25" i="9"/>
  <c r="J24" i="9"/>
  <c r="J23" i="9"/>
  <c r="J22" i="9"/>
  <c r="J21" i="9"/>
  <c r="J20" i="9"/>
  <c r="J19" i="9"/>
  <c r="J18" i="9"/>
  <c r="J17" i="9"/>
  <c r="J11" i="9"/>
  <c r="J10" i="9"/>
  <c r="J9" i="9"/>
  <c r="J8" i="9"/>
  <c r="J7" i="9"/>
  <c r="J6" i="9"/>
  <c r="J5" i="9"/>
  <c r="J4" i="9"/>
  <c r="I4" i="18" l="1" a="1"/>
  <c r="I4" i="18" s="1"/>
  <c r="V2" i="17" a="1"/>
  <c r="V2" i="17" s="1"/>
  <c r="BG2" i="15" a="1"/>
  <c r="BG2" i="15" s="1"/>
  <c r="B192" i="4"/>
  <c r="B193" i="4"/>
  <c r="B194" i="4"/>
  <c r="B51" i="4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W1" i="9" a="1"/>
  <c r="W1" i="9" l="1"/>
  <c r="R1" i="9" a="1"/>
  <c r="R1" i="9" s="1"/>
  <c r="O2" i="15" l="1"/>
  <c r="O3" i="15"/>
  <c r="O4" i="15"/>
  <c r="O5" i="15"/>
  <c r="O6" i="15"/>
  <c r="N6" i="15" s="1"/>
  <c r="O7" i="15"/>
  <c r="O8" i="15"/>
  <c r="N8" i="15" s="1"/>
  <c r="O9" i="15"/>
  <c r="N9" i="15" s="1"/>
  <c r="O10" i="15"/>
  <c r="N10" i="15" s="1"/>
  <c r="O11" i="15"/>
  <c r="O12" i="15"/>
  <c r="N12" i="15" s="1"/>
  <c r="O13" i="15"/>
  <c r="N13" i="15" s="1"/>
  <c r="O14" i="15"/>
  <c r="O15" i="15"/>
  <c r="O16" i="15"/>
  <c r="O17" i="15"/>
  <c r="O18" i="15"/>
  <c r="O19" i="15"/>
  <c r="O20" i="15"/>
  <c r="N20" i="15" s="1"/>
  <c r="O21" i="15"/>
  <c r="N21" i="15" s="1"/>
  <c r="O22" i="15"/>
  <c r="N22" i="15" s="1"/>
  <c r="O23" i="15"/>
  <c r="O24" i="15"/>
  <c r="N24" i="15" s="1"/>
  <c r="O25" i="15"/>
  <c r="N25" i="15" s="1"/>
  <c r="O26" i="15"/>
  <c r="O27" i="15"/>
  <c r="O28" i="15"/>
  <c r="O29" i="15"/>
  <c r="O30" i="15"/>
  <c r="O31" i="15"/>
  <c r="N2" i="15"/>
  <c r="N3" i="15"/>
  <c r="N4" i="15"/>
  <c r="N5" i="15"/>
  <c r="N7" i="15"/>
  <c r="N11" i="15"/>
  <c r="N14" i="15"/>
  <c r="N15" i="15"/>
  <c r="N16" i="15"/>
  <c r="N17" i="15"/>
  <c r="N18" i="15"/>
  <c r="N19" i="15"/>
  <c r="N23" i="15"/>
  <c r="N26" i="15"/>
  <c r="N27" i="15"/>
  <c r="N28" i="15"/>
  <c r="N29" i="15"/>
  <c r="N30" i="15"/>
  <c r="N31" i="15"/>
  <c r="C5" i="15"/>
  <c r="D5" i="15"/>
  <c r="D6" i="15"/>
  <c r="D7" i="15"/>
  <c r="D8" i="15"/>
  <c r="C6" i="15"/>
  <c r="F6" i="15" s="1"/>
  <c r="C7" i="15"/>
  <c r="F7" i="15" s="1"/>
  <c r="C8" i="15"/>
  <c r="F8" i="15" s="1"/>
  <c r="F5" i="15" l="1"/>
  <c r="I33" i="4" l="1"/>
  <c r="I32" i="4"/>
  <c r="I31" i="4"/>
  <c r="I30" i="4"/>
  <c r="J33" i="4"/>
  <c r="J2" i="5" l="1" a="1"/>
  <c r="J2" i="5" s="1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B5" i="5" a="1"/>
  <c r="B5" i="5" l="1"/>
  <c r="D10" i="9" l="1"/>
  <c r="D11" i="9"/>
  <c r="D12" i="9"/>
  <c r="D13" i="9"/>
  <c r="D14" i="9"/>
  <c r="D15" i="9"/>
  <c r="D16" i="9"/>
  <c r="D17" i="9"/>
  <c r="D18" i="9"/>
  <c r="D19" i="9"/>
  <c r="D20" i="9"/>
  <c r="D21" i="9"/>
  <c r="D22" i="9"/>
  <c r="U2" i="14" a="1"/>
  <c r="U2" i="14" s="1"/>
  <c r="O2" i="8" a="1"/>
  <c r="O2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W1" i="15" a="1"/>
  <c r="W1" i="15" s="1"/>
  <c r="V1" i="15" a="1"/>
  <c r="V1" i="15" s="1"/>
  <c r="U1" i="15" a="1"/>
  <c r="U1" i="15" s="1"/>
  <c r="T1" i="15" a="1"/>
  <c r="T1" i="15" s="1"/>
  <c r="S1" i="15" a="1"/>
  <c r="S1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L40" i="4"/>
  <c r="L39" i="4"/>
  <c r="L38" i="4"/>
  <c r="L37" i="4"/>
  <c r="J32" i="4"/>
  <c r="J30" i="4"/>
  <c r="J31" i="4"/>
  <c r="H3" i="6"/>
  <c r="H2" i="6"/>
  <c r="H10" i="6"/>
  <c r="M12" i="13"/>
  <c r="M11" i="13"/>
  <c r="M10" i="13"/>
  <c r="M9" i="13"/>
  <c r="M8" i="13"/>
  <c r="M7" i="13"/>
  <c r="M6" i="13"/>
  <c r="M5" i="13"/>
  <c r="M4" i="13"/>
  <c r="F4" i="13"/>
  <c r="M3" i="13"/>
  <c r="F3" i="13"/>
  <c r="M2" i="13"/>
  <c r="F2" i="13"/>
  <c r="U1" i="13" a="1"/>
  <c r="U1" i="13" s="1"/>
  <c r="T1" i="13" a="1"/>
  <c r="T1" i="13" s="1"/>
  <c r="S1" i="13" a="1"/>
  <c r="S1" i="13" s="1"/>
  <c r="R1" i="13" a="1"/>
  <c r="R1" i="13" s="1"/>
  <c r="P2" i="9" a="1"/>
  <c r="P2" i="9" s="1"/>
  <c r="Q1" i="9" a="1"/>
  <c r="Q1" i="9" s="1"/>
  <c r="O1" i="9" a="1"/>
  <c r="O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40" i="4"/>
  <c r="B41" i="4"/>
  <c r="B42" i="4"/>
  <c r="B43" i="4"/>
  <c r="B50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6" i="4"/>
  <c r="B67" i="4"/>
  <c r="B68" i="4"/>
  <c r="B69" i="4"/>
  <c r="B70" i="4"/>
  <c r="B71" i="4"/>
  <c r="B73" i="4"/>
  <c r="B77" i="4"/>
  <c r="B78" i="4"/>
  <c r="B80" i="4"/>
  <c r="B81" i="4"/>
  <c r="B83" i="4"/>
  <c r="B84" i="4"/>
  <c r="B85" i="4"/>
  <c r="B86" i="4"/>
  <c r="B87" i="4"/>
  <c r="B88" i="4"/>
  <c r="B89" i="4"/>
  <c r="B90" i="4"/>
  <c r="B91" i="4"/>
  <c r="B92" i="4"/>
  <c r="B94" i="4"/>
  <c r="B98" i="4"/>
  <c r="B99" i="4"/>
  <c r="B100" i="4"/>
  <c r="B101" i="4"/>
  <c r="B102" i="4"/>
  <c r="B103" i="4"/>
  <c r="B104" i="4"/>
  <c r="B105" i="4"/>
  <c r="B106" i="4"/>
  <c r="B109" i="4"/>
  <c r="B110" i="4"/>
  <c r="B111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7" i="4"/>
  <c r="D9" i="9" s="1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D8" i="9" s="1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17" a="1"/>
  <c r="J2" i="9" l="1"/>
  <c r="J13" i="9"/>
  <c r="J16" i="9"/>
  <c r="J14" i="9"/>
  <c r="J15" i="9"/>
  <c r="J3" i="9"/>
  <c r="J12" i="9"/>
  <c r="J2" i="6" a="1"/>
  <c r="J2" i="6" s="1"/>
  <c r="B5" i="17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M2" i="9" l="1" a="1"/>
  <c r="M2" i="9" s="1"/>
  <c r="K5" i="14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<sst xmlns="http://schemas.openxmlformats.org/spreadsheetml/2006/main" count="878" uniqueCount="509">
  <si>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</si>
  <si>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</si>
  <si>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</si>
  <si>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</si>
  <si>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</si>
  <si>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</si>
  <si>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</si>
  <si>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</si>
  <si>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</si>
  <si>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</si>
  <si>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</si>
  <si>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</si>
  <si>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</si>
  <si>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</si>
  <si>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</si>
  <si>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</si>
  <si>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</si>
  <si>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</si>
  <si>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</si>
  <si>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</si>
  <si>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</si>
  <si>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</si>
  <si>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</si>
  <si>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</si>
  <si>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</si>
  <si>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</si>
  <si>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</si>
  <si>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</si>
  <si>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</si>
  <si>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</si>
  <si>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</si>
  <si>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</si>
  <si>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</si>
  <si>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</si>
  <si>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</si>
  <si>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</si>
  <si>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</si>
  <si>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</si>
  <si>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</si>
  <si>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</si>
  <si>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</si>
  <si>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</si>
  <si>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</si>
  <si>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</si>
  <si>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</si>
  <si>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</si>
  <si>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</si>
  <si>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</si>
  <si>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</si>
  <si>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</si>
  <si>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</si>
  <si>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</si>
  <si>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</si>
  <si>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</si>
  <si>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</si>
  <si>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</si>
  <si>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</si>
  <si>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</si>
  <si>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</si>
  <si>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</si>
  <si>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</si>
  <si>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</si>
  <si>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</si>
  <si>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</si>
  <si>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</si>
  <si>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</si>
  <si>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</si>
  <si>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</si>
  <si>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</si>
  <si>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</si>
  <si>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</si>
  <si>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</si>
  <si>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</si>
  <si>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</si>
  <si>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</si>
  <si>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</si>
  <si>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</si>
  <si>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</si>
  <si>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</si>
  <si>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</si>
  <si>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</si>
  <si>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</si>
  <si>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</si>
  <si>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</si>
  <si>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</si>
  <si>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</si>
  <si>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</si>
  <si>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</si>
  <si>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</si>
  <si>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</si>
  <si>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</si>
  <si>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</si>
  <si>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</si>
  <si>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</si>
  <si>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</si>
  <si>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</si>
  <si>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</si>
  <si>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</si>
  <si>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</si>
  <si>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</si>
  <si>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</si>
  <si>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</si>
  <si>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</si>
  <si>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</si>
  <si>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</si>
  <si>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</si>
  <si>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</si>
  <si>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</si>
  <si>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</si>
  <si>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</si>
  <si>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</si>
  <si>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</si>
  <si>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</si>
  <si>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</si>
  <si>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</si>
  <si>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</si>
  <si>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</si>
  <si>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</si>
  <si>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</si>
  <si>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</si>
  <si>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</si>
  <si>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</si>
  <si>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</si>
  <si>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</si>
  <si>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</si>
  <si>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</si>
  <si>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</si>
  <si>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</si>
  <si>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</si>
  <si>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</si>
  <si>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</si>
  <si>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</si>
  <si>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</si>
  <si>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</si>
  <si>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</si>
  <si>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</si>
  <si>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</si>
  <si>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</si>
  <si>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</si>
  <si>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</si>
  <si>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</si>
  <si>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</si>
  <si>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</si>
  <si>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</si>
  <si>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</si>
  <si>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</si>
  <si>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</si>
  <si>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</si>
  <si>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</si>
  <si>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</si>
  <si>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</si>
  <si>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</si>
  <si>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</si>
  <si>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</si>
  <si>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</si>
  <si>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</si>
  <si>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</si>
  <si>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</si>
  <si>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</si>
  <si>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</si>
  <si>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</si>
  <si>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</si>
  <si>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</si>
  <si>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</si>
  <si>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</si>
  <si>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</si>
  <si>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</si>
  <si>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</si>
  <si>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</si>
  <si>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bell</t>
  </si>
  <si>
    <t>bell-slash</t>
  </si>
  <si>
    <t>calendar</t>
  </si>
  <si>
    <t>calendar-alt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</si>
  <si>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</si>
  <si>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</si>
  <si>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</si>
  <si>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</si>
  <si>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</si>
  <si>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</si>
  <si>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</si>
  <si>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</si>
  <si>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</si>
  <si>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</si>
  <si>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</si>
  <si>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</si>
  <si>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</si>
  <si>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</si>
  <si>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</si>
  <si>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info</t>
  </si>
  <si>
    <t>info-circle</t>
  </si>
  <si>
    <t>lightbulb</t>
  </si>
  <si>
    <t>lock</t>
  </si>
  <si>
    <t>lock-open</t>
  </si>
  <si>
    <t>map-marker</t>
  </si>
  <si>
    <t>microphone</t>
  </si>
  <si>
    <t>minus</t>
  </si>
  <si>
    <t>minus-circle</t>
  </si>
  <si>
    <t>parking</t>
  </si>
  <si>
    <t>phone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</si>
  <si>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</si>
  <si>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</si>
  <si>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</si>
  <si>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</si>
  <si>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</si>
  <si>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</si>
  <si>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</si>
  <si>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</si>
  <si>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</si>
  <si>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</si>
  <si>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thermometer-full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</si>
  <si>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</si>
  <si>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</si>
  <si>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</si>
  <si>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</si>
  <si>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</si>
  <si>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</si>
  <si>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</si>
  <si>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</si>
  <si>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user-slash</t>
  </si>
  <si>
    <t>video</t>
  </si>
  <si>
    <t>video-slash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</si>
  <si>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</si>
  <si>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</si>
  <si>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</si>
  <si>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</si>
  <si>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</si>
  <si>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</si>
  <si>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</si>
  <si>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</si>
  <si>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</si>
  <si>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</si>
  <si>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</si>
  <si>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</si>
  <si>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</si>
  <si>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</si>
  <si>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</si>
  <si>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</si>
  <si>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</si>
  <si>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</si>
  <si>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</si>
  <si>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</si>
  <si>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</si>
  <si>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</si>
  <si>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</si>
  <si>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</si>
  <si>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</si>
  <si>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</si>
  <si>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</si>
  <si>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</si>
  <si>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</si>
  <si>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</si>
  <si>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</si>
  <si>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</si>
  <si>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</si>
  <si>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</si>
  <si>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</si>
  <si>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</si>
  <si>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</si>
  <si>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</si>
  <si>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</si>
  <si>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</si>
  <si>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</si>
  <si>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</si>
  <si>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</si>
  <si>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</si>
  <si>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</si>
  <si>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</si>
  <si>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</si>
  <si>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</si>
  <si>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</si>
  <si>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</si>
  <si>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</si>
  <si>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</si>
  <si>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</si>
  <si>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</si>
  <si>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</si>
  <si>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</si>
  <si>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</si>
  <si>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</si>
  <si>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</si>
  <si>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</si>
  <si>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</si>
  <si>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</si>
  <si>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</si>
  <si>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</si>
  <si>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</si>
  <si>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</si>
  <si>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</si>
  <si>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</si>
  <si>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</si>
  <si>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</si>
  <si>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</si>
  <si>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</si>
  <si>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</si>
  <si>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</si>
  <si>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</si>
  <si>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</si>
  <si>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</si>
  <si>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</si>
  <si>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</si>
  <si>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</si>
  <si>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</si>
  <si>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</si>
  <si>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</si>
  <si>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</si>
  <si>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</si>
  <si>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</si>
  <si>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</si>
  <si>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</si>
  <si>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</si>
  <si>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</si>
  <si>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</si>
  <si>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</si>
  <si>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</si>
  <si>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</si>
  <si>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</si>
  <si>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</si>
  <si>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</si>
  <si>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</si>
  <si>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</si>
  <si>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</si>
  <si>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</si>
  <si>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</si>
  <si>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</si>
  <si>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</si>
  <si>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</si>
  <si>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</si>
  <si>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</si>
  <si>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</si>
  <si>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</si>
  <si>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</si>
  <si>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</si>
  <si>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</si>
  <si>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</si>
  <si>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</si>
  <si>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</si>
  <si>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</si>
  <si>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</si>
  <si>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</si>
  <si>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</si>
  <si>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</si>
  <si>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</si>
  <si>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</si>
  <si>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</si>
  <si>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</si>
  <si>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</si>
  <si>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</si>
  <si>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</si>
  <si>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</si>
  <si>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</si>
  <si>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</si>
  <si>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</si>
  <si>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</si>
  <si>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</si>
  <si>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</si>
  <si>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</si>
  <si>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</si>
  <si>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</si>
  <si>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</si>
  <si>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</si>
  <si>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</si>
  <si>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</si>
  <si>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</si>
  <si>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</si>
  <si>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</si>
  <si>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</si>
  <si>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</si>
  <si>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</si>
  <si>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</si>
  <si>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</si>
  <si>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</si>
  <si>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</si>
  <si>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</si>
  <si>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</si>
  <si>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</si>
  <si>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</si>
  <si>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</si>
  <si>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</si>
  <si>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</si>
  <si>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</si>
  <si>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</si>
  <si>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</si>
  <si>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</si>
  <si>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</si>
  <si>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</si>
  <si>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</si>
  <si>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</si>
  <si>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</si>
  <si>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</si>
  <si>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</si>
  <si>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</si>
  <si>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</si>
  <si>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</si>
  <si>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</si>
  <si>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</si>
  <si>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</si>
  <si>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</si>
  <si>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</si>
  <si>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</si>
  <si>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</si>
  <si>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</si>
  <si>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</si>
  <si>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</si>
  <si>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</si>
  <si>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</si>
  <si>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</si>
  <si>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</si>
  <si>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</si>
  <si>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</si>
  <si>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</si>
  <si>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</si>
  <si>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</si>
  <si>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</si>
  <si>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</si>
  <si>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</si>
  <si>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</si>
  <si>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</si>
  <si>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</si>
  <si>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</si>
  <si>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</si>
  <si>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</si>
  <si>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</si>
  <si>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</si>
  <si>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</si>
  <si>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</si>
  <si>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</si>
  <si>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</si>
  <si>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</si>
  <si>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</si>
  <si>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</si>
  <si>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</si>
  <si>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</si>
  <si>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</si>
  <si>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</si>
  <si>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</si>
  <si>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</si>
  <si>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</si>
  <si>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</si>
  <si>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</si>
  <si>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</si>
  <si>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</si>
  <si>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</si>
  <si>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</si>
  <si>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</si>
  <si>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</si>
  <si>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</si>
  <si>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</si>
  <si>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</si>
  <si>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</si>
  <si>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</si>
  <si>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</si>
  <si>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</si>
  <si>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</si>
  <si>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</si>
  <si>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</si>
  <si>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</si>
  <si>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</si>
  <si>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</si>
  <si>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</si>
  <si>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</si>
  <si>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</si>
  <si>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</si>
  <si>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</si>
  <si>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</si>
  <si>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</si>
  <si>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</si>
  <si>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</si>
  <si>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</si>
  <si>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</si>
  <si>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</si>
  <si>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</si>
  <si>
    <t>textMeaning</t>
  </si>
  <si>
    <t>==1</t>
  </si>
  <si>
    <t>left</t>
  </si>
  <si>
    <t>group</t>
  </si>
  <si>
    <t>reg number</t>
  </si>
  <si>
    <t>1:*</t>
  </si>
  <si>
    <t>error</t>
  </si>
  <si>
    <t>Column1</t>
  </si>
  <si>
    <t>index</t>
  </si>
  <si>
    <t>auto# delim</t>
  </si>
  <si>
    <t xml:space="preserve">: </t>
  </si>
  <si>
    <t>truck</t>
  </si>
  <si>
    <t>table</t>
  </si>
  <si>
    <t>arrows-alt</t>
  </si>
  <si>
    <t>server</t>
  </si>
  <si>
    <t>primary</t>
  </si>
  <si>
    <t>section</t>
  </si>
  <si>
    <t>score</t>
  </si>
  <si>
    <t>actors</t>
  </si>
  <si>
    <t>Sales</t>
  </si>
  <si>
    <t>Task</t>
  </si>
  <si>
    <t>Sales Engagement</t>
  </si>
  <si>
    <t>sales</t>
  </si>
  <si>
    <t>Discovery</t>
  </si>
  <si>
    <t>Price Negotiation</t>
  </si>
  <si>
    <t>presales</t>
  </si>
  <si>
    <t>Delivery</t>
  </si>
  <si>
    <t>Delivery timing</t>
  </si>
  <si>
    <t>Installation</t>
  </si>
  <si>
    <t>Knowledge Transfer</t>
  </si>
  <si>
    <t>services</t>
  </si>
  <si>
    <t>education, services</t>
  </si>
  <si>
    <t>Operation</t>
  </si>
  <si>
    <t>Customer Experience Lifecycle</t>
  </si>
  <si>
    <t>HW Support</t>
  </si>
  <si>
    <t>SW Support</t>
  </si>
  <si>
    <t>SLA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</si>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</sst>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  <xf numFmtId="0" fontId="0" fillId="10" borderId="4" xfId="0" applyFont="1" applyFill="1" applyBorder="1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53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rgb="FFC00000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261259</xdr:colOff>
      <xdr:row>2</xdr:row>
      <xdr:rowOff>48985</xdr:rowOff>
    </xdr:from>
    <xdr:to>
      <xdr:col>29</xdr:col>
      <xdr:colOff>593273</xdr:colOff>
      <xdr:row>27</xdr:row>
      <xdr:rowOff>77689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0530" y="419099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468086</xdr:colOff>
      <xdr:row>9</xdr:row>
      <xdr:rowOff>152400</xdr:rowOff>
    </xdr:from>
    <xdr:to>
      <xdr:col>12</xdr:col>
      <xdr:colOff>3171896</xdr:colOff>
      <xdr:row>22</xdr:row>
      <xdr:rowOff>66736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4B1D23-98F1-8AEA-D2D8-704F8BCC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3329" y="1817914"/>
          <a:ext cx="2699728" cy="23187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2245179</xdr:colOff>
      <xdr:row>12</xdr:row>
      <xdr:rowOff>154468</xdr:rowOff>
    </xdr:from>
    <xdr:to>
      <xdr:col>21</xdr:col>
      <xdr:colOff>341798</xdr:colOff>
      <xdr:row>24</xdr:row>
      <xdr:rowOff>171516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E99D66-4D0A-C0A5-A067-3F3B184D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7004" y="2326168"/>
          <a:ext cx="8678894" cy="218874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173580</xdr:colOff>
      <xdr:row>4</xdr:row>
      <xdr:rowOff>13844</xdr:rowOff>
    </xdr:from>
    <xdr:to>
      <xdr:col>18</xdr:col>
      <xdr:colOff>177952</xdr:colOff>
      <xdr:row>15</xdr:row>
      <xdr:rowOff>34251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276" y="752180"/>
          <a:ext cx="2077390" cy="20508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O31" totalsRowShown="0" headerRowCellStyle="Accent1">
  <autoFilter ref="H1:O31" xr:uid="{E67CC456-6B55-43D3-ADAA-D64EF8ADD13F}"/>
  <sortState xmlns:xlrd2="http://schemas.microsoft.com/office/spreadsheetml/2017/richdata2" ref="I2:N31">
    <sortCondition ref="I1:I31"/>
  </sortState>
  <tableColumns count="8">
    <tableColumn id="6" xr3:uid="{E163F6F7-933F-41E4-B5DE-7DDA8F6FEAE1}" name="group" dataDxfId="52">
      <calculatedColumnFormula>IFERROR(FIND(" ",J2)&gt;0,FALSE)</calculatedColumnFormula>
    </tableColumn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51">
      <calculatedColumnFormula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calculatedColumnFormula>
    </tableColumn>
    <tableColumn id="7" xr3:uid="{A651DB96-A5D6-497A-8237-BCFECA3D647B}" name="error" dataDxfId="50">
      <calculatedColumnFormula>IFERROR(IF(FIND(" ",erdAttributes[[#This Row],[Attribute (no spaces)]])&gt;0,"%% no spaces allowed in attribute: "&amp;erdAttributes[[#This Row],[Attribute (no spaces)]]),"")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" dataDxfId="49">
      <calculatedColumnFormula>dsfs</calculatedColumnFormula>
    </tableColumn>
    <tableColumn id="6" xr3:uid="{B1E26B83-FAE0-4E37-87A7-38E59CD49D16}" name="right" dataDxfId="48">
      <calculatedColumnFormula>dsfs</calculatedColumnFormula>
    </tableColumn>
    <tableColumn id="3" xr3:uid="{F07DAA67-25DA-451F-84A1-CD7CE7C4E086}" name="Target"/>
    <tableColumn id="5" xr3:uid="{D28745B2-AB29-4D9E-8EC9-94F3FB5F4CFD}" name="mmSyntax" dataDxfId="47">
      <calculatedColumnFormula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46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45"/>
    <tableColumn id="6" xr3:uid="{7DA52178-572F-42D8-A459-AB31906F7BEE}" name="duration" dataDxfId="44"/>
    <tableColumn id="12" xr3:uid="{503A1A32-C56C-4EF2-B297-5B4C20C2FA45}" name="StartType" dataDxfId="43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42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41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40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39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38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37">
      <calculatedColumnFormula>ROW()</calculatedColumnFormula>
    </tableColumn>
    <tableColumn id="13" xr3:uid="{2643BB68-25E1-47CA-9F4E-039B6193C631}" name="PreviousTaskID" dataDxfId="36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35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34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7:D22" totalsRowShown="0" dataDxfId="33" headerRowCellStyle="Accent1">
  <autoFilter ref="A7:D22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32"/>
    <tableColumn id="2" xr3:uid="{ECAC4E07-64EA-4108-858C-EA2B6DB5C8D9}" name="shape" dataDxfId="31"/>
    <tableColumn id="3" xr3:uid="{9BA84533-457E-443E-A476-FA9B5C1EB9A1}" name="icon" dataDxfId="30"/>
    <tableColumn id="4" xr3:uid="{DD5B560C-980D-49D7-AF5F-46317BD1357E}" name="mmSyntax" dataDxfId="29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K26" totalsRowShown="0" headerRowCellStyle="Accent1">
  <autoFilter ref="F1:K26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  <tableColumn id="7" xr3:uid="{2D73DE98-5423-4DCF-8CCD-23F222162F8E}" name="index">
      <calculatedColumnFormula>IF(flow[[#This Row],[source]]="","",ROW())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2766A90-45A5-4ED6-BE02-5BF1978E41C3}" name="Table30" displayName="Table30" ref="C3:G22" totalsRowShown="0">
  <autoFilter ref="C3:G22" xr:uid="{82766A90-45A5-4ED6-BE02-5BF1978E41C3}"/>
  <tableColumns count="5">
    <tableColumn id="1" xr3:uid="{3717D3D1-C15D-4671-B10C-6A81944E6C19}" name="section"/>
    <tableColumn id="4" xr3:uid="{09BA15FF-0277-48FD-8EAD-12C7A4415540}" name="Task"/>
    <tableColumn id="2" xr3:uid="{4D79C490-743A-4C4A-9F94-36FBA0D170C8}" name="score"/>
    <tableColumn id="3" xr3:uid="{4DA8D111-F8E3-43E0-B08C-E5B04BB0CEA4}" name="actors"/>
    <tableColumn id="5" xr3:uid="{CFF402CD-FB4B-4C2E-8A56-4CC7500F1A78}" name="mmSyntax" dataDxfId="12">
      <calculatedColumnFormula>IF(Table30[[#This Row],[section]]&lt;&gt;"","section " &amp;Table30[[#This Row],[section]],_xlfn.TEXTJOIN(" : ",TRUE,Table30[[#This Row],[Task]:[actors]]))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28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27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26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19" totalsRowShown="0" headerRowCellStyle="Accent1">
  <autoFilter ref="J1:M19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4" xr3:uid="{698343F2-0151-43E6-AFC0-E22F6787B6F0}" name="mmSyntax" dataDxfId="25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24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23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" displayName="seq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22">
      <calculatedColumnFormula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21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20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19"/>
    <tableColumn id="2" xr3:uid="{7EEEE46B-091C-4B0A-90FE-73FCA5979EF5}" name="connLength" dataDxfId="18"/>
    <tableColumn id="4" xr3:uid="{0981A7E0-AC52-4AEE-A94E-2B70C7C83D54}" name="connID" dataDxfId="17">
      <calculatedColumnFormula>tblFcConn[[#This Row],[connType]]&amp;tblFcConn[[#This Row],[connLength]]</calculatedColumnFormula>
    </tableColumn>
    <tableColumn id="3" xr3:uid="{BC567C8D-5719-4C6E-963C-7997C8DBB0E3}" name="mmSyntax" dataDxfId="16"/>
    <tableColumn id="5" xr3:uid="{EE05B8EC-8203-4880-B52C-38DD78398EB6}" name="display" dataDxfId="1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D194" totalsRowShown="0">
  <autoFilter ref="B34:D194" xr:uid="{2B332504-0277-4005-AA50-4B667BCBF30B}"/>
  <tableColumns count="3">
    <tableColumn id="1" xr3:uid="{30A2CF8A-2198-4DD2-A72D-FD5CFB7C3039}" name="Icon" dataDxfId="14">
      <calculatedColumnFormula>"fa:fa-"&amp;icon[[#This Row],[Display]]</calculatedColumnFormula>
    </tableColumn>
    <tableColumn id="2" xr3:uid="{A6E2B5D8-A6E3-44CF-BF3F-2827C592D3DF}" name="Display"/>
    <tableColumn id="3" xr3:uid="{5BBA68E3-752D-438A-8FA2-CF37FDDDC1F0}" name="Column1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K33" totalsRowShown="0">
  <autoFilter ref="G29:K33" xr:uid="{3B4B884A-0E91-4C9E-923B-7268A8759BB1}"/>
  <sortState xmlns:xlrd2="http://schemas.microsoft.com/office/spreadsheetml/2017/richdata2" ref="G30:I33">
    <sortCondition ref="I29:I33"/>
  </sortState>
  <tableColumns count="5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>
      <calculatedColumnFormula>erdDirections[[#This Row],[display]]</calculatedColumnFormula>
    </tableColumn>
    <tableColumn id="4" xr3:uid="{66C6F046-A1B9-4BE1-B1E2-6C2AC0702740}" name="display" dataDxfId="13">
      <calculatedColumnFormula>"==1"</calculatedColumnFormula>
    </tableColumn>
    <tableColumn id="5" xr3:uid="{CE4283B1-2840-412A-B5B0-C3904E24E9AD}" name="textMeaning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P27:P32" totalsRowShown="0">
  <autoFilter ref="P27:P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T36:T91" totalsRowShown="0">
  <autoFilter ref="T36:T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L36:L40" totalsRowShown="0">
  <autoFilter ref="L36:L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13" Type="http://schemas.openxmlformats.org/officeDocument/2006/relationships/table" Target="../tables/table29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BG56"/>
  <sheetViews>
    <sheetView showGridLines="0" tabSelected="1" zoomScaleNormal="100" workbookViewId="0">
      <selection activeCell="Q2" sqref="Q2"/>
    </sheetView>
  </sheetViews>
  <sheetFormatPr defaultRowHeight="14.6"/>
  <cols>
    <col min="1" max="1" width="18.3828125" customWidth="1"/>
    <col min="2" max="2" width="10.07421875" bestFit="1" customWidth="1"/>
    <col min="3" max="3" width="3.84375" customWidth="1"/>
    <col min="4" max="4" width="4.69140625" customWidth="1"/>
    <col min="5" max="5" width="19.15234375" customWidth="1"/>
    <col min="6" max="6" width="26.61328125" customWidth="1"/>
    <col min="7" max="7" width="10" customWidth="1"/>
    <col min="8" max="9" width="12.3828125" bestFit="1" customWidth="1"/>
    <col min="10" max="10" width="20.61328125" bestFit="1" customWidth="1"/>
    <col min="11" max="11" width="11.3046875" customWidth="1"/>
    <col min="12" max="12" width="6.15234375" bestFit="1" customWidth="1"/>
    <col min="13" max="13" width="30.84375" hidden="1" customWidth="1"/>
    <col min="14" max="14" width="30.84375" bestFit="1" customWidth="1"/>
    <col min="15" max="15" width="30.84375" customWidth="1"/>
    <col min="16" max="16" width="10.84375" customWidth="1"/>
    <col min="17" max="17" width="40.07421875" customWidth="1"/>
    <col min="18" max="19" width="9.3046875" hidden="1" customWidth="1"/>
    <col min="20" max="23" width="9.23046875" hidden="1" customWidth="1"/>
    <col min="32" max="59" width="0" hidden="1" customWidth="1"/>
  </cols>
  <sheetData>
    <row r="1" spans="1:59">
      <c r="A1" s="4" t="s">
        <v>430</v>
      </c>
      <c r="B1" s="25" t="s">
        <v>472</v>
      </c>
      <c r="H1" s="4" t="s">
        <v>474</v>
      </c>
      <c r="I1" s="4" t="s">
        <v>304</v>
      </c>
      <c r="J1" s="4" t="s">
        <v>341</v>
      </c>
      <c r="K1" s="4" t="s">
        <v>313</v>
      </c>
      <c r="L1" s="4" t="s">
        <v>324</v>
      </c>
      <c r="M1" s="4" t="s">
        <v>332</v>
      </c>
      <c r="N1" s="4" t="s">
        <v>5</v>
      </c>
      <c r="O1" s="4" t="s">
        <v>477</v>
      </c>
      <c r="Q1" s="4" t="s">
        <v>137</v>
      </c>
      <c r="S1" t="str" cm="1">
        <f t="array" ref="S1:S5">_xlfn.UNIQUE(_xlfn.VSTACK(erdEntities[Source],erdEntities[Target]))</f>
        <v>Manufacturer</v>
      </c>
      <c r="T1" t="str" cm="1">
        <f t="array" ref="T1:T4">erdDirections[Meaning]</f>
        <v>==1</v>
      </c>
      <c r="U1" t="str" cm="1">
        <f t="array" ref="U1:U3">_xlfn.UNIQUE(_xlfn._xlws.FILTER(erdAttributes[Type],erdAttributes[Type]&lt;&gt;""))</f>
        <v>string</v>
      </c>
      <c r="V1" t="str" cm="1">
        <f t="array" ref="V1:V5">keyTypes[KeyTypes]</f>
        <v>PK</v>
      </c>
      <c r="W1" t="str" cm="1">
        <f t="array" ref="W1:W4">_xlfn.UNIQUE(_xlfn.VSTACK(cardinality[Cardinality],erdEntities[description]))</f>
        <v>1:*</v>
      </c>
      <c r="AF1" t="str" cm="1">
        <f t="array" ref="AF1:AI1">TRANSPOSE(_xlfn.UNIQUE(_xlfn._xlws.FILTER(erdAttributes[Entity],erdAttributes[Entity]&lt;&gt;"")))</f>
        <v>Car</v>
      </c>
      <c r="AG1" t="str">
        <v>Named-Driver</v>
      </c>
      <c r="AH1" t="str">
        <v>Person</v>
      </c>
      <c r="AI1" t="str">
        <v>household</v>
      </c>
    </row>
    <row r="2" spans="1:59">
      <c r="N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" t="str">
        <f>IFERROR(IF(FIND(" ",erdAttributes[[#This Row],[Attribute (no spaces)]])&gt;0,"%% no spaces allowed in attribute: "&amp;erdAttributes[[#This Row],[Attribute (no spaces)]]),"")</f>
        <v/>
      </c>
      <c r="Q2" t="str" cm="1">
        <f t="array" ref="Q2:Q56">_xlfn.VSTACK(
"erDiagram","",
"%% Entities",
_xlfn._xlws.FILTER(erdEntities[mmSyntax],erdEntities[mmSyntax]&lt;&gt;"",""),
"",
"%% Attributes",_xlfn.ANCHORARRAY(
$BG$2)
)</f>
        <v>erDiagram</v>
      </c>
      <c r="S2" t="str">
        <v>Car</v>
      </c>
      <c r="T2" t="str">
        <v>&gt;=1</v>
      </c>
      <c r="U2" t="str">
        <v>json</v>
      </c>
      <c r="V2" t="str">
        <v>FK</v>
      </c>
      <c r="W2" t="str">
        <v>*:*</v>
      </c>
      <c r="AF2" s="23" t="str" cm="1">
        <f t="array" ref="AF2:AF8">IF(AF1="","",_xlfn.VSTACK(AF1&amp;"{",(_xlfn._xlws.FILTER(erdAttributes[mmSyntax],erdAttributes[Entity]=AF1,"")),"}"))</f>
        <v>Car{</v>
      </c>
      <c r="AG2" s="23" t="str" cm="1">
        <f t="array" ref="AG2:AG5">IF(AG1="","",_xlfn.VSTACK(AG1&amp;"{",(_xlfn._xlws.FILTER(erdAttributes[mmSyntax],erdAttributes[Entity]=AG1,"")),"}"))</f>
        <v>Named-Driver{</v>
      </c>
      <c r="AH2" s="23" t="str" cm="1">
        <f t="array" ref="AH2:AH9">IF(AH1="","",_xlfn.VSTACK(AH1&amp;"{",(_xlfn._xlws.FILTER(erdAttributes[mmSyntax],erdAttributes[Entity]=AH1,"")),"}"))</f>
        <v>Person{</v>
      </c>
      <c r="AI2" s="23" t="str" cm="1">
        <f t="array" ref="AI2:AI6">IF(AI1="","",_xlfn.VSTACK(AI1&amp;"{",(_xlfn._xlws.FILTER(erdAttributes[mmSyntax],erdAttributes[Entity]=AI1,"")),"}"))</f>
        <v>household{</v>
      </c>
      <c r="AJ2" s="23" t="str" cm="1">
        <f t="array" ref="AJ2">IF(AJ1="","",_xlfn.VSTACK(AJ1&amp;"{",(_xlfn._xlws.FILTER(erdAttributes[mmSyntax],erdAttributes[Entity]=AJ1,"")),"}"))</f>
        <v/>
      </c>
      <c r="AK2" s="23" t="str" cm="1">
        <f t="array" ref="AK2">IF(AK1="","",_xlfn.VSTACK(AK1&amp;"{",(_xlfn._xlws.FILTER(erdAttributes[mmSyntax],erdAttributes[Entity]=AK1,"")),"}"))</f>
        <v/>
      </c>
      <c r="AL2" s="23" t="str" cm="1">
        <f t="array" ref="AL2">IF(AL1="","",_xlfn.VSTACK(AL1&amp;"{",(_xlfn._xlws.FILTER(erdAttributes[mmSyntax],erdAttributes[Entity]=AL1,"")),"}"))</f>
        <v/>
      </c>
      <c r="AM2" s="23" t="str" cm="1">
        <f t="array" ref="AM2">IF(AM1="","",_xlfn.VSTACK(AM1&amp;"{",(_xlfn._xlws.FILTER(erdAttributes[mmSyntax],erdAttributes[Entity]=AM1,"")),"}"))</f>
        <v/>
      </c>
      <c r="AN2" s="23" t="str" cm="1">
        <f t="array" ref="AN2">IF(AN1="","",_xlfn.VSTACK(AN1&amp;"{",(_xlfn._xlws.FILTER(erdAttributes[mmSyntax],erdAttributes[Entity]=AN1,"")),"}"))</f>
        <v/>
      </c>
      <c r="AO2" s="23" t="str" cm="1">
        <f t="array" ref="AO2">IF(AO1="","",_xlfn.VSTACK(AO1&amp;"{",(_xlfn._xlws.FILTER(erdAttributes[mmSyntax],erdAttributes[Entity]=AO1,"")),"}"))</f>
        <v/>
      </c>
      <c r="AP2" s="23" t="str" cm="1">
        <f t="array" ref="AP2">IF(AP1="","",_xlfn.VSTACK(AP1&amp;"{",(_xlfn._xlws.FILTER(erdAttributes[mmSyntax],erdAttributes[Entity]=AP1,"")),"}"))</f>
        <v/>
      </c>
      <c r="AQ2" s="23" t="str" cm="1">
        <f t="array" ref="AQ2">IF(AQ1="","",_xlfn.VSTACK(AQ1&amp;"{",(_xlfn._xlws.FILTER(erdAttributes[mmSyntax],erdAttributes[Entity]=AQ1,"")),"}"))</f>
        <v/>
      </c>
      <c r="AR2" s="23" t="str" cm="1">
        <f t="array" ref="AR2">IF(AR1="","",_xlfn.VSTACK(AR1&amp;"{",(_xlfn._xlws.FILTER(erdAttributes[mmSyntax],erdAttributes[Entity]=AR1,"")),"}"))</f>
        <v/>
      </c>
      <c r="AS2" s="23" t="str" cm="1">
        <f t="array" ref="AS2">IF(AS1="","",_xlfn.VSTACK(AS1&amp;"{",(_xlfn._xlws.FILTER(erdAttributes[Entity],erdAttributes[Attribute (no spaces)]=AS1,"")),"}"))</f>
        <v/>
      </c>
      <c r="AT2" s="23" t="str" cm="1">
        <f t="array" ref="AT2">IF(AT1="","",_xlfn.VSTACK(AT1&amp;"{",(_xlfn._xlws.FILTER(erdAttributes[Attribute (no spaces)],erdAttributes[Type]=AT1,"")),"}"))</f>
        <v/>
      </c>
      <c r="AU2" s="23" t="str" cm="1">
        <f t="array" ref="AU2">IF(AU1="","",_xlfn.VSTACK(AU1&amp;"{",(_xlfn._xlws.FILTER(erdAttributes[Type],erdAttributes[key]=AU1,"")),"}"))</f>
        <v/>
      </c>
      <c r="AV2" s="23" t="str" cm="1">
        <f t="array" ref="AV2">IF(AV1="","",_xlfn.VSTACK(AV1&amp;"{",(_xlfn._xlws.FILTER(erdAttributes[key],erdAttributes[Comment]=AV1,"")),"}"))</f>
        <v/>
      </c>
      <c r="AW2" s="23" t="str" cm="1">
        <f t="array" ref="AW2">IF(AW1="","",_xlfn.VSTACK(AW1&amp;"{",(_xlfn._xlws.FILTER(erdAttributes[Comment],erdAttributes[mmSyntax]=AW1,"")),"}"))</f>
        <v/>
      </c>
      <c r="AX2" s="23" t="str" cm="1">
        <f t="array" ref="AX2">IF(AX1="","",_xlfn.VSTACK(AX1&amp;"{",(_xlfn._xlws.FILTER(erdAttributes[mmSyntax],erdAttributes[Entity]=AX1,"")),"}"))</f>
        <v/>
      </c>
      <c r="AY2" s="23" t="str" cm="1">
        <f t="array" ref="AY2">IF(AY1="","",_xlfn.VSTACK(AY1&amp;"{",(_xlfn._xlws.FILTER(erdAttributes[Entity],erdAttributes[Attribute (no spaces)]=AY1,"")),"}"))</f>
        <v/>
      </c>
      <c r="AZ2" s="23" t="str" cm="1">
        <f t="array" ref="AZ2">IF(AZ1="","",_xlfn.VSTACK(AZ1&amp;"{",(_xlfn._xlws.FILTER(erdAttributes[Attribute (no spaces)],erdAttributes[Type]=AZ1,"")),"}"))</f>
        <v/>
      </c>
      <c r="BA2" s="23" t="str" cm="1">
        <f t="array" ref="BA2">IF(BA1="","",_xlfn.VSTACK(BA1&amp;"{",(_xlfn._xlws.FILTER(erdAttributes[Type],erdAttributes[key]=BA1,"")),"}"))</f>
        <v/>
      </c>
      <c r="BB2" s="23" t="str" cm="1">
        <f t="array" ref="BB2">IF(BB1="","",_xlfn.VSTACK(BB1&amp;"{",(_xlfn._xlws.FILTER(erdAttributes[key],erdAttributes[Comment]=BB1,"")),"}"))</f>
        <v/>
      </c>
      <c r="BC2" s="23" t="str" cm="1">
        <f t="array" ref="BC2">IF(BC1="","",_xlfn.VSTACK(BC1&amp;"{",(_xlfn._xlws.FILTER(erdAttributes[Comment],erdAttributes[mmSyntax]=BC1,"")),"}"))</f>
        <v/>
      </c>
      <c r="BD2" s="23" t="str" cm="1">
        <f t="array" ref="BD2">IF(BD1="","",_xlfn.VSTACK(BD1&amp;"{",(_xlfn._xlws.FILTER(erdAttributes[mmSyntax],erdAttributes[Entity]=BD1,"")),"}"))</f>
        <v/>
      </c>
      <c r="BE2" s="23" t="str" cm="1">
        <f t="array" ref="BE2">IF(BE1="","",_xlfn.VSTACK(
_xlfn.XLOOKUP(BE1,Table4[Box],Table4[mmSyntax]),
_xlfn._xlws.FILTER(seqObjects[mmSyntax],seqObjects[Box]=BE1),
"end"))</f>
        <v/>
      </c>
      <c r="BG2" s="23" t="str" cm="1">
        <f t="array" ref="BG2:BG47">_xlfn.VSTACK(_xlfn._xlws.FILTER(AG2:AG27,AG2:AG27&lt;&gt;"",""),_xlfn._xlws.FILTER(AF2:AF27,AF2:AF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,_xlfn._xlws.FILTER(AU2:AU27,AU2:AU27&lt;&gt;"",""),_xlfn._xlws.FILTER(AV2:AV27,AV2:AV27&lt;&gt;"",""),_xlfn._xlws.FILTER(AW2:AW27,AW2:AW27&lt;&gt;"",""),_xlfn._xlws.FILTER(AX2:AX27,AX2:AX27&lt;&gt;"",""),_xlfn._xlws.FILTER(AY2:AY27,AY2:AY27&lt;&gt;"",""),_xlfn._xlws.FILTER(AZ2:AZ27,AZ2:AZ27&lt;&gt;"",""),_xlfn._xlws.FILTER(BA2:BA27,BA2:BA27&lt;&gt;"",""),_xlfn._xlws.FILTER(BB2:BB27,BB2:BB27&lt;&gt;"",""),_xlfn._xlws.FILTER(BC2:BC27,BC2:BC27&lt;&gt;"",""),_xlfn._xlws.FILTER(BD2:BD27,BD2:BD27&lt;&gt;"",""),_xlfn._xlws.FILTER(BE2:BE27,BE2:BE27&lt;&gt;"",""))</f>
        <v>Named-Driver{</v>
      </c>
    </row>
    <row r="3" spans="1:59">
      <c r="I3" t="s">
        <v>306</v>
      </c>
      <c r="J3" t="s">
        <v>325</v>
      </c>
      <c r="K3" t="s">
        <v>402</v>
      </c>
      <c r="M3" t="s">
        <v>338</v>
      </c>
      <c r="N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make "my comment"</v>
      </c>
      <c r="O3" t="str">
        <f>IFERROR(IF(FIND(" ",erdAttributes[[#This Row],[Attribute (no spaces)]])&gt;0,"%% no spaces allowed in attribute: "&amp;erdAttributes[[#This Row],[Attribute (no spaces)]]),"")</f>
        <v/>
      </c>
      <c r="Q3" t="str">
        <v/>
      </c>
      <c r="S3" t="str">
        <v>Person</v>
      </c>
      <c r="T3" t="str">
        <v>&gt;=0</v>
      </c>
      <c r="U3" t="str">
        <v>polygon</v>
      </c>
      <c r="V3" t="str">
        <v>UK</v>
      </c>
      <c r="W3" t="str">
        <v>*:1</v>
      </c>
      <c r="AF3" s="23" t="str">
        <v>string make "my comment"</v>
      </c>
      <c r="AG3" s="23" t="str">
        <v>string carRegistrationNumber PK, FK</v>
      </c>
      <c r="AH3" s="23" t="str">
        <v>string driversLicense UK</v>
      </c>
      <c r="AI3" s="23" t="str">
        <v>string householdUUID PK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G3" t="str">
        <v>string carRegistrationNumber PK, FK</v>
      </c>
    </row>
    <row r="4" spans="1:59">
      <c r="A4" t="s">
        <v>308</v>
      </c>
      <c r="B4" t="s">
        <v>310</v>
      </c>
      <c r="C4" t="s">
        <v>473</v>
      </c>
      <c r="D4" t="s">
        <v>401</v>
      </c>
      <c r="E4" t="s">
        <v>309</v>
      </c>
      <c r="F4" t="s">
        <v>5</v>
      </c>
      <c r="I4" t="s">
        <v>306</v>
      </c>
      <c r="J4" t="s">
        <v>320</v>
      </c>
      <c r="K4" t="s">
        <v>402</v>
      </c>
      <c r="N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model</v>
      </c>
      <c r="O4" t="str">
        <f>IFERROR(IF(FIND(" ",erdAttributes[[#This Row],[Attribute (no spaces)]])&gt;0,"%% no spaces allowed in attribute: "&amp;erdAttributes[[#This Row],[Attribute (no spaces)]]),"")</f>
        <v/>
      </c>
      <c r="Q4" t="str">
        <v>%% Entities</v>
      </c>
      <c r="S4" t="str">
        <v>household</v>
      </c>
      <c r="T4" t="str">
        <v>0 ∨ 1</v>
      </c>
      <c r="V4" t="str">
        <v>PK, FK</v>
      </c>
      <c r="W4" t="str">
        <v>1:1</v>
      </c>
      <c r="AF4" s="23" t="str">
        <v>string model</v>
      </c>
      <c r="AG4" s="23" t="str">
        <v>string driversLicense FK, UK</v>
      </c>
      <c r="AH4" s="23" t="str">
        <v>json name</v>
      </c>
      <c r="AI4" s="23" t="str">
        <v>json address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G4" t="str">
        <v>string driversLicense FK, UK</v>
      </c>
    </row>
    <row r="5" spans="1:59">
      <c r="A5" t="s">
        <v>339</v>
      </c>
      <c r="B5" t="s">
        <v>476</v>
      </c>
      <c r="C5" t="str">
        <f t="shared" ref="C5:D8" si="0">dsfs</f>
        <v>==1</v>
      </c>
      <c r="D5" t="str">
        <f t="shared" si="0"/>
        <v>==1</v>
      </c>
      <c r="E5" t="s">
        <v>306</v>
      </c>
      <c r="F5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Manufacturer||--||Car : "1:*"</v>
      </c>
      <c r="I5" t="s">
        <v>306</v>
      </c>
      <c r="J5" t="s">
        <v>326</v>
      </c>
      <c r="K5" t="s">
        <v>321</v>
      </c>
      <c r="N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parts</v>
      </c>
      <c r="O5" t="str">
        <f>IFERROR(IF(FIND(" ",erdAttributes[[#This Row],[Attribute (no spaces)]])&gt;0,"%% no spaces allowed in attribute: "&amp;erdAttributes[[#This Row],[Attribute (no spaces)]]),"")</f>
        <v/>
      </c>
      <c r="Q5" t="str">
        <v>Manufacturer||--||Car : "1:*"</v>
      </c>
      <c r="S5" t="str">
        <v>Named-Driver</v>
      </c>
      <c r="V5" t="str">
        <v>FK, UK</v>
      </c>
      <c r="AF5" s="23" t="str">
        <v>json parts</v>
      </c>
      <c r="AG5" s="23" t="str">
        <v>}</v>
      </c>
      <c r="AH5" s="23" t="str">
        <v>polygon serviceArea</v>
      </c>
      <c r="AI5" s="23" t="str">
        <v>string personUUID FK</v>
      </c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G5" t="str">
        <v>}</v>
      </c>
    </row>
    <row r="6" spans="1:59">
      <c r="A6" t="s">
        <v>306</v>
      </c>
      <c r="B6" t="s">
        <v>434</v>
      </c>
      <c r="C6" t="str">
        <f t="shared" si="0"/>
        <v>==1</v>
      </c>
      <c r="D6" t="str">
        <f t="shared" si="0"/>
        <v>==1</v>
      </c>
      <c r="E6" t="s">
        <v>307</v>
      </c>
      <c r="F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Car||--||Named-Driver : "1:1"</v>
      </c>
      <c r="I6" t="s">
        <v>306</v>
      </c>
      <c r="J6" t="s">
        <v>475</v>
      </c>
      <c r="K6" t="s">
        <v>402</v>
      </c>
      <c r="L6" t="s">
        <v>314</v>
      </c>
      <c r="N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%% no spaces allowed in attribute: reg number</v>
      </c>
      <c r="O6" t="str">
        <f>IFERROR(IF(FIND(" ",erdAttributes[[#This Row],[Attribute (no spaces)]])&gt;0,"%% no spaces allowed in attribute: "&amp;erdAttributes[[#This Row],[Attribute (no spaces)]]),"")</f>
        <v>%% no spaces allowed in attribute: reg number</v>
      </c>
      <c r="Q6" t="str">
        <v>Car||--||Named-Driver : "1:1"</v>
      </c>
      <c r="AF6" s="23" t="str">
        <v>%% no spaces allowed in attribute: reg number</v>
      </c>
      <c r="AG6" s="23"/>
      <c r="AH6" s="23" t="str">
        <v>string phone UK</v>
      </c>
      <c r="AI6" s="23" t="str">
        <v>}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G6" t="str">
        <v>Car{</v>
      </c>
    </row>
    <row r="7" spans="1:59">
      <c r="A7" t="s">
        <v>305</v>
      </c>
      <c r="B7" t="s">
        <v>434</v>
      </c>
      <c r="C7" t="str">
        <f t="shared" si="0"/>
        <v>==1</v>
      </c>
      <c r="D7" t="str">
        <f t="shared" si="0"/>
        <v>==1</v>
      </c>
      <c r="E7" t="s">
        <v>307</v>
      </c>
      <c r="F7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Person||--||Named-Driver : "1:1"</v>
      </c>
      <c r="I7" t="s">
        <v>306</v>
      </c>
      <c r="J7" t="s">
        <v>447</v>
      </c>
      <c r="K7" t="s">
        <v>402</v>
      </c>
      <c r="L7" t="s">
        <v>316</v>
      </c>
      <c r="N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VIN UK</v>
      </c>
      <c r="O7" t="str">
        <f>IFERROR(IF(FIND(" ",erdAttributes[[#This Row],[Attribute (no spaces)]])&gt;0,"%% no spaces allowed in attribute: "&amp;erdAttributes[[#This Row],[Attribute (no spaces)]]),"")</f>
        <v/>
      </c>
      <c r="Q7" s="1" t="str">
        <v>Person||--||Named-Driver : "1:1"</v>
      </c>
      <c r="AF7" s="23" t="str">
        <v>string VIN UK</v>
      </c>
      <c r="AG7" s="23"/>
      <c r="AH7" s="23" t="str">
        <v>string householdUUID FK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G7" t="str">
        <v>string make "my comment"</v>
      </c>
    </row>
    <row r="8" spans="1:59">
      <c r="A8" t="s">
        <v>429</v>
      </c>
      <c r="B8" t="s">
        <v>433</v>
      </c>
      <c r="C8" t="str">
        <f t="shared" si="0"/>
        <v>==1</v>
      </c>
      <c r="D8" t="str">
        <f t="shared" si="0"/>
        <v>==1</v>
      </c>
      <c r="E8" t="s">
        <v>305</v>
      </c>
      <c r="F8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household||--||Person : "*:1"</v>
      </c>
      <c r="N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8" t="str">
        <f>IFERROR(IF(FIND(" ",erdAttributes[[#This Row],[Attribute (no spaces)]])&gt;0,"%% no spaces allowed in attribute: "&amp;erdAttributes[[#This Row],[Attribute (no spaces)]]),"")</f>
        <v/>
      </c>
      <c r="Q8" t="str">
        <v>household||--||Person : "*:1"</v>
      </c>
      <c r="AF8" s="23" t="str">
        <v>}</v>
      </c>
      <c r="AG8" s="23"/>
      <c r="AH8" s="23" t="str">
        <v>string personUUID PK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G8" t="str">
        <v>string model</v>
      </c>
    </row>
    <row r="9" spans="1:59">
      <c r="N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9" t="str">
        <f>IFERROR(IF(FIND(" ",erdAttributes[[#This Row],[Attribute (no spaces)]])&gt;0,"%% no spaces allowed in attribute: "&amp;erdAttributes[[#This Row],[Attribute (no spaces)]]),"")</f>
        <v/>
      </c>
      <c r="Q9" t="str">
        <v/>
      </c>
      <c r="AF9" s="23"/>
      <c r="AG9" s="23"/>
      <c r="AH9" s="23" t="str">
        <v>}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G9" t="str">
        <v>json parts</v>
      </c>
    </row>
    <row r="10" spans="1:59">
      <c r="I10" t="s">
        <v>307</v>
      </c>
      <c r="J10" t="s">
        <v>331</v>
      </c>
      <c r="K10" t="s">
        <v>402</v>
      </c>
      <c r="L10" t="s">
        <v>317</v>
      </c>
      <c r="N1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carRegistrationNumber PK, FK</v>
      </c>
      <c r="O10" t="str">
        <f>IFERROR(IF(FIND(" ",erdAttributes[[#This Row],[Attribute (no spaces)]])&gt;0,"%% no spaces allowed in attribute: "&amp;erdAttributes[[#This Row],[Attribute (no spaces)]]),"")</f>
        <v/>
      </c>
      <c r="Q10" t="str">
        <v>%% Attributes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G10" t="str">
        <v>%% no spaces allowed in attribute: reg number</v>
      </c>
    </row>
    <row r="11" spans="1:59">
      <c r="I11" t="s">
        <v>307</v>
      </c>
      <c r="J11" t="s">
        <v>327</v>
      </c>
      <c r="K11" t="s">
        <v>402</v>
      </c>
      <c r="L11" t="s">
        <v>318</v>
      </c>
      <c r="N1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FK, UK</v>
      </c>
      <c r="O11" t="str">
        <f>IFERROR(IF(FIND(" ",erdAttributes[[#This Row],[Attribute (no spaces)]])&gt;0,"%% no spaces allowed in attribute: "&amp;erdAttributes[[#This Row],[Attribute (no spaces)]]),"")</f>
        <v/>
      </c>
      <c r="Q11" t="str">
        <v>Named-Driver{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G11" t="str">
        <v>string VIN UK</v>
      </c>
    </row>
    <row r="12" spans="1:59">
      <c r="N1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2" t="str">
        <f>IFERROR(IF(FIND(" ",erdAttributes[[#This Row],[Attribute (no spaces)]])&gt;0,"%% no spaces allowed in attribute: "&amp;erdAttributes[[#This Row],[Attribute (no spaces)]]),"")</f>
        <v/>
      </c>
      <c r="Q12" t="str">
        <v>string carRegistrationNumber PK, FK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G12" t="str">
        <v>}</v>
      </c>
    </row>
    <row r="13" spans="1:59">
      <c r="N1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3" t="str">
        <f>IFERROR(IF(FIND(" ",erdAttributes[[#This Row],[Attribute (no spaces)]])&gt;0,"%% no spaces allowed in attribute: "&amp;erdAttributes[[#This Row],[Attribute (no spaces)]]),"")</f>
        <v/>
      </c>
      <c r="Q13" t="str">
        <v>string driversLicense FK, UK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G13" t="str">
        <v>Person{</v>
      </c>
    </row>
    <row r="14" spans="1:59">
      <c r="I14" t="s">
        <v>305</v>
      </c>
      <c r="J14" t="s">
        <v>327</v>
      </c>
      <c r="K14" t="s">
        <v>402</v>
      </c>
      <c r="L14" t="s">
        <v>316</v>
      </c>
      <c r="N1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UK</v>
      </c>
      <c r="O14" t="str">
        <f>IFERROR(IF(FIND(" ",erdAttributes[[#This Row],[Attribute (no spaces)]])&gt;0,"%% no spaces allowed in attribute: "&amp;erdAttributes[[#This Row],[Attribute (no spaces)]]),"")</f>
        <v/>
      </c>
      <c r="Q14" t="str">
        <v>}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G14" t="str">
        <v>string driversLicense UK</v>
      </c>
    </row>
    <row r="15" spans="1:59">
      <c r="I15" t="s">
        <v>305</v>
      </c>
      <c r="J15" t="s">
        <v>428</v>
      </c>
      <c r="K15" t="s">
        <v>321</v>
      </c>
      <c r="N1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name</v>
      </c>
      <c r="O15" t="str">
        <f>IFERROR(IF(FIND(" ",erdAttributes[[#This Row],[Attribute (no spaces)]])&gt;0,"%% no spaces allowed in attribute: "&amp;erdAttributes[[#This Row],[Attribute (no spaces)]]),"")</f>
        <v/>
      </c>
      <c r="Q15" t="str">
        <v>Car{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G15" t="str">
        <v>json name</v>
      </c>
    </row>
    <row r="16" spans="1:59">
      <c r="I16" t="s">
        <v>305</v>
      </c>
      <c r="J16" t="s">
        <v>337</v>
      </c>
      <c r="K16" t="s">
        <v>322</v>
      </c>
      <c r="N1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polygon serviceArea</v>
      </c>
      <c r="O16" t="str">
        <f>IFERROR(IF(FIND(" ",erdAttributes[[#This Row],[Attribute (no spaces)]])&gt;0,"%% no spaces allowed in attribute: "&amp;erdAttributes[[#This Row],[Attribute (no spaces)]]),"")</f>
        <v/>
      </c>
      <c r="Q16" t="str">
        <v>string make "my comment"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G16" t="str">
        <v>polygon serviceArea</v>
      </c>
    </row>
    <row r="17" spans="7:59">
      <c r="I17" t="s">
        <v>305</v>
      </c>
      <c r="J17" t="s">
        <v>198</v>
      </c>
      <c r="K17" t="s">
        <v>402</v>
      </c>
      <c r="L17" t="s">
        <v>316</v>
      </c>
      <c r="N1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phone UK</v>
      </c>
      <c r="O17" t="str">
        <f>IFERROR(IF(FIND(" ",erdAttributes[[#This Row],[Attribute (no spaces)]])&gt;0,"%% no spaces allowed in attribute: "&amp;erdAttributes[[#This Row],[Attribute (no spaces)]]),"")</f>
        <v/>
      </c>
      <c r="Q17" t="str">
        <v>string model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G17" t="str">
        <v>string phone UK</v>
      </c>
    </row>
    <row r="18" spans="7:59">
      <c r="I18" t="s">
        <v>305</v>
      </c>
      <c r="J18" t="s">
        <v>431</v>
      </c>
      <c r="K18" t="s">
        <v>402</v>
      </c>
      <c r="L18" t="s">
        <v>315</v>
      </c>
      <c r="N1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FK</v>
      </c>
      <c r="O18" t="str">
        <f>IFERROR(IF(FIND(" ",erdAttributes[[#This Row],[Attribute (no spaces)]])&gt;0,"%% no spaces allowed in attribute: "&amp;erdAttributes[[#This Row],[Attribute (no spaces)]]),"")</f>
        <v/>
      </c>
      <c r="Q18" t="str">
        <v>json parts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G18" t="str">
        <v>string householdUUID FK</v>
      </c>
    </row>
    <row r="19" spans="7:59">
      <c r="I19" t="s">
        <v>305</v>
      </c>
      <c r="J19" t="s">
        <v>432</v>
      </c>
      <c r="K19" t="s">
        <v>402</v>
      </c>
      <c r="L19" t="s">
        <v>314</v>
      </c>
      <c r="N1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PK</v>
      </c>
      <c r="O19" t="str">
        <f>IFERROR(IF(FIND(" ",erdAttributes[[#This Row],[Attribute (no spaces)]])&gt;0,"%% no spaces allowed in attribute: "&amp;erdAttributes[[#This Row],[Attribute (no spaces)]]),"")</f>
        <v/>
      </c>
      <c r="Q19" t="str">
        <v>%% no spaces allowed in attribute: reg number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G19" t="str">
        <v>string personUUID PK</v>
      </c>
    </row>
    <row r="20" spans="7:59">
      <c r="N2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0" t="str">
        <f>IFERROR(IF(FIND(" ",erdAttributes[[#This Row],[Attribute (no spaces)]])&gt;0,"%% no spaces allowed in attribute: "&amp;erdAttributes[[#This Row],[Attribute (no spaces)]]),"")</f>
        <v/>
      </c>
      <c r="Q20" t="str">
        <v>string VIN UK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G20" t="str">
        <v>}</v>
      </c>
    </row>
    <row r="21" spans="7:59">
      <c r="N2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1" t="str">
        <f>IFERROR(IF(FIND(" ",erdAttributes[[#This Row],[Attribute (no spaces)]])&gt;0,"%% no spaces allowed in attribute: "&amp;erdAttributes[[#This Row],[Attribute (no spaces)]]),"")</f>
        <v/>
      </c>
      <c r="Q21" t="str">
        <v>}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G21" t="str">
        <v>household{</v>
      </c>
    </row>
    <row r="22" spans="7:59">
      <c r="N2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2" t="str">
        <f>IFERROR(IF(FIND(" ",erdAttributes[[#This Row],[Attribute (no spaces)]])&gt;0,"%% no spaces allowed in attribute: "&amp;erdAttributes[[#This Row],[Attribute (no spaces)]]),"")</f>
        <v/>
      </c>
      <c r="Q22" t="str">
        <v>Person{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G22" t="str">
        <v>string householdUUID PK</v>
      </c>
    </row>
    <row r="23" spans="7:59">
      <c r="I23" t="s">
        <v>429</v>
      </c>
      <c r="J23" t="s">
        <v>431</v>
      </c>
      <c r="K23" t="s">
        <v>402</v>
      </c>
      <c r="L23" t="s">
        <v>314</v>
      </c>
      <c r="N2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PK</v>
      </c>
      <c r="O23" t="str">
        <f>IFERROR(IF(FIND(" ",erdAttributes[[#This Row],[Attribute (no spaces)]])&gt;0,"%% no spaces allowed in attribute: "&amp;erdAttributes[[#This Row],[Attribute (no spaces)]]),"")</f>
        <v/>
      </c>
      <c r="Q23" t="str">
        <v>string driversLicense UK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G23" t="str">
        <v>json address</v>
      </c>
    </row>
    <row r="24" spans="7:59">
      <c r="I24" t="s">
        <v>429</v>
      </c>
      <c r="J24" t="s">
        <v>427</v>
      </c>
      <c r="K24" t="s">
        <v>321</v>
      </c>
      <c r="N2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address</v>
      </c>
      <c r="O24" t="str">
        <f>IFERROR(IF(FIND(" ",erdAttributes[[#This Row],[Attribute (no spaces)]])&gt;0,"%% no spaces allowed in attribute: "&amp;erdAttributes[[#This Row],[Attribute (no spaces)]]),"")</f>
        <v/>
      </c>
      <c r="Q24" t="str">
        <v>json name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G24" t="str">
        <v>string personUUID FK</v>
      </c>
    </row>
    <row r="25" spans="7:59">
      <c r="I25" t="s">
        <v>429</v>
      </c>
      <c r="J25" t="s">
        <v>432</v>
      </c>
      <c r="K25" t="s">
        <v>402</v>
      </c>
      <c r="L25" t="s">
        <v>315</v>
      </c>
      <c r="N2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FK</v>
      </c>
      <c r="O25" t="str">
        <f>IFERROR(IF(FIND(" ",erdAttributes[[#This Row],[Attribute (no spaces)]])&gt;0,"%% no spaces allowed in attribute: "&amp;erdAttributes[[#This Row],[Attribute (no spaces)]]),"")</f>
        <v/>
      </c>
      <c r="Q25" t="str">
        <v>polygon serviceArea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G25" t="str">
        <v>}</v>
      </c>
    </row>
    <row r="26" spans="7:59">
      <c r="N2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6" t="str">
        <f>IFERROR(IF(FIND(" ",erdAttributes[[#This Row],[Attribute (no spaces)]])&gt;0,"%% no spaces allowed in attribute: "&amp;erdAttributes[[#This Row],[Attribute (no spaces)]]),"")</f>
        <v/>
      </c>
      <c r="Q26" t="str">
        <v>string phone UK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G26" t="str">
        <v/>
      </c>
    </row>
    <row r="27" spans="7:59">
      <c r="N2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7" t="str">
        <f>IFERROR(IF(FIND(" ",erdAttributes[[#This Row],[Attribute (no spaces)]])&gt;0,"%% no spaces allowed in attribute: "&amp;erdAttributes[[#This Row],[Attribute (no spaces)]]),"")</f>
        <v/>
      </c>
      <c r="Q27" t="str">
        <v>string householdUUID FK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G27" t="str">
        <v/>
      </c>
    </row>
    <row r="28" spans="7:59">
      <c r="N2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8" t="str">
        <f>IFERROR(IF(FIND(" ",erdAttributes[[#This Row],[Attribute (no spaces)]])&gt;0,"%% no spaces allowed in attribute: "&amp;erdAttributes[[#This Row],[Attribute (no spaces)]]),"")</f>
        <v/>
      </c>
      <c r="Q28" t="str">
        <v>string personUUID PK</v>
      </c>
      <c r="BG28" t="str">
        <v/>
      </c>
    </row>
    <row r="29" spans="7:59">
      <c r="G29" s="2"/>
      <c r="N2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9" t="str">
        <f>IFERROR(IF(FIND(" ",erdAttributes[[#This Row],[Attribute (no spaces)]])&gt;0,"%% no spaces allowed in attribute: "&amp;erdAttributes[[#This Row],[Attribute (no spaces)]]),"")</f>
        <v/>
      </c>
      <c r="Q29" t="str">
        <v>}</v>
      </c>
      <c r="BG29" t="str">
        <v/>
      </c>
    </row>
    <row r="30" spans="7:59">
      <c r="G30" s="2"/>
      <c r="N3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0" t="str">
        <f>IFERROR(IF(FIND(" ",erdAttributes[[#This Row],[Attribute (no spaces)]])&gt;0,"%% no spaces allowed in attribute: "&amp;erdAttributes[[#This Row],[Attribute (no spaces)]]),"")</f>
        <v/>
      </c>
      <c r="Q30" t="str">
        <v>household{</v>
      </c>
      <c r="BG30" t="str">
        <v/>
      </c>
    </row>
    <row r="31" spans="7:59">
      <c r="G31" s="2"/>
      <c r="N3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1" t="str">
        <f>IFERROR(IF(FIND(" ",erdAttributes[[#This Row],[Attribute (no spaces)]])&gt;0,"%% no spaces allowed in attribute: "&amp;erdAttributes[[#This Row],[Attribute (no spaces)]]),"")</f>
        <v/>
      </c>
      <c r="Q31" t="str">
        <v>string householdUUID PK</v>
      </c>
      <c r="BG31" t="str">
        <v/>
      </c>
    </row>
    <row r="32" spans="7:59">
      <c r="G32" s="2"/>
      <c r="Q32" t="str">
        <v>json address</v>
      </c>
      <c r="BG32" t="str">
        <v/>
      </c>
    </row>
    <row r="33" spans="7:59">
      <c r="G33" s="2"/>
      <c r="Q33" t="str">
        <v>string personUUID FK</v>
      </c>
      <c r="BG33" t="str">
        <v/>
      </c>
    </row>
    <row r="34" spans="7:59">
      <c r="Q34" t="str">
        <v>}</v>
      </c>
      <c r="BG34" t="str">
        <v/>
      </c>
    </row>
    <row r="35" spans="7:59">
      <c r="Q35" t="str">
        <v/>
      </c>
      <c r="BG35" t="str">
        <v/>
      </c>
    </row>
    <row r="36" spans="7:59">
      <c r="Q36" t="str">
        <v/>
      </c>
      <c r="BG36" t="str">
        <v/>
      </c>
    </row>
    <row r="37" spans="7:59">
      <c r="Q37" t="str">
        <v/>
      </c>
      <c r="BG37" t="str">
        <v/>
      </c>
    </row>
    <row r="38" spans="7:59">
      <c r="Q38" t="str">
        <v/>
      </c>
      <c r="BG38" t="str">
        <v/>
      </c>
    </row>
    <row r="39" spans="7:59">
      <c r="Q39" t="str">
        <v/>
      </c>
      <c r="BG39" t="str">
        <v/>
      </c>
    </row>
    <row r="40" spans="7:59">
      <c r="Q40" t="str">
        <v/>
      </c>
      <c r="BG40" t="str">
        <v/>
      </c>
    </row>
    <row r="41" spans="7:59">
      <c r="Q41" t="str">
        <v/>
      </c>
      <c r="BG41" t="str">
        <v/>
      </c>
    </row>
    <row r="42" spans="7:59">
      <c r="Q42" t="str">
        <v/>
      </c>
      <c r="BG42" t="str">
        <v/>
      </c>
    </row>
    <row r="43" spans="7:59">
      <c r="Q43" t="str">
        <v/>
      </c>
      <c r="BG43" t="str">
        <v/>
      </c>
    </row>
    <row r="44" spans="7:59">
      <c r="Q44" t="str">
        <v/>
      </c>
      <c r="BG44" t="str">
        <v/>
      </c>
    </row>
    <row r="45" spans="7:59">
      <c r="Q45" t="str">
        <v/>
      </c>
      <c r="BG45" t="str">
        <v/>
      </c>
    </row>
    <row r="46" spans="7:59">
      <c r="Q46" t="str">
        <v/>
      </c>
      <c r="BG46" t="str">
        <v/>
      </c>
    </row>
    <row r="47" spans="7:59">
      <c r="Q47" t="str">
        <v/>
      </c>
      <c r="BG47" t="str">
        <v/>
      </c>
    </row>
    <row r="48" spans="7:59">
      <c r="Q48" t="str">
        <v/>
      </c>
    </row>
    <row r="49" spans="17:17">
      <c r="Q49" t="str">
        <v/>
      </c>
    </row>
    <row r="50" spans="17:17">
      <c r="Q50" t="str">
        <v/>
      </c>
    </row>
    <row r="51" spans="17:17">
      <c r="Q51" t="str">
        <v/>
      </c>
    </row>
    <row r="52" spans="17:17">
      <c r="Q52" t="str">
        <v/>
      </c>
    </row>
    <row r="53" spans="17:17">
      <c r="Q53" t="str">
        <v/>
      </c>
    </row>
    <row r="54" spans="17:17">
      <c r="Q54" t="str">
        <v/>
      </c>
    </row>
    <row r="55" spans="17:17">
      <c r="Q55" t="str">
        <v/>
      </c>
    </row>
    <row r="56" spans="17:17">
      <c r="Q56" t="str">
        <v/>
      </c>
    </row>
  </sheetData>
  <dataConsolidate/>
  <conditionalFormatting sqref="G29:G33">
    <cfRule type="expression" dxfId="11" priority="2">
      <formula>_xlfn.ISFORMULA(G29)</formula>
    </cfRule>
  </conditionalFormatting>
  <conditionalFormatting sqref="J2:J31">
    <cfRule type="expression" dxfId="10" priority="1">
      <formula>IFERROR(FIND(" ",J2)&gt;0,FALSE)</formula>
    </cfRule>
  </conditionalFormatting>
  <dataValidations count="4">
    <dataValidation type="list" allowBlank="1" showInputMessage="1" showErrorMessage="1" sqref="K13:K31 K10:K11 K2:K6" xr:uid="{890A5CCF-14E6-4F29-98F3-5AD28D2D43FE}">
      <formula1>_xlfn.ANCHORARRAY($U$1)</formula1>
    </dataValidation>
    <dataValidation type="list" allowBlank="1" showInputMessage="1" showErrorMessage="1" sqref="B5:B8" xr:uid="{1DB91003-BA4A-44F2-B288-441D0334649B}">
      <formula1>_xlfn.ANCHORARRAY($W$1)</formula1>
    </dataValidation>
    <dataValidation type="list" allowBlank="1" showInputMessage="1" showErrorMessage="1" sqref="B1 C5:D8" xr:uid="{AC65ED86-E4A2-476B-8C82-B8CA5FB6610A}">
      <formula1>_xlfn.ANCHORARRAY($T$1)</formula1>
    </dataValidation>
    <dataValidation type="list" allowBlank="1" showInputMessage="1" showErrorMessage="1" sqref="L2:L7 L10:L11 L13:L31" xr:uid="{2FBE0DFB-7032-47C7-BDA2-B922E8F00C86}">
      <formula1>_xlfn.ANCHORARRAY($V$1)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1" sqref="U1:U2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147</v>
      </c>
      <c r="B1" t="s">
        <v>407</v>
      </c>
      <c r="C1" t="s">
        <v>5</v>
      </c>
      <c r="E1" t="s">
        <v>410</v>
      </c>
      <c r="F1" t="s">
        <v>403</v>
      </c>
      <c r="G1" t="s">
        <v>421</v>
      </c>
      <c r="H1" t="s">
        <v>417</v>
      </c>
      <c r="I1" t="s">
        <v>420</v>
      </c>
      <c r="J1" t="s">
        <v>440</v>
      </c>
      <c r="K1" t="s">
        <v>436</v>
      </c>
      <c r="L1" t="s">
        <v>439</v>
      </c>
      <c r="M1" t="s">
        <v>416</v>
      </c>
      <c r="N1" t="s">
        <v>445</v>
      </c>
      <c r="O1" t="s">
        <v>5</v>
      </c>
      <c r="P1" t="s">
        <v>442</v>
      </c>
      <c r="Q1" t="s">
        <v>441</v>
      </c>
      <c r="R1" t="s">
        <v>443</v>
      </c>
      <c r="S1" t="s">
        <v>444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342</v>
      </c>
    </row>
    <row r="2" spans="1:28">
      <c r="A2" t="s">
        <v>404</v>
      </c>
      <c r="B2" t="s">
        <v>408</v>
      </c>
      <c r="C2" t="str">
        <f>ganttElements[[#This Row],[Element]]&amp;" " &amp;ganttElements[[#This Row],[value]]</f>
        <v>dateFormat dd-mmm</v>
      </c>
      <c r="E2" t="s">
        <v>411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343</v>
      </c>
    </row>
    <row r="3" spans="1:28">
      <c r="A3" t="s">
        <v>0</v>
      </c>
      <c r="B3" t="s">
        <v>409</v>
      </c>
      <c r="C3" t="str">
        <f>ganttElements[[#This Row],[Element]]&amp;" " &amp;ganttElements[[#This Row],[value]]</f>
        <v>title Example GANTT</v>
      </c>
      <c r="F3" t="s">
        <v>413</v>
      </c>
      <c r="G3" s="18" t="s">
        <v>422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405</v>
      </c>
      <c r="B4" t="s">
        <v>406</v>
      </c>
      <c r="C4" t="str">
        <f>ganttElements[[#This Row],[Element]]&amp;" " &amp;ganttElements[[#This Row],[value]]</f>
        <v>excludes weekends</v>
      </c>
      <c r="F4" t="s">
        <v>425</v>
      </c>
      <c r="G4" t="s">
        <v>438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414</v>
      </c>
      <c r="G5" t="s">
        <v>422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412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415</v>
      </c>
      <c r="G10" t="s">
        <v>423</v>
      </c>
      <c r="H10" s="22" t="s">
        <v>446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426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418</v>
      </c>
      <c r="G19" t="s">
        <v>423</v>
      </c>
      <c r="H19" s="22" t="s">
        <v>446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419</v>
      </c>
      <c r="G20" t="s">
        <v>424</v>
      </c>
      <c r="H20" s="22" t="s">
        <v>437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Y160"/>
  <sheetViews>
    <sheetView showGridLines="0" zoomScaleNormal="100" workbookViewId="0">
      <selection activeCell="G19" sqref="G19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hidden="1" customWidth="1"/>
    <col min="11" max="11" width="5.3828125" hidden="1" customWidth="1"/>
    <col min="12" max="12" width="9.69140625" customWidth="1"/>
    <col min="13" max="13" width="57.3828125" customWidth="1"/>
    <col min="15" max="16" width="9.3046875" hidden="1" customWidth="1"/>
    <col min="17" max="17" width="9.23046875" hidden="1" customWidth="1"/>
    <col min="18" max="25" width="0" hidden="1" customWidth="1"/>
  </cols>
  <sheetData>
    <row r="1" spans="1:25">
      <c r="A1" s="4" t="s">
        <v>140</v>
      </c>
      <c r="B1" s="15" t="s">
        <v>29</v>
      </c>
      <c r="F1" s="4" t="s">
        <v>2</v>
      </c>
      <c r="G1" s="4" t="s">
        <v>4</v>
      </c>
      <c r="H1" s="4" t="s">
        <v>284</v>
      </c>
      <c r="I1" s="4" t="s">
        <v>139</v>
      </c>
      <c r="J1" s="4" t="s">
        <v>5</v>
      </c>
      <c r="K1" s="4" t="s">
        <v>479</v>
      </c>
      <c r="M1" s="4" t="s">
        <v>137</v>
      </c>
      <c r="O1" t="str" cm="1">
        <f t="array" ref="O1:O14">flownodes[nodeType]</f>
        <v>square</v>
      </c>
      <c r="P1" s="4" t="s">
        <v>126</v>
      </c>
      <c r="Q1" t="str" cm="1">
        <f t="array" ref="Q1:Q160">_xlfn._xlws.SORT(icon[Display])</f>
        <v>arrows-alt</v>
      </c>
      <c r="R1" cm="1">
        <f t="array" ref="R1:R25">flow[index]</f>
        <v>2</v>
      </c>
      <c r="W1" cm="1">
        <f t="array" ref="W1:Y6">_xlfn.HSTACK(_xlfn.SEQUENCE(COUNTA(_xlfn._xlws.FILTER(flow[label],flow[label]&lt;&gt;""))),_xlfn._xlws.FILTER(flow[label],flow[label]&lt;&gt;""),_xlfn._xlws.FILTER(flow[index],flow[label]&lt;&gt;""))</f>
        <v>1</v>
      </c>
      <c r="X1" t="str">
        <v>start</v>
      </c>
      <c r="Y1">
        <v>2</v>
      </c>
    </row>
    <row r="2" spans="1:25">
      <c r="A2" s="4" t="s">
        <v>400</v>
      </c>
      <c r="B2" s="15" t="s">
        <v>27</v>
      </c>
      <c r="F2" t="s">
        <v>129</v>
      </c>
      <c r="G2" t="s">
        <v>130</v>
      </c>
      <c r="I2" t="s">
        <v>129</v>
      </c>
      <c r="J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start)))--&gt;|1: start|2(step1)</v>
      </c>
      <c r="K2">
        <f>IF(flow[[#This Row],[source]]="","",ROW())</f>
        <v>2</v>
      </c>
      <c r="M2" t="str" cm="1">
        <f t="array" ref="M2:M9">_xlfn.VSTACK(
"flowchart "&amp;B2,
_xlfn._xlws.FILTER(flow[mmSyntax],flow[mmSyntax]&lt;&gt;"")
)</f>
        <v>flowchart TD</v>
      </c>
      <c r="O2" t="str">
        <v>rounded box</v>
      </c>
      <c r="P2" t="str" cm="1">
        <f t="array" ref="P2:P7">(_xlfn.UNIQUE(_xlfn.VSTACK(_xlfn._xlws.FILTER(F:F,(F:F&lt;&gt;"source")*(F:F&lt;&gt;"")),_xlfn._xlws.FILTER(G:G,(G:G&lt;&gt;"target")*(G:G&lt;&gt;"")))))</f>
        <v>start</v>
      </c>
      <c r="Q2" t="str">
        <v>barcode</v>
      </c>
      <c r="R2">
        <v>3</v>
      </c>
      <c r="W2">
        <v>2</v>
      </c>
      <c r="X2" t="str">
        <v>goto step2</v>
      </c>
      <c r="Y2">
        <v>3</v>
      </c>
    </row>
    <row r="3" spans="1:25">
      <c r="A3" s="4" t="s">
        <v>480</v>
      </c>
      <c r="B3" s="15" t="s">
        <v>481</v>
      </c>
      <c r="F3" t="s">
        <v>130</v>
      </c>
      <c r="G3" t="s">
        <v>131</v>
      </c>
      <c r="I3" t="s">
        <v>135</v>
      </c>
      <c r="J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2(step1)--&gt;|2: goto step2|3[(fa:fa-database step2)]</v>
      </c>
      <c r="K3">
        <f>IF(flow[[#This Row],[source]]="","",ROW())</f>
        <v>3</v>
      </c>
      <c r="M3" t="str">
        <v>1(((fa:fa-bell start)))--&gt;|1: start|2(step1)</v>
      </c>
      <c r="O3" t="str">
        <v>pill</v>
      </c>
      <c r="P3" t="str">
        <v>step1</v>
      </c>
      <c r="Q3" t="str">
        <v>battery-empty</v>
      </c>
      <c r="R3" t="str">
        <v/>
      </c>
      <c r="W3">
        <v>3</v>
      </c>
      <c r="X3" t="str">
        <v>goto step4</v>
      </c>
      <c r="Y3">
        <v>13</v>
      </c>
    </row>
    <row r="4" spans="1:25">
      <c r="J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" t="str">
        <f>IF(flow[[#This Row],[source]]="","",ROW())</f>
        <v/>
      </c>
      <c r="M4" t="str">
        <v>2(step1)--&gt;|2: goto step2|3[(fa:fa-database step2)]</v>
      </c>
      <c r="O4" t="str">
        <v>database</v>
      </c>
      <c r="P4" t="str">
        <v>step2</v>
      </c>
      <c r="Q4" t="str">
        <v>battery-full</v>
      </c>
      <c r="R4" t="str">
        <v/>
      </c>
      <c r="W4">
        <v>4</v>
      </c>
      <c r="X4" t="str">
        <v>goto step1</v>
      </c>
      <c r="Y4">
        <v>14</v>
      </c>
    </row>
    <row r="5" spans="1:25">
      <c r="J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" t="str">
        <f>IF(flow[[#This Row],[source]]="","",ROW())</f>
        <v/>
      </c>
      <c r="M5" t="str">
        <v>3[(fa:fa-database step2)]--&gt;2(step1)</v>
      </c>
      <c r="O5" t="str">
        <v>circle</v>
      </c>
      <c r="P5" t="str">
        <v>step3</v>
      </c>
      <c r="Q5" t="str">
        <v>battery-half</v>
      </c>
      <c r="R5" t="str">
        <v/>
      </c>
      <c r="W5">
        <v>5</v>
      </c>
      <c r="X5" t="str">
        <v>goto step 1</v>
      </c>
      <c r="Y5">
        <v>15</v>
      </c>
    </row>
    <row r="6" spans="1:25">
      <c r="J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" t="str">
        <f>IF(flow[[#This Row],[source]]="","",ROW())</f>
        <v/>
      </c>
      <c r="M6" t="str">
        <v>4(step3)--&gt;|3: goto step4|5(step4)</v>
      </c>
      <c r="O6" t="str">
        <v>subroutine</v>
      </c>
      <c r="P6" t="str">
        <v>step4</v>
      </c>
      <c r="Q6" t="str">
        <v>bell</v>
      </c>
      <c r="R6" t="str">
        <v/>
      </c>
      <c r="W6">
        <v>6</v>
      </c>
      <c r="X6" t="str">
        <v>end</v>
      </c>
      <c r="Y6">
        <v>16</v>
      </c>
    </row>
    <row r="7" spans="1:25">
      <c r="A7" s="4" t="s">
        <v>141</v>
      </c>
      <c r="B7" s="4" t="s">
        <v>30</v>
      </c>
      <c r="C7" s="4" t="s">
        <v>163</v>
      </c>
      <c r="D7" s="4" t="s">
        <v>5</v>
      </c>
      <c r="J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" t="str">
        <f>IF(flow[[#This Row],[source]]="","",ROW())</f>
        <v/>
      </c>
      <c r="M7" s="1" t="str">
        <v>4(step3)--&gt;|4: goto step1|2(step1)</v>
      </c>
      <c r="O7" t="str">
        <v>flag</v>
      </c>
      <c r="P7" t="str">
        <v>end</v>
      </c>
      <c r="Q7" t="str">
        <v>bell-slash</v>
      </c>
      <c r="R7" t="str">
        <v/>
      </c>
    </row>
    <row r="8" spans="1:25">
      <c r="A8" s="17" t="s">
        <v>129</v>
      </c>
      <c r="B8" s="17" t="s">
        <v>31</v>
      </c>
      <c r="C8" s="17" t="s">
        <v>169</v>
      </c>
      <c r="D8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J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" t="str">
        <f>IF(flow[[#This Row],[source]]="","",ROW())</f>
        <v/>
      </c>
      <c r="M8" t="str">
        <v>4(step3)--&gt;|5: goto step 1|3[(fa:fa-database step2)]</v>
      </c>
      <c r="O8" t="str">
        <v>rhombus</v>
      </c>
      <c r="Q8" t="str">
        <v>bolt</v>
      </c>
      <c r="R8" t="str">
        <v/>
      </c>
    </row>
    <row r="9" spans="1:25">
      <c r="A9" s="17" t="s">
        <v>131</v>
      </c>
      <c r="B9" s="17" t="s">
        <v>32</v>
      </c>
      <c r="C9" s="17" t="s">
        <v>32</v>
      </c>
      <c r="D9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J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" t="str">
        <f>IF(flow[[#This Row],[source]]="","",ROW())</f>
        <v/>
      </c>
      <c r="M9" t="str">
        <v>5(step4)--&gt;|6: end|6(end)</v>
      </c>
      <c r="O9" t="str">
        <v>parallelogram</v>
      </c>
      <c r="Q9" t="str">
        <v>bookmark</v>
      </c>
      <c r="R9" t="str">
        <v/>
      </c>
    </row>
    <row r="10" spans="1:25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" t="str">
        <f>IF(flow[[#This Row],[source]]="","",ROW())</f>
        <v/>
      </c>
      <c r="O10" t="str">
        <v>hexagon</v>
      </c>
      <c r="Q10" t="str">
        <v>bug</v>
      </c>
      <c r="R10" t="str">
        <v/>
      </c>
    </row>
    <row r="11" spans="1:25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" t="str">
        <f>IF(flow[[#This Row],[source]]="","",ROW())</f>
        <v/>
      </c>
      <c r="O11" t="str">
        <v>parallelogram alt</v>
      </c>
      <c r="Q11" t="str">
        <v>building</v>
      </c>
      <c r="R11">
        <v>12</v>
      </c>
    </row>
    <row r="12" spans="1:25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2" t="s">
        <v>131</v>
      </c>
      <c r="G12" t="s">
        <v>130</v>
      </c>
      <c r="J1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K12">
        <f>IF(flow[[#This Row],[source]]="","",ROW())</f>
        <v>12</v>
      </c>
      <c r="O12" t="str">
        <v>trapezoid</v>
      </c>
      <c r="Q12" t="str">
        <v>calendar</v>
      </c>
      <c r="R12">
        <v>13</v>
      </c>
    </row>
    <row r="13" spans="1:25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3" t="s">
        <v>132</v>
      </c>
      <c r="G13" t="s">
        <v>133</v>
      </c>
      <c r="I13" t="s">
        <v>136</v>
      </c>
      <c r="J1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4(step3)--&gt;|3: goto step4|5(step4)</v>
      </c>
      <c r="K13">
        <f>IF(flow[[#This Row],[source]]="","",ROW())</f>
        <v>13</v>
      </c>
      <c r="O13" t="str">
        <v>trapezoid alt</v>
      </c>
      <c r="Q13" t="str">
        <v>calendar-alt</v>
      </c>
      <c r="R13">
        <v>14</v>
      </c>
    </row>
    <row r="14" spans="1:25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4" t="s">
        <v>132</v>
      </c>
      <c r="G14" t="s">
        <v>130</v>
      </c>
      <c r="I14" t="s">
        <v>134</v>
      </c>
      <c r="J1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4(step3)--&gt;|4: goto step1|2(step1)</v>
      </c>
      <c r="K14">
        <f>IF(flow[[#This Row],[source]]="","",ROW())</f>
        <v>14</v>
      </c>
      <c r="O14" t="str">
        <v>double circle</v>
      </c>
      <c r="Q14" t="str">
        <v>clock</v>
      </c>
      <c r="R14">
        <v>15</v>
      </c>
    </row>
    <row r="15" spans="1:25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5" t="s">
        <v>132</v>
      </c>
      <c r="G15" t="s">
        <v>131</v>
      </c>
      <c r="I15" t="s">
        <v>138</v>
      </c>
      <c r="J1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4(step3)--&gt;|5: goto step 1|3[(fa:fa-database step2)]</v>
      </c>
      <c r="K15">
        <f>IF(flow[[#This Row],[source]]="","",ROW())</f>
        <v>15</v>
      </c>
      <c r="Q15" t="str">
        <v>cloud-rain</v>
      </c>
      <c r="R15">
        <v>16</v>
      </c>
    </row>
    <row r="16" spans="1:25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6" t="s">
        <v>133</v>
      </c>
      <c r="G16" t="s">
        <v>107</v>
      </c>
      <c r="I16" t="s">
        <v>107</v>
      </c>
      <c r="J1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5(step4)--&gt;|6: end|6(end)</v>
      </c>
      <c r="K16">
        <f>IF(flow[[#This Row],[source]]="","",ROW())</f>
        <v>16</v>
      </c>
      <c r="Q16" t="str">
        <v>code</v>
      </c>
      <c r="R16" t="str">
        <v/>
      </c>
    </row>
    <row r="17" spans="1:18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7" t="str">
        <f>IF(flow[[#This Row],[source]]="","",ROW())</f>
        <v/>
      </c>
      <c r="Q17" t="str">
        <v>code-branch</v>
      </c>
      <c r="R17" t="str">
        <v/>
      </c>
    </row>
    <row r="18" spans="1:18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8" t="str">
        <f>IF(flow[[#This Row],[source]]="","",ROW())</f>
        <v/>
      </c>
      <c r="Q18" t="str">
        <v>comment</v>
      </c>
      <c r="R18" t="str">
        <v/>
      </c>
    </row>
    <row r="19" spans="1:18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9" t="str">
        <f>IF(flow[[#This Row],[source]]="","",ROW())</f>
        <v/>
      </c>
      <c r="Q19" t="str">
        <v>comment</v>
      </c>
      <c r="R19" t="str">
        <v/>
      </c>
    </row>
    <row r="20" spans="1:18">
      <c r="A20" s="17"/>
      <c r="B20" s="17"/>
      <c r="C20" s="17"/>
      <c r="D2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0" t="str">
        <f>IF(flow[[#This Row],[source]]="","",ROW())</f>
        <v/>
      </c>
      <c r="Q20" t="str">
        <v>comment-alt</v>
      </c>
      <c r="R20" t="str">
        <v/>
      </c>
    </row>
    <row r="21" spans="1:18">
      <c r="A21" s="17"/>
      <c r="B21" s="17"/>
      <c r="C21" s="17"/>
      <c r="D2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1" t="str">
        <f>IF(flow[[#This Row],[source]]="","",ROW())</f>
        <v/>
      </c>
      <c r="Q21" t="str">
        <v>comments</v>
      </c>
      <c r="R21" t="str">
        <v/>
      </c>
    </row>
    <row r="22" spans="1:18">
      <c r="A22" s="17"/>
      <c r="B22" s="17"/>
      <c r="C22" s="17"/>
      <c r="D2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2" t="str">
        <f>IF(flow[[#This Row],[source]]="","",ROW())</f>
        <v/>
      </c>
      <c r="Q22" t="str">
        <v>comment-slash</v>
      </c>
      <c r="R22" t="str">
        <v/>
      </c>
    </row>
    <row r="23" spans="1:18">
      <c r="J2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3" t="str">
        <f>IF(flow[[#This Row],[source]]="","",ROW())</f>
        <v/>
      </c>
      <c r="Q23" t="str">
        <v>compass</v>
      </c>
      <c r="R23" t="str">
        <v/>
      </c>
    </row>
    <row r="24" spans="1:18">
      <c r="J2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4" t="str">
        <f>IF(flow[[#This Row],[source]]="","",ROW())</f>
        <v/>
      </c>
      <c r="Q24" t="str">
        <v>database</v>
      </c>
      <c r="R24" t="str">
        <v/>
      </c>
    </row>
    <row r="25" spans="1:18">
      <c r="J2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5" t="str">
        <f>IF(flow[[#This Row],[source]]="","",ROW())</f>
        <v/>
      </c>
      <c r="Q25" t="str">
        <v>desktop</v>
      </c>
      <c r="R25" t="str">
        <v/>
      </c>
    </row>
    <row r="26" spans="1:18">
      <c r="J2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6" t="str">
        <f>IF(flow[[#This Row],[source]]="","",ROW())</f>
        <v/>
      </c>
      <c r="Q26" t="str">
        <v>door-closed</v>
      </c>
    </row>
    <row r="27" spans="1:18">
      <c r="Q27" t="str">
        <v>door-open</v>
      </c>
    </row>
    <row r="28" spans="1:18">
      <c r="Q28" t="str">
        <v>download</v>
      </c>
    </row>
    <row r="29" spans="1:18">
      <c r="E29" s="2"/>
      <c r="Q29" t="str">
        <v>ethernet</v>
      </c>
    </row>
    <row r="30" spans="1:18">
      <c r="E30" s="2"/>
      <c r="Q30" t="str">
        <v>exclamation</v>
      </c>
    </row>
    <row r="31" spans="1:18">
      <c r="E31" s="2"/>
      <c r="Q31" t="str">
        <v>exclamation-circle</v>
      </c>
    </row>
    <row r="32" spans="1:18">
      <c r="E32" s="2"/>
      <c r="Q32" t="str">
        <v>exclamation-triangle</v>
      </c>
    </row>
    <row r="33" spans="5:17">
      <c r="E33" s="2"/>
      <c r="Q33" t="str">
        <v>eye</v>
      </c>
    </row>
    <row r="34" spans="5:17">
      <c r="Q34" t="str">
        <v>eye-slash</v>
      </c>
    </row>
    <row r="35" spans="5:17">
      <c r="Q35" t="str">
        <v>file</v>
      </c>
    </row>
    <row r="36" spans="5:17">
      <c r="Q36" t="str">
        <v>file</v>
      </c>
    </row>
    <row r="37" spans="5:17">
      <c r="Q37" t="str">
        <v>file-alt</v>
      </c>
    </row>
    <row r="38" spans="5:17">
      <c r="Q38" t="str">
        <v>file-alt</v>
      </c>
    </row>
    <row r="39" spans="5:17">
      <c r="Q39" t="str">
        <v>file-code</v>
      </c>
    </row>
    <row r="40" spans="5:17">
      <c r="Q40" t="str">
        <v>filter</v>
      </c>
    </row>
    <row r="41" spans="5:17">
      <c r="Q41" t="str">
        <v>flag</v>
      </c>
    </row>
    <row r="42" spans="5:17">
      <c r="Q42" t="str">
        <v>folder</v>
      </c>
    </row>
    <row r="43" spans="5:17">
      <c r="Q43" t="str">
        <v>folder</v>
      </c>
    </row>
    <row r="44" spans="5:17">
      <c r="Q44" t="str">
        <v>folder-open</v>
      </c>
    </row>
    <row r="45" spans="5:17">
      <c r="Q45" t="str">
        <v>folder-open</v>
      </c>
    </row>
    <row r="46" spans="5:17">
      <c r="Q46" t="str">
        <v>frown</v>
      </c>
    </row>
    <row r="47" spans="5:17">
      <c r="Q47" t="str">
        <v>globe</v>
      </c>
    </row>
    <row r="48" spans="5:17">
      <c r="Q48" t="str">
        <v>hdd</v>
      </c>
    </row>
    <row r="49" spans="17:17">
      <c r="Q49" t="str">
        <v>home</v>
      </c>
    </row>
    <row r="50" spans="17:17">
      <c r="Q50" t="str">
        <v>hourglass</v>
      </c>
    </row>
    <row r="51" spans="17:17">
      <c r="Q51" t="str">
        <v>id-badge</v>
      </c>
    </row>
    <row r="52" spans="17:17">
      <c r="Q52" t="str">
        <v>id-card</v>
      </c>
    </row>
    <row r="53" spans="17:17">
      <c r="Q53" t="str">
        <v>id-card-alt</v>
      </c>
    </row>
    <row r="54" spans="17:17">
      <c r="Q54" t="str">
        <v>info</v>
      </c>
    </row>
    <row r="55" spans="17:17">
      <c r="Q55" t="str">
        <v>info-circle</v>
      </c>
    </row>
    <row r="56" spans="17:17">
      <c r="Q56" t="str">
        <v>keyboard</v>
      </c>
    </row>
    <row r="57" spans="17:17">
      <c r="Q57" t="str">
        <v>laptop</v>
      </c>
    </row>
    <row r="58" spans="17:17">
      <c r="Q58" t="str">
        <v>layer-group</v>
      </c>
    </row>
    <row r="59" spans="17:17">
      <c r="Q59" t="str">
        <v>lightbulb</v>
      </c>
    </row>
    <row r="60" spans="17:17">
      <c r="Q60" t="str">
        <v>location-arrow</v>
      </c>
    </row>
    <row r="61" spans="17:17">
      <c r="Q61" t="str">
        <v>lock</v>
      </c>
    </row>
    <row r="62" spans="17:17">
      <c r="Q62" t="str">
        <v>lock-open</v>
      </c>
    </row>
    <row r="63" spans="17:17">
      <c r="Q63" t="str">
        <v>map</v>
      </c>
    </row>
    <row r="64" spans="17:17">
      <c r="Q64" t="str">
        <v>map-marker</v>
      </c>
    </row>
    <row r="65" spans="17:17">
      <c r="Q65" t="str">
        <v>map-marker</v>
      </c>
    </row>
    <row r="66" spans="17:17">
      <c r="Q66" t="str">
        <v>map-pin</v>
      </c>
    </row>
    <row r="67" spans="17:17">
      <c r="Q67" t="str">
        <v>meh</v>
      </c>
    </row>
    <row r="68" spans="17:17">
      <c r="Q68" t="str">
        <v>memory</v>
      </c>
    </row>
    <row r="69" spans="17:17">
      <c r="Q69" t="str">
        <v>microphone</v>
      </c>
    </row>
    <row r="70" spans="17:17">
      <c r="Q70" t="str">
        <v>microphone</v>
      </c>
    </row>
    <row r="71" spans="17:17">
      <c r="Q71" t="str">
        <v>minus</v>
      </c>
    </row>
    <row r="72" spans="17:17">
      <c r="Q72" t="str">
        <v>minus-circle</v>
      </c>
    </row>
    <row r="73" spans="17:17">
      <c r="Q73" t="str">
        <v>mobile</v>
      </c>
    </row>
    <row r="74" spans="17:17">
      <c r="Q74" t="str">
        <v>parking</v>
      </c>
    </row>
    <row r="75" spans="17:17">
      <c r="Q75" t="str">
        <v>phone</v>
      </c>
    </row>
    <row r="76" spans="17:17">
      <c r="Q76" t="str">
        <v>plus</v>
      </c>
    </row>
    <row r="77" spans="17:17">
      <c r="Q77" t="str">
        <v>plus-circle</v>
      </c>
    </row>
    <row r="78" spans="17:17">
      <c r="Q78" t="str">
        <v>plus-square</v>
      </c>
    </row>
    <row r="79" spans="17:17">
      <c r="Q79" t="str">
        <v>poo</v>
      </c>
    </row>
    <row r="80" spans="17:17">
      <c r="Q80" t="str">
        <v>power-off</v>
      </c>
    </row>
    <row r="81" spans="17:17">
      <c r="Q81" t="str">
        <v>print</v>
      </c>
    </row>
    <row r="82" spans="17:17">
      <c r="Q82" t="str">
        <v>question</v>
      </c>
    </row>
    <row r="83" spans="17:17">
      <c r="Q83" t="str">
        <v>question-circle</v>
      </c>
    </row>
    <row r="84" spans="17:17">
      <c r="Q84" t="str">
        <v>recycle</v>
      </c>
    </row>
    <row r="85" spans="17:17">
      <c r="Q85" t="str">
        <v>satellite</v>
      </c>
    </row>
    <row r="86" spans="17:17">
      <c r="Q86" t="str">
        <v>sd-card</v>
      </c>
    </row>
    <row r="87" spans="17:17">
      <c r="Q87" t="str">
        <v>search</v>
      </c>
    </row>
    <row r="88" spans="17:17">
      <c r="Q88" t="str">
        <v>search-minus</v>
      </c>
    </row>
    <row r="89" spans="17:17">
      <c r="Q89" t="str">
        <v>search-plus</v>
      </c>
    </row>
    <row r="90" spans="17:17">
      <c r="Q90" t="str">
        <v>server</v>
      </c>
    </row>
    <row r="91" spans="17:17">
      <c r="Q91" t="str">
        <v>shield-alt</v>
      </c>
    </row>
    <row r="92" spans="17:17">
      <c r="Q92" t="str">
        <v>shopping-cart</v>
      </c>
    </row>
    <row r="93" spans="17:17">
      <c r="Q93" t="str">
        <v>sign-in-alt</v>
      </c>
    </row>
    <row r="94" spans="17:17">
      <c r="Q94" t="str">
        <v>sim-card</v>
      </c>
    </row>
    <row r="95" spans="17:17">
      <c r="Q95" t="str">
        <v>smile</v>
      </c>
    </row>
    <row r="96" spans="17:17">
      <c r="Q96" t="str">
        <v>snowflake</v>
      </c>
    </row>
    <row r="97" spans="17:17">
      <c r="Q97" t="str">
        <v>stopwatch</v>
      </c>
    </row>
    <row r="98" spans="17:17">
      <c r="Q98" t="str">
        <v>stream</v>
      </c>
    </row>
    <row r="99" spans="17:17">
      <c r="Q99" t="str">
        <v>stream</v>
      </c>
    </row>
    <row r="100" spans="17:17">
      <c r="Q100" t="str">
        <v>table</v>
      </c>
    </row>
    <row r="101" spans="17:17">
      <c r="Q101" t="str">
        <v>tablet</v>
      </c>
    </row>
    <row r="102" spans="17:17">
      <c r="Q102" t="str">
        <v>terminal</v>
      </c>
    </row>
    <row r="103" spans="17:17">
      <c r="Q103" t="str">
        <v>thermometer-full</v>
      </c>
    </row>
    <row r="104" spans="17:17">
      <c r="Q104" t="str">
        <v>thumbs-down</v>
      </c>
    </row>
    <row r="105" spans="17:17">
      <c r="Q105" t="str">
        <v>thumbs-up</v>
      </c>
    </row>
    <row r="106" spans="17:17">
      <c r="Q106" t="str">
        <v>thumbtack</v>
      </c>
    </row>
    <row r="107" spans="17:17">
      <c r="Q107" t="str">
        <v>ticket-alt</v>
      </c>
    </row>
    <row r="108" spans="17:17">
      <c r="Q108" t="str">
        <v>tint</v>
      </c>
    </row>
    <row r="109" spans="17:17">
      <c r="Q109" t="str">
        <v>tint-slash</v>
      </c>
    </row>
    <row r="110" spans="17:17">
      <c r="Q110" t="str">
        <v>toggle-off</v>
      </c>
    </row>
    <row r="111" spans="17:17">
      <c r="Q111" t="str">
        <v>toggle-on</v>
      </c>
    </row>
    <row r="112" spans="17:17">
      <c r="Q112" t="str">
        <v>truck</v>
      </c>
    </row>
    <row r="113" spans="17:17">
      <c r="Q113" t="str">
        <v>unlock</v>
      </c>
    </row>
    <row r="114" spans="17:17">
      <c r="Q114" t="str">
        <v>unlock-alt</v>
      </c>
    </row>
    <row r="115" spans="17:17">
      <c r="Q115" t="str">
        <v>upload</v>
      </c>
    </row>
    <row r="116" spans="17:17">
      <c r="Q116" t="str">
        <v>user</v>
      </c>
    </row>
    <row r="117" spans="17:17">
      <c r="Q117" t="str">
        <v>user-circle</v>
      </c>
    </row>
    <row r="118" spans="17:17">
      <c r="Q118" t="str">
        <v>user-cog</v>
      </c>
    </row>
    <row r="119" spans="17:17">
      <c r="Q119" t="str">
        <v>user-edit</v>
      </c>
    </row>
    <row r="120" spans="17:17">
      <c r="Q120" t="str">
        <v>user-minus</v>
      </c>
    </row>
    <row r="121" spans="17:17">
      <c r="Q121" t="str">
        <v>user-plus</v>
      </c>
    </row>
    <row r="122" spans="17:17">
      <c r="Q122" t="str">
        <v>users</v>
      </c>
    </row>
    <row r="123" spans="17:17">
      <c r="Q123" t="str">
        <v>user-slash</v>
      </c>
    </row>
    <row r="124" spans="17:17">
      <c r="Q124" t="str">
        <v>user-tie</v>
      </c>
    </row>
    <row r="125" spans="17:17">
      <c r="Q125" t="str">
        <v>video</v>
      </c>
    </row>
    <row r="126" spans="17:17">
      <c r="Q126" t="str">
        <v>video-slash</v>
      </c>
    </row>
    <row r="127" spans="17:17">
      <c r="Q127" t="str">
        <v>water</v>
      </c>
    </row>
    <row r="128" spans="17:17">
      <c r="Q128" t="str">
        <v>wifi</v>
      </c>
    </row>
    <row r="129" spans="17:17">
      <c r="Q129" t="str">
        <v>wind</v>
      </c>
    </row>
    <row r="130" spans="17:17">
      <c r="Q130" t="str">
        <v>window-close</v>
      </c>
    </row>
    <row r="131" spans="17:17">
      <c r="Q131" t="str">
        <v>window-maximize</v>
      </c>
    </row>
    <row r="132" spans="17:17">
      <c r="Q132" t="str">
        <v>window-restore</v>
      </c>
    </row>
    <row r="133" spans="17:17">
      <c r="Q133" t="str">
        <v>wrench</v>
      </c>
    </row>
    <row r="134" spans="17:17">
      <c r="Q134">
        <v>0</v>
      </c>
    </row>
    <row r="135" spans="17:17">
      <c r="Q135">
        <v>0</v>
      </c>
    </row>
    <row r="136" spans="17:17">
      <c r="Q136">
        <v>0</v>
      </c>
    </row>
    <row r="137" spans="17:17">
      <c r="Q137">
        <v>0</v>
      </c>
    </row>
    <row r="138" spans="17:17">
      <c r="Q138">
        <v>0</v>
      </c>
    </row>
    <row r="139" spans="17:17">
      <c r="Q139">
        <v>0</v>
      </c>
    </row>
    <row r="140" spans="17:17">
      <c r="Q140">
        <v>0</v>
      </c>
    </row>
    <row r="141" spans="17:17">
      <c r="Q141">
        <v>0</v>
      </c>
    </row>
    <row r="142" spans="17:17">
      <c r="Q142">
        <v>0</v>
      </c>
    </row>
    <row r="143" spans="17:17">
      <c r="Q143">
        <v>0</v>
      </c>
    </row>
    <row r="144" spans="17:17">
      <c r="Q144">
        <v>0</v>
      </c>
    </row>
    <row r="145" spans="17:17">
      <c r="Q145">
        <v>0</v>
      </c>
    </row>
    <row r="146" spans="17:17">
      <c r="Q146">
        <v>0</v>
      </c>
    </row>
    <row r="147" spans="17:17">
      <c r="Q147">
        <v>0</v>
      </c>
    </row>
    <row r="148" spans="17:17">
      <c r="Q148">
        <v>0</v>
      </c>
    </row>
    <row r="149" spans="17:17">
      <c r="Q149">
        <v>0</v>
      </c>
    </row>
    <row r="150" spans="17:17">
      <c r="Q150">
        <v>0</v>
      </c>
    </row>
    <row r="151" spans="17:17">
      <c r="Q151">
        <v>0</v>
      </c>
    </row>
    <row r="152" spans="17:17">
      <c r="Q152">
        <v>0</v>
      </c>
    </row>
    <row r="153" spans="17:17">
      <c r="Q153">
        <v>0</v>
      </c>
    </row>
    <row r="154" spans="17:17">
      <c r="Q154">
        <v>0</v>
      </c>
    </row>
    <row r="155" spans="17:17">
      <c r="Q155">
        <v>0</v>
      </c>
    </row>
    <row r="156" spans="17:17">
      <c r="Q156">
        <v>0</v>
      </c>
    </row>
    <row r="157" spans="17:17">
      <c r="Q157">
        <v>0</v>
      </c>
    </row>
    <row r="158" spans="17:17">
      <c r="Q158">
        <v>0</v>
      </c>
    </row>
    <row r="159" spans="17:17">
      <c r="Q159">
        <v>0</v>
      </c>
    </row>
    <row r="160" spans="17:17">
      <c r="Q160">
        <v>0</v>
      </c>
    </row>
  </sheetData>
  <conditionalFormatting sqref="E29:E33">
    <cfRule type="expression" dxfId="9" priority="3">
      <formula>_xlfn.ISFORMULA(E29)</formula>
    </cfRule>
  </conditionalFormatting>
  <dataValidations count="8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8:C22" xr:uid="{052469E0-5CEA-4652-ABF3-46F0BFD91CC9}">
      <formula1>_xlfn.ANCHORARRAY($Q$1)</formula1>
    </dataValidation>
    <dataValidation type="list" allowBlank="1" showInputMessage="1" showErrorMessage="1" sqref="A8:A22 F2:G26" xr:uid="{C0E63196-21A6-46BC-9A39-70BC402D466D}">
      <formula1>_xlfn.ANCHORARRAY($P$2)</formula1>
    </dataValidation>
    <dataValidation type="list" allowBlank="1" showInputMessage="1" showErrorMessage="1" sqref="F27:H30" xr:uid="{252E5102-E5DE-44F6-A9E0-1FCDCB2FC8AD}">
      <formula1>$P$2</formula1>
    </dataValidation>
    <dataValidation type="list" allowBlank="1" showInputMessage="1" showErrorMessage="1" sqref="B8:B22 B1" xr:uid="{6D5F9A33-BF5F-49A4-AB13-271C03E99736}">
      <formula1>_xlfn.ANCHORARRAY($O$1)</formula1>
    </dataValidation>
    <dataValidation type="list" allowBlank="1" showInputMessage="1" showErrorMessage="1" sqref="H3:H26" xr:uid="{F1D0F96A-9EF6-4A15-A760-7AB5C0C924CA}">
      <formula1>"""--&gt;"",&lt;--&gt;"""</formula1>
    </dataValidation>
    <dataValidation type="list" allowBlank="1" showInputMessage="1" showErrorMessage="1" sqref="B2" xr:uid="{6C540B97-A033-41BE-89F2-EFE0E242A13D}">
      <formula1>"LR,TD"</formula1>
    </dataValidation>
    <dataValidation type="list" allowBlank="1" showInputMessage="1" showErrorMessage="1" sqref="B3" xr:uid="{EFA4FCB7-2BD4-404B-B2AC-070C2F0217F8}">
      <formula1>": , . 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D0E-6986-4BAE-B1B1-FD48A86F6D78}">
  <dimension ref="A1:I22"/>
  <sheetViews>
    <sheetView showGridLines="0" workbookViewId="0">
      <selection activeCell="G1" sqref="G1:G1048576"/>
    </sheetView>
  </sheetViews>
  <sheetFormatPr defaultRowHeight="14.6"/>
  <cols>
    <col min="1" max="1" width="26.84375" bestFit="1" customWidth="1"/>
    <col min="2" max="2" width="7.07421875" customWidth="1"/>
    <col min="3" max="4" width="14.23046875" customWidth="1"/>
    <col min="5" max="5" width="12.23046875" customWidth="1"/>
    <col min="6" max="6" width="14.61328125" customWidth="1"/>
    <col min="7" max="7" width="38.15234375" hidden="1" customWidth="1"/>
    <col min="9" max="9" width="38.15234375" bestFit="1" customWidth="1"/>
  </cols>
  <sheetData>
    <row r="1" spans="1:9">
      <c r="A1" s="4" t="s">
        <v>0</v>
      </c>
    </row>
    <row r="2" spans="1:9">
      <c r="A2" s="15" t="s">
        <v>504</v>
      </c>
    </row>
    <row r="3" spans="1:9">
      <c r="C3" t="s">
        <v>487</v>
      </c>
      <c r="D3" t="s">
        <v>491</v>
      </c>
      <c r="E3" t="s">
        <v>488</v>
      </c>
      <c r="F3" t="s">
        <v>489</v>
      </c>
      <c r="G3" t="s">
        <v>5</v>
      </c>
      <c r="I3" s="4" t="s">
        <v>137</v>
      </c>
    </row>
    <row r="4" spans="1:9">
      <c r="C4" t="s">
        <v>490</v>
      </c>
      <c r="G4" t="str">
        <f>IF(Table30[[#This Row],[section]]&lt;&gt;"","section " &amp;Table30[[#This Row],[section]],_xlfn.TEXTJOIN(" : ",TRUE,Table30[[#This Row],[Task]:[actors]]))</f>
        <v>section Sales</v>
      </c>
      <c r="I4" t="str" cm="1">
        <f t="array" ref="I4:I21">_xlfn.VSTACK(
"journey",
"",
"%% Title",
"title " &amp; $A$2,
"",
"%% Tasks",
_xlfn._xlws.FILTER(Table30[mmSyntax],Table30[mmSyntax]&lt;&gt;""))</f>
        <v>journey</v>
      </c>
    </row>
    <row r="5" spans="1:9">
      <c r="D5" t="s">
        <v>492</v>
      </c>
      <c r="E5">
        <v>5</v>
      </c>
      <c r="F5" t="s">
        <v>493</v>
      </c>
      <c r="G5" t="str">
        <f>IF(Table30[[#This Row],[section]]&lt;&gt;"","section " &amp;Table30[[#This Row],[section]],_xlfn.TEXTJOIN(" : ",TRUE,Table30[[#This Row],[Task]:[actors]]))</f>
        <v>Sales Engagement : 5 : sales</v>
      </c>
      <c r="I5" t="str">
        <v/>
      </c>
    </row>
    <row r="6" spans="1:9">
      <c r="D6" t="s">
        <v>494</v>
      </c>
      <c r="E6">
        <v>4</v>
      </c>
      <c r="F6" t="s">
        <v>496</v>
      </c>
      <c r="G6" t="str">
        <f>IF(Table30[[#This Row],[section]]&lt;&gt;"","section " &amp;Table30[[#This Row],[section]],_xlfn.TEXTJOIN(" : ",TRUE,Table30[[#This Row],[Task]:[actors]]))</f>
        <v>Discovery : 4 : presales</v>
      </c>
      <c r="I6" t="str">
        <v>%% Title</v>
      </c>
    </row>
    <row r="7" spans="1:9">
      <c r="D7" t="s">
        <v>495</v>
      </c>
      <c r="E7">
        <v>1</v>
      </c>
      <c r="F7" t="s">
        <v>493</v>
      </c>
      <c r="G7" t="str">
        <f>IF(Table30[[#This Row],[section]]&lt;&gt;"","section " &amp;Table30[[#This Row],[section]],_xlfn.TEXTJOIN(" : ",TRUE,Table30[[#This Row],[Task]:[actors]]))</f>
        <v>Price Negotiation : 1 : sales</v>
      </c>
      <c r="I7" t="str">
        <v>title Customer Experience Lifecycle</v>
      </c>
    </row>
    <row r="8" spans="1:9">
      <c r="G8" t="str">
        <f>IF(Table30[[#This Row],[section]]&lt;&gt;"","section " &amp;Table30[[#This Row],[section]],_xlfn.TEXTJOIN(" : ",TRUE,Table30[[#This Row],[Task]:[actors]]))</f>
        <v/>
      </c>
      <c r="I8" t="str">
        <v/>
      </c>
    </row>
    <row r="9" spans="1:9">
      <c r="C9" t="s">
        <v>497</v>
      </c>
      <c r="G9" t="str">
        <f>IF(Table30[[#This Row],[section]]&lt;&gt;"","section " &amp;Table30[[#This Row],[section]],_xlfn.TEXTJOIN(" : ",TRUE,Table30[[#This Row],[Task]:[actors]]))</f>
        <v>section Delivery</v>
      </c>
      <c r="I9" t="str">
        <v>%% Tasks</v>
      </c>
    </row>
    <row r="10" spans="1:9">
      <c r="D10" t="s">
        <v>498</v>
      </c>
      <c r="E10">
        <v>5</v>
      </c>
      <c r="F10" t="s">
        <v>501</v>
      </c>
      <c r="G10" t="str">
        <f>IF(Table30[[#This Row],[section]]&lt;&gt;"","section " &amp;Table30[[#This Row],[section]],_xlfn.TEXTJOIN(" : ",TRUE,Table30[[#This Row],[Task]:[actors]]))</f>
        <v>Delivery timing : 5 : services</v>
      </c>
      <c r="I10" t="str">
        <v>section Sales</v>
      </c>
    </row>
    <row r="11" spans="1:9">
      <c r="D11" t="s">
        <v>499</v>
      </c>
      <c r="E11">
        <v>4</v>
      </c>
      <c r="F11" t="s">
        <v>501</v>
      </c>
      <c r="G11" t="str">
        <f>IF(Table30[[#This Row],[section]]&lt;&gt;"","section " &amp;Table30[[#This Row],[section]],_xlfn.TEXTJOIN(" : ",TRUE,Table30[[#This Row],[Task]:[actors]]))</f>
        <v>Installation : 4 : services</v>
      </c>
      <c r="I11" t="str">
        <v>Sales Engagement : 5 : sales</v>
      </c>
    </row>
    <row r="12" spans="1:9">
      <c r="D12" t="s">
        <v>500</v>
      </c>
      <c r="E12">
        <v>3</v>
      </c>
      <c r="F12" t="s">
        <v>502</v>
      </c>
      <c r="G12" t="str">
        <f>IF(Table30[[#This Row],[section]]&lt;&gt;"","section " &amp;Table30[[#This Row],[section]],_xlfn.TEXTJOIN(" : ",TRUE,Table30[[#This Row],[Task]:[actors]]))</f>
        <v>Knowledge Transfer : 3 : education, services</v>
      </c>
      <c r="I12" t="str">
        <v>Discovery : 4 : presales</v>
      </c>
    </row>
    <row r="13" spans="1:9">
      <c r="G13" t="str">
        <f>IF(Table30[[#This Row],[section]]&lt;&gt;"","section " &amp;Table30[[#This Row],[section]],_xlfn.TEXTJOIN(" : ",TRUE,Table30[[#This Row],[Task]:[actors]]))</f>
        <v/>
      </c>
      <c r="I13" t="str">
        <v>Price Negotiation : 1 : sales</v>
      </c>
    </row>
    <row r="14" spans="1:9">
      <c r="C14" t="s">
        <v>503</v>
      </c>
      <c r="G14" t="str">
        <f>IF(Table30[[#This Row],[section]]&lt;&gt;"","section " &amp;Table30[[#This Row],[section]],_xlfn.TEXTJOIN(" : ",TRUE,Table30[[#This Row],[Task]:[actors]]))</f>
        <v>section Operation</v>
      </c>
      <c r="I14" t="str">
        <v>section Delivery</v>
      </c>
    </row>
    <row r="15" spans="1:9">
      <c r="D15" t="s">
        <v>505</v>
      </c>
      <c r="E15">
        <v>5</v>
      </c>
      <c r="F15" t="s">
        <v>501</v>
      </c>
      <c r="G15" t="str">
        <f>IF(Table30[[#This Row],[section]]&lt;&gt;"","section " &amp;Table30[[#This Row],[section]],_xlfn.TEXTJOIN(" : ",TRUE,Table30[[#This Row],[Task]:[actors]]))</f>
        <v>HW Support : 5 : services</v>
      </c>
      <c r="I15" t="str">
        <v>Delivery timing : 5 : services</v>
      </c>
    </row>
    <row r="16" spans="1:9">
      <c r="D16" t="s">
        <v>506</v>
      </c>
      <c r="E16">
        <v>3</v>
      </c>
      <c r="F16" t="s">
        <v>501</v>
      </c>
      <c r="G16" t="str">
        <f>IF(Table30[[#This Row],[section]]&lt;&gt;"","section " &amp;Table30[[#This Row],[section]],_xlfn.TEXTJOIN(" : ",TRUE,Table30[[#This Row],[Task]:[actors]]))</f>
        <v>SW Support : 3 : services</v>
      </c>
      <c r="I16" t="str">
        <v>Installation : 4 : services</v>
      </c>
    </row>
    <row r="17" spans="4:9">
      <c r="D17" t="s">
        <v>507</v>
      </c>
      <c r="E17">
        <v>4</v>
      </c>
      <c r="F17" t="s">
        <v>508</v>
      </c>
      <c r="G17" t="str">
        <f>IF(Table30[[#This Row],[section]]&lt;&gt;"","section " &amp;Table30[[#This Row],[section]],_xlfn.TEXTJOIN(" : ",TRUE,Table30[[#This Row],[Task]:[actors]]))</f>
        <v>SLA : 4 : logistics</v>
      </c>
      <c r="I17" t="str">
        <v>Knowledge Transfer : 3 : education, services</v>
      </c>
    </row>
    <row r="18" spans="4:9">
      <c r="G18" t="str">
        <f>IF(Table30[[#This Row],[section]]&lt;&gt;"","section " &amp;Table30[[#This Row],[section]],_xlfn.TEXTJOIN(" : ",TRUE,Table30[[#This Row],[Task]:[actors]]))</f>
        <v/>
      </c>
      <c r="I18" t="str">
        <v>section Operation</v>
      </c>
    </row>
    <row r="19" spans="4:9">
      <c r="G19" t="str">
        <f>IF(Table30[[#This Row],[section]]&lt;&gt;"","section " &amp;Table30[[#This Row],[section]],_xlfn.TEXTJOIN(" : ",TRUE,Table30[[#This Row],[Task]:[actors]]))</f>
        <v/>
      </c>
      <c r="I19" t="str">
        <v>HW Support : 5 : services</v>
      </c>
    </row>
    <row r="20" spans="4:9">
      <c r="G20" t="str">
        <f>IF(Table30[[#This Row],[section]]&lt;&gt;"","section " &amp;Table30[[#This Row],[section]],_xlfn.TEXTJOIN(" : ",TRUE,Table30[[#This Row],[Task]:[actors]]))</f>
        <v/>
      </c>
      <c r="I20" t="str">
        <v>SW Support : 3 : services</v>
      </c>
    </row>
    <row r="21" spans="4:9">
      <c r="G21" t="str">
        <f>IF(Table30[[#This Row],[section]]&lt;&gt;"","section " &amp;Table30[[#This Row],[section]],_xlfn.TEXTJOIN(" : ",TRUE,Table30[[#This Row],[Task]:[actors]]))</f>
        <v/>
      </c>
      <c r="I21" t="str">
        <v>SLA : 4 : logistics</v>
      </c>
    </row>
    <row r="22" spans="4:9">
      <c r="G22" t="str">
        <f>IF(Table30[[#This Row],[section]]&lt;&gt;"","section " &amp;Table30[[#This Row],[section]],_xlfn.TEXTJOIN(" : ",TRUE,Table30[[#This Row],[Task]:[actors]]))</f>
        <v/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308</v>
      </c>
      <c r="B1" t="s">
        <v>310</v>
      </c>
      <c r="C1" t="s">
        <v>333</v>
      </c>
      <c r="D1" t="s">
        <v>334</v>
      </c>
      <c r="E1" t="s">
        <v>309</v>
      </c>
      <c r="F1" t="s">
        <v>5</v>
      </c>
      <c r="H1" s="4" t="s">
        <v>304</v>
      </c>
      <c r="I1" s="4" t="s">
        <v>313</v>
      </c>
      <c r="J1" s="4" t="s">
        <v>341</v>
      </c>
      <c r="K1" s="4" t="s">
        <v>324</v>
      </c>
      <c r="L1" s="4" t="s">
        <v>332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==1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339</v>
      </c>
      <c r="B2" t="s">
        <v>340</v>
      </c>
      <c r="C2" t="s">
        <v>299</v>
      </c>
      <c r="D2" t="s">
        <v>335</v>
      </c>
      <c r="E2" t="s">
        <v>306</v>
      </c>
      <c r="F2" s="16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2" t="s">
        <v>306</v>
      </c>
      <c r="I2" t="s">
        <v>323</v>
      </c>
      <c r="J2" t="s">
        <v>330</v>
      </c>
      <c r="K2" t="s">
        <v>314</v>
      </c>
      <c r="L2" t="s">
        <v>338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&gt;=1</v>
      </c>
      <c r="U2" t="str">
        <v>FK</v>
      </c>
    </row>
    <row r="3" spans="1:21">
      <c r="A3" t="s">
        <v>306</v>
      </c>
      <c r="B3" t="s">
        <v>311</v>
      </c>
      <c r="C3" t="s">
        <v>299</v>
      </c>
      <c r="D3" t="s">
        <v>335</v>
      </c>
      <c r="E3" t="s">
        <v>307</v>
      </c>
      <c r="F3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3" t="s">
        <v>306</v>
      </c>
      <c r="I3" t="s">
        <v>323</v>
      </c>
      <c r="J3" t="s">
        <v>325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&gt;=0</v>
      </c>
      <c r="U3" t="str">
        <v>UK</v>
      </c>
    </row>
    <row r="4" spans="1:21">
      <c r="A4" t="s">
        <v>305</v>
      </c>
      <c r="B4" t="s">
        <v>312</v>
      </c>
      <c r="C4" t="s">
        <v>299</v>
      </c>
      <c r="D4" t="s">
        <v>335</v>
      </c>
      <c r="E4" t="s">
        <v>307</v>
      </c>
      <c r="F4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4" t="s">
        <v>306</v>
      </c>
      <c r="I4" t="s">
        <v>323</v>
      </c>
      <c r="J4" t="s">
        <v>320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0 ∨ 1</v>
      </c>
      <c r="U4" t="str">
        <v>PK, FK</v>
      </c>
    </row>
    <row r="5" spans="1:21">
      <c r="H5" t="s">
        <v>306</v>
      </c>
      <c r="I5" t="s">
        <v>321</v>
      </c>
      <c r="J5" t="s">
        <v>326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305</v>
      </c>
      <c r="I6" t="s">
        <v>323</v>
      </c>
      <c r="J6" t="s">
        <v>327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305</v>
      </c>
      <c r="I7" t="s">
        <v>323</v>
      </c>
      <c r="J7" t="s">
        <v>328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305</v>
      </c>
      <c r="I8" t="s">
        <v>323</v>
      </c>
      <c r="J8" t="s">
        <v>329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305</v>
      </c>
      <c r="I9" t="s">
        <v>322</v>
      </c>
      <c r="J9" t="s">
        <v>337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305</v>
      </c>
      <c r="I10" t="s">
        <v>323</v>
      </c>
      <c r="J10" t="s">
        <v>198</v>
      </c>
      <c r="K10" t="s">
        <v>316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307</v>
      </c>
      <c r="I11" t="s">
        <v>323</v>
      </c>
      <c r="J11" t="s">
        <v>331</v>
      </c>
      <c r="K11" t="s">
        <v>317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307</v>
      </c>
      <c r="I12" t="s">
        <v>323</v>
      </c>
      <c r="J12" t="s">
        <v>327</v>
      </c>
      <c r="K12" t="s">
        <v>317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8" priority="3">
      <formula>_xlfn.ISFORMULA(G29)</formula>
    </cfRule>
  </conditionalFormatting>
  <conditionalFormatting sqref="H2:M12">
    <cfRule type="expression" dxfId="7" priority="1" stopIfTrue="1">
      <formula>$H2=""</formula>
    </cfRule>
    <cfRule type="expression" dxfId="6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O2" sqref="O2:O22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285</v>
      </c>
      <c r="K2">
        <v>0.4</v>
      </c>
      <c r="L2">
        <v>0.7</v>
      </c>
      <c r="M2" t="str">
        <f>IF(OR(quadBuild[[#This Row],[Label]]="",quadBuild[[#This Row],[X]]="",quadBuild[[#This Row],[Y]]=""),"",J2&amp;": ["&amp;K2&amp;", "&amp;L2&amp;"]")</f>
        <v>Label 1: [0.4, 0.7]</v>
      </c>
      <c r="O2" t="str" cm="1">
        <f t="array" ref="O2:O22">_xlfn.VSTACK(
"quadrantChart",
"",
"%% Quadrant Setup",
quadElement[mmSyntax],
"",
"%% Axis Setup",
quadAxis[mmSyntax],
"",
"%% values",
_xlfn._xlws.FILTER(quadBuild[mmSyntax],quadBuild[mmSyntax]&lt;&gt;""))</f>
        <v>quadrantChart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286</v>
      </c>
      <c r="K3">
        <v>0.56000000000000005</v>
      </c>
      <c r="L3">
        <v>0.98</v>
      </c>
      <c r="M3" t="str">
        <f>IF(OR(quadBuild[[#This Row],[Label]]="",quadBuild[[#This Row],[X]]="",quadBuild[[#This Row],[Y]]=""),"",J3&amp;": ["&amp;K3&amp;", "&amp;L3&amp;"]")</f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287</v>
      </c>
      <c r="K4">
        <v>0.09</v>
      </c>
      <c r="L4">
        <v>0.35</v>
      </c>
      <c r="M4" t="str">
        <f>IF(OR(quadBuild[[#This Row],[Label]]="",quadBuild[[#This Row],[X]]="",quadBuild[[#This Row],[Y]]=""),"",J4&amp;": ["&amp;K4&amp;", "&amp;L4&amp;"]")</f>
        <v>Label 3: [0.09, 0.35]</v>
      </c>
      <c r="O4" t="str">
        <v>%% Quadrant Setup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288</v>
      </c>
      <c r="K5">
        <v>0.67</v>
      </c>
      <c r="L5">
        <v>0.83</v>
      </c>
      <c r="M5" t="str">
        <f>IF(OR(quadBuild[[#This Row],[Label]]="",quadBuild[[#This Row],[X]]="",quadBuild[[#This Row],[Y]]=""),"",J5&amp;": ["&amp;K5&amp;", "&amp;L5&amp;"]")</f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289</v>
      </c>
      <c r="K6">
        <v>0.75</v>
      </c>
      <c r="L6">
        <v>0.92</v>
      </c>
      <c r="M6" t="str">
        <f>IF(OR(quadBuild[[#This Row],[Label]]="",quadBuild[[#This Row],[X]]="",quadBuild[[#This Row],[Y]]=""),"",J6&amp;": ["&amp;K6&amp;", "&amp;L6&amp;"]")</f>
        <v>Label 5: [0.75, 0.92]</v>
      </c>
      <c r="O6" t="str">
        <v>quadrant-1 Quad 1</v>
      </c>
    </row>
    <row r="7" spans="1:15">
      <c r="J7" t="s">
        <v>290</v>
      </c>
      <c r="K7">
        <v>0.01</v>
      </c>
      <c r="L7">
        <v>0.68</v>
      </c>
      <c r="M7" t="str">
        <f>IF(OR(quadBuild[[#This Row],[Label]]="",quadBuild[[#This Row],[X]]="",quadBuild[[#This Row],[Y]]=""),"",J7&amp;": ["&amp;K7&amp;", "&amp;L7&amp;"]")</f>
        <v>Label 6: [0.01, 0.68]</v>
      </c>
      <c r="O7" s="1" t="str">
        <v>quadrant-2 Quad 2</v>
      </c>
    </row>
    <row r="8" spans="1:15">
      <c r="J8" t="s">
        <v>291</v>
      </c>
      <c r="K8">
        <v>0.4</v>
      </c>
      <c r="L8">
        <v>0.37</v>
      </c>
      <c r="M8" t="str">
        <f>IF(OR(quadBuild[[#This Row],[Label]]="",quadBuild[[#This Row],[X]]="",quadBuild[[#This Row],[Y]]=""),"",J8&amp;": ["&amp;K8&amp;", "&amp;L8&amp;"]")</f>
        <v>Label 7: [0.4, 0.37]</v>
      </c>
      <c r="O8" t="str">
        <v>quadrant-3 Quad 3</v>
      </c>
    </row>
    <row r="9" spans="1:15">
      <c r="M9" t="str">
        <f>IF(OR(quadBuild[[#This Row],[Label]]="",quadBuild[[#This Row],[X]]="",quadBuild[[#This Row],[Y]]=""),"",J9&amp;": ["&amp;K9&amp;", "&amp;L9&amp;"]")</f>
        <v/>
      </c>
      <c r="O9" t="str">
        <v>quadrant-4 Quad 4</v>
      </c>
    </row>
    <row r="10" spans="1:15">
      <c r="M10" t="str">
        <f>IF(OR(quadBuild[[#This Row],[Label]]="",quadBuild[[#This Row],[X]]="",quadBuild[[#This Row],[Y]]=""),"",J10&amp;": ["&amp;K10&amp;", "&amp;L10&amp;"]")</f>
        <v/>
      </c>
      <c r="O10" t="str">
        <v/>
      </c>
    </row>
    <row r="11" spans="1:15">
      <c r="M11" t="str">
        <f>IF(OR(quadBuild[[#This Row],[Label]]="",quadBuild[[#This Row],[X]]="",quadBuild[[#This Row],[Y]]=""),"",J11&amp;": ["&amp;K11&amp;", "&amp;L11&amp;"]")</f>
        <v/>
      </c>
      <c r="O11" t="str">
        <v>%% Axis Setup</v>
      </c>
    </row>
    <row r="12" spans="1:15">
      <c r="M12" t="str">
        <f>IF(OR(quadBuild[[#This Row],[Label]]="",quadBuild[[#This Row],[X]]="",quadBuild[[#This Row],[Y]]=""),"",J12&amp;": ["&amp;K12&amp;", "&amp;L12&amp;"]")</f>
        <v/>
      </c>
      <c r="O12" t="str">
        <v>x-axis low --&gt; high</v>
      </c>
    </row>
    <row r="13" spans="1:15">
      <c r="M13" t="str">
        <f>IF(OR(quadBuild[[#This Row],[Label]]="",quadBuild[[#This Row],[X]]="",quadBuild[[#This Row],[Y]]=""),"",J13&amp;": ["&amp;K13&amp;", "&amp;L13&amp;"]")</f>
        <v/>
      </c>
      <c r="O13" t="str">
        <v>y-axis low --&gt; high</v>
      </c>
    </row>
    <row r="14" spans="1:15">
      <c r="M14" t="str">
        <f>IF(OR(quadBuild[[#This Row],[Label]]="",quadBuild[[#This Row],[X]]="",quadBuild[[#This Row],[Y]]=""),"",J14&amp;": ["&amp;K14&amp;", "&amp;L14&amp;"]")</f>
        <v/>
      </c>
      <c r="O14" t="str">
        <v/>
      </c>
    </row>
    <row r="15" spans="1:15">
      <c r="M15" t="str">
        <f>IF(OR(quadBuild[[#This Row],[Label]]="",quadBuild[[#This Row],[X]]="",quadBuild[[#This Row],[Y]]=""),"",J15&amp;": ["&amp;K15&amp;", "&amp;L15&amp;"]")</f>
        <v/>
      </c>
      <c r="O15" t="str">
        <v>%% values</v>
      </c>
    </row>
    <row r="16" spans="1:15">
      <c r="M16" t="str">
        <f>IF(OR(quadBuild[[#This Row],[Label]]="",quadBuild[[#This Row],[X]]="",quadBuild[[#This Row],[Y]]=""),"",J16&amp;": ["&amp;K16&amp;", "&amp;L16&amp;"]")</f>
        <v/>
      </c>
      <c r="O16" t="str">
        <v>Label 1: [0.4, 0.7]</v>
      </c>
    </row>
    <row r="17" spans="5:15">
      <c r="M17" t="str">
        <f>IF(OR(quadBuild[[#This Row],[Label]]="",quadBuild[[#This Row],[X]]="",quadBuild[[#This Row],[Y]]=""),"",J17&amp;": ["&amp;K17&amp;", "&amp;L17&amp;"]")</f>
        <v/>
      </c>
      <c r="O17" t="str">
        <v>Label 2: [0.56, 0.98]</v>
      </c>
    </row>
    <row r="18" spans="5:15">
      <c r="M18" t="str">
        <f>IF(OR(quadBuild[[#This Row],[Label]]="",quadBuild[[#This Row],[X]]="",quadBuild[[#This Row],[Y]]=""),"",J18&amp;": ["&amp;K18&amp;", "&amp;L18&amp;"]")</f>
        <v/>
      </c>
      <c r="O18" t="str">
        <v>Label 3: [0.09, 0.35]</v>
      </c>
    </row>
    <row r="19" spans="5:15">
      <c r="M19" t="str">
        <f>IF(OR(quadBuild[[#This Row],[Label]]="",quadBuild[[#This Row],[X]]="",quadBuild[[#This Row],[Y]]=""),"",J19&amp;": ["&amp;K19&amp;", "&amp;L19&amp;"]")</f>
        <v/>
      </c>
      <c r="O19" t="str">
        <v>Label 4: [0.67, 0.83]</v>
      </c>
    </row>
    <row r="20" spans="5:15">
      <c r="O20" t="str">
        <v>Label 5: [0.75, 0.92]</v>
      </c>
    </row>
    <row r="21" spans="5:15">
      <c r="O21" t="str">
        <v>Label 6: [0.01, 0.68]</v>
      </c>
    </row>
    <row r="22" spans="5:15">
      <c r="O22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5" priority="3">
      <formula>_xlfn.ISFORMULA(E29)</formula>
    </cfRule>
  </conditionalFormatting>
  <conditionalFormatting sqref="F20:J64 F17:I19">
    <cfRule type="expression" dxfId="4" priority="1" stopIfTrue="1">
      <formula>$F17=""</formula>
    </cfRule>
    <cfRule type="expression" dxfId="3" priority="2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AV58"/>
  <sheetViews>
    <sheetView showGridLines="0" topLeftCell="B1" zoomScale="115" zoomScaleNormal="115" workbookViewId="0">
      <selection activeCell="M3" sqref="M3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48">
      <c r="A1" s="4" t="s">
        <v>0</v>
      </c>
      <c r="B1" s="8" t="s">
        <v>1</v>
      </c>
      <c r="F1" s="4" t="s">
        <v>464</v>
      </c>
      <c r="G1" s="4" t="s">
        <v>2</v>
      </c>
      <c r="H1" s="4" t="s">
        <v>4</v>
      </c>
      <c r="I1" s="4" t="s">
        <v>457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  <c r="S1" t="str" cm="1">
        <f t="array" ref="S1:S17">_xlfn._xlws.FILTER(seq[mmSyntax],(seq[mmSyntax]&lt;&gt;"mmSyntax")*(seq[mmSyntax]&lt;&gt;""))</f>
        <v xml:space="preserve">loop </v>
      </c>
      <c r="U1" t="str" cm="1">
        <f t="array" ref="U1:V1">TRANSPOSE(_xlfn.UNIQUE(_xlfn._xlws.FILTER(seqObjects[Box],seqObjects[Box]&lt;&gt;"","")))</f>
        <v>middle</v>
      </c>
      <c r="V1" t="str">
        <v>front</v>
      </c>
    </row>
    <row r="2" spans="1:48">
      <c r="A2" s="4" t="s">
        <v>6</v>
      </c>
      <c r="B2" s="10" t="b">
        <v>1</v>
      </c>
      <c r="K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" t="str" cm="1">
        <f t="array" ref="M2:M58">_xlfn.VSTACK(
"sequenceDiagram",
IF(B3=TRUE,"autonumber",""),
"","%% Actors",
_xlfn._xlws.FILTER(seqObjects[mmSyntax],seqObjects[mmSyntax]&lt;&gt;""),"",
"%% Boxes",_xlfn.ANCHORARRAY(
$AV$2)
)</f>
        <v>sequenceDiagram</v>
      </c>
      <c r="P2" t="str">
        <v>front</v>
      </c>
      <c r="Q2" t="str" cm="1">
        <f t="array" ref="Q2:Q4">_xlfn._xlws.SORT(_xlfn.UNIQUE(_xlfn.VSTACK(_xlfn._xlws.FILTER(seq[source],(seq[source]&lt;&gt;"source")*(seq[source]&lt;&gt;"")),_xlfn._xlws.FILTER(seq[target],(seq[target]&lt;&gt;"source")*(seq[target]&lt;&gt;"")))))</f>
        <v>app</v>
      </c>
      <c r="R2" t="str">
        <v>loop</v>
      </c>
      <c r="S2" t="str">
        <v>user-&gt;&gt;app: userID</v>
      </c>
      <c r="U2" s="23" t="str" cm="1">
        <f t="array" ref="U2:U4">IF(U1="","",_xlfn.VSTACK(
_xlfn.XLOOKUP(U1,Table4[Box],Table4[mmSyntax]),
_xlfn._xlws.FILTER(seqObjects[mmSyntax],seqObjects[Box]=U1),
"end"))</f>
        <v>Box middle</v>
      </c>
      <c r="V2" s="23" t="str" cm="1">
        <f t="array" ref="V2:V4">IF(V1="","",_xlfn.VSTACK(
_xlfn.XLOOKUP(V1,Table4[Box],Table4[mmSyntax]),
_xlfn._xlws.FILTER(seqObjects[mmSyntax],seqObjects[Box]=V1),
"end"))</f>
        <v>Box gray front</v>
      </c>
      <c r="W2" s="23" t="str" cm="1">
        <f t="array" ref="W2">IF(W1="","",_xlfn.VSTACK(
_xlfn.XLOOKUP(W1,Table4[Box],Table4[mmSyntax]),
_xlfn._xlws.FILTER(seqObjects[mmSyntax],seqObjects[Box]=W1),
"end"))</f>
        <v/>
      </c>
      <c r="X2" s="23" t="str" cm="1">
        <f t="array" ref="X2">IF(X1="","",_xlfn.VSTACK(
_xlfn.XLOOKUP(X1,Table4[Box],Table4[mmSyntax]),
_xlfn._xlws.FILTER(seqObjects[mmSyntax],seqObjects[Box]=X1),
"end"))</f>
        <v/>
      </c>
      <c r="Y2" s="23" t="str" cm="1">
        <f t="array" ref="Y2">IF(Y1="","",_xlfn.VSTACK(
_xlfn.XLOOKUP(Y1,Table4[Box],Table4[mmSyntax]),
_xlfn._xlws.FILTER(seqObjects[mmSyntax],seqObjects[Box]=Y1),
"end"))</f>
        <v/>
      </c>
      <c r="Z2" s="23" t="str" cm="1">
        <f t="array" ref="Z2">IF(Z1="","",_xlfn.VSTACK(
_xlfn.XLOOKUP(Z1,Table4[Box],Table4[mmSyntax]),
_xlfn._xlws.FILTER(seqObjects[mmSyntax],seqObjects[Box]=Z1),
"end"))</f>
        <v/>
      </c>
      <c r="AA2" s="23" t="str" cm="1">
        <f t="array" ref="AA2">IF(AA1="","",_xlfn.VSTACK(
_xlfn.XLOOKUP(AA1,Table4[Box],Table4[mmSyntax]),
_xlfn._xlws.FILTER(seqObjects[mmSyntax],seqObjects[Box]=AA1),
"end"))</f>
        <v/>
      </c>
      <c r="AB2" s="23" t="str" cm="1">
        <f t="array" ref="AB2">IF(AB1="","",_xlfn.VSTACK(
_xlfn.XLOOKUP(AB1,Table4[Box],Table4[mmSyntax]),
_xlfn._xlws.FILTER(seqObjects[mmSyntax],seqObjects[Box]=AB1),
"end"))</f>
        <v/>
      </c>
      <c r="AC2" s="23" t="str" cm="1">
        <f t="array" ref="AC2">IF(AC1="","",_xlfn.VSTACK(
_xlfn.XLOOKUP(AC1,Table4[Box],Table4[mmSyntax]),
_xlfn._xlws.FILTER(seqObjects[mmSyntax],seqObjects[Box]=AC1),
"end"))</f>
        <v/>
      </c>
      <c r="AD2" s="23" t="str" cm="1">
        <f t="array" ref="AD2">IF(AD1="","",_xlfn.VSTACK(
_xlfn.XLOOKUP(AD1,Table4[Box],Table4[mmSyntax]),
_xlfn._xlws.FILTER(seqObjects[mmSyntax],seqObjects[Box]=AD1),
"end"))</f>
        <v/>
      </c>
      <c r="AE2" s="23" t="str" cm="1">
        <f t="array" ref="AE2">IF(AE1="","",_xlfn.VSTACK(
_xlfn.XLOOKUP(AE1,Table4[Box],Table4[mmSyntax]),
_xlfn._xlws.FILTER(seqObjects[mmSyntax],seqObjects[Box]=AE1),
"end"))</f>
        <v/>
      </c>
      <c r="AF2" s="23" t="str" cm="1">
        <f t="array" ref="AF2">IF(AF1="","",_xlfn.VSTACK(
_xlfn.XLOOKUP(AF1,Table4[Box],Table4[mmSyntax]),
_xlfn._xlws.FILTER(seqObjects[mmSyntax],seqObjects[Box]=AF1),
"end"))</f>
        <v/>
      </c>
      <c r="AG2" s="23" t="str" cm="1">
        <f t="array" ref="AG2">IF(AG1="","",_xlfn.VSTACK(
_xlfn.XLOOKUP(AG1,Table4[Box],Table4[mmSyntax]),
_xlfn._xlws.FILTER(seqObjects[mmSyntax],seqObjects[Box]=AG1),
"end"))</f>
        <v/>
      </c>
      <c r="AH2" s="23" t="str" cm="1">
        <f t="array" ref="AH2">IF(AH1="","",_xlfn.VSTACK(
_xlfn.XLOOKUP(AH1,Table4[Box],Table4[mmSyntax]),
_xlfn._xlws.FILTER(seqObjects[mmSyntax],seqObjects[Box]=AH1),
"end"))</f>
        <v/>
      </c>
      <c r="AI2" s="23" t="str" cm="1">
        <f t="array" ref="AI2">IF(AI1="","",_xlfn.VSTACK(
_xlfn.XLOOKUP(AI1,Table4[Color],Table4[Box]),
_xlfn._xlws.FILTER(seqObjects[Object],seqObjects[type]=AI1),
"end"))</f>
        <v/>
      </c>
      <c r="AJ2" s="23" t="str" cm="1">
        <f t="array" ref="AJ2">IF(AJ1="","",_xlfn.VSTACK(
_xlfn.XLOOKUP(AJ1,Table4[mmSyntax],Table4[Color]),
_xlfn._xlws.FILTER(seqObjects[Box],seqObjects[mmSyntax]=AJ1),
"end"))</f>
        <v/>
      </c>
      <c r="AK2" s="23" t="str" cm="1">
        <f t="array" ref="AK2">IF(AK1="","",_xlfn.VSTACK(
_xlfn.XLOOKUP(AK1,Table4[Box],Table4[mmSyntax]),
_xlfn._xlws.FILTER(seqObjects[type],seqObjects[Object]=AK1),
"end"))</f>
        <v/>
      </c>
      <c r="AL2" s="23" t="str" cm="1">
        <f t="array" ref="AL2">IF(AL1="","",_xlfn.VSTACK(
_xlfn.XLOOKUP(AL1,Table4[Color],Table4[Box]),
_xlfn._xlws.FILTER(seqObjects[mmSyntax],seqObjects[Box]=AL1),
"end"))</f>
        <v/>
      </c>
      <c r="AM2" s="23" t="str" cm="1">
        <f t="array" ref="AM2">IF(AM1="","",_xlfn.VSTACK(
_xlfn.XLOOKUP(AM1,Table4[mmSyntax],Table4[Color]),
_xlfn._xlws.FILTER(seqObjects[Object],seqObjects[type]=AM1),
"end"))</f>
        <v/>
      </c>
      <c r="AN2" s="23" t="str" cm="1">
        <f t="array" ref="AN2">IF(AN1="","",_xlfn.VSTACK(
_xlfn.XLOOKUP(AN1,Table4[Box],Table4[mmSyntax]),
_xlfn._xlws.FILTER(seqObjects[Box],seqObjects[mmSyntax]=AN1),
"end"))</f>
        <v/>
      </c>
      <c r="AO2" s="23" t="str" cm="1">
        <f t="array" ref="AO2">IF(AO1="","",_xlfn.VSTACK(
_xlfn.XLOOKUP(AO1,Table4[Color],Table4[Box]),
_xlfn._xlws.FILTER(seqObjects[type],seqObjects[Object]=AO1),
"end"))</f>
        <v/>
      </c>
      <c r="AP2" s="23" t="str" cm="1">
        <f t="array" ref="AP2">IF(AP1="","",_xlfn.VSTACK(
_xlfn.XLOOKUP(AP1,Table4[mmSyntax],Table4[Color]),
_xlfn._xlws.FILTER(seqObjects[mmSyntax],seqObjects[Box]=AP1),
"end"))</f>
        <v/>
      </c>
      <c r="AQ2" s="23" t="str" cm="1">
        <f t="array" ref="AQ2">IF(AQ1="","",_xlfn.VSTACK(
_xlfn.XLOOKUP(AQ1,Table4[Box],Table4[mmSyntax]),
_xlfn._xlws.FILTER(seqObjects[Object],seqObjects[type]=AQ1),
"end"))</f>
        <v/>
      </c>
      <c r="AR2" s="23" t="str" cm="1">
        <f t="array" ref="AR2">IF(AR1="","",_xlfn.VSTACK(
_xlfn.XLOOKUP(AR1,Table4[Color],Table4[Box]),
_xlfn._xlws.FILTER(seqObjects[Box],seqObjects[mmSyntax]=AR1),
"end"))</f>
        <v/>
      </c>
      <c r="AS2" s="23" t="str" cm="1">
        <f t="array" ref="AS2">IF(AS1="","",_xlfn.VSTACK(
_xlfn.XLOOKUP(AS1,Table4[mmSyntax],Table4[Color]),
_xlfn._xlws.FILTER(seqObjects[type],seqObjects[Object]=AS1),
"end"))</f>
        <v/>
      </c>
      <c r="AT2" s="23" t="str" cm="1">
        <f t="array" ref="AT2">IF(AT1="","",_xlfn.VSTACK(
_xlfn.XLOOKUP(AT1,Table4[Box],Table4[mmSyntax]),
_xlfn._xlws.FILTER(seqObjects[mmSyntax],seqObjects[Box]=AT1),
"end"))</f>
        <v/>
      </c>
      <c r="AV2" s="23" t="str" cm="1">
        <f t="array" ref="AV2:AV50">_xlfn.VSTACK(
"",
"%% Diagram",
_xlfn._xlws.FILTER(seq[mmSyntax],(seq[mmSyntax]&lt;&gt;"mmSyntax")*(seq[mmSyntax]&lt;&gt;"")),
_xlfn._xlws.FILTER(V2:V27,V2:V27&lt;&gt;"",""),_xlfn._xlws.FILTER(U2:U27,U2:U27&lt;&gt;"",""),_xlfn._xlws.FILTER(W2:W27,W2:W27&lt;&gt;"",""),_xlfn._xlws.FILTER(X2:X27,X2:X27&lt;&gt;"",""),_xlfn._xlws.FILTER(Y2:Y27,Y2:Y27&lt;&gt;"",""),_xlfn._xlws.FILTER(Z2:Z27,Z2:Z27&lt;&gt;"",""),_xlfn._xlws.FILTER(AA2:AA27,AA2:AA27&lt;&gt;"",""),_xlfn._xlws.FILTER(AB2:AB27,AB2:AB27&lt;&gt;"",""),_xlfn._xlws.FILTER(AC2:AC27,AC2:AC27&lt;&gt;"",""),_xlfn._xlws.FILTER(AD2:AD27,AD2:AD27&lt;&gt;"",""),_xlfn._xlws.FILTER(AE2:AE27,AE2:AE27&lt;&gt;"",""),_xlfn._xlws.FILTER(AF2:AF27,AF2:AF27&lt;&gt;"",""),_xlfn._xlws.FILTER(AG2:AG27,AG2:AG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)</f>
        <v/>
      </c>
    </row>
    <row r="3" spans="1:48">
      <c r="A3" s="4" t="s">
        <v>11</v>
      </c>
      <c r="B3" s="10" t="b">
        <v>1</v>
      </c>
      <c r="F3" t="s">
        <v>123</v>
      </c>
      <c r="K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loop </v>
      </c>
      <c r="M3" t="str">
        <v>autonumber</v>
      </c>
      <c r="Q3" t="str">
        <v>authenticator</v>
      </c>
      <c r="R3" t="str">
        <v>alt</v>
      </c>
      <c r="S3" t="str">
        <v>app-&gt;&gt;authenticator: open with userID</v>
      </c>
      <c r="U3" s="23" t="str">
        <v>Participant authenticator</v>
      </c>
      <c r="V3" s="23" t="str">
        <v>Actor user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V3" t="str">
        <v>%% Diagram</v>
      </c>
    </row>
    <row r="4" spans="1:4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user-&gt;&gt;app: userID</v>
      </c>
      <c r="M4" t="str">
        <v/>
      </c>
      <c r="Q4" t="str">
        <v>user</v>
      </c>
      <c r="R4" t="str">
        <v>opt</v>
      </c>
      <c r="S4" t="str">
        <v xml:space="preserve">end </v>
      </c>
      <c r="U4" s="23" t="str">
        <v>end</v>
      </c>
      <c r="V4" s="23" t="str">
        <v>end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V4" t="str">
        <v xml:space="preserve">loop </v>
      </c>
    </row>
    <row r="5" spans="1:4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app-&gt;&gt;authenticator: open with userID</v>
      </c>
      <c r="M5" t="str">
        <v>%% Actors</v>
      </c>
      <c r="R5" t="str">
        <v>else</v>
      </c>
      <c r="S5" t="str">
        <v>alt has account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V5" t="str">
        <v>user-&gt;&gt;app: userID</v>
      </c>
    </row>
    <row r="6" spans="1:48">
      <c r="F6" t="s">
        <v>107</v>
      </c>
      <c r="K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6" t="str">
        <v>Participant authenticator</v>
      </c>
      <c r="R6" t="str">
        <v>and</v>
      </c>
      <c r="S6" t="str">
        <v>authenticator-&gt;&gt;authenticator: map userID to cred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V6" t="str">
        <v>app-&gt;&gt;authenticator: open with userID</v>
      </c>
    </row>
    <row r="7" spans="1:48">
      <c r="A7" t="s">
        <v>449</v>
      </c>
      <c r="B7" t="s">
        <v>456</v>
      </c>
      <c r="C7" t="s">
        <v>450</v>
      </c>
      <c r="D7" t="s">
        <v>5</v>
      </c>
      <c r="F7" t="s">
        <v>467</v>
      </c>
      <c r="I7" t="s">
        <v>466</v>
      </c>
      <c r="K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alt has account</v>
      </c>
      <c r="M7" s="1" t="str">
        <v>Actor user</v>
      </c>
      <c r="R7" t="str">
        <v>critical</v>
      </c>
      <c r="S7" t="str">
        <v>else no account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V7" t="str">
        <v xml:space="preserve">end </v>
      </c>
    </row>
    <row r="8" spans="1:48">
      <c r="A8" t="s">
        <v>13</v>
      </c>
      <c r="B8" t="s">
        <v>454</v>
      </c>
      <c r="C8" t="s">
        <v>452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authenticator-&gt;&gt;authenticator: map userID to cred</v>
      </c>
      <c r="M8" t="str">
        <v/>
      </c>
      <c r="R8" t="str">
        <v>option</v>
      </c>
      <c r="S8" t="str">
        <v>app--&gt;&gt;user: user onboard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V8" t="str">
        <v>alt has account</v>
      </c>
    </row>
    <row r="9" spans="1:48">
      <c r="A9" t="s">
        <v>7</v>
      </c>
      <c r="B9" t="s">
        <v>455</v>
      </c>
      <c r="C9" t="s">
        <v>345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459</v>
      </c>
      <c r="I9" t="s">
        <v>470</v>
      </c>
      <c r="K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else no account</v>
      </c>
      <c r="M9" t="str">
        <v>%% Boxes</v>
      </c>
      <c r="R9" t="str">
        <v>note right of</v>
      </c>
      <c r="S9" t="str">
        <v xml:space="preserve">end 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V9" t="str">
        <v>authenticator-&gt;&gt;authenticator: map userID to cred</v>
      </c>
    </row>
    <row r="10" spans="1:4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469</v>
      </c>
      <c r="J10" t="s">
        <v>17</v>
      </c>
      <c r="K1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app--&gt;&gt;user: user onboard</v>
      </c>
      <c r="M10" t="str">
        <v/>
      </c>
      <c r="R10" t="str">
        <v>note left of</v>
      </c>
      <c r="S10" t="str">
        <v>authenticator--&gt;&gt;user: password challenge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V10" t="str">
        <v>else no account</v>
      </c>
    </row>
    <row r="11" spans="1:4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11" t="str">
        <v>%% Diagram</v>
      </c>
      <c r="R11" t="str">
        <v>note over</v>
      </c>
      <c r="S11" t="str">
        <v>user-&gt;&gt;authenticator: password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V11" t="str">
        <v>app--&gt;&gt;user: user onboard</v>
      </c>
    </row>
    <row r="12" spans="1:4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password challenge</v>
      </c>
      <c r="M12" t="str">
        <v xml:space="preserve">loop </v>
      </c>
      <c r="R12" t="str">
        <v>activate</v>
      </c>
      <c r="S12" t="str">
        <v>authenticator--&gt;&gt;user: otc challenge</v>
      </c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V12" t="str">
        <v xml:space="preserve">end </v>
      </c>
    </row>
    <row r="13" spans="1:4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password</v>
      </c>
      <c r="M13" t="str">
        <v>user-&gt;&gt;app: userID</v>
      </c>
      <c r="R13" t="str">
        <v>destroy</v>
      </c>
      <c r="S13" t="str">
        <v>user-&gt;&gt;authenticator: one-time code</v>
      </c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V13" t="str">
        <v>authenticator--&gt;&gt;user: password challenge</v>
      </c>
    </row>
    <row r="14" spans="1:4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otc challenge</v>
      </c>
      <c r="M14" t="str">
        <v>app-&gt;&gt;authenticator: open with userID</v>
      </c>
      <c r="S14" t="str">
        <v>user-&gt;&gt;authenticator: one-time code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V14" t="str">
        <v>user-&gt;&gt;authenticator: password</v>
      </c>
    </row>
    <row r="15" spans="1:4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5" t="str">
        <v xml:space="preserve">end </v>
      </c>
      <c r="S15" t="str">
        <v>destroy authenticator</v>
      </c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V15" t="str">
        <v>authenticator--&gt;&gt;user: otc challenge</v>
      </c>
    </row>
    <row r="16" spans="1:4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6" t="str">
        <v>alt has account</v>
      </c>
      <c r="S16" t="str">
        <v>authenticator-&gt;&gt;app: token</v>
      </c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V16" t="str">
        <v>user-&gt;&gt;authenticator: one-time code</v>
      </c>
    </row>
    <row r="17" spans="1:48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7" t="str">
        <v>authenticator-&gt;&gt;authenticator: map userID to cred</v>
      </c>
      <c r="S17" t="str">
        <v>app-&gt;&gt;user: session established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V17" t="str">
        <v>user-&gt;&gt;authenticator: one-time code</v>
      </c>
    </row>
    <row r="18" spans="1:48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8" t="str">
        <v>else no account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t="str">
        <v>destroy authenticator</v>
      </c>
    </row>
    <row r="19" spans="1:48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9" t="str">
        <v>app--&gt;&gt;user: user onboard</v>
      </c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V19" t="str">
        <v>authenticator-&gt;&gt;app: token</v>
      </c>
    </row>
    <row r="20" spans="1:48">
      <c r="F20" t="s">
        <v>104</v>
      </c>
      <c r="I20" t="s">
        <v>13</v>
      </c>
      <c r="K2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destroy authenticator</v>
      </c>
      <c r="M20" t="str">
        <v xml:space="preserve">end 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V20" t="str">
        <v>app-&gt;&gt;user: session established</v>
      </c>
    </row>
    <row r="21" spans="1:48">
      <c r="G21" t="s">
        <v>13</v>
      </c>
      <c r="H21" t="s">
        <v>10</v>
      </c>
      <c r="I21" t="s">
        <v>23</v>
      </c>
      <c r="J21" t="s">
        <v>8</v>
      </c>
      <c r="K2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authenticator-&gt;&gt;app: token</v>
      </c>
      <c r="M21" t="str">
        <v>authenticator--&gt;&gt;user: password challenge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V21" t="str">
        <v>Box gray front</v>
      </c>
    </row>
    <row r="22" spans="1:48">
      <c r="K2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2" t="str">
        <v>user-&gt;&gt;authenticator: password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V22" t="str">
        <v>Actor user</v>
      </c>
    </row>
    <row r="23" spans="1:48">
      <c r="K2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3" t="str">
        <v>authenticator--&gt;&gt;user: otc challenge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V23" t="str">
        <v>end</v>
      </c>
    </row>
    <row r="24" spans="1:48">
      <c r="A24" t="s">
        <v>456</v>
      </c>
      <c r="B24" t="s">
        <v>451</v>
      </c>
      <c r="C24" t="s">
        <v>5</v>
      </c>
      <c r="K2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4" t="str">
        <v>user-&gt;&gt;authenticator: one-time code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t="str">
        <v>Box middle</v>
      </c>
    </row>
    <row r="25" spans="1:48">
      <c r="A25" t="s">
        <v>455</v>
      </c>
      <c r="B25" t="s">
        <v>453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app-&gt;&gt;user: session established</v>
      </c>
      <c r="M25" t="str">
        <v>user-&gt;&gt;authenticator: one-time code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t="str">
        <v>Participant authenticator</v>
      </c>
    </row>
    <row r="26" spans="1:48">
      <c r="A26" t="s">
        <v>454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6" t="str">
        <v>destroy authenticator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t="str">
        <v>end</v>
      </c>
    </row>
    <row r="27" spans="1:48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7" t="str">
        <v>authenticator-&gt;&gt;app: token</v>
      </c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t="str">
        <v/>
      </c>
    </row>
    <row r="28" spans="1:48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8" t="str">
        <v>app-&gt;&gt;user: session established</v>
      </c>
      <c r="AV28" t="str">
        <v/>
      </c>
    </row>
    <row r="29" spans="1:48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Box gray front</v>
      </c>
      <c r="AV29" t="str">
        <v/>
      </c>
    </row>
    <row r="30" spans="1:48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Actor user</v>
      </c>
      <c r="AV30" t="str">
        <v/>
      </c>
    </row>
    <row r="31" spans="1:48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end</v>
      </c>
      <c r="AV31" t="str">
        <v/>
      </c>
    </row>
    <row r="32" spans="1:48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Box middle</v>
      </c>
      <c r="AV32" t="str">
        <v/>
      </c>
    </row>
    <row r="33" spans="1:48">
      <c r="A33" s="2"/>
      <c r="E33" s="2"/>
      <c r="M33" t="str">
        <v>Participant authenticator</v>
      </c>
      <c r="AV33" t="str">
        <v/>
      </c>
    </row>
    <row r="34" spans="1:48">
      <c r="M34" t="str">
        <v>end</v>
      </c>
      <c r="AV34" t="str">
        <v/>
      </c>
    </row>
    <row r="35" spans="1:48">
      <c r="M35" t="str">
        <v/>
      </c>
      <c r="AV35" t="str">
        <v/>
      </c>
    </row>
    <row r="36" spans="1:48">
      <c r="M36" t="str">
        <v/>
      </c>
      <c r="AV36" t="str">
        <v/>
      </c>
    </row>
    <row r="37" spans="1:48">
      <c r="M37" t="str">
        <v/>
      </c>
      <c r="AV37" t="str">
        <v/>
      </c>
    </row>
    <row r="38" spans="1:48">
      <c r="M38" t="str">
        <v/>
      </c>
      <c r="AV38" t="str">
        <v/>
      </c>
    </row>
    <row r="39" spans="1:48">
      <c r="M39" t="str">
        <v/>
      </c>
      <c r="AV39" t="str">
        <v/>
      </c>
    </row>
    <row r="40" spans="1:48">
      <c r="M40" t="str">
        <v/>
      </c>
      <c r="AV40" t="str">
        <v/>
      </c>
    </row>
    <row r="41" spans="1:48">
      <c r="M41" t="str">
        <v/>
      </c>
      <c r="AV41" t="str">
        <v/>
      </c>
    </row>
    <row r="42" spans="1:48">
      <c r="M42" t="str">
        <v/>
      </c>
      <c r="AV42" t="str">
        <v/>
      </c>
    </row>
    <row r="43" spans="1:48">
      <c r="M43" t="str">
        <v/>
      </c>
      <c r="AV43" t="str">
        <v/>
      </c>
    </row>
    <row r="44" spans="1:48">
      <c r="M44" t="str">
        <v/>
      </c>
      <c r="AV44" t="str">
        <v/>
      </c>
    </row>
    <row r="45" spans="1:48">
      <c r="M45" t="str">
        <v/>
      </c>
      <c r="AV45" t="str">
        <v/>
      </c>
    </row>
    <row r="46" spans="1:48">
      <c r="M46" t="str">
        <v/>
      </c>
      <c r="AV46" t="str">
        <v/>
      </c>
    </row>
    <row r="47" spans="1:48">
      <c r="M47" t="str">
        <v/>
      </c>
      <c r="AV47" t="str">
        <v/>
      </c>
    </row>
    <row r="48" spans="1:48">
      <c r="M48" t="str">
        <v/>
      </c>
      <c r="AV48" t="str">
        <v/>
      </c>
    </row>
    <row r="49" spans="13:48">
      <c r="M49" t="str">
        <v/>
      </c>
      <c r="AV49" t="str">
        <v/>
      </c>
    </row>
    <row r="50" spans="13:48">
      <c r="M50" t="str">
        <v/>
      </c>
      <c r="AV50" t="str">
        <v/>
      </c>
    </row>
    <row r="51" spans="13:48">
      <c r="M51" t="str">
        <v/>
      </c>
    </row>
    <row r="52" spans="13:48">
      <c r="M52" t="str">
        <v/>
      </c>
    </row>
    <row r="53" spans="13:48">
      <c r="M53" t="str">
        <v/>
      </c>
    </row>
    <row r="54" spans="13:48">
      <c r="M54" t="str">
        <v/>
      </c>
    </row>
    <row r="55" spans="13:48">
      <c r="M55" t="str">
        <v/>
      </c>
    </row>
    <row r="56" spans="13:48">
      <c r="M56" t="str">
        <v/>
      </c>
    </row>
    <row r="57" spans="13:48">
      <c r="M57" t="str">
        <v/>
      </c>
    </row>
    <row r="58" spans="13:48">
      <c r="M58" t="str">
        <v/>
      </c>
    </row>
  </sheetData>
  <phoneticPr fontId="8" type="noConversion"/>
  <conditionalFormatting sqref="A29:A33 E29:E33 B30:C30">
    <cfRule type="expression" dxfId="2" priority="3">
      <formula>_xlfn.ISFORMULA(A29)</formula>
    </cfRule>
  </conditionalFormatting>
  <conditionalFormatting sqref="F29:J64">
    <cfRule type="expression" dxfId="1" priority="1" stopIfTrue="1">
      <formula>$F29=""</formula>
    </cfRule>
    <cfRule type="expression" dxfId="0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tables'!$U$2:$U$9</xm:f>
          </x14:formula1>
          <xm:sqref>J2:J28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400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399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448</v>
      </c>
      <c r="G4" t="s">
        <v>401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465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4"/>
  <sheetViews>
    <sheetView topLeftCell="A32" workbookViewId="0">
      <selection activeCell="A44" sqref="A44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1" max="11" width="16.3828125" bestFit="1" customWidth="1"/>
    <col min="12" max="12" width="11.4609375" customWidth="1"/>
    <col min="16" max="16" width="10.4609375" customWidth="1"/>
    <col min="20" max="20" width="41.3046875" bestFit="1" customWidth="1"/>
    <col min="23" max="23" width="11.535156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P27" t="s">
        <v>319</v>
      </c>
    </row>
    <row r="28" spans="1:20">
      <c r="P28" t="s">
        <v>314</v>
      </c>
    </row>
    <row r="29" spans="1:20">
      <c r="G29" t="s">
        <v>292</v>
      </c>
      <c r="H29" t="s">
        <v>293</v>
      </c>
      <c r="I29" t="s">
        <v>294</v>
      </c>
      <c r="J29" t="s">
        <v>35</v>
      </c>
      <c r="K29" t="s">
        <v>471</v>
      </c>
      <c r="P29" t="s">
        <v>315</v>
      </c>
    </row>
    <row r="30" spans="1:20">
      <c r="G30" t="s">
        <v>298</v>
      </c>
      <c r="H30" t="s">
        <v>298</v>
      </c>
      <c r="I30" t="str">
        <f>erdDirections[[#This Row],[display]]</f>
        <v>==1</v>
      </c>
      <c r="J30" t="str">
        <f>"==1"</f>
        <v>==1</v>
      </c>
      <c r="K30" t="s">
        <v>299</v>
      </c>
      <c r="P30" t="s">
        <v>316</v>
      </c>
    </row>
    <row r="31" spans="1:20">
      <c r="G31" t="s">
        <v>302</v>
      </c>
      <c r="H31" t="s">
        <v>303</v>
      </c>
      <c r="I31" t="str">
        <f>erdDirections[[#This Row],[display]]</f>
        <v>&gt;=1</v>
      </c>
      <c r="J31" t="str">
        <f>"&gt;=1"</f>
        <v>&gt;=1</v>
      </c>
      <c r="K31" t="s">
        <v>336</v>
      </c>
      <c r="P31" t="s">
        <v>317</v>
      </c>
    </row>
    <row r="32" spans="1:20">
      <c r="G32" t="s">
        <v>300</v>
      </c>
      <c r="H32" t="s">
        <v>301</v>
      </c>
      <c r="I32" t="str">
        <f>erdDirections[[#This Row],[display]]</f>
        <v>&gt;=0</v>
      </c>
      <c r="J32" t="str">
        <f>"&gt;=0"</f>
        <v>&gt;=0</v>
      </c>
      <c r="K32" t="s">
        <v>335</v>
      </c>
      <c r="P32" t="s">
        <v>318</v>
      </c>
    </row>
    <row r="33" spans="2:20">
      <c r="G33" t="s">
        <v>295</v>
      </c>
      <c r="H33" t="s">
        <v>296</v>
      </c>
      <c r="I33" t="str">
        <f>erdDirections[[#This Row],[display]]</f>
        <v>0 ∨ 1</v>
      </c>
      <c r="J33" t="str">
        <f>"0"&amp;" ∨ "&amp;"1"</f>
        <v>0 ∨ 1</v>
      </c>
      <c r="K33" t="s">
        <v>297</v>
      </c>
    </row>
    <row r="34" spans="2:20">
      <c r="B34" t="s">
        <v>164</v>
      </c>
      <c r="C34" t="s">
        <v>165</v>
      </c>
      <c r="D34" t="s">
        <v>478</v>
      </c>
    </row>
    <row r="35" spans="2:20">
      <c r="B35" t="str">
        <f>"fa:fa-"&amp;icon[[#This Row],[Display]]</f>
        <v>fa:fa-battery-empty</v>
      </c>
      <c r="C35" t="s">
        <v>166</v>
      </c>
    </row>
    <row r="36" spans="2:20">
      <c r="B36" t="str">
        <f>"fa:fa-"&amp;icon[[#This Row],[Display]]</f>
        <v>fa:fa-battery-full</v>
      </c>
      <c r="C36" t="s">
        <v>167</v>
      </c>
      <c r="L36" t="s">
        <v>435</v>
      </c>
      <c r="T36" t="s">
        <v>398</v>
      </c>
    </row>
    <row r="37" spans="2:20">
      <c r="B37" t="str">
        <f>"fa:fa-"&amp;icon[[#This Row],[Display]]</f>
        <v>fa:fa-battery-half</v>
      </c>
      <c r="C37" t="s">
        <v>168</v>
      </c>
      <c r="L37" t="str">
        <f>"1:*"</f>
        <v>1:*</v>
      </c>
      <c r="T37" t="s">
        <v>345</v>
      </c>
    </row>
    <row r="38" spans="2:20">
      <c r="H38" t="s">
        <v>458</v>
      </c>
      <c r="L38" t="str">
        <f>"*:*"</f>
        <v>*:*</v>
      </c>
      <c r="T38" t="s">
        <v>344</v>
      </c>
    </row>
    <row r="39" spans="2:20">
      <c r="H39" t="s">
        <v>107</v>
      </c>
      <c r="L39" t="str">
        <f>"*:1"</f>
        <v>*:1</v>
      </c>
      <c r="T39" t="s">
        <v>346</v>
      </c>
    </row>
    <row r="40" spans="2:20">
      <c r="B40" t="str">
        <f>"fa:fa-"&amp;icon[[#This Row],[Display]]</f>
        <v>fa:fa-bell</v>
      </c>
      <c r="C40" t="s">
        <v>169</v>
      </c>
      <c r="H40" t="s">
        <v>123</v>
      </c>
      <c r="L40" t="str">
        <f>"1:1"</f>
        <v>1:1</v>
      </c>
      <c r="T40" t="s">
        <v>347</v>
      </c>
    </row>
    <row r="41" spans="2:20">
      <c r="B41" t="str">
        <f>"fa:fa-"&amp;icon[[#This Row],[Display]]</f>
        <v>fa:fa-bell-slash</v>
      </c>
      <c r="C41" t="s">
        <v>170</v>
      </c>
      <c r="H41" t="s">
        <v>467</v>
      </c>
      <c r="T41" t="s">
        <v>304</v>
      </c>
    </row>
    <row r="42" spans="2:20">
      <c r="B42" t="str">
        <f>"fa:fa-"&amp;icon[[#This Row],[Display]]</f>
        <v>fa:fa-calendar</v>
      </c>
      <c r="C42" t="s">
        <v>171</v>
      </c>
      <c r="H42" t="s">
        <v>468</v>
      </c>
      <c r="T42" t="s">
        <v>349</v>
      </c>
    </row>
    <row r="43" spans="2:20">
      <c r="B43" t="str">
        <f>"fa:fa-"&amp;icon[[#This Row],[Display]]</f>
        <v>fa:fa-calendar-alt</v>
      </c>
      <c r="C43" t="s">
        <v>172</v>
      </c>
      <c r="H43" t="s">
        <v>459</v>
      </c>
      <c r="T43" t="s">
        <v>348</v>
      </c>
    </row>
    <row r="44" spans="2:20">
      <c r="H44" t="s">
        <v>460</v>
      </c>
      <c r="T44" t="s">
        <v>350</v>
      </c>
    </row>
    <row r="45" spans="2:20">
      <c r="H45" t="s">
        <v>461</v>
      </c>
      <c r="T45" t="s">
        <v>351</v>
      </c>
    </row>
    <row r="46" spans="2:20">
      <c r="H46" t="s">
        <v>462</v>
      </c>
      <c r="T46" t="s">
        <v>352</v>
      </c>
    </row>
    <row r="47" spans="2:20">
      <c r="H47" t="s">
        <v>463</v>
      </c>
      <c r="T47" t="s">
        <v>353</v>
      </c>
    </row>
    <row r="48" spans="2:20">
      <c r="H48" t="s">
        <v>120</v>
      </c>
      <c r="T48" t="s">
        <v>354</v>
      </c>
    </row>
    <row r="49" spans="2:20">
      <c r="H49" t="s">
        <v>121</v>
      </c>
      <c r="T49" t="s">
        <v>355</v>
      </c>
    </row>
    <row r="50" spans="2:20">
      <c r="B50" t="str">
        <f>"fa:fa-"&amp;icon[[#This Row],[Display]]</f>
        <v>fa:fa-comment</v>
      </c>
      <c r="C50" t="s">
        <v>173</v>
      </c>
      <c r="D50" t="s">
        <v>486</v>
      </c>
      <c r="H50" t="s">
        <v>109</v>
      </c>
      <c r="T50" t="s">
        <v>356</v>
      </c>
    </row>
    <row r="51" spans="2:20">
      <c r="B51" t="str">
        <f>"fa:fa-"&amp;icon[[#This Row],[Display]]</f>
        <v>fa:fa-comment-alt</v>
      </c>
      <c r="C51" t="s">
        <v>174</v>
      </c>
      <c r="H51" t="s">
        <v>104</v>
      </c>
      <c r="T51" t="s">
        <v>357</v>
      </c>
    </row>
    <row r="52" spans="2:20">
      <c r="B52" t="str">
        <f>"fa:fa-"&amp;icon[[#This Row],[Display]]</f>
        <v>fa:fa-comment-slash</v>
      </c>
      <c r="C52" t="s">
        <v>175</v>
      </c>
      <c r="T52" t="s">
        <v>358</v>
      </c>
    </row>
    <row r="53" spans="2:20">
      <c r="B53" t="str">
        <f>"fa:fa-"&amp;icon[[#This Row],[Display]]</f>
        <v>fa:fa-compass</v>
      </c>
      <c r="C53" t="s">
        <v>176</v>
      </c>
      <c r="T53" t="s">
        <v>359</v>
      </c>
    </row>
    <row r="54" spans="2:20">
      <c r="B54" t="str">
        <f>"fa:fa-"&amp;icon[[#This Row],[Display]]</f>
        <v>fa:fa-door-closed</v>
      </c>
      <c r="C54" t="s">
        <v>177</v>
      </c>
      <c r="T54" t="s">
        <v>360</v>
      </c>
    </row>
    <row r="55" spans="2:20">
      <c r="B55" t="str">
        <f>"fa:fa-"&amp;icon[[#This Row],[Display]]</f>
        <v>fa:fa-door-open</v>
      </c>
      <c r="C55" t="s">
        <v>178</v>
      </c>
      <c r="T55" t="s">
        <v>361</v>
      </c>
    </row>
    <row r="56" spans="2:20">
      <c r="B56" t="str">
        <f>"fa:fa-"&amp;icon[[#This Row],[Display]]</f>
        <v>fa:fa-exclamation</v>
      </c>
      <c r="C56" t="s">
        <v>179</v>
      </c>
      <c r="T56" t="s">
        <v>362</v>
      </c>
    </row>
    <row r="57" spans="2:20">
      <c r="B57" t="str">
        <f>"fa:fa-"&amp;icon[[#This Row],[Display]]</f>
        <v>fa:fa-exclamation-circle</v>
      </c>
      <c r="C57" t="s">
        <v>180</v>
      </c>
      <c r="T57" t="s">
        <v>363</v>
      </c>
    </row>
    <row r="58" spans="2:20">
      <c r="B58" t="str">
        <f>"fa:fa-"&amp;icon[[#This Row],[Display]]</f>
        <v>fa:fa-exclamation-triangle</v>
      </c>
      <c r="C58" t="s">
        <v>181</v>
      </c>
      <c r="T58" t="s">
        <v>364</v>
      </c>
    </row>
    <row r="59" spans="2:20">
      <c r="B59" t="str">
        <f>"fa:fa-"&amp;icon[[#This Row],[Display]]</f>
        <v>fa:fa-eye</v>
      </c>
      <c r="C59" t="s">
        <v>182</v>
      </c>
      <c r="T59" t="s">
        <v>365</v>
      </c>
    </row>
    <row r="60" spans="2:20">
      <c r="B60" t="str">
        <f>"fa:fa-"&amp;icon[[#This Row],[Display]]</f>
        <v>fa:fa-eye-slash</v>
      </c>
      <c r="C60" t="s">
        <v>183</v>
      </c>
      <c r="T60" t="s">
        <v>366</v>
      </c>
    </row>
    <row r="61" spans="2:20">
      <c r="B61" t="str">
        <f>"fa:fa-"&amp;icon[[#This Row],[Display]]</f>
        <v>fa:fa-file</v>
      </c>
      <c r="C61" t="s">
        <v>184</v>
      </c>
      <c r="T61" t="s">
        <v>367</v>
      </c>
    </row>
    <row r="62" spans="2:20">
      <c r="B62" t="str">
        <f>"fa:fa-"&amp;icon[[#This Row],[Display]]</f>
        <v>fa:fa-file-alt</v>
      </c>
      <c r="C62" t="s">
        <v>185</v>
      </c>
      <c r="T62" t="s">
        <v>368</v>
      </c>
    </row>
    <row r="63" spans="2:20">
      <c r="B63" t="str">
        <f>"fa:fa-"&amp;icon[[#This Row],[Display]]</f>
        <v>fa:fa-folder</v>
      </c>
      <c r="C63" t="s">
        <v>186</v>
      </c>
      <c r="T63" t="s">
        <v>369</v>
      </c>
    </row>
    <row r="64" spans="2:20">
      <c r="B64" t="str">
        <f>"fa:fa-"&amp;icon[[#This Row],[Display]]</f>
        <v>fa:fa-folder-open</v>
      </c>
      <c r="C64" t="s">
        <v>187</v>
      </c>
      <c r="T64" t="s">
        <v>370</v>
      </c>
    </row>
    <row r="65" spans="2:20">
      <c r="T65" t="s">
        <v>371</v>
      </c>
    </row>
    <row r="66" spans="2:20">
      <c r="B66" t="str">
        <f>"fa:fa-"&amp;icon[[#This Row],[Display]]</f>
        <v>fa:fa-info</v>
      </c>
      <c r="C66" t="s">
        <v>188</v>
      </c>
      <c r="T66" t="s">
        <v>372</v>
      </c>
    </row>
    <row r="67" spans="2:20">
      <c r="B67" t="str">
        <f>"fa:fa-"&amp;icon[[#This Row],[Display]]</f>
        <v>fa:fa-info-circle</v>
      </c>
      <c r="C67" t="s">
        <v>189</v>
      </c>
      <c r="T67" t="s">
        <v>373</v>
      </c>
    </row>
    <row r="68" spans="2:20">
      <c r="B68" t="str">
        <f>"fa:fa-"&amp;icon[[#This Row],[Display]]</f>
        <v>fa:fa-lightbulb</v>
      </c>
      <c r="C68" t="s">
        <v>190</v>
      </c>
      <c r="T68" t="s">
        <v>374</v>
      </c>
    </row>
    <row r="69" spans="2:20">
      <c r="B69" t="str">
        <f>"fa:fa-"&amp;icon[[#This Row],[Display]]</f>
        <v>fa:fa-lock</v>
      </c>
      <c r="C69" t="s">
        <v>191</v>
      </c>
      <c r="T69" t="s">
        <v>375</v>
      </c>
    </row>
    <row r="70" spans="2:20">
      <c r="B70" t="str">
        <f>"fa:fa-"&amp;icon[[#This Row],[Display]]</f>
        <v>fa:fa-lock-open</v>
      </c>
      <c r="C70" t="s">
        <v>192</v>
      </c>
      <c r="T70" t="s">
        <v>376</v>
      </c>
    </row>
    <row r="71" spans="2:20">
      <c r="B71" t="str">
        <f>"fa:fa-"&amp;icon[[#This Row],[Display]]</f>
        <v>fa:fa-map-marker</v>
      </c>
      <c r="C71" t="s">
        <v>193</v>
      </c>
      <c r="T71" t="s">
        <v>377</v>
      </c>
    </row>
    <row r="72" spans="2:20">
      <c r="T72" t="s">
        <v>378</v>
      </c>
    </row>
    <row r="73" spans="2:20">
      <c r="B73" t="str">
        <f>"fa:fa-"&amp;icon[[#This Row],[Display]]</f>
        <v>fa:fa-microphone</v>
      </c>
      <c r="C73" t="s">
        <v>194</v>
      </c>
      <c r="T73" t="s">
        <v>379</v>
      </c>
    </row>
    <row r="74" spans="2:20">
      <c r="T74" t="s">
        <v>380</v>
      </c>
    </row>
    <row r="75" spans="2:20">
      <c r="T75" t="s">
        <v>381</v>
      </c>
    </row>
    <row r="76" spans="2:20">
      <c r="T76" t="s">
        <v>382</v>
      </c>
    </row>
    <row r="77" spans="2:20">
      <c r="B77" t="str">
        <f>"fa:fa-"&amp;icon[[#This Row],[Display]]</f>
        <v>fa:fa-minus</v>
      </c>
      <c r="C77" t="s">
        <v>195</v>
      </c>
      <c r="T77" t="s">
        <v>383</v>
      </c>
    </row>
    <row r="78" spans="2:20">
      <c r="B78" t="str">
        <f>"fa:fa-"&amp;icon[[#This Row],[Display]]</f>
        <v>fa:fa-minus-circle</v>
      </c>
      <c r="C78" t="s">
        <v>196</v>
      </c>
      <c r="T78" t="s">
        <v>385</v>
      </c>
    </row>
    <row r="79" spans="2:20">
      <c r="T79" t="s">
        <v>384</v>
      </c>
    </row>
    <row r="80" spans="2:20">
      <c r="B80" t="str">
        <f>"fa:fa-"&amp;icon[[#This Row],[Display]]</f>
        <v>fa:fa-parking</v>
      </c>
      <c r="C80" t="s">
        <v>197</v>
      </c>
      <c r="T80" t="s">
        <v>386</v>
      </c>
    </row>
    <row r="81" spans="2:20">
      <c r="B81" t="str">
        <f>"fa:fa-"&amp;icon[[#This Row],[Display]]</f>
        <v>fa:fa-phone</v>
      </c>
      <c r="C81" t="s">
        <v>198</v>
      </c>
      <c r="T81" t="s">
        <v>387</v>
      </c>
    </row>
    <row r="82" spans="2:20">
      <c r="T82" t="s">
        <v>388</v>
      </c>
    </row>
    <row r="83" spans="2:20">
      <c r="B83" t="str">
        <f>"fa:fa-"&amp;icon[[#This Row],[Display]]</f>
        <v>fa:fa-plus</v>
      </c>
      <c r="C83" t="s">
        <v>199</v>
      </c>
      <c r="T83" t="s">
        <v>389</v>
      </c>
    </row>
    <row r="84" spans="2:20">
      <c r="B84" t="str">
        <f>"fa:fa-"&amp;icon[[#This Row],[Display]]</f>
        <v>fa:fa-plus-circle</v>
      </c>
      <c r="C84" t="s">
        <v>200</v>
      </c>
      <c r="T84" t="s">
        <v>390</v>
      </c>
    </row>
    <row r="85" spans="2:20">
      <c r="B85" t="str">
        <f>"fa:fa-"&amp;icon[[#This Row],[Display]]</f>
        <v>fa:fa-plus-square</v>
      </c>
      <c r="C85" t="s">
        <v>201</v>
      </c>
      <c r="T85" t="s">
        <v>391</v>
      </c>
    </row>
    <row r="86" spans="2:20">
      <c r="B86" t="str">
        <f>"fa:fa-"&amp;icon[[#This Row],[Display]]</f>
        <v>fa:fa-print</v>
      </c>
      <c r="C86" t="s">
        <v>202</v>
      </c>
      <c r="T86" t="s">
        <v>392</v>
      </c>
    </row>
    <row r="87" spans="2:20">
      <c r="B87" t="str">
        <f>"fa:fa-"&amp;icon[[#This Row],[Display]]</f>
        <v>fa:fa-question</v>
      </c>
      <c r="C87" t="s">
        <v>203</v>
      </c>
      <c r="T87" t="s">
        <v>393</v>
      </c>
    </row>
    <row r="88" spans="2:20">
      <c r="B88" t="str">
        <f>"fa:fa-"&amp;icon[[#This Row],[Display]]</f>
        <v>fa:fa-question-circle</v>
      </c>
      <c r="C88" t="s">
        <v>204</v>
      </c>
      <c r="T88" t="s">
        <v>394</v>
      </c>
    </row>
    <row r="89" spans="2:20">
      <c r="B89" t="str">
        <f>"fa:fa-"&amp;icon[[#This Row],[Display]]</f>
        <v>fa:fa-shield-alt</v>
      </c>
      <c r="C89" t="s">
        <v>205</v>
      </c>
      <c r="T89" t="s">
        <v>395</v>
      </c>
    </row>
    <row r="90" spans="2:20">
      <c r="B90" t="str">
        <f>"fa:fa-"&amp;icon[[#This Row],[Display]]</f>
        <v>fa:fa-shopping-cart</v>
      </c>
      <c r="C90" t="s">
        <v>206</v>
      </c>
      <c r="T90" t="s">
        <v>396</v>
      </c>
    </row>
    <row r="91" spans="2:20">
      <c r="B91" t="str">
        <f>"fa:fa-"&amp;icon[[#This Row],[Display]]</f>
        <v>fa:fa-sign-in-alt</v>
      </c>
      <c r="C91" t="s">
        <v>207</v>
      </c>
      <c r="T91" t="s">
        <v>397</v>
      </c>
    </row>
    <row r="92" spans="2:20">
      <c r="B92" t="str">
        <f>"fa:fa-"&amp;icon[[#This Row],[Display]]</f>
        <v>fa:fa-stream</v>
      </c>
      <c r="C92" t="s">
        <v>208</v>
      </c>
    </row>
    <row r="94" spans="2:20">
      <c r="B94" t="str">
        <f>"fa:fa-"&amp;icon[[#This Row],[Display]]</f>
        <v>fa:fa-thermometer-full</v>
      </c>
      <c r="C94" t="s">
        <v>209</v>
      </c>
    </row>
    <row r="98" spans="2:4">
      <c r="B98" t="str">
        <f>"fa:fa-"&amp;icon[[#This Row],[Display]]</f>
        <v>fa:fa-thumbs-down</v>
      </c>
      <c r="C98" t="s">
        <v>210</v>
      </c>
    </row>
    <row r="99" spans="2:4">
      <c r="B99" t="str">
        <f>"fa:fa-"&amp;icon[[#This Row],[Display]]</f>
        <v>fa:fa-thumbs-up</v>
      </c>
      <c r="C99" t="s">
        <v>211</v>
      </c>
    </row>
    <row r="100" spans="2:4">
      <c r="B100" t="str">
        <f>"fa:fa-"&amp;icon[[#This Row],[Display]]</f>
        <v>fa:fa-tint</v>
      </c>
      <c r="C100" t="s">
        <v>212</v>
      </c>
    </row>
    <row r="101" spans="2:4">
      <c r="B101" t="str">
        <f>"fa:fa-"&amp;icon[[#This Row],[Display]]</f>
        <v>fa:fa-tint-slash</v>
      </c>
      <c r="C101" t="s">
        <v>213</v>
      </c>
    </row>
    <row r="102" spans="2:4">
      <c r="B102" t="str">
        <f>"fa:fa-"&amp;icon[[#This Row],[Display]]</f>
        <v>fa:fa-toggle-off</v>
      </c>
      <c r="C102" t="s">
        <v>214</v>
      </c>
    </row>
    <row r="103" spans="2:4">
      <c r="B103" t="str">
        <f>"fa:fa-"&amp;icon[[#This Row],[Display]]</f>
        <v>fa:fa-toggle-on</v>
      </c>
      <c r="C103" t="s">
        <v>215</v>
      </c>
    </row>
    <row r="104" spans="2:4">
      <c r="B104" t="str">
        <f>"fa:fa-"&amp;icon[[#This Row],[Display]]</f>
        <v>fa:fa-unlock</v>
      </c>
      <c r="C104" t="s">
        <v>216</v>
      </c>
    </row>
    <row r="105" spans="2:4">
      <c r="B105" t="str">
        <f>"fa:fa-"&amp;icon[[#This Row],[Display]]</f>
        <v>fa:fa-unlock-alt</v>
      </c>
      <c r="C105" t="s">
        <v>217</v>
      </c>
    </row>
    <row r="106" spans="2:4">
      <c r="B106" t="str">
        <f>"fa:fa-"&amp;icon[[#This Row],[Display]]</f>
        <v>fa:fa-user</v>
      </c>
      <c r="C106" t="s">
        <v>7</v>
      </c>
      <c r="D106" t="s">
        <v>486</v>
      </c>
    </row>
    <row r="109" spans="2:4">
      <c r="B109" t="str">
        <f>"fa:fa-"&amp;icon[[#This Row],[Display]]</f>
        <v>fa:fa-user-slash</v>
      </c>
      <c r="C109" t="s">
        <v>218</v>
      </c>
      <c r="D109" t="s">
        <v>486</v>
      </c>
    </row>
    <row r="110" spans="2:4">
      <c r="B110" t="str">
        <f>"fa:fa-"&amp;icon[[#This Row],[Display]]</f>
        <v>fa:fa-video</v>
      </c>
      <c r="C110" t="s">
        <v>219</v>
      </c>
    </row>
    <row r="111" spans="2:4">
      <c r="B111" t="str">
        <f>"fa:fa-"&amp;icon[[#This Row],[Display]]</f>
        <v>fa:fa-video-slash</v>
      </c>
      <c r="C111" t="s">
        <v>220</v>
      </c>
    </row>
    <row r="116" spans="2:4">
      <c r="B116" t="str">
        <f>"fa:fa-"&amp;icon[[#This Row],[Display]]</f>
        <v>fa:fa-wifi</v>
      </c>
      <c r="C116" t="s">
        <v>221</v>
      </c>
      <c r="D116" t="s">
        <v>486</v>
      </c>
    </row>
    <row r="117" spans="2:4">
      <c r="B117" t="str">
        <f>"fa:fa-"&amp;icon[[#This Row],[Display]]</f>
        <v>fa:fa-barcode</v>
      </c>
      <c r="C117" t="s">
        <v>222</v>
      </c>
      <c r="D117" t="s">
        <v>486</v>
      </c>
    </row>
    <row r="118" spans="2:4">
      <c r="B118" t="str">
        <f>"fa:fa-"&amp;icon[[#This Row],[Display]]</f>
        <v>fa:fa-bug</v>
      </c>
      <c r="C118" t="s">
        <v>223</v>
      </c>
      <c r="D118" t="s">
        <v>486</v>
      </c>
    </row>
    <row r="119" spans="2:4">
      <c r="B119" t="str">
        <f>"fa:fa-"&amp;icon[[#This Row],[Display]]</f>
        <v>fa:fa-code</v>
      </c>
      <c r="C119" t="s">
        <v>224</v>
      </c>
      <c r="D119" t="s">
        <v>486</v>
      </c>
    </row>
    <row r="120" spans="2:4">
      <c r="B120" t="str">
        <f>"fa:fa-"&amp;icon[[#This Row],[Display]]</f>
        <v>fa:fa-code-branch</v>
      </c>
      <c r="C120" t="s">
        <v>225</v>
      </c>
    </row>
    <row r="121" spans="2:4">
      <c r="B121" t="str">
        <f>"fa:fa-"&amp;icon[[#This Row],[Display]]</f>
        <v>fa:fa-file</v>
      </c>
      <c r="C121" t="s">
        <v>184</v>
      </c>
    </row>
    <row r="122" spans="2:4">
      <c r="B122" t="str">
        <f>"fa:fa-"&amp;icon[[#This Row],[Display]]</f>
        <v>fa:fa-file-alt</v>
      </c>
      <c r="C122" t="s">
        <v>185</v>
      </c>
    </row>
    <row r="123" spans="2:4">
      <c r="B123" t="str">
        <f>"fa:fa-"&amp;icon[[#This Row],[Display]]</f>
        <v>fa:fa-file-code</v>
      </c>
      <c r="C123" t="s">
        <v>226</v>
      </c>
    </row>
    <row r="124" spans="2:4">
      <c r="B124" t="str">
        <f>"fa:fa-"&amp;icon[[#This Row],[Display]]</f>
        <v>fa:fa-filter</v>
      </c>
      <c r="C124" t="s">
        <v>227</v>
      </c>
    </row>
    <row r="125" spans="2:4">
      <c r="B125" t="str">
        <f>"fa:fa-"&amp;icon[[#This Row],[Display]]</f>
        <v>fa:fa-keyboard</v>
      </c>
      <c r="C125" t="s">
        <v>228</v>
      </c>
    </row>
    <row r="126" spans="2:4">
      <c r="B126" t="str">
        <f>"fa:fa-"&amp;icon[[#This Row],[Display]]</f>
        <v>fa:fa-folder</v>
      </c>
      <c r="C126" t="s">
        <v>186</v>
      </c>
    </row>
    <row r="127" spans="2:4">
      <c r="B127" t="str">
        <f>"fa:fa-"&amp;icon[[#This Row],[Display]]</f>
        <v>fa:fa-folder-open</v>
      </c>
      <c r="C127" t="s">
        <v>187</v>
      </c>
    </row>
    <row r="128" spans="2:4">
      <c r="B128" t="str">
        <f>"fa:fa-"&amp;icon[[#This Row],[Display]]</f>
        <v>fa:fa-terminal</v>
      </c>
      <c r="C128" t="s">
        <v>229</v>
      </c>
    </row>
    <row r="129" spans="2:3">
      <c r="B129" t="str">
        <f>"fa:fa-"&amp;icon[[#This Row],[Display]]</f>
        <v>fa:fa-window-close</v>
      </c>
      <c r="C129" t="s">
        <v>230</v>
      </c>
    </row>
    <row r="130" spans="2:3">
      <c r="B130" t="str">
        <f>"fa:fa-"&amp;icon[[#This Row],[Display]]</f>
        <v>fa:fa-window-maximize</v>
      </c>
      <c r="C130" t="s">
        <v>231</v>
      </c>
    </row>
    <row r="131" spans="2:3">
      <c r="B131" t="str">
        <f>"fa:fa-"&amp;icon[[#This Row],[Display]]</f>
        <v>fa:fa-window-restore</v>
      </c>
      <c r="C131" t="s">
        <v>232</v>
      </c>
    </row>
    <row r="132" spans="2:3">
      <c r="B132" t="str">
        <f>"fa:fa-"&amp;icon[[#This Row],[Display]]</f>
        <v>fa:fa-comment</v>
      </c>
      <c r="C132" t="s">
        <v>173</v>
      </c>
    </row>
    <row r="133" spans="2:3">
      <c r="B133" t="str">
        <f>"fa:fa-"&amp;icon[[#This Row],[Display]]</f>
        <v>fa:fa-comments</v>
      </c>
      <c r="C133" t="s">
        <v>233</v>
      </c>
    </row>
    <row r="134" spans="2:3">
      <c r="B134" t="str">
        <f>"fa:fa-"&amp;icon[[#This Row],[Display]]</f>
        <v>fa:fa-microphone</v>
      </c>
      <c r="C134" t="s">
        <v>194</v>
      </c>
    </row>
    <row r="135" spans="2:3">
      <c r="B135" t="str">
        <f>"fa:fa-"&amp;icon[[#This Row],[Display]]</f>
        <v>fa:fa-mobile</v>
      </c>
      <c r="C135" t="s">
        <v>234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235</v>
      </c>
    </row>
    <row r="139" spans="2:3">
      <c r="B139" t="str">
        <f>"fa:fa-"&amp;icon[[#This Row],[Display]]</f>
        <v>fa:fa-hdd</v>
      </c>
      <c r="C139" t="s">
        <v>236</v>
      </c>
    </row>
    <row r="140" spans="2:3">
      <c r="B140" t="str">
        <f>"fa:fa-"&amp;icon[[#This Row],[Display]]</f>
        <v>fa:fa-ethernet</v>
      </c>
      <c r="C140" t="s">
        <v>237</v>
      </c>
    </row>
    <row r="141" spans="2:3">
      <c r="B141" t="str">
        <f>"fa:fa-"&amp;icon[[#This Row],[Display]]</f>
        <v>fa:fa-download</v>
      </c>
      <c r="C141" t="s">
        <v>238</v>
      </c>
    </row>
    <row r="142" spans="2:3">
      <c r="B142" t="str">
        <f>"fa:fa-"&amp;icon[[#This Row],[Display]]</f>
        <v>fa:fa-laptop</v>
      </c>
      <c r="C142" t="s">
        <v>239</v>
      </c>
    </row>
    <row r="143" spans="2:3">
      <c r="B143" t="str">
        <f>"fa:fa-"&amp;icon[[#This Row],[Display]]</f>
        <v>fa:fa-memory</v>
      </c>
      <c r="C143" t="s">
        <v>240</v>
      </c>
    </row>
    <row r="144" spans="2:3">
      <c r="B144" t="str">
        <f>"fa:fa-"&amp;icon[[#This Row],[Display]]</f>
        <v>fa:fa-power-off</v>
      </c>
      <c r="C144" t="s">
        <v>241</v>
      </c>
    </row>
    <row r="146" spans="2:4">
      <c r="B146" t="str">
        <f>"fa:fa-"&amp;icon[[#This Row],[Display]]</f>
        <v>fa:fa-satellite</v>
      </c>
      <c r="C146" t="s">
        <v>242</v>
      </c>
    </row>
    <row r="147" spans="2:4">
      <c r="B147" t="str">
        <f>"fa:fa-"&amp;icon[[#This Row],[Display]]</f>
        <v>fa:fa-sd-card</v>
      </c>
      <c r="C147" t="s">
        <v>243</v>
      </c>
    </row>
    <row r="148" spans="2:4">
      <c r="B148" t="str">
        <f>"fa:fa-"&amp;icon[[#This Row],[Display]]</f>
        <v>fa:fa-stream</v>
      </c>
      <c r="C148" t="s">
        <v>208</v>
      </c>
    </row>
    <row r="149" spans="2:4">
      <c r="B149" t="str">
        <f>"fa:fa-"&amp;icon[[#This Row],[Display]]</f>
        <v>fa:fa-tablet</v>
      </c>
      <c r="C149" t="s">
        <v>244</v>
      </c>
    </row>
    <row r="150" spans="2:4">
      <c r="B150" t="str">
        <f>"fa:fa-"&amp;icon[[#This Row],[Display]]</f>
        <v>fa:fa-sim-card</v>
      </c>
      <c r="C150" t="s">
        <v>245</v>
      </c>
      <c r="D150" t="s">
        <v>486</v>
      </c>
    </row>
    <row r="151" spans="2:4">
      <c r="B151" t="str">
        <f>"fa:fa-"&amp;icon[[#This Row],[Display]]</f>
        <v>fa:fa-upload</v>
      </c>
      <c r="C151" t="s">
        <v>246</v>
      </c>
    </row>
    <row r="152" spans="2:4">
      <c r="B152" t="str">
        <f>"fa:fa-"&amp;icon[[#This Row],[Display]]</f>
        <v>fa:fa-clock</v>
      </c>
      <c r="C152" t="s">
        <v>247</v>
      </c>
    </row>
    <row r="153" spans="2:4">
      <c r="B153" t="str">
        <f>"fa:fa-"&amp;icon[[#This Row],[Display]]</f>
        <v>fa:fa-hourglass</v>
      </c>
      <c r="C153" t="s">
        <v>248</v>
      </c>
    </row>
    <row r="154" spans="2:4">
      <c r="B154" t="str">
        <f>"fa:fa-"&amp;icon[[#This Row],[Display]]</f>
        <v>fa:fa-stopwatch</v>
      </c>
      <c r="C154" t="s">
        <v>249</v>
      </c>
    </row>
    <row r="155" spans="2:4">
      <c r="B155" t="str">
        <f>"fa:fa-"&amp;icon[[#This Row],[Display]]</f>
        <v>fa:fa-bookmark</v>
      </c>
      <c r="C155" t="s">
        <v>250</v>
      </c>
    </row>
    <row r="156" spans="2:4">
      <c r="B156" t="str">
        <f>"fa:fa-"&amp;icon[[#This Row],[Display]]</f>
        <v>fa:fa-building</v>
      </c>
      <c r="C156" t="s">
        <v>251</v>
      </c>
    </row>
    <row r="157" spans="2:4">
      <c r="B157" t="str">
        <f>"fa:fa-"&amp;icon[[#This Row],[Display]]</f>
        <v>fa:fa-truck</v>
      </c>
      <c r="C157" t="s">
        <v>482</v>
      </c>
    </row>
    <row r="158" spans="2:4">
      <c r="B158" t="str">
        <f>"fa:fa-"&amp;icon[[#This Row],[Display]]</f>
        <v>fa:fa-flag</v>
      </c>
      <c r="C158" t="s">
        <v>88</v>
      </c>
    </row>
    <row r="159" spans="2:4">
      <c r="B159" t="str">
        <f>"fa:fa-"&amp;icon[[#This Row],[Display]]</f>
        <v>fa:fa-globe</v>
      </c>
      <c r="C159" t="s">
        <v>252</v>
      </c>
    </row>
    <row r="160" spans="2:4">
      <c r="B160" t="str">
        <f>"fa:fa-"&amp;icon[[#This Row],[Display]]</f>
        <v>fa:fa-home</v>
      </c>
      <c r="C160" t="s">
        <v>253</v>
      </c>
    </row>
    <row r="161" spans="2:4">
      <c r="B161" t="str">
        <f>"fa:fa-"&amp;icon[[#This Row],[Display]]</f>
        <v>fa:fa-layer-group</v>
      </c>
      <c r="C161" t="s">
        <v>254</v>
      </c>
    </row>
    <row r="162" spans="2:4">
      <c r="B162" t="str">
        <f>"fa:fa-"&amp;icon[[#This Row],[Display]]</f>
        <v>fa:fa-location-arrow</v>
      </c>
      <c r="C162" t="s">
        <v>255</v>
      </c>
    </row>
    <row r="163" spans="2:4">
      <c r="B163" t="str">
        <f>"fa:fa-"&amp;icon[[#This Row],[Display]]</f>
        <v>fa:fa-map</v>
      </c>
      <c r="C163" t="s">
        <v>256</v>
      </c>
    </row>
    <row r="164" spans="2:4">
      <c r="B164" t="str">
        <f>"fa:fa-"&amp;icon[[#This Row],[Display]]</f>
        <v>fa:fa-map-marker</v>
      </c>
      <c r="C164" t="s">
        <v>193</v>
      </c>
    </row>
    <row r="165" spans="2:4">
      <c r="B165" t="str">
        <f>"fa:fa-"&amp;icon[[#This Row],[Display]]</f>
        <v>fa:fa-map-pin</v>
      </c>
      <c r="C165" t="s">
        <v>257</v>
      </c>
    </row>
    <row r="166" spans="2:4">
      <c r="B166" t="str">
        <f>"fa:fa-"&amp;icon[[#This Row],[Display]]</f>
        <v>fa:fa-search</v>
      </c>
      <c r="C166" t="s">
        <v>258</v>
      </c>
    </row>
    <row r="167" spans="2:4">
      <c r="B167" t="str">
        <f>"fa:fa-"&amp;icon[[#This Row],[Display]]</f>
        <v>fa:fa-search-minus</v>
      </c>
      <c r="C167" t="s">
        <v>259</v>
      </c>
    </row>
    <row r="168" spans="2:4">
      <c r="B168" t="str">
        <f>"fa:fa-"&amp;icon[[#This Row],[Display]]</f>
        <v>fa:fa-search-plus</v>
      </c>
      <c r="C168" t="s">
        <v>260</v>
      </c>
    </row>
    <row r="169" spans="2:4">
      <c r="B169" t="str">
        <f>"fa:fa-"&amp;icon[[#This Row],[Display]]</f>
        <v>fa:fa-ticket-alt</v>
      </c>
      <c r="C169" t="s">
        <v>261</v>
      </c>
    </row>
    <row r="170" spans="2:4">
      <c r="B170" t="str">
        <f>"fa:fa-"&amp;icon[[#This Row],[Display]]</f>
        <v>fa:fa-thumbtack</v>
      </c>
      <c r="C170" t="s">
        <v>262</v>
      </c>
    </row>
    <row r="171" spans="2:4">
      <c r="B171" t="str">
        <f>"fa:fa-"&amp;icon[[#This Row],[Display]]</f>
        <v>fa:fa-wrench</v>
      </c>
      <c r="C171" t="s">
        <v>263</v>
      </c>
    </row>
    <row r="172" spans="2:4">
      <c r="B172" t="str">
        <f>"fa:fa-"&amp;icon[[#This Row],[Display]]</f>
        <v>fa:fa-id-badge</v>
      </c>
      <c r="C172" t="s">
        <v>264</v>
      </c>
      <c r="D172" t="s">
        <v>486</v>
      </c>
    </row>
    <row r="173" spans="2:4">
      <c r="B173" t="str">
        <f>"fa:fa-"&amp;icon[[#This Row],[Display]]</f>
        <v>fa:fa-id-card</v>
      </c>
      <c r="C173" t="s">
        <v>265</v>
      </c>
    </row>
    <row r="174" spans="2:4">
      <c r="B174" t="str">
        <f>"fa:fa-"&amp;icon[[#This Row],[Display]]</f>
        <v>fa:fa-frown</v>
      </c>
      <c r="C174" t="s">
        <v>266</v>
      </c>
    </row>
    <row r="175" spans="2:4">
      <c r="B175" t="str">
        <f>"fa:fa-"&amp;icon[[#This Row],[Display]]</f>
        <v>fa:fa-smile</v>
      </c>
      <c r="C175" t="s">
        <v>267</v>
      </c>
    </row>
    <row r="176" spans="2:4">
      <c r="B176" t="str">
        <f>"fa:fa-"&amp;icon[[#This Row],[Display]]</f>
        <v>fa:fa-meh</v>
      </c>
      <c r="C176" t="s">
        <v>268</v>
      </c>
    </row>
    <row r="177" spans="2:4">
      <c r="B177" t="str">
        <f>"fa:fa-"&amp;icon[[#This Row],[Display]]</f>
        <v>fa:fa-poo</v>
      </c>
      <c r="C177" t="s">
        <v>269</v>
      </c>
    </row>
    <row r="178" spans="2:4">
      <c r="B178" t="str">
        <f>"fa:fa-"&amp;icon[[#This Row],[Display]]</f>
        <v>fa:fa-id-card-alt</v>
      </c>
      <c r="C178" t="s">
        <v>270</v>
      </c>
    </row>
    <row r="179" spans="2:4">
      <c r="B179" s="16" t="str">
        <f>"fa:fa-"&amp;icon[[#This Row],[Display]]</f>
        <v>fa:fa-recycle</v>
      </c>
      <c r="C179" t="s">
        <v>271</v>
      </c>
    </row>
    <row r="180" spans="2:4">
      <c r="B180" s="16" t="str">
        <f>"fa:fa-"&amp;icon[[#This Row],[Display]]</f>
        <v>fa:fa-user-circle</v>
      </c>
      <c r="C180" t="s">
        <v>272</v>
      </c>
    </row>
    <row r="181" spans="2:4">
      <c r="B181" s="16" t="str">
        <f>"fa:fa-"&amp;icon[[#This Row],[Display]]</f>
        <v>fa:fa-user-edit</v>
      </c>
      <c r="C181" t="s">
        <v>273</v>
      </c>
    </row>
    <row r="182" spans="2:4">
      <c r="B182" s="16" t="str">
        <f>"fa:fa-"&amp;icon[[#This Row],[Display]]</f>
        <v>fa:fa-user-cog</v>
      </c>
      <c r="C182" t="s">
        <v>274</v>
      </c>
    </row>
    <row r="183" spans="2:4">
      <c r="B183" s="16" t="str">
        <f>"fa:fa-"&amp;icon[[#This Row],[Display]]</f>
        <v>fa:fa-user-plus</v>
      </c>
      <c r="C183" t="s">
        <v>275</v>
      </c>
    </row>
    <row r="184" spans="2:4">
      <c r="B184" s="16" t="str">
        <f>"fa:fa-"&amp;icon[[#This Row],[Display]]</f>
        <v>fa:fa-user-minus</v>
      </c>
      <c r="C184" t="s">
        <v>276</v>
      </c>
    </row>
    <row r="185" spans="2:4">
      <c r="B185" s="16" t="str">
        <f>"fa:fa-"&amp;icon[[#This Row],[Display]]</f>
        <v>fa:fa-user-tie</v>
      </c>
      <c r="C185" t="s">
        <v>277</v>
      </c>
    </row>
    <row r="186" spans="2:4">
      <c r="B186" s="16" t="str">
        <f>"fa:fa-"&amp;icon[[#This Row],[Display]]</f>
        <v>fa:fa-users</v>
      </c>
      <c r="C186" t="s">
        <v>278</v>
      </c>
      <c r="D186" t="s">
        <v>486</v>
      </c>
    </row>
    <row r="187" spans="2:4">
      <c r="B187" s="16" t="str">
        <f>"fa:fa-"&amp;icon[[#This Row],[Display]]</f>
        <v>fa:fa-bolt</v>
      </c>
      <c r="C187" t="s">
        <v>279</v>
      </c>
    </row>
    <row r="188" spans="2:4">
      <c r="B188" s="16" t="str">
        <f>"fa:fa-"&amp;icon[[#This Row],[Display]]</f>
        <v>fa:fa-cloud-rain</v>
      </c>
      <c r="C188" t="s">
        <v>280</v>
      </c>
    </row>
    <row r="189" spans="2:4">
      <c r="B189" s="16" t="str">
        <f>"fa:fa-"&amp;icon[[#This Row],[Display]]</f>
        <v>fa:fa-snowflake</v>
      </c>
      <c r="C189" t="s">
        <v>281</v>
      </c>
    </row>
    <row r="190" spans="2:4">
      <c r="B190" s="16" t="str">
        <f>"fa:fa-"&amp;icon[[#This Row],[Display]]</f>
        <v>fa:fa-water</v>
      </c>
      <c r="C190" t="s">
        <v>282</v>
      </c>
    </row>
    <row r="191" spans="2:4">
      <c r="B191" s="16" t="str">
        <f>"fa:fa-"&amp;icon[[#This Row],[Display]]</f>
        <v>fa:fa-wind</v>
      </c>
      <c r="C191" t="s">
        <v>283</v>
      </c>
    </row>
    <row r="192" spans="2:4">
      <c r="B192" s="16" t="str">
        <f>"fa:fa-"&amp;icon[[#This Row],[Display]]</f>
        <v>fa:fa-table</v>
      </c>
      <c r="C192" t="s">
        <v>483</v>
      </c>
      <c r="D192" t="s">
        <v>486</v>
      </c>
    </row>
    <row r="193" spans="2:4">
      <c r="B193" s="16" t="str">
        <f>"fa:fa-"&amp;icon[[#This Row],[Display]]</f>
        <v>fa:fa-arrows-alt</v>
      </c>
      <c r="C193" t="s">
        <v>484</v>
      </c>
    </row>
    <row r="194" spans="2:4">
      <c r="B194" s="16" t="str">
        <f>"fa:fa-"&amp;icon[[#This Row],[Display]]</f>
        <v>fa:fa-server</v>
      </c>
      <c r="C194" t="s">
        <v>485</v>
      </c>
      <c r="D194" t="s">
        <v>486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※ entity</vt:lpstr>
      <vt:lpstr>📆 gantt</vt:lpstr>
      <vt:lpstr>🔀 flow</vt:lpstr>
      <vt:lpstr>🗾 journey</vt:lpstr>
      <vt:lpstr>zenUML</vt:lpstr>
      <vt:lpstr>🔳 quadrant</vt:lpstr>
      <vt:lpstr>🔢 sequence</vt:lpstr>
      <vt:lpstr>🔄 simpleState</vt:lpstr>
      <vt:lpstr>🔢 simpleSequence</vt:lpstr>
      <vt:lpstr>supporting tables</vt:lpstr>
      <vt:lpstr>dsfs</vt:lpstr>
      <vt:lpstr>'※ entity'!erdDefaultRelationship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2024-05-06T20:51:07Z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