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8A80DAB8-5DE0-4BEE-80FA-37C6BC10B9E9}" xr6:coauthVersionLast="47" xr6:coauthVersionMax="47" xr10:uidLastSave="{00000000-0000-0000-0000-000000000000}"/>
  <bookViews>
    <workbookView xWindow="-103" yWindow="-103" windowWidth="33120" windowHeight="18120" xr2:uid="{35843AF7-3579-4737-8D3C-BD5B4B67E81A}"/>
  </bookViews>
  <sheets>
    <sheet name="※ entity" sheetId="15" r:id="rId1"/>
    <sheet name="📆 gantt" sheetId="14" r:id="rId2"/>
    <sheet name="🔀 flow" sheetId="9" r:id="rId3"/>
    <sheet name="zenUML" sheetId="13" state="hidden" r:id="rId4"/>
    <sheet name="🔳 quadrant" sheetId="8" r:id="rId5"/>
    <sheet name="🔢 sequence" sheetId="17" r:id="rId6"/>
    <sheet name="🔄 simpleState" sheetId="6" r:id="rId7"/>
    <sheet name="🔢 simpleSequence" sheetId="5" r:id="rId8"/>
    <sheet name="seqHelper" sheetId="18" state="hidden" r:id="rId9"/>
    <sheet name="erdv2Helper" sheetId="16" state="hidden" r:id="rId10"/>
    <sheet name="supporting tables" sheetId="4" state="hidden" r:id="rId11"/>
  </sheets>
  <definedNames>
    <definedName name="entities" localSheetId="0">_xlfn.HSTACK(_xlfn.SEQUENCE(ROWS(_xlfn.UNIQUE(_xlfn.VSTACK(erdEntities[Source],erdEntities[Target])))),_xlfn.UNIQUE(_xlfn.VSTACK(erdEntities[Source],erdEntities[Target])))</definedName>
    <definedName name="entities" localSheetId="3">_xlfn.HSTACK(_xlfn.SEQUENCE(ROWS(_xlfn.UNIQUE(_xlfn.VSTACK(erdEntities17[Source],erdEntities17[Target])))),_xlfn.UNIQUE(_xlfn.VSTACK(erdEntities17[Source],erdEntities17[Target])))</definedName>
    <definedName name="entities">_xlfn.HSTACK(_xlfn.SEQUENCE(ROWS(_xlfn.UNIQUE(_xlfn.VSTACK(#REF!,#REF!)))),_xlfn.UNIQUE(_xlfn.VSTACK(#REF!,#REF!)))</definedName>
    <definedName name="erdAttributeRange">#REF!</definedName>
    <definedName name="erdAttrMmSyntax">#REF!</definedName>
    <definedName name="erdDefaultRelationship" localSheetId="0">'※ entity'!$B$1</definedName>
    <definedName name="erdDefaultRelationship">#REF!</definedName>
    <definedName name="erdv2Attr" localSheetId="8">seqHelper!$A$2:$Z$33</definedName>
    <definedName name="erdv2Attr">erdv2Helper!$A$2:$Z$33</definedName>
    <definedName name="erdv2Attributes" localSheetId="8">_xlfn.ANCHORARRAY(seqHelper!$AB$2)</definedName>
    <definedName name="erdv2Attributes">_xlfn.ANCHORARRAY(erdv2Helper!$AB$2)</definedName>
    <definedName name="stateDir">'🔄 simpleState'!$B$1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5" l="1"/>
  <c r="F6" i="15"/>
  <c r="F7" i="15"/>
  <c r="F8" i="15"/>
  <c r="J2" i="5" a="1"/>
  <c r="J2" i="5" s="1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K16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H9" i="6"/>
  <c r="H8" i="6"/>
  <c r="H7" i="6"/>
  <c r="H6" i="6"/>
  <c r="H5" i="6"/>
  <c r="H4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R1" i="17" a="1"/>
  <c r="R1" i="17" s="1"/>
  <c r="Q2" i="17" a="1"/>
  <c r="Q2" i="17" s="1"/>
  <c r="N2" i="18" a="1"/>
  <c r="N2" i="18" s="1"/>
  <c r="M2" i="18" a="1"/>
  <c r="M2" i="18" s="1"/>
  <c r="L2" i="18" a="1"/>
  <c r="L2" i="18" s="1"/>
  <c r="K2" i="18" a="1"/>
  <c r="K2" i="18" s="1"/>
  <c r="J2" i="18" a="1"/>
  <c r="J2" i="18" s="1"/>
  <c r="I2" i="18" a="1"/>
  <c r="I2" i="18" s="1"/>
  <c r="H2" i="18" a="1"/>
  <c r="H2" i="18" s="1"/>
  <c r="G2" i="18" a="1"/>
  <c r="G2" i="18" s="1"/>
  <c r="F2" i="18" a="1"/>
  <c r="F2" i="18" s="1"/>
  <c r="E2" i="18" a="1"/>
  <c r="E2" i="18" s="1"/>
  <c r="D2" i="18" a="1"/>
  <c r="D2" i="18" s="1"/>
  <c r="C2" i="18" a="1"/>
  <c r="C2" i="18" s="1"/>
  <c r="C25" i="17"/>
  <c r="C26" i="17"/>
  <c r="C27" i="17"/>
  <c r="C28" i="17"/>
  <c r="C29" i="17"/>
  <c r="C30" i="17"/>
  <c r="C31" i="17"/>
  <c r="C32" i="17"/>
  <c r="P1" i="17" a="1"/>
  <c r="P1" i="17" s="1"/>
  <c r="D8" i="17"/>
  <c r="D9" i="17"/>
  <c r="D10" i="17"/>
  <c r="D11" i="17"/>
  <c r="D12" i="17"/>
  <c r="D13" i="17"/>
  <c r="D14" i="17"/>
  <c r="D15" i="17"/>
  <c r="D16" i="17"/>
  <c r="D17" i="17"/>
  <c r="D18" i="17"/>
  <c r="D19" i="17"/>
  <c r="A1" i="18" a="1"/>
  <c r="B5" i="5" a="1"/>
  <c r="B5" i="5" l="1"/>
  <c r="B2" i="18" a="1"/>
  <c r="B2" i="18" s="1"/>
  <c r="A1" i="18"/>
  <c r="A2" i="18" l="1" a="1"/>
  <c r="A2" i="18" s="1"/>
  <c r="AB2" i="18" s="1" a="1"/>
  <c r="AB2" i="18" s="1"/>
  <c r="M2" i="17" s="1" a="1"/>
  <c r="M2" i="17" s="1"/>
  <c r="L2" i="9" a="1"/>
  <c r="L2" i="9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U2" i="14" a="1"/>
  <c r="U2" i="14" s="1"/>
  <c r="O2" i="8" a="1"/>
  <c r="O2" i="8" s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N2" i="16" a="1"/>
  <c r="N2" i="16" s="1"/>
  <c r="M2" i="16" a="1"/>
  <c r="M2" i="16" s="1"/>
  <c r="L2" i="16" a="1"/>
  <c r="L2" i="16" s="1"/>
  <c r="K2" i="16" a="1"/>
  <c r="K2" i="16" s="1"/>
  <c r="J2" i="16" a="1"/>
  <c r="J2" i="16" s="1"/>
  <c r="I2" i="16" a="1"/>
  <c r="I2" i="16" s="1"/>
  <c r="H2" i="16" a="1"/>
  <c r="H2" i="16" s="1"/>
  <c r="G2" i="16" a="1"/>
  <c r="G2" i="16" s="1"/>
  <c r="F2" i="16" a="1"/>
  <c r="F2" i="16" s="1"/>
  <c r="A1" i="16" a="1"/>
  <c r="A1" i="16" s="1"/>
  <c r="A2" i="16" s="1" a="1"/>
  <c r="A2" i="16" s="1"/>
  <c r="M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B5" i="15"/>
  <c r="U1" i="15" s="1" a="1"/>
  <c r="U1" i="15" s="1"/>
  <c r="T1" i="15" a="1"/>
  <c r="T1" i="15" s="1"/>
  <c r="S1" i="15" a="1"/>
  <c r="S1" i="15" s="1"/>
  <c r="R1" i="15" a="1"/>
  <c r="R1" i="15" s="1"/>
  <c r="Q1" i="15" a="1"/>
  <c r="Q1" i="15" s="1"/>
  <c r="B1" i="15"/>
  <c r="D8" i="15" s="1"/>
  <c r="S2" i="14"/>
  <c r="S6" i="14"/>
  <c r="S7" i="14"/>
  <c r="S8" i="14"/>
  <c r="S9" i="14"/>
  <c r="S11" i="14"/>
  <c r="S12" i="14"/>
  <c r="S13" i="14"/>
  <c r="S14" i="14"/>
  <c r="S15" i="14"/>
  <c r="S16" i="14"/>
  <c r="S17" i="14"/>
  <c r="S18" i="14"/>
  <c r="S21" i="14"/>
  <c r="S22" i="14"/>
  <c r="S23" i="14"/>
  <c r="S24" i="14"/>
  <c r="S25" i="14"/>
  <c r="S26" i="14"/>
  <c r="S27" i="14"/>
  <c r="S28" i="14"/>
  <c r="S29" i="14"/>
  <c r="K2" i="14"/>
  <c r="K6" i="14"/>
  <c r="K7" i="14"/>
  <c r="K8" i="14"/>
  <c r="K9" i="14"/>
  <c r="K11" i="14"/>
  <c r="K12" i="14"/>
  <c r="K13" i="14"/>
  <c r="K14" i="14"/>
  <c r="K15" i="14"/>
  <c r="K16" i="14"/>
  <c r="K17" i="14"/>
  <c r="K18" i="14"/>
  <c r="K21" i="14"/>
  <c r="K22" i="14"/>
  <c r="K23" i="14"/>
  <c r="K24" i="14"/>
  <c r="K25" i="14"/>
  <c r="K26" i="14"/>
  <c r="K27" i="14"/>
  <c r="K28" i="14"/>
  <c r="K29" i="14"/>
  <c r="N2" i="14"/>
  <c r="N6" i="14"/>
  <c r="N7" i="14"/>
  <c r="N8" i="14"/>
  <c r="N9" i="14"/>
  <c r="N11" i="14"/>
  <c r="N12" i="14"/>
  <c r="N13" i="14"/>
  <c r="N14" i="14"/>
  <c r="N15" i="14"/>
  <c r="N16" i="14"/>
  <c r="N17" i="14"/>
  <c r="N18" i="14"/>
  <c r="N21" i="14"/>
  <c r="N22" i="14"/>
  <c r="N23" i="14"/>
  <c r="N24" i="14"/>
  <c r="N25" i="14"/>
  <c r="N26" i="14"/>
  <c r="N27" i="14"/>
  <c r="N28" i="14"/>
  <c r="N29" i="14"/>
  <c r="M2" i="14"/>
  <c r="M6" i="14"/>
  <c r="M7" i="14"/>
  <c r="M8" i="14"/>
  <c r="M9" i="14"/>
  <c r="M11" i="14"/>
  <c r="M12" i="14"/>
  <c r="M13" i="14"/>
  <c r="M14" i="14"/>
  <c r="M15" i="14"/>
  <c r="M16" i="14"/>
  <c r="M17" i="14"/>
  <c r="M18" i="14"/>
  <c r="M21" i="14"/>
  <c r="M22" i="14"/>
  <c r="M23" i="14"/>
  <c r="M24" i="14"/>
  <c r="M25" i="14"/>
  <c r="M26" i="14"/>
  <c r="M27" i="14"/>
  <c r="M28" i="14"/>
  <c r="M29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L2" i="14"/>
  <c r="L6" i="14"/>
  <c r="L7" i="14"/>
  <c r="L8" i="14"/>
  <c r="L9" i="14"/>
  <c r="L11" i="14"/>
  <c r="L12" i="14"/>
  <c r="L13" i="14"/>
  <c r="L14" i="14"/>
  <c r="L15" i="14"/>
  <c r="L16" i="14"/>
  <c r="L17" i="14"/>
  <c r="L18" i="14"/>
  <c r="L21" i="14"/>
  <c r="L22" i="14"/>
  <c r="L23" i="14"/>
  <c r="L24" i="14"/>
  <c r="L25" i="14"/>
  <c r="L26" i="14"/>
  <c r="L27" i="14"/>
  <c r="L28" i="14"/>
  <c r="L29" i="14"/>
  <c r="J2" i="14"/>
  <c r="J3" i="14"/>
  <c r="K3" i="14" s="1"/>
  <c r="J4" i="14"/>
  <c r="K4" i="14" s="1"/>
  <c r="J5" i="14"/>
  <c r="J6" i="14"/>
  <c r="J7" i="14"/>
  <c r="J8" i="14"/>
  <c r="J9" i="14"/>
  <c r="J11" i="14"/>
  <c r="J12" i="14"/>
  <c r="J13" i="14"/>
  <c r="J14" i="14"/>
  <c r="J15" i="14"/>
  <c r="J16" i="14"/>
  <c r="J17" i="14"/>
  <c r="J18" i="14"/>
  <c r="J20" i="14"/>
  <c r="J21" i="14"/>
  <c r="J22" i="14"/>
  <c r="J23" i="14"/>
  <c r="J24" i="14"/>
  <c r="J25" i="14"/>
  <c r="J26" i="14"/>
  <c r="J27" i="14"/>
  <c r="J28" i="14"/>
  <c r="J29" i="14"/>
  <c r="O2" i="14"/>
  <c r="O6" i="14"/>
  <c r="O7" i="14"/>
  <c r="O8" i="14"/>
  <c r="O9" i="14"/>
  <c r="O11" i="14"/>
  <c r="O12" i="14"/>
  <c r="O13" i="14"/>
  <c r="O14" i="14"/>
  <c r="O15" i="14"/>
  <c r="O16" i="14"/>
  <c r="O17" i="14"/>
  <c r="O18" i="14"/>
  <c r="O21" i="14"/>
  <c r="O22" i="14"/>
  <c r="O23" i="14"/>
  <c r="O24" i="14"/>
  <c r="O25" i="14"/>
  <c r="O26" i="14"/>
  <c r="O27" i="14"/>
  <c r="O28" i="14"/>
  <c r="O29" i="14"/>
  <c r="C2" i="14"/>
  <c r="C3" i="14"/>
  <c r="C4" i="14"/>
  <c r="L40" i="4"/>
  <c r="L39" i="4"/>
  <c r="L38" i="4"/>
  <c r="L37" i="4"/>
  <c r="J33" i="4"/>
  <c r="J32" i="4"/>
  <c r="J30" i="4"/>
  <c r="J31" i="4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H3" i="6"/>
  <c r="H2" i="6"/>
  <c r="H10" i="6"/>
  <c r="M12" i="13"/>
  <c r="M11" i="13"/>
  <c r="M10" i="13"/>
  <c r="M9" i="13"/>
  <c r="M8" i="13"/>
  <c r="M7" i="13"/>
  <c r="M6" i="13"/>
  <c r="M5" i="13"/>
  <c r="M4" i="13"/>
  <c r="F4" i="13"/>
  <c r="M3" i="13"/>
  <c r="F3" i="13"/>
  <c r="M2" i="13"/>
  <c r="F2" i="13"/>
  <c r="U1" i="13" a="1"/>
  <c r="U1" i="13" s="1"/>
  <c r="T1" i="13" a="1"/>
  <c r="T1" i="13" s="1"/>
  <c r="S1" i="13" a="1"/>
  <c r="S1" i="13" s="1"/>
  <c r="R1" i="13" a="1"/>
  <c r="R1" i="13" s="1"/>
  <c r="D6" i="9"/>
  <c r="O2" i="9" a="1"/>
  <c r="O2" i="9" s="1"/>
  <c r="P1" i="9" a="1"/>
  <c r="P1" i="9" s="1"/>
  <c r="N1" i="9" a="1"/>
  <c r="N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L2" i="6" a="1"/>
  <c r="L2" i="6" s="1"/>
  <c r="M2" i="5" a="1"/>
  <c r="M2" i="5" s="1"/>
  <c r="H10" i="5"/>
  <c r="H9" i="5"/>
  <c r="H8" i="5"/>
  <c r="H7" i="5"/>
  <c r="H6" i="5"/>
  <c r="H5" i="5"/>
  <c r="H4" i="5"/>
  <c r="H3" i="5"/>
  <c r="H2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D5" i="9" s="1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17" a="1"/>
  <c r="J2" i="6" l="1" a="1"/>
  <c r="J2" i="6" s="1"/>
  <c r="B5" i="17"/>
  <c r="D2" i="16" a="1"/>
  <c r="D2" i="16" s="1"/>
  <c r="B2" i="16" a="1"/>
  <c r="B2" i="16" s="1"/>
  <c r="C2" i="16" a="1"/>
  <c r="C2" i="16" s="1"/>
  <c r="E2" i="16" a="1"/>
  <c r="E2" i="16" s="1"/>
  <c r="V1" i="15" a="1"/>
  <c r="V1" i="15" s="1"/>
  <c r="C6" i="15"/>
  <c r="D6" i="15"/>
  <c r="C7" i="15"/>
  <c r="D7" i="15"/>
  <c r="C5" i="15"/>
  <c r="C8" i="15"/>
  <c r="D5" i="15"/>
  <c r="R11" i="14" a="1"/>
  <c r="R11" i="14" s="1"/>
  <c r="R10" i="14" a="1"/>
  <c r="R10" i="14" s="1"/>
  <c r="S10" i="14" s="1"/>
  <c r="R19" i="14" a="1"/>
  <c r="R19" i="14" s="1"/>
  <c r="S19" i="14" s="1"/>
  <c r="R18" i="14" a="1"/>
  <c r="R18" i="14" s="1"/>
  <c r="R15" i="14" a="1"/>
  <c r="R15" i="14" s="1"/>
  <c r="R7" i="14" a="1"/>
  <c r="R7" i="14" s="1"/>
  <c r="R27" i="14" a="1"/>
  <c r="R27" i="14" s="1"/>
  <c r="R22" i="14" a="1"/>
  <c r="R22" i="14" s="1"/>
  <c r="R25" i="14" a="1"/>
  <c r="R25" i="14" s="1"/>
  <c r="R21" i="14" a="1"/>
  <c r="R21" i="14" s="1"/>
  <c r="R24" i="14" a="1"/>
  <c r="R24" i="14" s="1"/>
  <c r="R14" i="14" a="1"/>
  <c r="R14" i="14" s="1"/>
  <c r="R29" i="14" a="1"/>
  <c r="R29" i="14" s="1"/>
  <c r="R6" i="14" a="1"/>
  <c r="R6" i="14" s="1"/>
  <c r="R20" i="14" a="1"/>
  <c r="R20" i="14" s="1"/>
  <c r="S20" i="14" s="1"/>
  <c r="R26" i="14" a="1"/>
  <c r="R26" i="14" s="1"/>
  <c r="R12" i="14" a="1"/>
  <c r="R12" i="14" s="1"/>
  <c r="R28" i="14" a="1"/>
  <c r="R28" i="14" s="1"/>
  <c r="R4" i="14" a="1"/>
  <c r="R4" i="14" s="1"/>
  <c r="S4" i="14" s="1"/>
  <c r="R5" i="14" a="1"/>
  <c r="R5" i="14" s="1"/>
  <c r="S5" i="14" s="1"/>
  <c r="R3" i="14" a="1"/>
  <c r="R3" i="14" s="1"/>
  <c r="S3" i="14" s="1"/>
  <c r="R17" i="14" a="1"/>
  <c r="R17" i="14" s="1"/>
  <c r="R13" i="14" a="1"/>
  <c r="R13" i="14" s="1"/>
  <c r="R9" i="14" a="1"/>
  <c r="R9" i="14" s="1"/>
  <c r="R2" i="14" a="1"/>
  <c r="R2" i="14" s="1"/>
  <c r="R23" i="14" a="1"/>
  <c r="R23" i="14" s="1"/>
  <c r="R16" i="14" a="1"/>
  <c r="R16" i="14" s="1"/>
  <c r="R8" i="14" a="1"/>
  <c r="R8" i="14" s="1"/>
  <c r="Q8" i="14" a="1"/>
  <c r="Q8" i="14" s="1"/>
  <c r="Q15" i="14" a="1"/>
  <c r="Q15" i="14" s="1"/>
  <c r="L3" i="14"/>
  <c r="Q26" i="14" a="1"/>
  <c r="Q26" i="14" s="1"/>
  <c r="O4" i="14"/>
  <c r="Q29" i="14" a="1"/>
  <c r="Q29" i="14" s="1"/>
  <c r="Q17" i="14" a="1"/>
  <c r="Q17" i="14" s="1"/>
  <c r="Q28" i="14" a="1"/>
  <c r="Q28" i="14" s="1"/>
  <c r="Q16" i="14" a="1"/>
  <c r="Q16" i="14" s="1"/>
  <c r="Q7" i="14" a="1"/>
  <c r="Q7" i="14" s="1"/>
  <c r="Q25" i="14" a="1"/>
  <c r="Q25" i="14" s="1"/>
  <c r="Q13" i="14" a="1"/>
  <c r="Q13" i="14" s="1"/>
  <c r="Q4" i="14" a="1"/>
  <c r="Q4" i="14" s="1"/>
  <c r="Q27" i="14" a="1"/>
  <c r="Q27" i="14" s="1"/>
  <c r="Q24" i="14" a="1"/>
  <c r="Q24" i="14" s="1"/>
  <c r="Q12" i="14" a="1"/>
  <c r="Q12" i="14" s="1"/>
  <c r="Q3" i="14" a="1"/>
  <c r="Q3" i="14" s="1"/>
  <c r="Q14" i="14" a="1"/>
  <c r="Q14" i="14" s="1"/>
  <c r="Q23" i="14" a="1"/>
  <c r="Q23" i="14" s="1"/>
  <c r="Q11" i="14" a="1"/>
  <c r="Q11" i="14" s="1"/>
  <c r="Q5" i="14" a="1"/>
  <c r="Q5" i="14" s="1"/>
  <c r="Q22" i="14" a="1"/>
  <c r="Q22" i="14" s="1"/>
  <c r="Q10" i="14" a="1"/>
  <c r="Q10" i="14" s="1"/>
  <c r="Q2" i="14" a="1"/>
  <c r="Q2" i="14" s="1"/>
  <c r="Q21" i="14" a="1"/>
  <c r="Q21" i="14" s="1"/>
  <c r="Q6" i="14" a="1"/>
  <c r="Q6" i="14" s="1"/>
  <c r="Q20" i="14" a="1"/>
  <c r="Q20" i="14" s="1"/>
  <c r="Q9" i="14" a="1"/>
  <c r="Q9" i="14" s="1"/>
  <c r="Q19" i="14" a="1"/>
  <c r="Q19" i="14" s="1"/>
  <c r="Q18" i="14" a="1"/>
  <c r="Q18" i="14" s="1"/>
  <c r="L4" i="14"/>
  <c r="J2" i="9"/>
  <c r="J8" i="9"/>
  <c r="J7" i="9"/>
  <c r="J6" i="9"/>
  <c r="J4" i="9"/>
  <c r="J3" i="9"/>
  <c r="J5" i="9"/>
  <c r="AB2" i="16" l="1" a="1"/>
  <c r="AB2" i="16" s="1"/>
  <c r="O2" i="15" s="1" a="1"/>
  <c r="O2" i="15" s="1"/>
  <c r="K5" i="14"/>
  <c r="O5" i="14" s="1"/>
  <c r="N3" i="14"/>
  <c r="M3" i="14"/>
  <c r="M19" i="14"/>
  <c r="N4" i="14"/>
  <c r="M4" i="14"/>
  <c r="N5" i="14"/>
  <c r="M5" i="14"/>
  <c r="N20" i="14"/>
  <c r="M20" i="14"/>
  <c r="M10" i="14"/>
  <c r="O3" i="14"/>
  <c r="N19" i="14" l="1"/>
  <c r="J19" i="14"/>
  <c r="N10" i="14"/>
  <c r="J10" i="14"/>
  <c r="L5" i="14"/>
  <c r="P2" i="13" a="1"/>
  <c r="P2" i="13" s="1"/>
  <c r="Y1" i="14" l="1" a="1"/>
  <c r="Y1" i="14" s="1"/>
  <c r="K19" i="14"/>
  <c r="K10" i="14"/>
  <c r="O19" i="14" l="1"/>
  <c r="L19" i="14" l="1"/>
  <c r="K20" i="14" l="1"/>
  <c r="L20" i="14" s="1"/>
  <c r="L10" i="14"/>
  <c r="O10" i="14"/>
  <c r="O20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<sst xmlns="http://schemas.openxmlformats.org/spreadsheetml/2006/main" count="852" uniqueCount="499">
  <si>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</si>
  <si>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</si>
  <si>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</si>
  <si>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</si>
  <si>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</si>
  <si>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</si>
  <si>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</si>
  <si>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</si>
  <si>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</si>
  <si>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</si>
  <si>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</si>
  <si>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</si>
  <si>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</si>
  <si>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</si>
  <si>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</si>
  <si>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</si>
  <si>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</si>
  <si>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</si>
  <si>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</si>
  <si>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</si>
  <si>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</si>
  <si>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</si>
  <si>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</si>
  <si>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</si>
  <si>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</si>
  <si>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</si>
  <si>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</si>
  <si>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</si>
  <si>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</si>
  <si>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</si>
  <si>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</si>
  <si>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</si>
  <si>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</si>
  <si>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</si>
  <si>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</si>
  <si>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</si>
  <si>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</si>
  <si>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</si>
  <si>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</si>
  <si>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</si>
  <si>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</si>
  <si>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</si>
  <si>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</si>
  <si>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</si>
  <si>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</si>
  <si>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</si>
  <si>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</si>
  <si>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</si>
  <si>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</si>
  <si>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</si>
  <si>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</si>
  <si>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</si>
  <si>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</si>
  <si>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</si>
  <si>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</si>
  <si>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</si>
  <si>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</si>
  <si>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</si>
  <si>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</si>
  <si>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</si>
  <si>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</si>
  <si>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</si>
  <si>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</si>
  <si>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</si>
  <si>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</si>
  <si>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</si>
  <si>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</si>
  <si>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</si>
  <si>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</si>
  <si>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</si>
  <si>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</si>
  <si>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</si>
  <si>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</si>
  <si>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</si>
  <si>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</si>
  <si>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</si>
  <si>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</si>
  <si>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</si>
  <si>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</si>
  <si>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</si>
  <si>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</si>
  <si>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</si>
  <si>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</si>
  <si>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</si>
  <si>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</si>
  <si>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</si>
  <si>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</si>
  <si>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</si>
  <si>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</si>
  <si>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</si>
  <si>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</si>
  <si>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</si>
  <si>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</si>
  <si>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</si>
  <si>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</si>
  <si>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</si>
  <si>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</si>
  <si>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</si>
  <si>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</si>
  <si>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</si>
  <si>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</si>
  <si>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</si>
  <si>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</si>
  <si>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</si>
  <si>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</si>
  <si>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</si>
  <si>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</si>
  <si>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</si>
  <si>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</si>
  <si>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</si>
  <si>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</si>
  <si>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</si>
  <si>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</si>
  <si>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</si>
  <si>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</si>
  <si>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</si>
  <si>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</si>
  <si>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</si>
  <si>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</si>
  <si>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</si>
  <si>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</si>
  <si>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</si>
  <si>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</si>
  <si>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</si>
  <si>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</si>
  <si>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</si>
  <si>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</si>
  <si>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</si>
  <si>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</si>
  <si>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</si>
  <si>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</si>
  <si>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</si>
  <si>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</si>
  <si>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</si>
  <si>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</si>
  <si>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</si>
  <si>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</si>
  <si>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</si>
  <si>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</si>
  <si>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</si>
  <si>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</si>
  <si>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</si>
  <si>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</si>
  <si>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</si>
  <si>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</si>
  <si>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</si>
  <si>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</si>
  <si>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</si>
  <si>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</si>
  <si>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</si>
  <si>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</si>
  <si>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</si>
  <si>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</si>
  <si>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</si>
  <si>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</si>
  <si>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</si>
  <si>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</si>
  <si>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</si>
  <si>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</si>
  <si>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</si>
  <si>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</si>
  <si>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</si>
  <si>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</si>
  <si>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</si>
  <si>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</si>
  <si>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</si>
  <si>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</si>
  <si>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</si>
  <si>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</si>
  <si>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battery-quarter</t>
  </si>
  <si>
    <t>battery-three-quarters</t>
  </si>
  <si>
    <t>bell</t>
  </si>
  <si>
    <t>bell-slash</t>
  </si>
  <si>
    <t>calendar</t>
  </si>
  <si>
    <t>calendar-alt</t>
  </si>
  <si>
    <t>calendar-check</t>
  </si>
  <si>
    <t>calendar-minus</t>
  </si>
  <si>
    <t>calendar-plus</t>
  </si>
  <si>
    <t>calendar-times</t>
  </si>
  <si>
    <t>cart-arrow-down</t>
  </si>
  <si>
    <t>cart-plus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</si>
  <si>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</si>
  <si>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</si>
  <si>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</si>
  <si>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</si>
  <si>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</si>
  <si>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</si>
  <si>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</si>
  <si>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</si>
  <si>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</si>
  <si>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</si>
  <si>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</si>
  <si>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</si>
  <si>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</si>
  <si>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</si>
  <si>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</si>
  <si>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gas-pump</t>
  </si>
  <si>
    <t>info</t>
  </si>
  <si>
    <t>info-circle</t>
  </si>
  <si>
    <t>lightbulb</t>
  </si>
  <si>
    <t>lock</t>
  </si>
  <si>
    <t>lock-open</t>
  </si>
  <si>
    <t>map-marker</t>
  </si>
  <si>
    <t>map-marker-alt</t>
  </si>
  <si>
    <t>microphone</t>
  </si>
  <si>
    <t>microphone-alt</t>
  </si>
  <si>
    <t>microphone-alt-slash</t>
  </si>
  <si>
    <t>microphone-slash</t>
  </si>
  <si>
    <t>minus</t>
  </si>
  <si>
    <t>minus-circle</t>
  </si>
  <si>
    <t>minus-square</t>
  </si>
  <si>
    <t>parking</t>
  </si>
  <si>
    <t>phone</t>
  </si>
  <si>
    <t>phone-slash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</si>
  <si>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</si>
  <si>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</si>
  <si>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</si>
  <si>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</si>
  <si>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</si>
  <si>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</si>
  <si>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</si>
  <si>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</si>
  <si>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</si>
  <si>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</si>
  <si>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thermometer-empty</t>
  </si>
  <si>
    <t>thermometer-full</t>
  </si>
  <si>
    <t>thermometer-half</t>
  </si>
  <si>
    <t>thermometer-quarter</t>
  </si>
  <si>
    <t>thermometer-three-quarters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</si>
  <si>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</si>
  <si>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</si>
  <si>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</si>
  <si>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</si>
  <si>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</si>
  <si>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</si>
  <si>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</si>
  <si>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</si>
  <si>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user-alt</t>
  </si>
  <si>
    <t>user-alt-slash</t>
  </si>
  <si>
    <t>user-slash</t>
  </si>
  <si>
    <t>video</t>
  </si>
  <si>
    <t>video-slash</t>
  </si>
  <si>
    <t>volume-down</t>
  </si>
  <si>
    <t>volume-mute</t>
  </si>
  <si>
    <t>volume-off</t>
  </si>
  <si>
    <t>volume-up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</si>
  <si>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</si>
  <si>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</si>
  <si>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</si>
  <si>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</si>
  <si>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</si>
  <si>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</si>
  <si>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</si>
  <si>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</si>
  <si>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</si>
  <si>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</si>
  <si>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</si>
  <si>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</si>
  <si>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</si>
  <si>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</si>
  <si>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paper-plane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</si>
  <si>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</si>
  <si>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</si>
  <si>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</si>
  <si>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</si>
  <si>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</si>
  <si>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</si>
  <si>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</si>
  <si>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</si>
  <si>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</si>
  <si>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</si>
  <si>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</si>
  <si>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</si>
  <si>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</si>
  <si>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</si>
  <si>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</si>
  <si>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</si>
  <si>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</si>
  <si>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car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</si>
  <si>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</si>
  <si>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</si>
  <si>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</si>
  <si>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</si>
  <si>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</si>
  <si>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</si>
  <si>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</si>
  <si>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</si>
  <si>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</si>
  <si>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</si>
  <si>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</si>
  <si>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</si>
  <si>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</si>
  <si>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</si>
  <si>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</si>
  <si>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</si>
  <si>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</si>
  <si>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</si>
  <si>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</si>
  <si>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</si>
  <si>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</si>
  <si>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</si>
  <si>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</si>
  <si>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</si>
  <si>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</si>
  <si>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</si>
  <si>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</si>
  <si>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</si>
  <si>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</si>
  <si>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</si>
  <si>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</si>
  <si>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</si>
  <si>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</si>
  <si>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</si>
  <si>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</si>
  <si>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</si>
  <si>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</si>
  <si>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</si>
  <si>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</si>
  <si>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</si>
  <si>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</si>
  <si>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</si>
  <si>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</si>
  <si>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</si>
  <si>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</si>
  <si>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</si>
  <si>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</si>
  <si>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</si>
  <si>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</si>
  <si>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</si>
  <si>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</si>
  <si>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</si>
  <si>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</si>
  <si>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</si>
  <si>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</si>
  <si>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</si>
  <si>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</si>
  <si>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</si>
  <si>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</si>
  <si>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</si>
  <si>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</si>
  <si>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</si>
  <si>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PK</t>
  </si>
  <si>
    <t>FK</t>
  </si>
  <si>
    <t>UK</t>
  </si>
  <si>
    <t>PK, FK</t>
  </si>
  <si>
    <t>FK, UK</t>
  </si>
  <si>
    <t>KeyTypes</t>
  </si>
  <si>
    <t>model</t>
  </si>
  <si>
    <t>json</t>
  </si>
  <si>
    <t>polygon</t>
  </si>
  <si>
    <t>text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</si>
  <si>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</si>
  <si>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</si>
  <si>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</si>
  <si>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</si>
  <si>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</si>
  <si>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</si>
  <si>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</si>
  <si>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</si>
  <si>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</si>
  <si>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</si>
  <si>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</si>
  <si>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</si>
  <si>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</si>
  <si>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</si>
  <si>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</si>
  <si>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</si>
  <si>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</si>
  <si>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</si>
  <si>
    <t>gantt</t>
  </si>
  <si>
    <t xml:space="preserve">    dateFormat  YYYY-MM-DD</t>
  </si>
  <si>
    <t>Boundary</t>
  </si>
  <si>
    <t>Actor</t>
  </si>
  <si>
    <t>Control</t>
  </si>
  <si>
    <t>Database</t>
  </si>
  <si>
    <t>CloudFront</t>
  </si>
  <si>
    <t>CloudWatch</t>
  </si>
  <si>
    <t>Cognito</t>
  </si>
  <si>
    <t>DynamoDB</t>
  </si>
  <si>
    <t>EBS</t>
  </si>
  <si>
    <t>EC2</t>
  </si>
  <si>
    <t>ECS</t>
  </si>
  <si>
    <t>EFS</t>
  </si>
  <si>
    <t>EliastiCache</t>
  </si>
  <si>
    <t>ElasticBeanstalk</t>
  </si>
  <si>
    <t>ElasticFileSystem</t>
  </si>
  <si>
    <t>Glacier</t>
  </si>
  <si>
    <t>IAM</t>
  </si>
  <si>
    <t>Kinesis</t>
  </si>
  <si>
    <t>Lambda</t>
  </si>
  <si>
    <t>Lightsail</t>
  </si>
  <si>
    <t>RDS</t>
  </si>
  <si>
    <t>Redshift</t>
  </si>
  <si>
    <t>S3</t>
  </si>
  <si>
    <t>SNS</t>
  </si>
  <si>
    <t>SQS</t>
  </si>
  <si>
    <t>Sagemaker</t>
  </si>
  <si>
    <t>VPC</t>
  </si>
  <si>
    <t>AzureActiveDirectory</t>
  </si>
  <si>
    <t>AzureBackup</t>
  </si>
  <si>
    <t>AzureCDN</t>
  </si>
  <si>
    <t>AzureDataFactory</t>
  </si>
  <si>
    <t>AzureDevOps</t>
  </si>
  <si>
    <t>AzureFunction</t>
  </si>
  <si>
    <t>AzureSQL</t>
  </si>
  <si>
    <t>CosmosDB</t>
  </si>
  <si>
    <t>LogicApps</t>
  </si>
  <si>
    <t>VirtualMachine</t>
  </si>
  <si>
    <t>BigTable</t>
  </si>
  <si>
    <t>BigQuery</t>
  </si>
  <si>
    <t>CloudCDN</t>
  </si>
  <si>
    <t>CloudInterconnect</t>
  </si>
  <si>
    <t>CloudDNS</t>
  </si>
  <si>
    <t>CloudLoadBalancing</t>
  </si>
  <si>
    <t>CloudSQL</t>
  </si>
  <si>
    <t>CloudStorage</t>
  </si>
  <si>
    <t>Datalab</t>
  </si>
  <si>
    <t>DataProc</t>
  </si>
  <si>
    <t>GoogleIAM</t>
  </si>
  <si>
    <t>GoogleSecurity</t>
  </si>
  <si>
    <t>GoogleVPC</t>
  </si>
  <si>
    <t>PubSub</t>
  </si>
  <si>
    <t>SecurityScanner</t>
  </si>
  <si>
    <t>StackDriver</t>
  </si>
  <si>
    <t>VisionAPI</t>
  </si>
  <si>
    <t>zumlAnnotators</t>
  </si>
  <si>
    <t>Note</t>
  </si>
  <si>
    <t>direction</t>
  </si>
  <si>
    <t>right</t>
  </si>
  <si>
    <t>string</t>
  </si>
  <si>
    <t>TaskName</t>
  </si>
  <si>
    <t>dateFormat</t>
  </si>
  <si>
    <t>excludes</t>
  </si>
  <si>
    <t>weekends</t>
  </si>
  <si>
    <t>value</t>
  </si>
  <si>
    <t>dd-mmm</t>
  </si>
  <si>
    <t>Example GANTT</t>
  </si>
  <si>
    <t>Section</t>
  </si>
  <si>
    <t>Section 1</t>
  </si>
  <si>
    <t>Section 2</t>
  </si>
  <si>
    <t>Task A</t>
  </si>
  <si>
    <t>Finish work</t>
  </si>
  <si>
    <t>Another Task</t>
  </si>
  <si>
    <t>taskID</t>
  </si>
  <si>
    <t>startAtOrAfter</t>
  </si>
  <si>
    <t>document</t>
  </si>
  <si>
    <t>publish</t>
  </si>
  <si>
    <t>duration</t>
  </si>
  <si>
    <t>tags</t>
  </si>
  <si>
    <t>done</t>
  </si>
  <si>
    <t>active</t>
  </si>
  <si>
    <t>milestone</t>
  </si>
  <si>
    <t>Crit bug fix</t>
  </si>
  <si>
    <t>lastSection</t>
  </si>
  <si>
    <t>address</t>
  </si>
  <si>
    <t>name</t>
  </si>
  <si>
    <t>household</t>
  </si>
  <si>
    <t>Default Relationship</t>
  </si>
  <si>
    <t>householdUUID</t>
  </si>
  <si>
    <t>personUUID</t>
  </si>
  <si>
    <t>*:1</t>
  </si>
  <si>
    <t>1:1</t>
  </si>
  <si>
    <t>Cardinality</t>
  </si>
  <si>
    <t>StartDate</t>
  </si>
  <si>
    <t>lastSection:document</t>
  </si>
  <si>
    <t>crit</t>
  </si>
  <si>
    <t>endDate</t>
  </si>
  <si>
    <t>StartType</t>
  </si>
  <si>
    <t>PreviousTaskID</t>
  </si>
  <si>
    <t>ID</t>
  </si>
  <si>
    <t>taskSectionID</t>
  </si>
  <si>
    <t>sectionName</t>
  </si>
  <si>
    <t>taskUID</t>
  </si>
  <si>
    <t>Section 1:Finish work</t>
  </si>
  <si>
    <t>registrationNumber</t>
  </si>
  <si>
    <t>VIN</t>
  </si>
  <si>
    <t>this is a note</t>
  </si>
  <si>
    <t>Object</t>
  </si>
  <si>
    <t>type</t>
  </si>
  <si>
    <t>Color</t>
  </si>
  <si>
    <t>Participant</t>
  </si>
  <si>
    <t>gray</t>
  </si>
  <si>
    <t>middle</t>
  </si>
  <si>
    <t>front</t>
  </si>
  <si>
    <t>Box</t>
  </si>
  <si>
    <t>message</t>
  </si>
  <si>
    <t>Sequence Group</t>
  </si>
  <si>
    <t>else</t>
  </si>
  <si>
    <t>and</t>
  </si>
  <si>
    <t>critical</t>
  </si>
  <si>
    <t>option</t>
  </si>
  <si>
    <t>note right of</t>
  </si>
  <si>
    <t>Action</t>
  </si>
  <si>
    <t>state join_state &lt;&lt;join&gt;&gt;</t>
  </si>
  <si>
    <t>has account</t>
  </si>
  <si>
    <t>alt</t>
  </si>
  <si>
    <t>opt</t>
  </si>
  <si>
    <t>user onboard</t>
  </si>
  <si>
    <t>no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</si>
</sst>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#&quot;d&quot;"/>
  </numFmts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left" indent="1"/>
    </xf>
    <xf numFmtId="165" fontId="0" fillId="0" borderId="0" xfId="0" applyNumberFormat="1"/>
    <xf numFmtId="164" fontId="0" fillId="0" borderId="0" xfId="0" applyNumberFormat="1" applyAlignment="1">
      <alignment horizontal="left" indent="1"/>
    </xf>
    <xf numFmtId="0" fontId="0" fillId="9" borderId="0" xfId="0" applyFill="1"/>
    <xf numFmtId="0" fontId="7" fillId="0" borderId="0" xfId="0" applyNumberFormat="1" applyFont="1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54"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</dxf>
    <dxf>
      <numFmt numFmtId="165" formatCode="#&quot;d&quot;"/>
    </dxf>
    <dxf>
      <numFmt numFmtId="164" formatCode="[$-409]d\-mmm;@"/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3102430</xdr:colOff>
      <xdr:row>4</xdr:row>
      <xdr:rowOff>10884</xdr:rowOff>
    </xdr:from>
    <xdr:to>
      <xdr:col>26</xdr:col>
      <xdr:colOff>27215</xdr:colOff>
      <xdr:row>29</xdr:row>
      <xdr:rowOff>39589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B3969-5D43-4940-800B-97AEBCD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54844" y="751113"/>
          <a:ext cx="4250871" cy="46551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</xdr:colOff>
      <xdr:row>19</xdr:row>
      <xdr:rowOff>81642</xdr:rowOff>
    </xdr:from>
    <xdr:to>
      <xdr:col>26</xdr:col>
      <xdr:colOff>2445343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A98B6-4B04-F310-B16E-E66855AC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597728"/>
          <a:ext cx="9156387" cy="1366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353786</xdr:colOff>
      <xdr:row>10</xdr:row>
      <xdr:rowOff>174171</xdr:rowOff>
    </xdr:from>
    <xdr:to>
      <xdr:col>11</xdr:col>
      <xdr:colOff>3009970</xdr:colOff>
      <xdr:row>18</xdr:row>
      <xdr:rowOff>136108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318DF-A111-A404-3EA1-5B040805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0372" y="2024742"/>
          <a:ext cx="2656184" cy="14423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EBD3-5F86-40BA-A10B-9458541C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173580</xdr:colOff>
      <xdr:row>4</xdr:row>
      <xdr:rowOff>13844</xdr:rowOff>
    </xdr:from>
    <xdr:to>
      <xdr:col>18</xdr:col>
      <xdr:colOff>177952</xdr:colOff>
      <xdr:row>15</xdr:row>
      <xdr:rowOff>34251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6276" y="752180"/>
          <a:ext cx="2077390" cy="205082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1542932</xdr:colOff>
      <xdr:row>4</xdr:row>
      <xdr:rowOff>61527</xdr:rowOff>
    </xdr:from>
    <xdr:to>
      <xdr:col>14</xdr:col>
      <xdr:colOff>542920</xdr:colOff>
      <xdr:row>18</xdr:row>
      <xdr:rowOff>122651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FB45F-AE69-ECF2-6579-D0520DB1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696" y="799863"/>
          <a:ext cx="2057454" cy="26452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2262335</xdr:colOff>
      <xdr:row>3</xdr:row>
      <xdr:rowOff>56795</xdr:rowOff>
    </xdr:from>
    <xdr:to>
      <xdr:col>12</xdr:col>
      <xdr:colOff>46684</xdr:colOff>
      <xdr:row>10</xdr:row>
      <xdr:rowOff>163559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83C1-5D49-2EE6-77A6-6035B76F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3813" y="610546"/>
          <a:ext cx="2498337" cy="13988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2371548</xdr:colOff>
      <xdr:row>3</xdr:row>
      <xdr:rowOff>54074</xdr:rowOff>
    </xdr:from>
    <xdr:to>
      <xdr:col>11</xdr:col>
      <xdr:colOff>354567</xdr:colOff>
      <xdr:row>18</xdr:row>
      <xdr:rowOff>113070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598" y="607825"/>
          <a:ext cx="2697006" cy="282775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D5C402E-66A6-4D90-BD07-82F530E6D611}" name="erdAttributes" displayName="erdAttributes" ref="H1:M31" totalsRowShown="0" headerRowCellStyle="Accent1">
  <autoFilter ref="H1:M31" xr:uid="{E67CC456-6B55-43D3-ADAA-D64EF8ADD13F}"/>
  <sortState xmlns:xlrd2="http://schemas.microsoft.com/office/spreadsheetml/2017/richdata2" ref="H2:M31">
    <sortCondition ref="H1:H31"/>
  </sortState>
  <tableColumns count="6">
    <tableColumn id="1" xr3:uid="{C2B07931-174D-4DFE-AE2B-C289A834FCB7}" name="Entity"/>
    <tableColumn id="3" xr3:uid="{506FD6A4-85C8-4DFF-8DCC-C6A3850E8C45}" name="Attribute (no spaces)"/>
    <tableColumn id="2" xr3:uid="{109F698F-D498-4543-B281-E318D825172C}" name="Type"/>
    <tableColumn id="4" xr3:uid="{9DD2F2E2-217E-4CD6-A70E-323C4577140D}" name="key"/>
    <tableColumn id="5" xr3:uid="{D4830A02-D86B-459F-8748-42B39188A9DB}" name="Comment"/>
    <tableColumn id="10" xr3:uid="{7A64A544-763B-4434-9DA8-F57EC2E3615F}" name="mmSyntax" dataDxfId="53">
      <calculatedColumnFormula>_xlfn.TEXTJOIN(" ",TRUE,erdAttributes[[#This Row],[Type]],erdAttributes[[#This Row],[Attribute (no spaces)]],erdAttributes[[#This Row],[key]],IF(erdAttributes[[#This Row],[Comment]]="","",""""&amp;erdAttributes[[#This Row],[Comment]]&amp;""""))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716EA3-C3D3-4DAA-A377-D828F2482370}" name="erdEntities" displayName="erdEntities" ref="A4:F8" totalsRowShown="0">
  <autoFilter ref="A4:F8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D2333D-DF20-427E-9118-E63C863A1F64}" name="Source"/>
    <tableColumn id="4" xr3:uid="{4D10C04C-7D83-4F48-AA15-9D2E71AA1686}" name="description"/>
    <tableColumn id="2" xr3:uid="{41E6B5CE-81FE-4A67-8280-5E5ED80549BE}" name="LeftRelationship" dataDxfId="52">
      <calculatedColumnFormula>erdDefaultRelationship</calculatedColumnFormula>
    </tableColumn>
    <tableColumn id="6" xr3:uid="{B1E26B83-FAE0-4E37-87A7-38E59CD49D16}" name="RightRelationship" dataDxfId="51">
      <calculatedColumnFormula>erdDefaultRelationship</calculatedColumnFormula>
    </tableColumn>
    <tableColumn id="3" xr3:uid="{F07DAA67-25DA-451F-84A1-CD7CE7C4E086}" name="Target"/>
    <tableColumn id="5" xr3:uid="{D28745B2-AB29-4D9E-8EC9-94F3FB5F4CFD}" name="mmSyntax" dataDxfId="0">
      <calculatedColumnFormula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""""&amp; erdEntities[[#This Row],[description]]&amp;"""")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B3F9F8-3054-430B-89AD-F013E87DFC1C}" name="ganttElements" displayName="ganttElements" ref="A1:C4" totalsRowShown="0">
  <autoFilter ref="A1:C4" xr:uid="{24B3F9F8-3054-430B-89AD-F013E87DFC1C}"/>
  <tableColumns count="3">
    <tableColumn id="1" xr3:uid="{0E1C98E2-3B33-497F-B7C2-BDC759D848E9}" name="Element"/>
    <tableColumn id="2" xr3:uid="{4B8F65D0-1FC5-4FB4-BB5C-051E954BBDC5}" name="value"/>
    <tableColumn id="3" xr3:uid="{690C9F55-2D6E-4DE4-BD73-8AA66389E368}" name="mmSyntax" dataDxfId="50">
      <calculatedColumnFormula>ganttElements[[#This Row],[Element]]&amp;" " &amp;ganttElements[[#This Row],[value]]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88E5F3-8ABE-49F6-9072-503D0B005C5C}" name="ganttTasks" displayName="ganttTasks" ref="E1:S29" totalsRowShown="0">
  <autoFilter ref="E1:S29" xr:uid="{7088E5F3-8ABE-49F6-9072-503D0B005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D21D0908-C762-4742-A635-2A14C832DC73}" name="Section"/>
    <tableColumn id="1" xr3:uid="{FF893285-387B-4960-809B-E0FF70BA4BE2}" name="TaskName"/>
    <tableColumn id="5" xr3:uid="{6A0DD95E-30C7-45AA-BBA5-D6775F7D59DC}" name="tags"/>
    <tableColumn id="4" xr3:uid="{F0AF98BB-21B8-4AB3-A4ED-38ABD218E97C}" name="startAtOrAfter" dataDxfId="49"/>
    <tableColumn id="6" xr3:uid="{7DA52178-572F-42D8-A459-AB31906F7BEE}" name="duration" dataDxfId="48"/>
    <tableColumn id="12" xr3:uid="{503A1A32-C56C-4EF2-B297-5B4C20C2FA45}" name="StartType" dataDxfId="47">
      <calculatedColumnFormula>IF(ganttTasks[[#This Row],[TaskName]]="","",IF(ganttTasks[[#This Row],[startAtOrAfter]]="","Previous Task",IF(ISNUMBER(ganttTasks[[#This Row],[startAtOrAfter]]),"Date","Other Task")))</calculatedColumnFormula>
    </tableColumn>
    <tableColumn id="8" xr3:uid="{DAE17CD6-C244-4C5A-843E-5D24142710C2}" name="StartDate" dataDxfId="46">
      <calculatedColumnFormula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calculatedColumnFormula>
    </tableColumn>
    <tableColumn id="11" xr3:uid="{54679153-41D4-48CD-A015-4D0C4D79B880}" name="endDate" dataDxfId="45">
      <calculatedColumnFormula>IF(ganttTasks[[#This Row],[TaskName]]="","",IF(ganttTasks[[#This Row],[StartDate]]="",L1,ganttTasks[[#This Row],[duration]]+ganttTasks[[#This Row],[StartDate]]))</calculatedColumnFormula>
    </tableColumn>
    <tableColumn id="3" xr3:uid="{FC36C204-ED3A-49BB-BB4F-FA7EED5B79E2}" name="taskID" dataDxfId="44">
      <calculatedColumnFormula>IF(ganttTasks[[#This Row],[TaskName]]="","",ganttTasks[[#This Row],[taskSectionID]]&amp;":"&amp;ganttTasks[[#This Row],[TaskName]])</calculatedColumnFormula>
    </tableColumn>
    <tableColumn id="19" xr3:uid="{0062278E-D861-4B88-93ED-3C76A6B43BD6}" name="taskUID" dataDxfId="43">
      <calculatedColumnFormula>IF(ganttTasks[[#This Row],[TaskName]]="","",ganttTasks[[#This Row],[sectionName]]&amp;":"&amp;ganttTasks[[#This Row],[TaskName]])</calculatedColumnFormula>
    </tableColumn>
    <tableColumn id="9" xr3:uid="{FD461EBB-AC6F-4433-8748-C94854839665}" name="mmSyntax" dataDxfId="42">
      <calculatedColumnFormula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calculatedColumnFormula>
    </tableColumn>
    <tableColumn id="14" xr3:uid="{F1D6475A-4119-47C0-9AF7-38C162A2BF78}" name="ID" dataDxfId="41">
      <calculatedColumnFormula>ROW()</calculatedColumnFormula>
    </tableColumn>
    <tableColumn id="13" xr3:uid="{2643BB68-25E1-47CA-9F4E-039B6193C631}" name="PreviousTaskID" dataDxfId="40">
      <calculatedColumnFormula array="1">IFERROR(MAX(_xlfn._xlws.FILTER(ganttTasks[ID],ganttTasks[ID]&lt;ganttTasks[[#This Row],[ID]],"")),"")</calculatedColumnFormula>
    </tableColumn>
    <tableColumn id="17" xr3:uid="{211AF7A9-7EBB-43C1-B092-EB3556C162CF}" name="taskSectionID" dataDxfId="39">
      <calculatedColumnFormula array="1">MAX(_xlfn._xlws.FILTER(ganttTasks[ID],(ganttTasks[ID]&lt;ganttTasks[[#This Row],[ID]])*(ganttTasks[Section]&lt;&gt;""),0))</calculatedColumnFormula>
    </tableColumn>
    <tableColumn id="18" xr3:uid="{45A48121-2196-49B2-91AC-EB0C50B662D5}" name="sectionName" dataDxfId="38">
      <calculatedColumnFormula>IF(ganttTasks[[#This Row],[TaskName]]="","",IF(ganttTasks[[#This Row],[Section]]&lt;&gt;"","",_xlfn.XLOOKUP(ganttTasks[[#This Row],[taskSectionID]],ganttTasks[ID],ganttTasks[Section])))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4:D19" totalsRowShown="0" dataDxfId="37" headerRowCellStyle="Accent1">
  <autoFilter ref="A4:D19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36"/>
    <tableColumn id="2" xr3:uid="{ECAC4E07-64EA-4108-858C-EA2B6DB5C8D9}" name="shape" dataDxfId="35"/>
    <tableColumn id="3" xr3:uid="{9BA84533-457E-443E-A476-FA9B5C1EB9A1}" name="icon" dataDxfId="34"/>
    <tableColumn id="4" xr3:uid="{DD5B560C-980D-49D7-AF5F-46317BD1357E}" name="mmSyntax" dataDxfId="33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J29" totalsRowShown="0" headerRowCellStyle="Accent1">
  <autoFilter ref="F1:J29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>
      <calculatedColumnFormula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2F6E2-2B53-4B1C-85B8-140812FC5945}" name="erdAttributes4" displayName="erdAttributes4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6E12CFB-E2E4-4C0F-9DAE-3330DFC31564}" name="Entity"/>
    <tableColumn id="2" xr3:uid="{345E406E-DFA0-4AB3-A376-DA154EAAFC3C}" name="Type"/>
    <tableColumn id="3" xr3:uid="{D4BE7D91-09B3-4DCC-9BA4-9D93BB30EA12}" name="Attribute (no spaces)"/>
    <tableColumn id="4" xr3:uid="{4C34E386-106C-42B6-8756-44B4CA5D7B09}" name="key"/>
    <tableColumn id="5" xr3:uid="{FB51180F-4D6E-412F-850A-88571748C87C}" name="Comment"/>
    <tableColumn id="6" xr3:uid="{179B2ACB-E8E8-44A4-96E7-A73069E548A6}" name="mmSyntax" dataDxfId="32">
      <calculatedColumnFormula>_xlfn.TEXTJOIN(" ",TRUE,erdAttributes4[[#This Row],[Type]],erdAttributes4[[#This Row],[Attribute (no spaces)]],erdAttributes4[[#This Row],[key]],IF(erdAttributes4[[#This Row],[Comment]]="","",""""&amp;erdAttributes4[[#This Row],[Comment]]&amp;""""))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E6164B-6E54-4561-89CA-FA45B84B5F41}" name="erdEntities17" displayName="erdEntities17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24A2BB-42FC-412B-B1B9-0AD46E4F94A8}" name="Source"/>
    <tableColumn id="4" xr3:uid="{D1683149-4BE3-400F-A1C9-F3EF2B3A525A}" name="description"/>
    <tableColumn id="2" xr3:uid="{2561D978-87F9-4F36-BFB1-953ECC263D21}" name="LeftRelationship"/>
    <tableColumn id="6" xr3:uid="{E5BA51EB-2298-4678-9E74-2242B40052D5}" name="RightRelationship"/>
    <tableColumn id="3" xr3:uid="{64D70DBC-EF1A-47DB-8C63-EA3ABF428492}" name="Target"/>
    <tableColumn id="5" xr3:uid="{A4D75865-A9D8-461D-831A-B0DD7AB22BF3}" name="mmSyntax" dataDxfId="31">
      <calculatedColumnFormula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30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19" totalsRowShown="0" headerRowCellStyle="Accent1">
  <autoFilter ref="J1:M19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/>
    <tableColumn id="2" xr3:uid="{BCA3C435-9511-4E31-84C5-98341A1CFE11}" name="X"/>
    <tableColumn id="3" xr3:uid="{296A903C-E0BE-4ED1-8F89-3C3663A84CB5}" name="Y"/>
    <tableColumn id="4" xr3:uid="{698343F2-0151-43E6-AFC0-E22F6787B6F0}" name="mmSyntax" dataDxfId="29">
      <calculatedColumnFormula>IF(OR(quadBuild[[#This Row],[Label]]="",quadBuild[[#This Row],[X]]="",quadBuild[[#This Row],[Y]]=""),"",J2&amp;": ["&amp;K2&amp;", "&amp;L2&amp;"]")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28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6CBE2F-30ED-4357-B866-762E0B8ACCD4}" name="seqObjects" displayName="seqObjects" ref="A7:D19" totalsRowShown="0">
  <autoFilter ref="A7:D19" xr:uid="{FB9B45D0-93BE-48B7-A2EE-6260ED260C19}"/>
  <tableColumns count="4">
    <tableColumn id="1" xr3:uid="{23A59C46-E07B-4036-B260-9AC9C0B4E8DF}" name="Object"/>
    <tableColumn id="2" xr3:uid="{A9F7164D-4613-4C86-A4E3-BCBAF3DAC7BE}" name="Box"/>
    <tableColumn id="3" xr3:uid="{ABF4524D-484B-4A67-A67A-E22D1318D07A}" name="type"/>
    <tableColumn id="4" xr3:uid="{92C5E203-54F3-41E8-BEFE-85051B2363B3}" name="mmSyntax" dataDxfId="19">
      <calculatedColumnFormula>IF(seqObjects[[#This Row],[Object]]="","",IF(seqObjects[[#This Row],[type]]="","Participant " &amp; seqObjects[[#This Row],[Object]],seqObjects[[#This Row],[type]]&amp;" "&amp;seqObjects[[#This Row],[Object]]))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4CC70A3-6DAA-49CD-97C7-93FD9C0F3DC5}" name="sequence" displayName="sequence" ref="F1:K28" totalsRowShown="0" headerRowCellStyle="Accent1">
  <autoFilter ref="F1:K28" xr:uid="{34CC70A3-6DAA-49CD-97C7-93FD9C0F3D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1" xr3:uid="{F80868AF-9858-4B88-8530-F53C8DF3D4A1}" name="Action"/>
    <tableColumn id="1" xr3:uid="{4A617FAB-A534-445E-BD65-E9AD24F893F0}" name="source"/>
    <tableColumn id="2" xr3:uid="{1A2FD87C-B8EB-447A-9B82-007FFCC9C8F6}" name="target"/>
    <tableColumn id="3" xr3:uid="{1319EBC1-CD04-4F07-AD5A-10FD6C676B09}" name="message"/>
    <tableColumn id="4" xr3:uid="{2AFF5122-5DB3-4C22-824D-2F7A62679B9D}" name="connector"/>
    <tableColumn id="5" xr3:uid="{3FEDAE9F-8C90-4BCF-8A98-B112208E0D18}" name="mmSyntax" dataDxfId="1">
      <calculatedColumnFormula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FC806-B37F-4A94-8CAE-F9260492B33D}" name="Table4" displayName="Table4" ref="A24:C32" totalsRowShown="0">
  <autoFilter ref="A24:C32" xr:uid="{7D5FC806-B37F-4A94-8CAE-F9260492B33D}"/>
  <tableColumns count="3">
    <tableColumn id="1" xr3:uid="{1A31BB5C-FD9B-4E14-9A03-146F51548A60}" name="Box"/>
    <tableColumn id="2" xr3:uid="{09949D19-DD7A-4127-AF8A-9A9524F7D6C6}" name="Color"/>
    <tableColumn id="3" xr3:uid="{CAAB377A-C04F-4026-BEB5-00B1DBA47060}" name="mmSyntax" dataDxfId="18">
      <calculatedColumnFormula>IF(Table4[[#This Row],[Box]]="","",IF(Table4[[#This Row],[Color]]="","Box " &amp; Table4[[#This Row],[Box]],"Box " &amp; Table4[[#This Row],[Color]] &amp; " " &amp; Table4[[#This Row],[Box]]))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D1:H30" totalsRowShown="0" headerRowCellStyle="Accent1">
  <autoFilter ref="D1:H30" xr:uid="{928D4078-D028-449E-A884-B136C38A09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5" xr3:uid="{F8957A32-4AEE-4EB9-A06E-26D4E9F1AA50}" name="Note"/>
    <tableColumn id="4" xr3:uid="{80FBF5B1-87CA-4FED-AE3B-8395721C35E4}" name="mmSyntax" dataDxfId="27">
      <calculatedColumnFormula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6788F9E-C55F-44BA-A5C2-6645D514EAAD}" name="simpleSequence" displayName="simpleSequence" ref="D1:H23" totalsRowShown="0">
  <autoFilter ref="D1:H23" xr:uid="{96788F9E-C55F-44BA-A5C2-6645D514EA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4E29C3-3ABF-40A1-B123-D8325B3367F5}" name="source"/>
    <tableColumn id="2" xr3:uid="{C5EAEBE2-32DE-4E10-A107-DA2545B455D4}" name="target"/>
    <tableColumn id="3" xr3:uid="{9512D8C9-5EAB-4A4F-865E-626D5923483F}" name="action"/>
    <tableColumn id="4" xr3:uid="{1A11CD9E-3F30-4A45-9915-625C2C1526EB}" name="connector"/>
    <tableColumn id="5" xr3:uid="{EB7B4497-7DB0-4AF8-9F6C-2D8BAE2E455A}" name="mmSyntax">
      <calculatedColumnFormula>IF('🔢 simpleSequence'!$G2="","",_xlfn.TEXTJOIN("",TRUE,'🔢 simpleSequence'!$D2,(_xlfn.XLOOKUP('🔢 simpleSequence'!$G2,tblSeqConn[display],tblSeqConn[mmSyntax])))&amp;'🔢 simpleSequence'!$E2&amp;": "&amp;'🔢 simpleSequence'!$F2)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26"/>
    <tableColumn id="2" xr3:uid="{7EEEE46B-091C-4B0A-90FE-73FCA5979EF5}" name="connLength" dataDxfId="25"/>
    <tableColumn id="4" xr3:uid="{0981A7E0-AC52-4AEE-A94E-2B70C7C83D54}" name="connID" dataDxfId="24">
      <calculatedColumnFormula>tblFcConn[[#This Row],[connType]]&amp;tblFcConn[[#This Row],[connLength]]</calculatedColumnFormula>
    </tableColumn>
    <tableColumn id="3" xr3:uid="{BC567C8D-5719-4C6E-963C-7997C8DBB0E3}" name="mmSyntax" dataDxfId="23"/>
    <tableColumn id="5" xr3:uid="{EE05B8EC-8203-4880-B52C-38DD78398EB6}" name="display" dataDxfId="2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C191" totalsRowShown="0">
  <autoFilter ref="B34:C191" xr:uid="{2B332504-0277-4005-AA50-4B667BCBF30B}"/>
  <sortState xmlns:xlrd2="http://schemas.microsoft.com/office/spreadsheetml/2017/richdata2" ref="B35:B116">
    <sortCondition ref="B34:B116"/>
  </sortState>
  <tableColumns count="2">
    <tableColumn id="1" xr3:uid="{30A2CF8A-2198-4DD2-A72D-FD5CFB7C3039}" name="Icon" dataDxfId="21">
      <calculatedColumnFormula>"fa:fa-"&amp;icon[[#This Row],[Display]]</calculatedColumnFormula>
    </tableColumn>
    <tableColumn id="2" xr3:uid="{A6E2B5D8-A6E3-44CF-BF3F-2827C592D3DF}" name="Display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J33" totalsRowShown="0">
  <autoFilter ref="G29:J33" xr:uid="{3B4B884A-0E91-4C9E-923B-7268A8759BB1}"/>
  <sortState xmlns:xlrd2="http://schemas.microsoft.com/office/spreadsheetml/2017/richdata2" ref="G30:I33">
    <sortCondition ref="I29:I33"/>
  </sortState>
  <tableColumns count="4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/>
    <tableColumn id="4" xr3:uid="{66C6F046-A1B9-4BE1-B1E2-6C2AC0702740}" name="display" dataDxfId="20">
      <calculatedColumnFormula>"==1"</calculatedColumnFormula>
    </tableColumn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P27:P32" totalsRowShown="0">
  <autoFilter ref="P27:P32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0BE5C1-54BF-47E1-A24A-EA560D275192}" name="zumlAnnotators" displayName="zumlAnnotators" ref="T36:T91" totalsRowShown="0">
  <autoFilter ref="T36:T91" xr:uid="{5B0BE5C1-54BF-47E1-A24A-EA560D275192}"/>
  <tableColumns count="1">
    <tableColumn id="1" xr3:uid="{E79C2E39-73FA-4A9A-A9F5-E5ED4C6A5827}" name="zumlAnnotator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3F4F83-6C8A-47B7-94EE-BA193D77730F}" name="cardinality" displayName="cardinality" ref="L36:L40" totalsRowShown="0">
  <autoFilter ref="L36:L40" xr:uid="{5D3F4F83-6C8A-47B7-94EE-BA193D77730F}"/>
  <tableColumns count="1">
    <tableColumn id="1" xr3:uid="{4DA03D01-B3DA-41A8-9841-786ECBF20957}" name="Cardinality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4CB1F6-F340-462D-A53B-6A8C047001AC}" name="sequencegroups" displayName="sequencegroups" ref="H38:H51" totalsRowShown="0">
  <autoFilter ref="H38:H51" xr:uid="{7C4CB1F6-F340-462D-A53B-6A8C047001AC}"/>
  <tableColumns count="1">
    <tableColumn id="1" xr3:uid="{608F35F0-7552-4D72-B667-F533BADF6EDD}" name="Sequence 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13" Type="http://schemas.openxmlformats.org/officeDocument/2006/relationships/table" Target="../tables/table28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12" Type="http://schemas.openxmlformats.org/officeDocument/2006/relationships/table" Target="../tables/table27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21.xml"/><Relationship Id="rId11" Type="http://schemas.openxmlformats.org/officeDocument/2006/relationships/table" Target="../tables/table26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03-6242-49FD-8742-D0FC857011E6}">
  <dimension ref="A1:V36"/>
  <sheetViews>
    <sheetView showGridLines="0" tabSelected="1" zoomScaleNormal="100" workbookViewId="0">
      <selection activeCell="L27" sqref="L27"/>
    </sheetView>
  </sheetViews>
  <sheetFormatPr defaultRowHeight="14.6"/>
  <cols>
    <col min="1" max="1" width="18.3828125" customWidth="1"/>
    <col min="2" max="2" width="15.69140625" customWidth="1"/>
    <col min="3" max="3" width="14.3828125" hidden="1" customWidth="1"/>
    <col min="4" max="4" width="15.53515625" hidden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20.6132812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30.84375" hidden="1" customWidth="1"/>
    <col min="14" max="14" width="9.69140625" customWidth="1"/>
    <col min="15" max="15" width="57.3828125" customWidth="1"/>
    <col min="17" max="18" width="9.3046875" hidden="1" customWidth="1"/>
    <col min="19" max="22" width="9.23046875" hidden="1" customWidth="1"/>
  </cols>
  <sheetData>
    <row r="1" spans="1:22">
      <c r="A1" s="4" t="s">
        <v>457</v>
      </c>
      <c r="B1" s="15" t="str">
        <f>"Exactly one"</f>
        <v>Exactly one</v>
      </c>
      <c r="H1" s="4" t="s">
        <v>331</v>
      </c>
      <c r="I1" s="4" t="s">
        <v>368</v>
      </c>
      <c r="J1" s="4" t="s">
        <v>340</v>
      </c>
      <c r="K1" s="4" t="s">
        <v>351</v>
      </c>
      <c r="L1" s="4" t="s">
        <v>359</v>
      </c>
      <c r="M1" s="4" t="s">
        <v>5</v>
      </c>
      <c r="O1" s="4" t="s">
        <v>137</v>
      </c>
      <c r="Q1" t="str" cm="1">
        <f t="array" ref="Q1:Q5">_xlfn.UNIQUE(_xlfn.VSTACK(erdEntities[Source],erdEntities[Target]))</f>
        <v>Manufacturer</v>
      </c>
      <c r="R1" t="str" cm="1">
        <f t="array" ref="R1:R4">erdDirections[Meaning]</f>
        <v>Exactly one</v>
      </c>
      <c r="S1" t="str" cm="1">
        <f t="array" ref="S1:S3">_xlfn.UNIQUE(_xlfn._xlws.FILTER(erdAttributes[Type],erdAttributes[Type]&lt;&gt;""))</f>
        <v>string</v>
      </c>
      <c r="T1" t="str" cm="1">
        <f t="array" ref="T1:T5">keyTypes[KeyTypes]</f>
        <v>PK</v>
      </c>
      <c r="U1" t="str" cm="1">
        <f t="array" ref="U1:U4">_xlfn.UNIQUE(_xlfn.VSTACK(cardinality[Cardinality],erdEntities[description]))</f>
        <v>1:*</v>
      </c>
      <c r="V1" t="e" cm="1">
        <f t="array" ref="V1">_xlfn._xlws.FILTER(#REF!,erdAttributes[Entity]="household")</f>
        <v>#REF!</v>
      </c>
    </row>
    <row r="2" spans="1:22">
      <c r="M2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" t="str" cm="1">
        <f t="array" ref="O2:O36">_xlfn.VSTACK(
"erDiagram","",
"%% Entities",
erdEntities[mmSyntax],
"",
"%% Attributes",
_xlfn._xlws.FILTER(erdv2Attributes,erdv2Attributes&lt;&gt;"")
)</f>
        <v>erDiagram</v>
      </c>
      <c r="Q2" t="str">
        <v>Car</v>
      </c>
      <c r="R2" t="str">
        <v>One or more</v>
      </c>
      <c r="S2" t="str">
        <v>json</v>
      </c>
      <c r="T2" t="str">
        <v>FK</v>
      </c>
      <c r="U2" t="str">
        <v>*:*</v>
      </c>
    </row>
    <row r="3" spans="1:22">
      <c r="H3" t="s">
        <v>333</v>
      </c>
      <c r="I3" t="s">
        <v>352</v>
      </c>
      <c r="J3" t="s">
        <v>429</v>
      </c>
      <c r="L3" t="s">
        <v>365</v>
      </c>
      <c r="M3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make "my comment"</v>
      </c>
      <c r="O3" t="str">
        <v/>
      </c>
      <c r="Q3" t="str">
        <v>Person</v>
      </c>
      <c r="R3" t="str">
        <v>Zero or more</v>
      </c>
      <c r="S3" t="str">
        <v>polygon</v>
      </c>
      <c r="T3" t="str">
        <v>UK</v>
      </c>
      <c r="U3" t="str">
        <v>*:1</v>
      </c>
    </row>
    <row r="4" spans="1:22">
      <c r="A4" t="s">
        <v>335</v>
      </c>
      <c r="B4" t="s">
        <v>337</v>
      </c>
      <c r="C4" t="s">
        <v>360</v>
      </c>
      <c r="D4" t="s">
        <v>361</v>
      </c>
      <c r="E4" t="s">
        <v>336</v>
      </c>
      <c r="F4" t="s">
        <v>5</v>
      </c>
      <c r="H4" t="s">
        <v>333</v>
      </c>
      <c r="I4" t="s">
        <v>347</v>
      </c>
      <c r="J4" t="s">
        <v>429</v>
      </c>
      <c r="M4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model</v>
      </c>
      <c r="O4" t="str">
        <v>%% Entities</v>
      </c>
      <c r="Q4" t="str">
        <v>household</v>
      </c>
      <c r="R4" t="str">
        <v>Zero or one</v>
      </c>
      <c r="T4" t="str">
        <v>PK, FK</v>
      </c>
      <c r="U4" t="str">
        <v>1:1</v>
      </c>
    </row>
    <row r="5" spans="1:22">
      <c r="A5" t="s">
        <v>366</v>
      </c>
      <c r="B5" t="str">
        <f>"1:*"</f>
        <v>1:*</v>
      </c>
      <c r="C5" t="str">
        <f t="shared" ref="C5:D8" si="0">erdDefaultRelationship</f>
        <v>Exactly one</v>
      </c>
      <c r="D5" t="str">
        <f t="shared" si="0"/>
        <v>Exactly one</v>
      </c>
      <c r="E5" t="s">
        <v>333</v>
      </c>
      <c r="F5" s="16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""""&amp; erdEntities[[#This Row],[description]]&amp;"""")</f>
        <v>Manufacturer||--||Car : "1:*"</v>
      </c>
      <c r="H5" t="s">
        <v>333</v>
      </c>
      <c r="I5" t="s">
        <v>353</v>
      </c>
      <c r="J5" t="s">
        <v>348</v>
      </c>
      <c r="M5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json parts</v>
      </c>
      <c r="O5" t="str">
        <v>Manufacturer||--||Car : "1:*"</v>
      </c>
      <c r="Q5" t="str">
        <v>Named-Driver</v>
      </c>
      <c r="T5" t="str">
        <v>FK, UK</v>
      </c>
    </row>
    <row r="6" spans="1:22">
      <c r="A6" t="s">
        <v>333</v>
      </c>
      <c r="B6" t="s">
        <v>461</v>
      </c>
      <c r="C6" t="str">
        <f t="shared" si="0"/>
        <v>Exactly one</v>
      </c>
      <c r="D6" t="str">
        <f t="shared" si="0"/>
        <v>Exactly one</v>
      </c>
      <c r="E6" t="s">
        <v>334</v>
      </c>
      <c r="F6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""""&amp; erdEntities[[#This Row],[description]]&amp;"""")</f>
        <v>Car||--||Named-Driver : "1:1"</v>
      </c>
      <c r="H6" t="s">
        <v>333</v>
      </c>
      <c r="I6" t="s">
        <v>474</v>
      </c>
      <c r="J6" t="s">
        <v>429</v>
      </c>
      <c r="K6" t="s">
        <v>341</v>
      </c>
      <c r="M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registrationNumber PK</v>
      </c>
      <c r="O6" t="str">
        <v>Car||--||Named-Driver : "1:1"</v>
      </c>
    </row>
    <row r="7" spans="1:22">
      <c r="A7" t="s">
        <v>332</v>
      </c>
      <c r="B7" t="s">
        <v>461</v>
      </c>
      <c r="C7" t="str">
        <f t="shared" si="0"/>
        <v>Exactly one</v>
      </c>
      <c r="D7" t="str">
        <f t="shared" si="0"/>
        <v>Exactly one</v>
      </c>
      <c r="E7" t="s">
        <v>334</v>
      </c>
      <c r="F7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""""&amp; erdEntities[[#This Row],[description]]&amp;"""")</f>
        <v>Person||--||Named-Driver : "1:1"</v>
      </c>
      <c r="H7" t="s">
        <v>333</v>
      </c>
      <c r="I7" t="s">
        <v>475</v>
      </c>
      <c r="J7" t="s">
        <v>429</v>
      </c>
      <c r="K7" t="s">
        <v>343</v>
      </c>
      <c r="M7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VIN UK</v>
      </c>
      <c r="O7" s="1" t="str">
        <v>Person||--||Named-Driver : "1:1"</v>
      </c>
    </row>
    <row r="8" spans="1:22">
      <c r="A8" t="s">
        <v>456</v>
      </c>
      <c r="B8" t="s">
        <v>460</v>
      </c>
      <c r="C8" t="str">
        <f t="shared" si="0"/>
        <v>Exactly one</v>
      </c>
      <c r="D8" t="str">
        <f t="shared" si="0"/>
        <v>Exactly one</v>
      </c>
      <c r="E8" t="s">
        <v>332</v>
      </c>
      <c r="F8" s="16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""""&amp; erdEntities[[#This Row],[description]]&amp;"""")</f>
        <v>household||--||Person : "*:1"</v>
      </c>
      <c r="M8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8" t="str">
        <v>household||--||Person : "*:1"</v>
      </c>
    </row>
    <row r="9" spans="1:22">
      <c r="M9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9" t="str">
        <v/>
      </c>
    </row>
    <row r="10" spans="1:22">
      <c r="H10" t="s">
        <v>334</v>
      </c>
      <c r="I10" t="s">
        <v>358</v>
      </c>
      <c r="J10" t="s">
        <v>429</v>
      </c>
      <c r="K10" t="s">
        <v>344</v>
      </c>
      <c r="M10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carRegistrationNumber PK, FK</v>
      </c>
      <c r="O10" t="str">
        <v>%% Attributes</v>
      </c>
    </row>
    <row r="11" spans="1:22">
      <c r="H11" t="s">
        <v>334</v>
      </c>
      <c r="I11" t="s">
        <v>354</v>
      </c>
      <c r="J11" t="s">
        <v>429</v>
      </c>
      <c r="K11" t="s">
        <v>345</v>
      </c>
      <c r="M11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driversLicense FK, UK</v>
      </c>
      <c r="O11" t="str">
        <v>Car{</v>
      </c>
    </row>
    <row r="12" spans="1:22">
      <c r="M12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12" t="str">
        <v>string make "my comment"</v>
      </c>
    </row>
    <row r="13" spans="1:22">
      <c r="M13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13" t="str">
        <v>string model</v>
      </c>
    </row>
    <row r="14" spans="1:22">
      <c r="H14" t="s">
        <v>332</v>
      </c>
      <c r="I14" t="s">
        <v>354</v>
      </c>
      <c r="J14" t="s">
        <v>429</v>
      </c>
      <c r="K14" t="s">
        <v>343</v>
      </c>
      <c r="M14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driversLicense UK</v>
      </c>
      <c r="O14" t="str">
        <v>json parts</v>
      </c>
    </row>
    <row r="15" spans="1:22">
      <c r="H15" t="s">
        <v>332</v>
      </c>
      <c r="I15" t="s">
        <v>455</v>
      </c>
      <c r="J15" t="s">
        <v>348</v>
      </c>
      <c r="M15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json name</v>
      </c>
      <c r="O15" t="str">
        <v>string registrationNumber PK</v>
      </c>
    </row>
    <row r="16" spans="1:22">
      <c r="H16" t="s">
        <v>332</v>
      </c>
      <c r="I16" t="s">
        <v>364</v>
      </c>
      <c r="J16" t="s">
        <v>349</v>
      </c>
      <c r="M1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polygon serviceArea</v>
      </c>
      <c r="O16" t="str">
        <v>string VIN UK</v>
      </c>
    </row>
    <row r="17" spans="7:15">
      <c r="H17" t="s">
        <v>332</v>
      </c>
      <c r="I17" t="s">
        <v>212</v>
      </c>
      <c r="J17" t="s">
        <v>429</v>
      </c>
      <c r="K17" t="s">
        <v>343</v>
      </c>
      <c r="M17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phone UK</v>
      </c>
      <c r="O17" t="str">
        <v>}</v>
      </c>
    </row>
    <row r="18" spans="7:15">
      <c r="H18" t="s">
        <v>332</v>
      </c>
      <c r="I18" t="s">
        <v>458</v>
      </c>
      <c r="J18" t="s">
        <v>429</v>
      </c>
      <c r="K18" t="s">
        <v>342</v>
      </c>
      <c r="M18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householdUUID FK</v>
      </c>
      <c r="O18" t="str">
        <v>Manufacturer{</v>
      </c>
    </row>
    <row r="19" spans="7:15">
      <c r="H19" t="s">
        <v>332</v>
      </c>
      <c r="I19" t="s">
        <v>459</v>
      </c>
      <c r="J19" t="s">
        <v>429</v>
      </c>
      <c r="K19" t="s">
        <v>341</v>
      </c>
      <c r="M19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personUUID PK</v>
      </c>
      <c r="O19" t="str">
        <v>}</v>
      </c>
    </row>
    <row r="20" spans="7:15">
      <c r="M20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0" t="str">
        <v>Person{</v>
      </c>
    </row>
    <row r="21" spans="7:15">
      <c r="M21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1" t="str">
        <v>string driversLicense UK</v>
      </c>
    </row>
    <row r="22" spans="7:15">
      <c r="M22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2" t="str">
        <v>json name</v>
      </c>
    </row>
    <row r="23" spans="7:15">
      <c r="H23" t="s">
        <v>456</v>
      </c>
      <c r="I23" t="s">
        <v>458</v>
      </c>
      <c r="J23" t="s">
        <v>429</v>
      </c>
      <c r="K23" t="s">
        <v>341</v>
      </c>
      <c r="M23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householdUUID PK</v>
      </c>
      <c r="O23" t="str">
        <v>polygon serviceArea</v>
      </c>
    </row>
    <row r="24" spans="7:15">
      <c r="H24" t="s">
        <v>456</v>
      </c>
      <c r="I24" t="s">
        <v>454</v>
      </c>
      <c r="J24" t="s">
        <v>348</v>
      </c>
      <c r="M24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json address</v>
      </c>
      <c r="O24" t="str">
        <v>string phone UK</v>
      </c>
    </row>
    <row r="25" spans="7:15">
      <c r="H25" t="s">
        <v>456</v>
      </c>
      <c r="I25" t="s">
        <v>459</v>
      </c>
      <c r="J25" t="s">
        <v>429</v>
      </c>
      <c r="K25" t="s">
        <v>342</v>
      </c>
      <c r="M25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string personUUID FK</v>
      </c>
      <c r="O25" t="str">
        <v>string householdUUID FK</v>
      </c>
    </row>
    <row r="26" spans="7:15">
      <c r="M2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6" t="str">
        <v>string personUUID PK</v>
      </c>
    </row>
    <row r="27" spans="7:15">
      <c r="M27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7" t="str">
        <v>}</v>
      </c>
    </row>
    <row r="28" spans="7:15">
      <c r="M28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8" t="str">
        <v>household{</v>
      </c>
    </row>
    <row r="29" spans="7:15">
      <c r="G29" s="2"/>
      <c r="M29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29" t="str">
        <v>string householdUUID PK</v>
      </c>
    </row>
    <row r="30" spans="7:15">
      <c r="G30" s="2"/>
      <c r="M30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30" t="str">
        <v>json address</v>
      </c>
    </row>
    <row r="31" spans="7:15">
      <c r="G31" s="2"/>
      <c r="M31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/>
      </c>
      <c r="O31" t="str">
        <v>string personUUID FK</v>
      </c>
    </row>
    <row r="32" spans="7:15">
      <c r="G32" s="2"/>
      <c r="O32" t="str">
        <v>}</v>
      </c>
    </row>
    <row r="33" spans="7:15">
      <c r="G33" s="2"/>
      <c r="O33" t="str">
        <v>Named-Driver{</v>
      </c>
    </row>
    <row r="34" spans="7:15">
      <c r="O34" t="str">
        <v>string carRegistrationNumber PK, FK</v>
      </c>
    </row>
    <row r="35" spans="7:15">
      <c r="O35" t="str">
        <v>string driversLicense FK, UK</v>
      </c>
    </row>
    <row r="36" spans="7:15">
      <c r="O36" t="str">
        <v>}</v>
      </c>
    </row>
  </sheetData>
  <dataConsolidate/>
  <conditionalFormatting sqref="G29:G33">
    <cfRule type="expression" dxfId="17" priority="1">
      <formula>_xlfn.ISFORMULA(G29)</formula>
    </cfRule>
  </conditionalFormatting>
  <dataValidations count="5">
    <dataValidation type="list" allowBlank="1" showInputMessage="1" showErrorMessage="1" sqref="J13:J31 J10:J11 J2:J6" xr:uid="{890A5CCF-14E6-4F29-98F3-5AD28D2D43FE}">
      <formula1>_xlfn.ANCHORARRAY($S$1)</formula1>
    </dataValidation>
    <dataValidation type="list" allowBlank="1" showInputMessage="1" showErrorMessage="1" sqref="H13:H31 H2:H11" xr:uid="{5F0C31B9-8BD0-46CC-9E3C-4C881109819B}">
      <formula1>_xlfn.ANCHORARRAY($Q$1)</formula1>
    </dataValidation>
    <dataValidation type="list" allowBlank="1" showInputMessage="1" showErrorMessage="1" sqref="B5:B8" xr:uid="{1DB91003-BA4A-44F2-B288-441D0334649B}">
      <formula1>_xlfn.ANCHORARRAY($U$1)</formula1>
    </dataValidation>
    <dataValidation type="list" allowBlank="1" showInputMessage="1" showErrorMessage="1" sqref="C5:D8" xr:uid="{AC65ED86-E4A2-476B-8C82-B8CA5FB6610A}">
      <formula1>_xlfn.ANCHORARRAY($R$1)</formula1>
    </dataValidation>
    <dataValidation type="list" allowBlank="1" showInputMessage="1" showErrorMessage="1" sqref="K2:K7 K10:K11 K13:K31" xr:uid="{2FBE0DFB-7032-47C7-BDA2-B922E8F00C86}">
      <formula1>_xlfn.ANCHORARRAY($T$1)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82D9-94ED-48A7-9E31-5B446D0ECEC0}">
  <dimension ref="A1:AB29"/>
  <sheetViews>
    <sheetView showGridLines="0" workbookViewId="0">
      <selection activeCell="U2" sqref="U2:U18"/>
    </sheetView>
  </sheetViews>
  <sheetFormatPr defaultRowHeight="14.6"/>
  <cols>
    <col min="1" max="1" width="10.4609375" bestFit="1" customWidth="1"/>
    <col min="2" max="2" width="14" bestFit="1" customWidth="1"/>
    <col min="3" max="3" width="18.69140625" bestFit="1" customWidth="1"/>
    <col min="5" max="5" width="9.765625" bestFit="1" customWidth="1"/>
    <col min="6" max="6" width="11.69140625" bestFit="1" customWidth="1"/>
    <col min="7" max="7" width="9" bestFit="1" customWidth="1"/>
    <col min="8" max="8" width="20.3046875" bestFit="1" customWidth="1"/>
    <col min="9" max="9" width="8" bestFit="1" customWidth="1"/>
    <col min="10" max="10" width="11.921875" hidden="1" customWidth="1"/>
    <col min="11" max="11" width="8.765625" hidden="1" customWidth="1"/>
    <col min="12" max="12" width="8.3828125" hidden="1" customWidth="1"/>
    <col min="13" max="14" width="13.3046875" hidden="1" customWidth="1"/>
    <col min="15" max="15" width="29.4609375" hidden="1" customWidth="1"/>
    <col min="16" max="16" width="2.84375" hidden="1" customWidth="1"/>
    <col min="17" max="17" width="13.4609375" hidden="1" customWidth="1"/>
    <col min="18" max="18" width="12.07421875" hidden="1" customWidth="1"/>
    <col min="19" max="19" width="0" hidden="1" customWidth="1"/>
    <col min="21" max="21" width="29.4609375" bestFit="1" customWidth="1"/>
    <col min="24" max="24" width="9.23046875" style="19"/>
    <col min="25" max="25" width="13.3046875" hidden="1" customWidth="1"/>
    <col min="26" max="26" width="37.921875" bestFit="1" customWidth="1"/>
    <col min="27" max="27" width="117.4609375" bestFit="1" customWidth="1"/>
    <col min="28" max="28" width="24.53515625" bestFit="1" customWidth="1"/>
  </cols>
  <sheetData>
    <row r="1" spans="1:28">
      <c r="A1" t="s">
        <v>147</v>
      </c>
      <c r="B1" t="s">
        <v>434</v>
      </c>
      <c r="C1" t="s">
        <v>5</v>
      </c>
      <c r="E1" t="s">
        <v>437</v>
      </c>
      <c r="F1" t="s">
        <v>430</v>
      </c>
      <c r="G1" t="s">
        <v>448</v>
      </c>
      <c r="H1" t="s">
        <v>444</v>
      </c>
      <c r="I1" t="s">
        <v>447</v>
      </c>
      <c r="J1" t="s">
        <v>467</v>
      </c>
      <c r="K1" t="s">
        <v>463</v>
      </c>
      <c r="L1" t="s">
        <v>466</v>
      </c>
      <c r="M1" t="s">
        <v>443</v>
      </c>
      <c r="N1" t="s">
        <v>472</v>
      </c>
      <c r="O1" t="s">
        <v>5</v>
      </c>
      <c r="P1" t="s">
        <v>469</v>
      </c>
      <c r="Q1" t="s">
        <v>468</v>
      </c>
      <c r="R1" t="s">
        <v>470</v>
      </c>
      <c r="S1" t="s">
        <v>471</v>
      </c>
      <c r="U1" s="4" t="s">
        <v>137</v>
      </c>
      <c r="X1"/>
      <c r="Y1" s="19" t="str" cm="1">
        <f t="array" ref="Y1:Y9">_xlfn.UNIQUE(_xlfn.VSTACK(ganttTasks[taskUID],_xlfn._xlws.FILTER(ganttTasks[startAtOrAfter],ganttTasks[startAtOrAfter]&lt;&gt;"","")))</f>
        <v/>
      </c>
      <c r="AB1" t="s">
        <v>369</v>
      </c>
    </row>
    <row r="2" spans="1:28">
      <c r="A2" t="s">
        <v>431</v>
      </c>
      <c r="B2" t="s">
        <v>435</v>
      </c>
      <c r="C2" t="str">
        <f>ganttElements[[#This Row],[Element]]&amp;" " &amp;ganttElements[[#This Row],[value]]</f>
        <v>dateFormat dd-mmm</v>
      </c>
      <c r="E2" t="s">
        <v>438</v>
      </c>
      <c r="G2" s="18"/>
      <c r="H2" s="22"/>
      <c r="I2" s="21"/>
      <c r="J2" s="18" t="str">
        <f>IF(ganttTasks[[#This Row],[TaskName]]="","",IF(ganttTasks[[#This Row],[startAtOrAfter]]="","Previous Task",IF(ISNUMBER(ganttTasks[[#This Row],[startAtOrAfter]]),"Date","Other Task")))</f>
        <v/>
      </c>
      <c r="K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" s="20" t="str">
        <f>IF(ganttTasks[[#This Row],[TaskName]]="","",IF(ganttTasks[[#This Row],[StartDate]]="",L1,ganttTasks[[#This Row],[duration]]+ganttTasks[[#This Row],[StartDate]]))</f>
        <v/>
      </c>
      <c r="M2" t="str">
        <f>IF(ganttTasks[[#This Row],[TaskName]]="","",ganttTasks[[#This Row],[taskSectionID]]&amp;":"&amp;ganttTasks[[#This Row],[TaskName]])</f>
        <v/>
      </c>
      <c r="N2" t="str">
        <f>IF(ganttTasks[[#This Row],[TaskName]]="","",ganttTasks[[#This Row],[sectionName]]&amp;":"&amp;ganttTasks[[#This Row],[TaskName]])</f>
        <v/>
      </c>
      <c r="O2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1</v>
      </c>
      <c r="P2">
        <f>ROW()</f>
        <v>2</v>
      </c>
      <c r="Q2" t="str" cm="1">
        <f t="array" ref="Q2">IFERROR(MAX(_xlfn._xlws.FILTER(ganttTasks[ID],ganttTasks[ID]&lt;ganttTasks[[#This Row],[ID]],"")),"")</f>
        <v/>
      </c>
      <c r="R2" cm="1">
        <f t="array" ref="R2">MAX(_xlfn._xlws.FILTER(ganttTasks[ID],(ganttTasks[ID]&lt;ganttTasks[[#This Row],[ID]])*(ganttTasks[Section]&lt;&gt;""),0))</f>
        <v>0</v>
      </c>
      <c r="S2" s="16" t="str">
        <f>IF(ganttTasks[[#This Row],[TaskName]]="","",IF(ganttTasks[[#This Row],[Section]]&lt;&gt;"","",_xlfn.XLOOKUP(ganttTasks[[#This Row],[taskSectionID]],ganttTasks[ID],ganttTasks[Section])))</f>
        <v/>
      </c>
      <c r="U2" t="str" cm="1">
        <f t="array" ref="U2:U18">_xlfn.VSTACK(
"gantt",
"",
"%% Setup",
ganttElements[mmSyntax],
"",
"%% Tasks",
_xlfn._xlws.FILTER(ganttTasks[mmSyntax],ganttTasks[mmSyntax]&lt;&gt;""))</f>
        <v>gantt</v>
      </c>
      <c r="X2"/>
      <c r="Y2" s="19" t="str">
        <v>Section 1:Task A</v>
      </c>
      <c r="AB2" t="s">
        <v>370</v>
      </c>
    </row>
    <row r="3" spans="1:28">
      <c r="A3" t="s">
        <v>0</v>
      </c>
      <c r="B3" t="s">
        <v>436</v>
      </c>
      <c r="C3" t="str">
        <f>ganttElements[[#This Row],[Element]]&amp;" " &amp;ganttElements[[#This Row],[value]]</f>
        <v>title Example GANTT</v>
      </c>
      <c r="F3" t="s">
        <v>440</v>
      </c>
      <c r="G3" s="18" t="s">
        <v>449</v>
      </c>
      <c r="H3" s="22">
        <v>45411</v>
      </c>
      <c r="I3" s="21">
        <v>9</v>
      </c>
      <c r="J3" s="18" t="str">
        <f>IF(ganttTasks[[#This Row],[TaskName]]="","",IF(ganttTasks[[#This Row],[startAtOrAfter]]="","Previous Task",IF(ISNUMBER(ganttTasks[[#This Row],[startAtOrAfter]]),"Date","Other Task")))</f>
        <v>Date</v>
      </c>
      <c r="K3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45411</v>
      </c>
      <c r="L3" s="20">
        <f>IF(ganttTasks[[#This Row],[TaskName]]="","",IF(ganttTasks[[#This Row],[StartDate]]="",L2,ganttTasks[[#This Row],[duration]]+ganttTasks[[#This Row],[StartDate]]))</f>
        <v>45420</v>
      </c>
      <c r="M3" t="str">
        <f>IF(ganttTasks[[#This Row],[TaskName]]="","",ganttTasks[[#This Row],[taskSectionID]]&amp;":"&amp;ganttTasks[[#This Row],[TaskName]])</f>
        <v>2:Task A</v>
      </c>
      <c r="N3" t="str">
        <f>IF(ganttTasks[[#This Row],[TaskName]]="","",ganttTasks[[#This Row],[sectionName]]&amp;":"&amp;ganttTasks[[#This Row],[TaskName]])</f>
        <v>Section 1:Task A</v>
      </c>
      <c r="O3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Task A : done, 29-Apr, 9d</v>
      </c>
      <c r="P3">
        <f>ROW()</f>
        <v>3</v>
      </c>
      <c r="Q3" cm="1">
        <f t="array" ref="Q3">IFERROR(MAX(_xlfn._xlws.FILTER(ganttTasks[ID],ganttTasks[ID]&lt;ganttTasks[[#This Row],[ID]],"")),"")</f>
        <v>2</v>
      </c>
      <c r="R3" cm="1">
        <f t="array" ref="R3">MAX(_xlfn._xlws.FILTER(ganttTasks[ID],(ganttTasks[ID]&lt;ganttTasks[[#This Row],[ID]])*(ganttTasks[Section]&lt;&gt;""),0))</f>
        <v>2</v>
      </c>
      <c r="S3" s="16" t="str">
        <f>IF(ganttTasks[[#This Row],[TaskName]]="","",IF(ganttTasks[[#This Row],[Section]]&lt;&gt;"","",_xlfn.XLOOKUP(ganttTasks[[#This Row],[taskSectionID]],ganttTasks[ID],ganttTasks[Section])))</f>
        <v>Section 1</v>
      </c>
      <c r="U3" t="str">
        <v/>
      </c>
      <c r="X3"/>
      <c r="Y3" s="19" t="str">
        <v>Section 1:Crit bug fix</v>
      </c>
    </row>
    <row r="4" spans="1:28">
      <c r="A4" t="s">
        <v>432</v>
      </c>
      <c r="B4" t="s">
        <v>433</v>
      </c>
      <c r="C4" t="str">
        <f>ganttElements[[#This Row],[Element]]&amp;" " &amp;ganttElements[[#This Row],[value]]</f>
        <v>excludes weekends</v>
      </c>
      <c r="F4" t="s">
        <v>452</v>
      </c>
      <c r="G4" t="s">
        <v>465</v>
      </c>
      <c r="H4" s="22">
        <v>45413</v>
      </c>
      <c r="I4" s="21">
        <v>4</v>
      </c>
      <c r="J4" s="18" t="str">
        <f>IF(ganttTasks[[#This Row],[TaskName]]="","",IF(ganttTasks[[#This Row],[startAtOrAfter]]="","Previous Task",IF(ISNUMBER(ganttTasks[[#This Row],[startAtOrAfter]]),"Date","Other Task")))</f>
        <v>Date</v>
      </c>
      <c r="K4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45413</v>
      </c>
      <c r="L4" s="20">
        <f>IF(ganttTasks[[#This Row],[TaskName]]="","",IF(ganttTasks[[#This Row],[StartDate]]="",L3,ganttTasks[[#This Row],[duration]]+ganttTasks[[#This Row],[StartDate]]))</f>
        <v>45417</v>
      </c>
      <c r="M4" t="str">
        <f>IF(ganttTasks[[#This Row],[TaskName]]="","",ganttTasks[[#This Row],[taskSectionID]]&amp;":"&amp;ganttTasks[[#This Row],[TaskName]])</f>
        <v>2:Crit bug fix</v>
      </c>
      <c r="N4" t="str">
        <f>IF(ganttTasks[[#This Row],[TaskName]]="","",ganttTasks[[#This Row],[sectionName]]&amp;":"&amp;ganttTasks[[#This Row],[TaskName]])</f>
        <v>Section 1:Crit bug fix</v>
      </c>
      <c r="O4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Crit bug fix : crit, 01-May, 4d</v>
      </c>
      <c r="P4">
        <f>ROW()</f>
        <v>4</v>
      </c>
      <c r="Q4" cm="1">
        <f t="array" ref="Q4">IFERROR(MAX(_xlfn._xlws.FILTER(ganttTasks[ID],ganttTasks[ID]&lt;ganttTasks[[#This Row],[ID]],"")),"")</f>
        <v>3</v>
      </c>
      <c r="R4" cm="1">
        <f t="array" ref="R4">MAX(_xlfn._xlws.FILTER(ganttTasks[ID],(ganttTasks[ID]&lt;ganttTasks[[#This Row],[ID]])*(ganttTasks[Section]&lt;&gt;""),0))</f>
        <v>2</v>
      </c>
      <c r="S4" s="16" t="str">
        <f>IF(ganttTasks[[#This Row],[TaskName]]="","",IF(ganttTasks[[#This Row],[Section]]&lt;&gt;"","",_xlfn.XLOOKUP(ganttTasks[[#This Row],[taskSectionID]],ganttTasks[ID],ganttTasks[Section])))</f>
        <v>Section 1</v>
      </c>
      <c r="U4" t="str">
        <v>%% Setup</v>
      </c>
      <c r="X4"/>
      <c r="Y4" s="19" t="str">
        <v>Section 1:Finish work</v>
      </c>
    </row>
    <row r="5" spans="1:28">
      <c r="F5" t="s">
        <v>441</v>
      </c>
      <c r="G5" t="s">
        <v>449</v>
      </c>
      <c r="H5" s="22"/>
      <c r="I5" s="21">
        <v>7</v>
      </c>
      <c r="J5" s="18" t="str">
        <f>IF(ganttTasks[[#This Row],[TaskName]]="","",IF(ganttTasks[[#This Row],[startAtOrAfter]]="","Previous Task",IF(ISNUMBER(ganttTasks[[#This Row],[startAtOrAfter]]),"Date","Other Task")))</f>
        <v>Previous Task</v>
      </c>
      <c r="K5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45417</v>
      </c>
      <c r="L5" s="20">
        <f>IF(ganttTasks[[#This Row],[TaskName]]="","",IF(ganttTasks[[#This Row],[StartDate]]="",L4,ganttTasks[[#This Row],[duration]]+ganttTasks[[#This Row],[StartDate]]))</f>
        <v>45424</v>
      </c>
      <c r="M5" t="str">
        <f>IF(ganttTasks[[#This Row],[TaskName]]="","",ganttTasks[[#This Row],[taskSectionID]]&amp;":"&amp;ganttTasks[[#This Row],[TaskName]])</f>
        <v>2:Finish work</v>
      </c>
      <c r="N5" t="str">
        <f>IF(ganttTasks[[#This Row],[TaskName]]="","",ganttTasks[[#This Row],[sectionName]]&amp;":"&amp;ganttTasks[[#This Row],[TaskName]])</f>
        <v>Section 1:Finish work</v>
      </c>
      <c r="O5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Finish work : done, 05-May, 7d</v>
      </c>
      <c r="P5">
        <f>ROW()</f>
        <v>5</v>
      </c>
      <c r="Q5" cm="1">
        <f t="array" ref="Q5">IFERROR(MAX(_xlfn._xlws.FILTER(ganttTasks[ID],ganttTasks[ID]&lt;ganttTasks[[#This Row],[ID]],"")),"")</f>
        <v>4</v>
      </c>
      <c r="R5" cm="1">
        <f t="array" ref="R5">MAX(_xlfn._xlws.FILTER(ganttTasks[ID],(ganttTasks[ID]&lt;ganttTasks[[#This Row],[ID]])*(ganttTasks[Section]&lt;&gt;""),0))</f>
        <v>2</v>
      </c>
      <c r="S5" s="16" t="str">
        <f>IF(ganttTasks[[#This Row],[TaskName]]="","",IF(ganttTasks[[#This Row],[Section]]&lt;&gt;"","",_xlfn.XLOOKUP(ganttTasks[[#This Row],[taskSectionID]],ganttTasks[ID],ganttTasks[Section])))</f>
        <v>Section 1</v>
      </c>
      <c r="U5" t="str">
        <v>dateFormat dd-mmm</v>
      </c>
      <c r="X5"/>
      <c r="Y5" s="19" t="str">
        <v>Section 2:Another Task</v>
      </c>
    </row>
    <row r="6" spans="1:28">
      <c r="H6" s="22"/>
      <c r="I6" s="21"/>
      <c r="J6" s="18" t="str">
        <f>IF(ganttTasks[[#This Row],[TaskName]]="","",IF(ganttTasks[[#This Row],[startAtOrAfter]]="","Previous Task",IF(ISNUMBER(ganttTasks[[#This Row],[startAtOrAfter]]),"Date","Other Task")))</f>
        <v/>
      </c>
      <c r="K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6" s="20" t="str">
        <f>IF(ganttTasks[[#This Row],[TaskName]]="","",IF(ganttTasks[[#This Row],[StartDate]]="",L5,ganttTasks[[#This Row],[duration]]+ganttTasks[[#This Row],[StartDate]]))</f>
        <v/>
      </c>
      <c r="M6" t="str">
        <f>IF(ganttTasks[[#This Row],[TaskName]]="","",ganttTasks[[#This Row],[taskSectionID]]&amp;":"&amp;ganttTasks[[#This Row],[TaskName]])</f>
        <v/>
      </c>
      <c r="N6" t="str">
        <f>IF(ganttTasks[[#This Row],[TaskName]]="","",ganttTasks[[#This Row],[sectionName]]&amp;":"&amp;ganttTasks[[#This Row],[TaskName]])</f>
        <v/>
      </c>
      <c r="O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6">
        <f>ROW()</f>
        <v>6</v>
      </c>
      <c r="Q6" cm="1">
        <f t="array" ref="Q6">IFERROR(MAX(_xlfn._xlws.FILTER(ganttTasks[ID],ganttTasks[ID]&lt;ganttTasks[[#This Row],[ID]],"")),"")</f>
        <v>5</v>
      </c>
      <c r="R6" cm="1">
        <f t="array" ref="R6">MAX(_xlfn._xlws.FILTER(ganttTasks[ID],(ganttTasks[ID]&lt;ganttTasks[[#This Row],[ID]])*(ganttTasks[Section]&lt;&gt;""),0))</f>
        <v>2</v>
      </c>
      <c r="S6" s="16" t="str">
        <f>IF(ganttTasks[[#This Row],[TaskName]]="","",IF(ganttTasks[[#This Row],[Section]]&lt;&gt;"","",_xlfn.XLOOKUP(ganttTasks[[#This Row],[taskSectionID]],ganttTasks[ID],ganttTasks[Section])))</f>
        <v/>
      </c>
      <c r="U6" t="str">
        <v>title Example GANTT</v>
      </c>
      <c r="X6"/>
      <c r="Y6" s="19" t="str">
        <v>lastSection:document</v>
      </c>
    </row>
    <row r="7" spans="1:28">
      <c r="H7" s="22"/>
      <c r="I7" s="21"/>
      <c r="J7" s="18" t="str">
        <f>IF(ganttTasks[[#This Row],[TaskName]]="","",IF(ganttTasks[[#This Row],[startAtOrAfter]]="","Previous Task",IF(ISNUMBER(ganttTasks[[#This Row],[startAtOrAfter]]),"Date","Other Task")))</f>
        <v/>
      </c>
      <c r="K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7" s="20" t="str">
        <f>IF(ganttTasks[[#This Row],[TaskName]]="","",IF(ganttTasks[[#This Row],[StartDate]]="",L6,ganttTasks[[#This Row],[duration]]+ganttTasks[[#This Row],[StartDate]]))</f>
        <v/>
      </c>
      <c r="M7" t="str">
        <f>IF(ganttTasks[[#This Row],[TaskName]]="","",ganttTasks[[#This Row],[taskSectionID]]&amp;":"&amp;ganttTasks[[#This Row],[TaskName]])</f>
        <v/>
      </c>
      <c r="N7" t="str">
        <f>IF(ganttTasks[[#This Row],[TaskName]]="","",ganttTasks[[#This Row],[sectionName]]&amp;":"&amp;ganttTasks[[#This Row],[TaskName]])</f>
        <v/>
      </c>
      <c r="O7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7">
        <f>ROW()</f>
        <v>7</v>
      </c>
      <c r="Q7" cm="1">
        <f t="array" ref="Q7">IFERROR(MAX(_xlfn._xlws.FILTER(ganttTasks[ID],ganttTasks[ID]&lt;ganttTasks[[#This Row],[ID]],"")),"")</f>
        <v>6</v>
      </c>
      <c r="R7" cm="1">
        <f t="array" ref="R7">MAX(_xlfn._xlws.FILTER(ganttTasks[ID],(ganttTasks[ID]&lt;ganttTasks[[#This Row],[ID]])*(ganttTasks[Section]&lt;&gt;""),0))</f>
        <v>2</v>
      </c>
      <c r="S7" s="16" t="str">
        <f>IF(ganttTasks[[#This Row],[TaskName]]="","",IF(ganttTasks[[#This Row],[Section]]&lt;&gt;"","",_xlfn.XLOOKUP(ganttTasks[[#This Row],[taskSectionID]],ganttTasks[ID],ganttTasks[Section])))</f>
        <v/>
      </c>
      <c r="U7" t="str">
        <v>excludes weekends</v>
      </c>
      <c r="X7"/>
      <c r="Y7" s="19" t="str">
        <v>lastSection:publish</v>
      </c>
    </row>
    <row r="8" spans="1:28">
      <c r="H8" s="22"/>
      <c r="I8" s="21"/>
      <c r="J8" s="18" t="str">
        <f>IF(ganttTasks[[#This Row],[TaskName]]="","",IF(ganttTasks[[#This Row],[startAtOrAfter]]="","Previous Task",IF(ISNUMBER(ganttTasks[[#This Row],[startAtOrAfter]]),"Date","Other Task")))</f>
        <v/>
      </c>
      <c r="K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8" s="20" t="str">
        <f>IF(ganttTasks[[#This Row],[TaskName]]="","",IF(ganttTasks[[#This Row],[StartDate]]="",L7,ganttTasks[[#This Row],[duration]]+ganttTasks[[#This Row],[StartDate]]))</f>
        <v/>
      </c>
      <c r="M8" s="16" t="str">
        <f>IF(ganttTasks[[#This Row],[TaskName]]="","",ganttTasks[[#This Row],[taskSectionID]]&amp;":"&amp;ganttTasks[[#This Row],[TaskName]])</f>
        <v/>
      </c>
      <c r="N8" s="16" t="str">
        <f>IF(ganttTasks[[#This Row],[TaskName]]="","",ganttTasks[[#This Row],[sectionName]]&amp;":"&amp;ganttTasks[[#This Row],[TaskName]])</f>
        <v/>
      </c>
      <c r="O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8">
        <f>ROW()</f>
        <v>8</v>
      </c>
      <c r="Q8" cm="1">
        <f t="array" ref="Q8">IFERROR(MAX(_xlfn._xlws.FILTER(ganttTasks[ID],ganttTasks[ID]&lt;ganttTasks[[#This Row],[ID]],"")),"")</f>
        <v>7</v>
      </c>
      <c r="R8" cm="1">
        <f t="array" ref="R8">MAX(_xlfn._xlws.FILTER(ganttTasks[ID],(ganttTasks[ID]&lt;ganttTasks[[#This Row],[ID]])*(ganttTasks[Section]&lt;&gt;""),0))</f>
        <v>2</v>
      </c>
      <c r="S8" s="16" t="str">
        <f>IF(ganttTasks[[#This Row],[TaskName]]="","",IF(ganttTasks[[#This Row],[Section]]&lt;&gt;"","",_xlfn.XLOOKUP(ganttTasks[[#This Row],[taskSectionID]],ganttTasks[ID],ganttTasks[Section])))</f>
        <v/>
      </c>
      <c r="U8" t="str">
        <v/>
      </c>
      <c r="X8"/>
      <c r="Y8" s="19">
        <v>45411</v>
      </c>
    </row>
    <row r="9" spans="1:28">
      <c r="E9" t="s">
        <v>439</v>
      </c>
      <c r="H9" s="22"/>
      <c r="I9" s="21"/>
      <c r="J9" s="18" t="str">
        <f>IF(ganttTasks[[#This Row],[TaskName]]="","",IF(ganttTasks[[#This Row],[startAtOrAfter]]="","Previous Task",IF(ISNUMBER(ganttTasks[[#This Row],[startAtOrAfter]]),"Date","Other Task")))</f>
        <v/>
      </c>
      <c r="K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9" s="20" t="str">
        <f>IF(ganttTasks[[#This Row],[TaskName]]="","",IF(ganttTasks[[#This Row],[StartDate]]="",L8,ganttTasks[[#This Row],[duration]]+ganttTasks[[#This Row],[StartDate]]))</f>
        <v/>
      </c>
      <c r="M9" s="16" t="str">
        <f>IF(ganttTasks[[#This Row],[TaskName]]="","",ganttTasks[[#This Row],[taskSectionID]]&amp;":"&amp;ganttTasks[[#This Row],[TaskName]])</f>
        <v/>
      </c>
      <c r="N9" s="16" t="str">
        <f>IF(ganttTasks[[#This Row],[TaskName]]="","",ganttTasks[[#This Row],[sectionName]]&amp;":"&amp;ganttTasks[[#This Row],[TaskName]])</f>
        <v/>
      </c>
      <c r="O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2</v>
      </c>
      <c r="P9">
        <f>ROW()</f>
        <v>9</v>
      </c>
      <c r="Q9" cm="1">
        <f t="array" ref="Q9">IFERROR(MAX(_xlfn._xlws.FILTER(ganttTasks[ID],ganttTasks[ID]&lt;ganttTasks[[#This Row],[ID]],"")),"")</f>
        <v>8</v>
      </c>
      <c r="R9" cm="1">
        <f t="array" ref="R9">MAX(_xlfn._xlws.FILTER(ganttTasks[ID],(ganttTasks[ID]&lt;ganttTasks[[#This Row],[ID]])*(ganttTasks[Section]&lt;&gt;""),0))</f>
        <v>2</v>
      </c>
      <c r="S9" s="16" t="str">
        <f>IF(ganttTasks[[#This Row],[TaskName]]="","",IF(ganttTasks[[#This Row],[Section]]&lt;&gt;"","",_xlfn.XLOOKUP(ganttTasks[[#This Row],[taskSectionID]],ganttTasks[ID],ganttTasks[Section])))</f>
        <v/>
      </c>
      <c r="U9" t="str">
        <v>%% Tasks</v>
      </c>
      <c r="X9"/>
      <c r="Y9" s="19">
        <v>45413</v>
      </c>
    </row>
    <row r="10" spans="1:28">
      <c r="F10" t="s">
        <v>442</v>
      </c>
      <c r="G10" t="s">
        <v>450</v>
      </c>
      <c r="H10" s="22" t="s">
        <v>473</v>
      </c>
      <c r="I10" s="21">
        <v>14</v>
      </c>
      <c r="J10" s="18" t="str">
        <f>IF(ganttTasks[[#This Row],[TaskName]]="","",IF(ganttTasks[[#This Row],[startAtOrAfter]]="","Previous Task",IF(ISNUMBER(ganttTasks[[#This Row],[startAtOrAfter]]),"Date","Other Task")))</f>
        <v>Other Task</v>
      </c>
      <c r="K1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0" s="20">
        <f>IF(ganttTasks[[#This Row],[TaskName]]="","",IF(ganttTasks[[#This Row],[StartDate]]="",L9,ganttTasks[[#This Row],[duration]]+ganttTasks[[#This Row],[StartDate]]))</f>
        <v>45438</v>
      </c>
      <c r="M10" s="16" t="str">
        <f>IF(ganttTasks[[#This Row],[TaskName]]="","",ganttTasks[[#This Row],[taskSectionID]]&amp;":"&amp;ganttTasks[[#This Row],[TaskName]])</f>
        <v>9:Another Task</v>
      </c>
      <c r="N10" s="16" t="str">
        <f>IF(ganttTasks[[#This Row],[TaskName]]="","",ganttTasks[[#This Row],[sectionName]]&amp;":"&amp;ganttTasks[[#This Row],[TaskName]])</f>
        <v>Section 2:Another Task</v>
      </c>
      <c r="O1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Another Task : active, 12-May, 14d</v>
      </c>
      <c r="P10">
        <f>ROW()</f>
        <v>10</v>
      </c>
      <c r="Q10" cm="1">
        <f t="array" ref="Q10">IFERROR(MAX(_xlfn._xlws.FILTER(ganttTasks[ID],ganttTasks[ID]&lt;ganttTasks[[#This Row],[ID]],"")),"")</f>
        <v>9</v>
      </c>
      <c r="R10" cm="1">
        <f t="array" ref="R10">MAX(_xlfn._xlws.FILTER(ganttTasks[ID],(ganttTasks[ID]&lt;ganttTasks[[#This Row],[ID]])*(ganttTasks[Section]&lt;&gt;""),0))</f>
        <v>9</v>
      </c>
      <c r="S10" s="16" t="str">
        <f>IF(ganttTasks[[#This Row],[TaskName]]="","",IF(ganttTasks[[#This Row],[Section]]&lt;&gt;"","",_xlfn.XLOOKUP(ganttTasks[[#This Row],[taskSectionID]],ganttTasks[ID],ganttTasks[Section])))</f>
        <v>Section 2</v>
      </c>
      <c r="U10" t="str">
        <v>section Section 1</v>
      </c>
      <c r="X10"/>
      <c r="Y10" s="19"/>
    </row>
    <row r="11" spans="1:28">
      <c r="H11" s="22"/>
      <c r="I11" s="21"/>
      <c r="J11" s="18" t="str">
        <f>IF(ganttTasks[[#This Row],[TaskName]]="","",IF(ganttTasks[[#This Row],[startAtOrAfter]]="","Previous Task",IF(ISNUMBER(ganttTasks[[#This Row],[startAtOrAfter]]),"Date","Other Task")))</f>
        <v/>
      </c>
      <c r="K1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1" s="20" t="str">
        <f>IF(ganttTasks[[#This Row],[TaskName]]="","",IF(ganttTasks[[#This Row],[StartDate]]="",L10,ganttTasks[[#This Row],[duration]]+ganttTasks[[#This Row],[StartDate]]))</f>
        <v/>
      </c>
      <c r="M11" s="16" t="str">
        <f>IF(ganttTasks[[#This Row],[TaskName]]="","",ganttTasks[[#This Row],[taskSectionID]]&amp;":"&amp;ganttTasks[[#This Row],[TaskName]])</f>
        <v/>
      </c>
      <c r="N11" s="16" t="str">
        <f>IF(ganttTasks[[#This Row],[TaskName]]="","",ganttTasks[[#This Row],[sectionName]]&amp;":"&amp;ganttTasks[[#This Row],[TaskName]])</f>
        <v/>
      </c>
      <c r="O1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1">
        <f>ROW()</f>
        <v>11</v>
      </c>
      <c r="Q11" cm="1">
        <f t="array" ref="Q11">IFERROR(MAX(_xlfn._xlws.FILTER(ganttTasks[ID],ganttTasks[ID]&lt;ganttTasks[[#This Row],[ID]],"")),"")</f>
        <v>10</v>
      </c>
      <c r="R11" cm="1">
        <f t="array" ref="R11">MAX(_xlfn._xlws.FILTER(ganttTasks[ID],(ganttTasks[ID]&lt;ganttTasks[[#This Row],[ID]])*(ganttTasks[Section]&lt;&gt;""),0))</f>
        <v>9</v>
      </c>
      <c r="S11" s="16" t="str">
        <f>IF(ganttTasks[[#This Row],[TaskName]]="","",IF(ganttTasks[[#This Row],[Section]]&lt;&gt;"","",_xlfn.XLOOKUP(ganttTasks[[#This Row],[taskSectionID]],ganttTasks[ID],ganttTasks[Section])))</f>
        <v/>
      </c>
      <c r="U11" t="str">
        <v>Task A : done, 29-Apr, 9d</v>
      </c>
      <c r="X11"/>
      <c r="Y11" s="19"/>
    </row>
    <row r="12" spans="1:28">
      <c r="H12" s="22"/>
      <c r="I12" s="21"/>
      <c r="J12" s="18" t="str">
        <f>IF(ganttTasks[[#This Row],[TaskName]]="","",IF(ganttTasks[[#This Row],[startAtOrAfter]]="","Previous Task",IF(ISNUMBER(ganttTasks[[#This Row],[startAtOrAfter]]),"Date","Other Task")))</f>
        <v/>
      </c>
      <c r="K1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2" s="20" t="str">
        <f>IF(ganttTasks[[#This Row],[TaskName]]="","",IF(ganttTasks[[#This Row],[StartDate]]="",L11,ganttTasks[[#This Row],[duration]]+ganttTasks[[#This Row],[StartDate]]))</f>
        <v/>
      </c>
      <c r="M12" s="16" t="str">
        <f>IF(ganttTasks[[#This Row],[TaskName]]="","",ganttTasks[[#This Row],[taskSectionID]]&amp;":"&amp;ganttTasks[[#This Row],[TaskName]])</f>
        <v/>
      </c>
      <c r="N12" s="16" t="str">
        <f>IF(ganttTasks[[#This Row],[TaskName]]="","",ganttTasks[[#This Row],[sectionName]]&amp;":"&amp;ganttTasks[[#This Row],[TaskName]])</f>
        <v/>
      </c>
      <c r="O1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2">
        <f>ROW()</f>
        <v>12</v>
      </c>
      <c r="Q12" cm="1">
        <f t="array" ref="Q12">IFERROR(MAX(_xlfn._xlws.FILTER(ganttTasks[ID],ganttTasks[ID]&lt;ganttTasks[[#This Row],[ID]],"")),"")</f>
        <v>11</v>
      </c>
      <c r="R12" cm="1">
        <f t="array" ref="R12">MAX(_xlfn._xlws.FILTER(ganttTasks[ID],(ganttTasks[ID]&lt;ganttTasks[[#This Row],[ID]])*(ganttTasks[Section]&lt;&gt;""),0))</f>
        <v>9</v>
      </c>
      <c r="S12" s="16" t="str">
        <f>IF(ganttTasks[[#This Row],[TaskName]]="","",IF(ganttTasks[[#This Row],[Section]]&lt;&gt;"","",_xlfn.XLOOKUP(ganttTasks[[#This Row],[taskSectionID]],ganttTasks[ID],ganttTasks[Section])))</f>
        <v/>
      </c>
      <c r="U12" t="str">
        <v>Crit bug fix : crit, 01-May, 4d</v>
      </c>
      <c r="X12"/>
      <c r="Y12" s="19"/>
    </row>
    <row r="13" spans="1:28">
      <c r="H13" s="22"/>
      <c r="I13" s="21"/>
      <c r="J13" s="18" t="str">
        <f>IF(ganttTasks[[#This Row],[TaskName]]="","",IF(ganttTasks[[#This Row],[startAtOrAfter]]="","Previous Task",IF(ISNUMBER(ganttTasks[[#This Row],[startAtOrAfter]]),"Date","Other Task")))</f>
        <v/>
      </c>
      <c r="K1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3" s="20" t="str">
        <f>IF(ganttTasks[[#This Row],[TaskName]]="","",IF(ganttTasks[[#This Row],[StartDate]]="",L12,ganttTasks[[#This Row],[duration]]+ganttTasks[[#This Row],[StartDate]]))</f>
        <v/>
      </c>
      <c r="M13" s="16" t="str">
        <f>IF(ganttTasks[[#This Row],[TaskName]]="","",ganttTasks[[#This Row],[taskSectionID]]&amp;":"&amp;ganttTasks[[#This Row],[TaskName]])</f>
        <v/>
      </c>
      <c r="N13" s="16" t="str">
        <f>IF(ganttTasks[[#This Row],[TaskName]]="","",ganttTasks[[#This Row],[sectionName]]&amp;":"&amp;ganttTasks[[#This Row],[TaskName]])</f>
        <v/>
      </c>
      <c r="O1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3">
        <f>ROW()</f>
        <v>13</v>
      </c>
      <c r="Q13" cm="1">
        <f t="array" ref="Q13">IFERROR(MAX(_xlfn._xlws.FILTER(ganttTasks[ID],ganttTasks[ID]&lt;ganttTasks[[#This Row],[ID]],"")),"")</f>
        <v>12</v>
      </c>
      <c r="R13" cm="1">
        <f t="array" ref="R13">MAX(_xlfn._xlws.FILTER(ganttTasks[ID],(ganttTasks[ID]&lt;ganttTasks[[#This Row],[ID]])*(ganttTasks[Section]&lt;&gt;""),0))</f>
        <v>9</v>
      </c>
      <c r="S13" s="16" t="str">
        <f>IF(ganttTasks[[#This Row],[TaskName]]="","",IF(ganttTasks[[#This Row],[Section]]&lt;&gt;"","",_xlfn.XLOOKUP(ganttTasks[[#This Row],[taskSectionID]],ganttTasks[ID],ganttTasks[Section])))</f>
        <v/>
      </c>
      <c r="U13" t="str">
        <v>Finish work : done, 05-May, 7d</v>
      </c>
      <c r="X13"/>
      <c r="Y13" s="19"/>
    </row>
    <row r="14" spans="1:28">
      <c r="H14" s="22"/>
      <c r="I14" s="21"/>
      <c r="J14" s="18" t="str">
        <f>IF(ganttTasks[[#This Row],[TaskName]]="","",IF(ganttTasks[[#This Row],[startAtOrAfter]]="","Previous Task",IF(ISNUMBER(ganttTasks[[#This Row],[startAtOrAfter]]),"Date","Other Task")))</f>
        <v/>
      </c>
      <c r="K1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4" s="20" t="str">
        <f>IF(ganttTasks[[#This Row],[TaskName]]="","",IF(ganttTasks[[#This Row],[StartDate]]="",L13,ganttTasks[[#This Row],[duration]]+ganttTasks[[#This Row],[StartDate]]))</f>
        <v/>
      </c>
      <c r="M14" s="16" t="str">
        <f>IF(ganttTasks[[#This Row],[TaskName]]="","",ganttTasks[[#This Row],[taskSectionID]]&amp;":"&amp;ganttTasks[[#This Row],[TaskName]])</f>
        <v/>
      </c>
      <c r="N14" s="16" t="str">
        <f>IF(ganttTasks[[#This Row],[TaskName]]="","",ganttTasks[[#This Row],[sectionName]]&amp;":"&amp;ganttTasks[[#This Row],[TaskName]])</f>
        <v/>
      </c>
      <c r="O1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4">
        <f>ROW()</f>
        <v>14</v>
      </c>
      <c r="Q14" cm="1">
        <f t="array" ref="Q14">IFERROR(MAX(_xlfn._xlws.FILTER(ganttTasks[ID],ganttTasks[ID]&lt;ganttTasks[[#This Row],[ID]],"")),"")</f>
        <v>13</v>
      </c>
      <c r="R14" cm="1">
        <f t="array" ref="R14">MAX(_xlfn._xlws.FILTER(ganttTasks[ID],(ganttTasks[ID]&lt;ganttTasks[[#This Row],[ID]])*(ganttTasks[Section]&lt;&gt;""),0))</f>
        <v>9</v>
      </c>
      <c r="S14" s="16" t="str">
        <f>IF(ganttTasks[[#This Row],[TaskName]]="","",IF(ganttTasks[[#This Row],[Section]]&lt;&gt;"","",_xlfn.XLOOKUP(ganttTasks[[#This Row],[taskSectionID]],ganttTasks[ID],ganttTasks[Section])))</f>
        <v/>
      </c>
      <c r="U14" t="str">
        <v>section Section 2</v>
      </c>
      <c r="X14"/>
      <c r="Y14" s="19"/>
    </row>
    <row r="15" spans="1:28">
      <c r="H15" s="22"/>
      <c r="I15" s="21"/>
      <c r="J15" s="18" t="str">
        <f>IF(ganttTasks[[#This Row],[TaskName]]="","",IF(ganttTasks[[#This Row],[startAtOrAfter]]="","Previous Task",IF(ISNUMBER(ganttTasks[[#This Row],[startAtOrAfter]]),"Date","Other Task")))</f>
        <v/>
      </c>
      <c r="K1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5" s="20" t="str">
        <f>IF(ganttTasks[[#This Row],[TaskName]]="","",IF(ganttTasks[[#This Row],[StartDate]]="",L14,ganttTasks[[#This Row],[duration]]+ganttTasks[[#This Row],[StartDate]]))</f>
        <v/>
      </c>
      <c r="M15" s="16" t="str">
        <f>IF(ganttTasks[[#This Row],[TaskName]]="","",ganttTasks[[#This Row],[taskSectionID]]&amp;":"&amp;ganttTasks[[#This Row],[TaskName]])</f>
        <v/>
      </c>
      <c r="N15" s="16" t="str">
        <f>IF(ganttTasks[[#This Row],[TaskName]]="","",ganttTasks[[#This Row],[sectionName]]&amp;":"&amp;ganttTasks[[#This Row],[TaskName]])</f>
        <v/>
      </c>
      <c r="O1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5">
        <f>ROW()</f>
        <v>15</v>
      </c>
      <c r="Q15" cm="1">
        <f t="array" ref="Q15">IFERROR(MAX(_xlfn._xlws.FILTER(ganttTasks[ID],ganttTasks[ID]&lt;ganttTasks[[#This Row],[ID]],"")),"")</f>
        <v>14</v>
      </c>
      <c r="R15" cm="1">
        <f t="array" ref="R15">MAX(_xlfn._xlws.FILTER(ganttTasks[ID],(ganttTasks[ID]&lt;ganttTasks[[#This Row],[ID]])*(ganttTasks[Section]&lt;&gt;""),0))</f>
        <v>9</v>
      </c>
      <c r="S15" s="16" t="str">
        <f>IF(ganttTasks[[#This Row],[TaskName]]="","",IF(ganttTasks[[#This Row],[Section]]&lt;&gt;"","",_xlfn.XLOOKUP(ganttTasks[[#This Row],[taskSectionID]],ganttTasks[ID],ganttTasks[Section])))</f>
        <v/>
      </c>
      <c r="U15" t="str">
        <v>Another Task : active, 12-May, 14d</v>
      </c>
      <c r="X15"/>
      <c r="Y15" s="19"/>
    </row>
    <row r="16" spans="1:28">
      <c r="H16" s="22"/>
      <c r="I16" s="21"/>
      <c r="J16" s="18" t="str">
        <f>IF(ganttTasks[[#This Row],[TaskName]]="","",IF(ganttTasks[[#This Row],[startAtOrAfter]]="","Previous Task",IF(ISNUMBER(ganttTasks[[#This Row],[startAtOrAfter]]),"Date","Other Task")))</f>
        <v/>
      </c>
      <c r="K1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6" s="20" t="str">
        <f>IF(ganttTasks[[#This Row],[TaskName]]="","",IF(ganttTasks[[#This Row],[StartDate]]="",L15,ganttTasks[[#This Row],[duration]]+ganttTasks[[#This Row],[StartDate]]))</f>
        <v/>
      </c>
      <c r="M16" s="16" t="str">
        <f>IF(ganttTasks[[#This Row],[TaskName]]="","",ganttTasks[[#This Row],[taskSectionID]]&amp;":"&amp;ganttTasks[[#This Row],[TaskName]])</f>
        <v/>
      </c>
      <c r="N16" s="16" t="str">
        <f>IF(ganttTasks[[#This Row],[TaskName]]="","",ganttTasks[[#This Row],[sectionName]]&amp;":"&amp;ganttTasks[[#This Row],[TaskName]])</f>
        <v/>
      </c>
      <c r="O1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6">
        <f>ROW()</f>
        <v>16</v>
      </c>
      <c r="Q16" cm="1">
        <f t="array" ref="Q16">IFERROR(MAX(_xlfn._xlws.FILTER(ganttTasks[ID],ganttTasks[ID]&lt;ganttTasks[[#This Row],[ID]],"")),"")</f>
        <v>15</v>
      </c>
      <c r="R16" cm="1">
        <f t="array" ref="R16">MAX(_xlfn._xlws.FILTER(ganttTasks[ID],(ganttTasks[ID]&lt;ganttTasks[[#This Row],[ID]])*(ganttTasks[Section]&lt;&gt;""),0))</f>
        <v>9</v>
      </c>
      <c r="S16" s="16" t="str">
        <f>IF(ganttTasks[[#This Row],[TaskName]]="","",IF(ganttTasks[[#This Row],[Section]]&lt;&gt;"","",_xlfn.XLOOKUP(ganttTasks[[#This Row],[taskSectionID]],ganttTasks[ID],ganttTasks[Section])))</f>
        <v/>
      </c>
      <c r="U16" t="str">
        <v>section lastSection</v>
      </c>
      <c r="X16"/>
      <c r="Y16" s="19"/>
    </row>
    <row r="17" spans="5:25">
      <c r="H17" s="22"/>
      <c r="I17" s="21"/>
      <c r="J17" s="18" t="str">
        <f>IF(ganttTasks[[#This Row],[TaskName]]="","",IF(ganttTasks[[#This Row],[startAtOrAfter]]="","Previous Task",IF(ISNUMBER(ganttTasks[[#This Row],[startAtOrAfter]]),"Date","Other Task")))</f>
        <v/>
      </c>
      <c r="K1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7" s="20" t="str">
        <f>IF(ganttTasks[[#This Row],[TaskName]]="","",IF(ganttTasks[[#This Row],[StartDate]]="",L16,ganttTasks[[#This Row],[duration]]+ganttTasks[[#This Row],[StartDate]]))</f>
        <v/>
      </c>
      <c r="M17" s="16" t="str">
        <f>IF(ganttTasks[[#This Row],[TaskName]]="","",ganttTasks[[#This Row],[taskSectionID]]&amp;":"&amp;ganttTasks[[#This Row],[TaskName]])</f>
        <v/>
      </c>
      <c r="N17" s="16" t="str">
        <f>IF(ganttTasks[[#This Row],[TaskName]]="","",ganttTasks[[#This Row],[sectionName]]&amp;":"&amp;ganttTasks[[#This Row],[TaskName]])</f>
        <v/>
      </c>
      <c r="O1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7">
        <f>ROW()</f>
        <v>17</v>
      </c>
      <c r="Q17" cm="1">
        <f t="array" ref="Q17">IFERROR(MAX(_xlfn._xlws.FILTER(ganttTasks[ID],ganttTasks[ID]&lt;ganttTasks[[#This Row],[ID]],"")),"")</f>
        <v>16</v>
      </c>
      <c r="R17" cm="1">
        <f t="array" ref="R17">MAX(_xlfn._xlws.FILTER(ganttTasks[ID],(ganttTasks[ID]&lt;ganttTasks[[#This Row],[ID]])*(ganttTasks[Section]&lt;&gt;""),0))</f>
        <v>9</v>
      </c>
      <c r="S17" s="16" t="str">
        <f>IF(ganttTasks[[#This Row],[TaskName]]="","",IF(ganttTasks[[#This Row],[Section]]&lt;&gt;"","",_xlfn.XLOOKUP(ganttTasks[[#This Row],[taskSectionID]],ganttTasks[ID],ganttTasks[Section])))</f>
        <v/>
      </c>
      <c r="U17" t="str">
        <v>document : active, 12-May, 3d</v>
      </c>
      <c r="X17"/>
      <c r="Y17" s="19"/>
    </row>
    <row r="18" spans="5:25">
      <c r="E18" t="s">
        <v>453</v>
      </c>
      <c r="H18" s="22"/>
      <c r="I18" s="21"/>
      <c r="J18" s="18" t="str">
        <f>IF(ganttTasks[[#This Row],[TaskName]]="","",IF(ganttTasks[[#This Row],[startAtOrAfter]]="","Previous Task",IF(ISNUMBER(ganttTasks[[#This Row],[startAtOrAfter]]),"Date","Other Task")))</f>
        <v/>
      </c>
      <c r="K1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8" s="20" t="str">
        <f>IF(ganttTasks[[#This Row],[TaskName]]="","",IF(ganttTasks[[#This Row],[StartDate]]="",L17,ganttTasks[[#This Row],[duration]]+ganttTasks[[#This Row],[StartDate]]))</f>
        <v/>
      </c>
      <c r="M18" s="16" t="str">
        <f>IF(ganttTasks[[#This Row],[TaskName]]="","",ganttTasks[[#This Row],[taskSectionID]]&amp;":"&amp;ganttTasks[[#This Row],[TaskName]])</f>
        <v/>
      </c>
      <c r="N18" s="16" t="str">
        <f>IF(ganttTasks[[#This Row],[TaskName]]="","",ganttTasks[[#This Row],[sectionName]]&amp;":"&amp;ganttTasks[[#This Row],[TaskName]])</f>
        <v/>
      </c>
      <c r="O1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lastSection</v>
      </c>
      <c r="P18">
        <f>ROW()</f>
        <v>18</v>
      </c>
      <c r="Q18" cm="1">
        <f t="array" ref="Q18">IFERROR(MAX(_xlfn._xlws.FILTER(ganttTasks[ID],ganttTasks[ID]&lt;ganttTasks[[#This Row],[ID]],"")),"")</f>
        <v>17</v>
      </c>
      <c r="R18" cm="1">
        <f t="array" ref="R18">MAX(_xlfn._xlws.FILTER(ganttTasks[ID],(ganttTasks[ID]&lt;ganttTasks[[#This Row],[ID]])*(ganttTasks[Section]&lt;&gt;""),0))</f>
        <v>9</v>
      </c>
      <c r="S18" s="16" t="str">
        <f>IF(ganttTasks[[#This Row],[TaskName]]="","",IF(ganttTasks[[#This Row],[Section]]&lt;&gt;"","",_xlfn.XLOOKUP(ganttTasks[[#This Row],[taskSectionID]],ganttTasks[ID],ganttTasks[Section])))</f>
        <v/>
      </c>
      <c r="U18" t="str">
        <v>publish : milestone, 15-May, d</v>
      </c>
      <c r="X18"/>
      <c r="Y18" s="19"/>
    </row>
    <row r="19" spans="5:25">
      <c r="F19" t="s">
        <v>445</v>
      </c>
      <c r="G19" t="s">
        <v>450</v>
      </c>
      <c r="H19" s="22" t="s">
        <v>473</v>
      </c>
      <c r="I19" s="21">
        <v>3</v>
      </c>
      <c r="J19" s="18" t="str">
        <f>IF(ganttTasks[[#This Row],[TaskName]]="","",IF(ganttTasks[[#This Row],[startAtOrAfter]]="","Previous Task",IF(ISNUMBER(ganttTasks[[#This Row],[startAtOrAfter]]),"Date","Other Task")))</f>
        <v>Other Task</v>
      </c>
      <c r="K19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9" s="20">
        <f>IF(ganttTasks[[#This Row],[TaskName]]="","",IF(ganttTasks[[#This Row],[StartDate]]="",L18,ganttTasks[[#This Row],[duration]]+ganttTasks[[#This Row],[StartDate]]))</f>
        <v>45427</v>
      </c>
      <c r="M19" s="16" t="str">
        <f>IF(ganttTasks[[#This Row],[TaskName]]="","",ganttTasks[[#This Row],[taskSectionID]]&amp;":"&amp;ganttTasks[[#This Row],[TaskName]])</f>
        <v>18:document</v>
      </c>
      <c r="N19" s="16" t="str">
        <f>IF(ganttTasks[[#This Row],[TaskName]]="","",ganttTasks[[#This Row],[sectionName]]&amp;":"&amp;ganttTasks[[#This Row],[TaskName]])</f>
        <v>lastSection:document</v>
      </c>
      <c r="O1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document : active, 12-May, 3d</v>
      </c>
      <c r="P19">
        <f>ROW()</f>
        <v>19</v>
      </c>
      <c r="Q19" cm="1">
        <f t="array" ref="Q19">IFERROR(MAX(_xlfn._xlws.FILTER(ganttTasks[ID],ganttTasks[ID]&lt;ganttTasks[[#This Row],[ID]],"")),"")</f>
        <v>18</v>
      </c>
      <c r="R19" cm="1">
        <f t="array" ref="R19">MAX(_xlfn._xlws.FILTER(ganttTasks[ID],(ganttTasks[ID]&lt;ganttTasks[[#This Row],[ID]])*(ganttTasks[Section]&lt;&gt;""),0))</f>
        <v>18</v>
      </c>
      <c r="S19" s="16" t="str">
        <f>IF(ganttTasks[[#This Row],[TaskName]]="","",IF(ganttTasks[[#This Row],[Section]]&lt;&gt;"","",_xlfn.XLOOKUP(ganttTasks[[#This Row],[taskSectionID]],ganttTasks[ID],ganttTasks[Section])))</f>
        <v>lastSection</v>
      </c>
      <c r="X19"/>
      <c r="Y19" s="19"/>
    </row>
    <row r="20" spans="5:25">
      <c r="F20" t="s">
        <v>446</v>
      </c>
      <c r="G20" t="s">
        <v>451</v>
      </c>
      <c r="H20" s="22" t="s">
        <v>464</v>
      </c>
      <c r="I20" s="21"/>
      <c r="J20" s="18" t="str">
        <f>IF(ganttTasks[[#This Row],[TaskName]]="","",IF(ganttTasks[[#This Row],[startAtOrAfter]]="","Previous Task",IF(ISNUMBER(ganttTasks[[#This Row],[startAtOrAfter]]),"Date","Other Task")))</f>
        <v>Other Task</v>
      </c>
      <c r="K2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45427</v>
      </c>
      <c r="L20" s="20">
        <f>IF(ganttTasks[[#This Row],[TaskName]]="","",IF(ganttTasks[[#This Row],[StartDate]]="",L19,ganttTasks[[#This Row],[duration]]+ganttTasks[[#This Row],[StartDate]]))</f>
        <v>45427</v>
      </c>
      <c r="M20" s="16" t="str">
        <f>IF(ganttTasks[[#This Row],[TaskName]]="","",ganttTasks[[#This Row],[taskSectionID]]&amp;":"&amp;ganttTasks[[#This Row],[TaskName]])</f>
        <v>18:publish</v>
      </c>
      <c r="N20" s="16" t="str">
        <f>IF(ganttTasks[[#This Row],[TaskName]]="","",ganttTasks[[#This Row],[sectionName]]&amp;":"&amp;ganttTasks[[#This Row],[TaskName]])</f>
        <v>lastSection:publish</v>
      </c>
      <c r="O2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publish : milestone, 15-May, d</v>
      </c>
      <c r="P20">
        <f>ROW()</f>
        <v>20</v>
      </c>
      <c r="Q20" cm="1">
        <f t="array" ref="Q20">IFERROR(MAX(_xlfn._xlws.FILTER(ganttTasks[ID],ganttTasks[ID]&lt;ganttTasks[[#This Row],[ID]],"")),"")</f>
        <v>19</v>
      </c>
      <c r="R20" cm="1">
        <f t="array" ref="R20">MAX(_xlfn._xlws.FILTER(ganttTasks[ID],(ganttTasks[ID]&lt;ganttTasks[[#This Row],[ID]])*(ganttTasks[Section]&lt;&gt;""),0))</f>
        <v>18</v>
      </c>
      <c r="S20" s="16" t="str">
        <f>IF(ganttTasks[[#This Row],[TaskName]]="","",IF(ganttTasks[[#This Row],[Section]]&lt;&gt;"","",_xlfn.XLOOKUP(ganttTasks[[#This Row],[taskSectionID]],ganttTasks[ID],ganttTasks[Section])))</f>
        <v>lastSection</v>
      </c>
      <c r="X20"/>
      <c r="Y20" s="19"/>
    </row>
    <row r="21" spans="5:25">
      <c r="H21" s="22"/>
      <c r="I21" s="21"/>
      <c r="J21" s="18" t="str">
        <f>IF(ganttTasks[[#This Row],[TaskName]]="","",IF(ganttTasks[[#This Row],[startAtOrAfter]]="","Previous Task",IF(ISNUMBER(ganttTasks[[#This Row],[startAtOrAfter]]),"Date","Other Task")))</f>
        <v/>
      </c>
      <c r="K2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1" s="20" t="str">
        <f>IF(ganttTasks[[#This Row],[TaskName]]="","",IF(ganttTasks[[#This Row],[StartDate]]="",L20,ganttTasks[[#This Row],[duration]]+ganttTasks[[#This Row],[StartDate]]))</f>
        <v/>
      </c>
      <c r="M21" s="16" t="str">
        <f>IF(ganttTasks[[#This Row],[TaskName]]="","",ganttTasks[[#This Row],[taskSectionID]]&amp;":"&amp;ganttTasks[[#This Row],[TaskName]])</f>
        <v/>
      </c>
      <c r="N21" s="16" t="str">
        <f>IF(ganttTasks[[#This Row],[TaskName]]="","",ganttTasks[[#This Row],[sectionName]]&amp;":"&amp;ganttTasks[[#This Row],[TaskName]])</f>
        <v/>
      </c>
      <c r="O2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1">
        <f>ROW()</f>
        <v>21</v>
      </c>
      <c r="Q21" cm="1">
        <f t="array" ref="Q21">IFERROR(MAX(_xlfn._xlws.FILTER(ganttTasks[ID],ganttTasks[ID]&lt;ganttTasks[[#This Row],[ID]],"")),"")</f>
        <v>20</v>
      </c>
      <c r="R21" cm="1">
        <f t="array" ref="R21">MAX(_xlfn._xlws.FILTER(ganttTasks[ID],(ganttTasks[ID]&lt;ganttTasks[[#This Row],[ID]])*(ganttTasks[Section]&lt;&gt;""),0))</f>
        <v>18</v>
      </c>
      <c r="S21" s="16" t="str">
        <f>IF(ganttTasks[[#This Row],[TaskName]]="","",IF(ganttTasks[[#This Row],[Section]]&lt;&gt;"","",_xlfn.XLOOKUP(ganttTasks[[#This Row],[taskSectionID]],ganttTasks[ID],ganttTasks[Section])))</f>
        <v/>
      </c>
      <c r="X21"/>
      <c r="Y21" s="19"/>
    </row>
    <row r="22" spans="5:25">
      <c r="H22" s="22"/>
      <c r="I22" s="21"/>
      <c r="J22" s="18" t="str">
        <f>IF(ganttTasks[[#This Row],[TaskName]]="","",IF(ganttTasks[[#This Row],[startAtOrAfter]]="","Previous Task",IF(ISNUMBER(ganttTasks[[#This Row],[startAtOrAfter]]),"Date","Other Task")))</f>
        <v/>
      </c>
      <c r="K2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2" s="20" t="str">
        <f>IF(ganttTasks[[#This Row],[TaskName]]="","",IF(ganttTasks[[#This Row],[StartDate]]="",L21,ganttTasks[[#This Row],[duration]]+ganttTasks[[#This Row],[StartDate]]))</f>
        <v/>
      </c>
      <c r="M22" s="16" t="str">
        <f>IF(ganttTasks[[#This Row],[TaskName]]="","",ganttTasks[[#This Row],[taskSectionID]]&amp;":"&amp;ganttTasks[[#This Row],[TaskName]])</f>
        <v/>
      </c>
      <c r="N22" s="16" t="str">
        <f>IF(ganttTasks[[#This Row],[TaskName]]="","",ganttTasks[[#This Row],[sectionName]]&amp;":"&amp;ganttTasks[[#This Row],[TaskName]])</f>
        <v/>
      </c>
      <c r="O2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2">
        <f>ROW()</f>
        <v>22</v>
      </c>
      <c r="Q22" cm="1">
        <f t="array" ref="Q22">IFERROR(MAX(_xlfn._xlws.FILTER(ganttTasks[ID],ganttTasks[ID]&lt;ganttTasks[[#This Row],[ID]],"")),"")</f>
        <v>21</v>
      </c>
      <c r="R22" cm="1">
        <f t="array" ref="R22">MAX(_xlfn._xlws.FILTER(ganttTasks[ID],(ganttTasks[ID]&lt;ganttTasks[[#This Row],[ID]])*(ganttTasks[Section]&lt;&gt;""),0))</f>
        <v>18</v>
      </c>
      <c r="S22" s="16" t="str">
        <f>IF(ganttTasks[[#This Row],[TaskName]]="","",IF(ganttTasks[[#This Row],[Section]]&lt;&gt;"","",_xlfn.XLOOKUP(ganttTasks[[#This Row],[taskSectionID]],ganttTasks[ID],ganttTasks[Section])))</f>
        <v/>
      </c>
      <c r="X22"/>
      <c r="Y22" s="19"/>
    </row>
    <row r="23" spans="5:25">
      <c r="H23" s="22"/>
      <c r="I23" s="21"/>
      <c r="J23" s="18" t="str">
        <f>IF(ganttTasks[[#This Row],[TaskName]]="","",IF(ganttTasks[[#This Row],[startAtOrAfter]]="","Previous Task",IF(ISNUMBER(ganttTasks[[#This Row],[startAtOrAfter]]),"Date","Other Task")))</f>
        <v/>
      </c>
      <c r="K2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3" s="20" t="str">
        <f>IF(ganttTasks[[#This Row],[TaskName]]="","",IF(ganttTasks[[#This Row],[StartDate]]="",L22,ganttTasks[[#This Row],[duration]]+ganttTasks[[#This Row],[StartDate]]))</f>
        <v/>
      </c>
      <c r="M23" s="16" t="str">
        <f>IF(ganttTasks[[#This Row],[TaskName]]="","",ganttTasks[[#This Row],[taskSectionID]]&amp;":"&amp;ganttTasks[[#This Row],[TaskName]])</f>
        <v/>
      </c>
      <c r="N23" s="16" t="str">
        <f>IF(ganttTasks[[#This Row],[TaskName]]="","",ganttTasks[[#This Row],[sectionName]]&amp;":"&amp;ganttTasks[[#This Row],[TaskName]])</f>
        <v/>
      </c>
      <c r="O2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3">
        <f>ROW()</f>
        <v>23</v>
      </c>
      <c r="Q23" cm="1">
        <f t="array" ref="Q23">IFERROR(MAX(_xlfn._xlws.FILTER(ganttTasks[ID],ganttTasks[ID]&lt;ganttTasks[[#This Row],[ID]],"")),"")</f>
        <v>22</v>
      </c>
      <c r="R23" cm="1">
        <f t="array" ref="R23">MAX(_xlfn._xlws.FILTER(ganttTasks[ID],(ganttTasks[ID]&lt;ganttTasks[[#This Row],[ID]])*(ganttTasks[Section]&lt;&gt;""),0))</f>
        <v>18</v>
      </c>
      <c r="S23" s="16" t="str">
        <f>IF(ganttTasks[[#This Row],[TaskName]]="","",IF(ganttTasks[[#This Row],[Section]]&lt;&gt;"","",_xlfn.XLOOKUP(ganttTasks[[#This Row],[taskSectionID]],ganttTasks[ID],ganttTasks[Section])))</f>
        <v/>
      </c>
      <c r="X23"/>
      <c r="Y23" s="19"/>
    </row>
    <row r="24" spans="5:25">
      <c r="H24" s="22"/>
      <c r="I24" s="21"/>
      <c r="J24" s="18" t="str">
        <f>IF(ganttTasks[[#This Row],[TaskName]]="","",IF(ganttTasks[[#This Row],[startAtOrAfter]]="","Previous Task",IF(ISNUMBER(ganttTasks[[#This Row],[startAtOrAfter]]),"Date","Other Task")))</f>
        <v/>
      </c>
      <c r="K2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4" s="20" t="str">
        <f>IF(ganttTasks[[#This Row],[TaskName]]="","",IF(ganttTasks[[#This Row],[StartDate]]="",L23,ganttTasks[[#This Row],[duration]]+ganttTasks[[#This Row],[StartDate]]))</f>
        <v/>
      </c>
      <c r="M24" s="16" t="str">
        <f>IF(ganttTasks[[#This Row],[TaskName]]="","",ganttTasks[[#This Row],[taskSectionID]]&amp;":"&amp;ganttTasks[[#This Row],[TaskName]])</f>
        <v/>
      </c>
      <c r="N24" s="16" t="str">
        <f>IF(ganttTasks[[#This Row],[TaskName]]="","",ganttTasks[[#This Row],[sectionName]]&amp;":"&amp;ganttTasks[[#This Row],[TaskName]])</f>
        <v/>
      </c>
      <c r="O2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4">
        <f>ROW()</f>
        <v>24</v>
      </c>
      <c r="Q24" cm="1">
        <f t="array" ref="Q24">IFERROR(MAX(_xlfn._xlws.FILTER(ganttTasks[ID],ganttTasks[ID]&lt;ganttTasks[[#This Row],[ID]],"")),"")</f>
        <v>23</v>
      </c>
      <c r="R24" cm="1">
        <f t="array" ref="R24">MAX(_xlfn._xlws.FILTER(ganttTasks[ID],(ganttTasks[ID]&lt;ganttTasks[[#This Row],[ID]])*(ganttTasks[Section]&lt;&gt;""),0))</f>
        <v>18</v>
      </c>
      <c r="S24" s="16" t="str">
        <f>IF(ganttTasks[[#This Row],[TaskName]]="","",IF(ganttTasks[[#This Row],[Section]]&lt;&gt;"","",_xlfn.XLOOKUP(ganttTasks[[#This Row],[taskSectionID]],ganttTasks[ID],ganttTasks[Section])))</f>
        <v/>
      </c>
      <c r="X24"/>
      <c r="Y24" s="19"/>
    </row>
    <row r="25" spans="5:25">
      <c r="H25" s="22"/>
      <c r="I25" s="21"/>
      <c r="J25" s="18" t="str">
        <f>IF(ganttTasks[[#This Row],[TaskName]]="","",IF(ganttTasks[[#This Row],[startAtOrAfter]]="","Previous Task",IF(ISNUMBER(ganttTasks[[#This Row],[startAtOrAfter]]),"Date","Other Task")))</f>
        <v/>
      </c>
      <c r="K2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5" s="20" t="str">
        <f>IF(ganttTasks[[#This Row],[TaskName]]="","",IF(ganttTasks[[#This Row],[StartDate]]="",L24,ganttTasks[[#This Row],[duration]]+ganttTasks[[#This Row],[StartDate]]))</f>
        <v/>
      </c>
      <c r="M25" s="16" t="str">
        <f>IF(ganttTasks[[#This Row],[TaskName]]="","",ganttTasks[[#This Row],[taskSectionID]]&amp;":"&amp;ganttTasks[[#This Row],[TaskName]])</f>
        <v/>
      </c>
      <c r="N25" s="16" t="str">
        <f>IF(ganttTasks[[#This Row],[TaskName]]="","",ganttTasks[[#This Row],[sectionName]]&amp;":"&amp;ganttTasks[[#This Row],[TaskName]])</f>
        <v/>
      </c>
      <c r="O2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5">
        <f>ROW()</f>
        <v>25</v>
      </c>
      <c r="Q25" cm="1">
        <f t="array" ref="Q25">IFERROR(MAX(_xlfn._xlws.FILTER(ganttTasks[ID],ganttTasks[ID]&lt;ganttTasks[[#This Row],[ID]],"")),"")</f>
        <v>24</v>
      </c>
      <c r="R25" cm="1">
        <f t="array" ref="R25">MAX(_xlfn._xlws.FILTER(ganttTasks[ID],(ganttTasks[ID]&lt;ganttTasks[[#This Row],[ID]])*(ganttTasks[Section]&lt;&gt;""),0))</f>
        <v>18</v>
      </c>
      <c r="S25" s="16" t="str">
        <f>IF(ganttTasks[[#This Row],[TaskName]]="","",IF(ganttTasks[[#This Row],[Section]]&lt;&gt;"","",_xlfn.XLOOKUP(ganttTasks[[#This Row],[taskSectionID]],ganttTasks[ID],ganttTasks[Section])))</f>
        <v/>
      </c>
      <c r="X25"/>
      <c r="Y25" s="19"/>
    </row>
    <row r="26" spans="5:25">
      <c r="H26" s="22"/>
      <c r="I26" s="21"/>
      <c r="J26" s="18" t="str">
        <f>IF(ganttTasks[[#This Row],[TaskName]]="","",IF(ganttTasks[[#This Row],[startAtOrAfter]]="","Previous Task",IF(ISNUMBER(ganttTasks[[#This Row],[startAtOrAfter]]),"Date","Other Task")))</f>
        <v/>
      </c>
      <c r="K2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6" s="20" t="str">
        <f>IF(ganttTasks[[#This Row],[TaskName]]="","",IF(ganttTasks[[#This Row],[StartDate]]="",L25,ganttTasks[[#This Row],[duration]]+ganttTasks[[#This Row],[StartDate]]))</f>
        <v/>
      </c>
      <c r="M26" s="16" t="str">
        <f>IF(ganttTasks[[#This Row],[TaskName]]="","",ganttTasks[[#This Row],[taskSectionID]]&amp;":"&amp;ganttTasks[[#This Row],[TaskName]])</f>
        <v/>
      </c>
      <c r="N26" s="16" t="str">
        <f>IF(ganttTasks[[#This Row],[TaskName]]="","",ganttTasks[[#This Row],[sectionName]]&amp;":"&amp;ganttTasks[[#This Row],[TaskName]])</f>
        <v/>
      </c>
      <c r="O2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6">
        <f>ROW()</f>
        <v>26</v>
      </c>
      <c r="Q26" cm="1">
        <f t="array" ref="Q26">IFERROR(MAX(_xlfn._xlws.FILTER(ganttTasks[ID],ganttTasks[ID]&lt;ganttTasks[[#This Row],[ID]],"")),"")</f>
        <v>25</v>
      </c>
      <c r="R26" cm="1">
        <f t="array" ref="R26">MAX(_xlfn._xlws.FILTER(ganttTasks[ID],(ganttTasks[ID]&lt;ganttTasks[[#This Row],[ID]])*(ganttTasks[Section]&lt;&gt;""),0))</f>
        <v>18</v>
      </c>
      <c r="S26" s="16" t="str">
        <f>IF(ganttTasks[[#This Row],[TaskName]]="","",IF(ganttTasks[[#This Row],[Section]]&lt;&gt;"","",_xlfn.XLOOKUP(ganttTasks[[#This Row],[taskSectionID]],ganttTasks[ID],ganttTasks[Section])))</f>
        <v/>
      </c>
      <c r="X26"/>
      <c r="Y26" s="19"/>
    </row>
    <row r="27" spans="5:25">
      <c r="H27" s="22"/>
      <c r="I27" s="21"/>
      <c r="J27" s="18" t="str">
        <f>IF(ganttTasks[[#This Row],[TaskName]]="","",IF(ganttTasks[[#This Row],[startAtOrAfter]]="","Previous Task",IF(ISNUMBER(ganttTasks[[#This Row],[startAtOrAfter]]),"Date","Other Task")))</f>
        <v/>
      </c>
      <c r="K2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7" s="20" t="str">
        <f>IF(ganttTasks[[#This Row],[TaskName]]="","",IF(ganttTasks[[#This Row],[StartDate]]="",L26,ganttTasks[[#This Row],[duration]]+ganttTasks[[#This Row],[StartDate]]))</f>
        <v/>
      </c>
      <c r="M27" s="16" t="str">
        <f>IF(ganttTasks[[#This Row],[TaskName]]="","",ganttTasks[[#This Row],[taskSectionID]]&amp;":"&amp;ganttTasks[[#This Row],[TaskName]])</f>
        <v/>
      </c>
      <c r="N27" s="16" t="str">
        <f>IF(ganttTasks[[#This Row],[TaskName]]="","",ganttTasks[[#This Row],[sectionName]]&amp;":"&amp;ganttTasks[[#This Row],[TaskName]])</f>
        <v/>
      </c>
      <c r="O2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7">
        <f>ROW()</f>
        <v>27</v>
      </c>
      <c r="Q27" cm="1">
        <f t="array" ref="Q27">IFERROR(MAX(_xlfn._xlws.FILTER(ganttTasks[ID],ganttTasks[ID]&lt;ganttTasks[[#This Row],[ID]],"")),"")</f>
        <v>26</v>
      </c>
      <c r="R27" cm="1">
        <f t="array" ref="R27">MAX(_xlfn._xlws.FILTER(ganttTasks[ID],(ganttTasks[ID]&lt;ganttTasks[[#This Row],[ID]])*(ganttTasks[Section]&lt;&gt;""),0))</f>
        <v>18</v>
      </c>
      <c r="S27" s="16" t="str">
        <f>IF(ganttTasks[[#This Row],[TaskName]]="","",IF(ganttTasks[[#This Row],[Section]]&lt;&gt;"","",_xlfn.XLOOKUP(ganttTasks[[#This Row],[taskSectionID]],ganttTasks[ID],ganttTasks[Section])))</f>
        <v/>
      </c>
      <c r="X27"/>
      <c r="Y27" s="19"/>
    </row>
    <row r="28" spans="5:25">
      <c r="H28" s="22"/>
      <c r="I28" s="21"/>
      <c r="J28" s="18" t="str">
        <f>IF(ganttTasks[[#This Row],[TaskName]]="","",IF(ganttTasks[[#This Row],[startAtOrAfter]]="","Previous Task",IF(ISNUMBER(ganttTasks[[#This Row],[startAtOrAfter]]),"Date","Other Task")))</f>
        <v/>
      </c>
      <c r="K2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8" s="20" t="str">
        <f>IF(ganttTasks[[#This Row],[TaskName]]="","",IF(ganttTasks[[#This Row],[StartDate]]="",L27,ganttTasks[[#This Row],[duration]]+ganttTasks[[#This Row],[StartDate]]))</f>
        <v/>
      </c>
      <c r="M28" s="16" t="str">
        <f>IF(ganttTasks[[#This Row],[TaskName]]="","",ganttTasks[[#This Row],[taskSectionID]]&amp;":"&amp;ganttTasks[[#This Row],[TaskName]])</f>
        <v/>
      </c>
      <c r="N28" s="16" t="str">
        <f>IF(ganttTasks[[#This Row],[TaskName]]="","",ganttTasks[[#This Row],[sectionName]]&amp;":"&amp;ganttTasks[[#This Row],[TaskName]])</f>
        <v/>
      </c>
      <c r="O2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8">
        <f>ROW()</f>
        <v>28</v>
      </c>
      <c r="Q28" cm="1">
        <f t="array" ref="Q28">IFERROR(MAX(_xlfn._xlws.FILTER(ganttTasks[ID],ganttTasks[ID]&lt;ganttTasks[[#This Row],[ID]],"")),"")</f>
        <v>27</v>
      </c>
      <c r="R28" cm="1">
        <f t="array" ref="R28">MAX(_xlfn._xlws.FILTER(ganttTasks[ID],(ganttTasks[ID]&lt;ganttTasks[[#This Row],[ID]])*(ganttTasks[Section]&lt;&gt;""),0))</f>
        <v>18</v>
      </c>
      <c r="S28" s="16" t="str">
        <f>IF(ganttTasks[[#This Row],[TaskName]]="","",IF(ganttTasks[[#This Row],[Section]]&lt;&gt;"","",_xlfn.XLOOKUP(ganttTasks[[#This Row],[taskSectionID]],ganttTasks[ID],ganttTasks[Section])))</f>
        <v/>
      </c>
      <c r="X28"/>
      <c r="Y28" s="19"/>
    </row>
    <row r="29" spans="5:25">
      <c r="I29" s="21"/>
      <c r="J29" s="18" t="str">
        <f>IF(ganttTasks[[#This Row],[TaskName]]="","",IF(ganttTasks[[#This Row],[startAtOrAfter]]="","Previous Task",IF(ISNUMBER(ganttTasks[[#This Row],[startAtOrAfter]]),"Date","Other Task")))</f>
        <v/>
      </c>
      <c r="K2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9" s="20" t="str">
        <f>IF(ganttTasks[[#This Row],[TaskName]]="","",IF(ganttTasks[[#This Row],[StartDate]]="",L28,ganttTasks[[#This Row],[duration]]+ganttTasks[[#This Row],[StartDate]]))</f>
        <v/>
      </c>
      <c r="M29" s="16" t="str">
        <f>IF(ganttTasks[[#This Row],[TaskName]]="","",ganttTasks[[#This Row],[taskSectionID]]&amp;":"&amp;ganttTasks[[#This Row],[TaskName]])</f>
        <v/>
      </c>
      <c r="N29" s="16" t="str">
        <f>IF(ganttTasks[[#This Row],[TaskName]]="","",ganttTasks[[#This Row],[sectionName]]&amp;":"&amp;ganttTasks[[#This Row],[TaskName]])</f>
        <v/>
      </c>
      <c r="O2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9">
        <f>ROW()</f>
        <v>29</v>
      </c>
      <c r="Q29" cm="1">
        <f t="array" ref="Q29">IFERROR(MAX(_xlfn._xlws.FILTER(ganttTasks[ID],ganttTasks[ID]&lt;ganttTasks[[#This Row],[ID]],"")),"")</f>
        <v>28</v>
      </c>
      <c r="R29" cm="1">
        <f t="array" ref="R29">MAX(_xlfn._xlws.FILTER(ganttTasks[ID],(ganttTasks[ID]&lt;ganttTasks[[#This Row],[ID]])*(ganttTasks[Section]&lt;&gt;""),0))</f>
        <v>18</v>
      </c>
      <c r="S29" s="16" t="str">
        <f>IF(ganttTasks[[#This Row],[TaskName]]="","",IF(ganttTasks[[#This Row],[Section]]&lt;&gt;"","",_xlfn.XLOOKUP(ganttTasks[[#This Row],[taskSectionID]],ganttTasks[ID],ganttTasks[Section])))</f>
        <v/>
      </c>
      <c r="X29"/>
      <c r="Y29" s="19"/>
    </row>
  </sheetData>
  <dataValidations count="2">
    <dataValidation type="list" allowBlank="1" showInputMessage="1" showErrorMessage="1" sqref="H2:H29" xr:uid="{5E9FF00F-E462-4986-AD24-72D028837F6C}">
      <formula1>_xlfn.ANCHORARRAY($Y$1)</formula1>
    </dataValidation>
    <dataValidation operator="greaterThanOrEqual" allowBlank="1" showInputMessage="1" showErrorMessage="1" sqref="K2:K29" xr:uid="{5C4351E0-93DF-497C-9C86-609A4ADD2890}"/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P157"/>
  <sheetViews>
    <sheetView showGridLines="0" zoomScaleNormal="100" workbookViewId="0">
      <selection activeCell="L2" sqref="L2:L9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customWidth="1"/>
    <col min="11" max="11" width="9.69140625" customWidth="1"/>
    <col min="12" max="12" width="57.3828125" customWidth="1"/>
    <col min="14" max="15" width="9.3046875" hidden="1" customWidth="1"/>
    <col min="16" max="16" width="0" hidden="1" customWidth="1"/>
  </cols>
  <sheetData>
    <row r="1" spans="1:16">
      <c r="A1" s="4" t="s">
        <v>140</v>
      </c>
      <c r="B1" s="15" t="s">
        <v>29</v>
      </c>
      <c r="F1" s="4" t="s">
        <v>2</v>
      </c>
      <c r="G1" s="4" t="s">
        <v>4</v>
      </c>
      <c r="H1" s="4" t="s">
        <v>311</v>
      </c>
      <c r="I1" s="4" t="s">
        <v>139</v>
      </c>
      <c r="J1" s="4" t="s">
        <v>5</v>
      </c>
      <c r="L1" s="4" t="s">
        <v>137</v>
      </c>
      <c r="N1" t="str" cm="1">
        <f t="array" ref="N1:N14">flownodes[nodeType]</f>
        <v>square</v>
      </c>
      <c r="O1" s="4" t="s">
        <v>126</v>
      </c>
      <c r="P1" t="str" cm="1">
        <f t="array" ref="P1:P157">_xlfn._xlws.SORT(icon[Display])</f>
        <v>barcode</v>
      </c>
    </row>
    <row r="2" spans="1:16">
      <c r="A2" s="4" t="s">
        <v>427</v>
      </c>
      <c r="B2" s="15" t="s">
        <v>125</v>
      </c>
      <c r="F2" t="s">
        <v>129</v>
      </c>
      <c r="G2" t="s">
        <v>130</v>
      </c>
      <c r="I2" t="s">
        <v>129</v>
      </c>
      <c r="J2" t="str">
        <f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start)))--&gt;|start|2(step1)</v>
      </c>
      <c r="L2" t="str" cm="1">
        <f t="array" ref="L2:L9">_xlfn.VSTACK(
"flowchart "&amp;B2,
_xlfn._xlws.FILTER(flow[mmSyntax],flow[mmSyntax]&lt;&gt;"")
)</f>
        <v>flowchart LR</v>
      </c>
      <c r="N2" t="str">
        <v>rounded box</v>
      </c>
      <c r="O2" t="str" cm="1">
        <f t="array" ref="O2:O7">(_xlfn.UNIQUE(_xlfn.VSTACK(_xlfn._xlws.FILTER(F:F,(F:F&lt;&gt;"source")*(F:F&lt;&gt;"")),_xlfn._xlws.FILTER(G:G,(G:G&lt;&gt;"target")*(G:G&lt;&gt;"")))))</f>
        <v>start</v>
      </c>
      <c r="P2" t="str">
        <v>battery-empty</v>
      </c>
    </row>
    <row r="3" spans="1:16">
      <c r="F3" t="s">
        <v>130</v>
      </c>
      <c r="G3" t="s">
        <v>131</v>
      </c>
      <c r="I3" t="s">
        <v>135</v>
      </c>
      <c r="J3" t="str">
        <f>IF(F3="","",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2(step1)--&gt;|goto step2|3[(fa:fa-database step2)]</v>
      </c>
      <c r="L3" t="str">
        <v>1(((fa:fa-bell start)))--&gt;|start|2(step1)</v>
      </c>
      <c r="N3" t="str">
        <v>pill</v>
      </c>
      <c r="O3" t="str">
        <v>step1</v>
      </c>
      <c r="P3" t="str">
        <v>battery-full</v>
      </c>
    </row>
    <row r="4" spans="1:16">
      <c r="A4" s="4" t="s">
        <v>141</v>
      </c>
      <c r="B4" s="4" t="s">
        <v>30</v>
      </c>
      <c r="C4" s="4" t="s">
        <v>163</v>
      </c>
      <c r="D4" s="4" t="s">
        <v>5</v>
      </c>
      <c r="F4" t="s">
        <v>131</v>
      </c>
      <c r="G4" t="s">
        <v>130</v>
      </c>
      <c r="J4" t="str">
        <f>IF(F4="","",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L4" t="str">
        <v>2(step1)--&gt;|goto step2|3[(fa:fa-database step2)]</v>
      </c>
      <c r="N4" t="str">
        <v>database</v>
      </c>
      <c r="O4" t="str">
        <v>step2</v>
      </c>
      <c r="P4" t="str">
        <v>battery-half</v>
      </c>
    </row>
    <row r="5" spans="1:16">
      <c r="A5" s="17" t="s">
        <v>129</v>
      </c>
      <c r="B5" s="17" t="s">
        <v>31</v>
      </c>
      <c r="C5" s="17" t="s">
        <v>171</v>
      </c>
      <c r="D5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F5" t="s">
        <v>132</v>
      </c>
      <c r="G5" t="s">
        <v>133</v>
      </c>
      <c r="I5" t="s">
        <v>136</v>
      </c>
      <c r="J5" t="str">
        <f>IF(F5="","",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step4|5(step4)</v>
      </c>
      <c r="L5" t="str">
        <v>3[(fa:fa-database step2)]--&gt;2(step1)</v>
      </c>
      <c r="N5" t="str">
        <v>circle</v>
      </c>
      <c r="O5" t="str">
        <v>step3</v>
      </c>
      <c r="P5" t="str">
        <v>battery-quarter</v>
      </c>
    </row>
    <row r="6" spans="1:16">
      <c r="A6" s="17" t="s">
        <v>131</v>
      </c>
      <c r="B6" s="17" t="s">
        <v>32</v>
      </c>
      <c r="C6" s="17" t="s">
        <v>32</v>
      </c>
      <c r="D6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F6" t="s">
        <v>132</v>
      </c>
      <c r="G6" t="s">
        <v>130</v>
      </c>
      <c r="I6" t="s">
        <v>134</v>
      </c>
      <c r="J6" t="str">
        <f>IF(F6="","",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step1|2(step1)</v>
      </c>
      <c r="L6" t="str">
        <v>4(step3)--&gt;|goto step4|5(step4)</v>
      </c>
      <c r="N6" t="str">
        <v>subroutine</v>
      </c>
      <c r="O6" t="str">
        <v>step4</v>
      </c>
      <c r="P6" t="str">
        <v>battery-three-quarters</v>
      </c>
    </row>
    <row r="7" spans="1:16">
      <c r="A7" s="17"/>
      <c r="B7" s="17"/>
      <c r="C7" s="17"/>
      <c r="D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F7" t="s">
        <v>132</v>
      </c>
      <c r="G7" t="s">
        <v>131</v>
      </c>
      <c r="I7" t="s">
        <v>138</v>
      </c>
      <c r="J7" t="str">
        <f>IF(F7="","",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 1|3[(fa:fa-database step2)]</v>
      </c>
      <c r="L7" s="1" t="str">
        <v>4(step3)--&gt;|goto step1|2(step1)</v>
      </c>
      <c r="N7" t="str">
        <v>flag</v>
      </c>
      <c r="O7" t="str">
        <v>end</v>
      </c>
      <c r="P7" t="str">
        <v>bell</v>
      </c>
    </row>
    <row r="8" spans="1:16">
      <c r="A8" s="17"/>
      <c r="B8" s="17"/>
      <c r="C8" s="17"/>
      <c r="D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F8" t="s">
        <v>133</v>
      </c>
      <c r="G8" t="s">
        <v>107</v>
      </c>
      <c r="I8" t="s">
        <v>107</v>
      </c>
      <c r="J8" t="str">
        <f>IF(F8="","",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5(step4)--&gt;|end|6(end)</v>
      </c>
      <c r="L8" t="str">
        <v>4(step3)--&gt;|goto step 1|3[(fa:fa-database step2)]</v>
      </c>
      <c r="N8" t="str">
        <v>rhombus</v>
      </c>
      <c r="P8" t="str">
        <v>bell-slash</v>
      </c>
    </row>
    <row r="9" spans="1:16">
      <c r="A9" s="17"/>
      <c r="B9" s="17"/>
      <c r="C9" s="17"/>
      <c r="D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9" t="str">
        <f>IF(F9="","",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L9" t="str">
        <v>5(step4)--&gt;|end|6(end)</v>
      </c>
      <c r="N9" t="str">
        <v>parallelogram</v>
      </c>
      <c r="P9" t="str">
        <v>bolt</v>
      </c>
    </row>
    <row r="10" spans="1:16">
      <c r="A10" s="17"/>
      <c r="B10" s="17"/>
      <c r="C10" s="17"/>
      <c r="D1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0" t="str">
        <f>IF(F10="","",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0" t="str">
        <v>hexagon</v>
      </c>
      <c r="P10" t="str">
        <v>bookmark</v>
      </c>
    </row>
    <row r="11" spans="1:16">
      <c r="A11" s="17"/>
      <c r="B11" s="17"/>
      <c r="C11" s="17"/>
      <c r="D1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1" t="str">
        <f>IF(F11="","",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1" t="str">
        <v>parallelogram alt</v>
      </c>
      <c r="P11" t="str">
        <v>bug</v>
      </c>
    </row>
    <row r="12" spans="1:16">
      <c r="A12" s="17"/>
      <c r="B12" s="17"/>
      <c r="C12" s="17"/>
      <c r="D1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2" t="str">
        <f>IF(F12="","",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2" t="str">
        <v>trapezoid</v>
      </c>
      <c r="P12" t="str">
        <v>building</v>
      </c>
    </row>
    <row r="13" spans="1:16">
      <c r="A13" s="17"/>
      <c r="B13" s="17"/>
      <c r="C13" s="17"/>
      <c r="D13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3" t="str">
        <f>IF(F13="","",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3" t="str">
        <v>trapezoid alt</v>
      </c>
      <c r="P13" t="str">
        <v>calendar</v>
      </c>
    </row>
    <row r="14" spans="1:16">
      <c r="A14" s="17"/>
      <c r="B14" s="17"/>
      <c r="C14" s="17"/>
      <c r="D14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4" t="str">
        <f>IF(F14="","",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4" t="str">
        <v>double circle</v>
      </c>
      <c r="P14" t="str">
        <v>calendar-alt</v>
      </c>
    </row>
    <row r="15" spans="1:16">
      <c r="A15" s="17"/>
      <c r="B15" s="17"/>
      <c r="C15" s="17"/>
      <c r="D15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5" t="str">
        <f>IF(F15="","",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5" t="str">
        <v>calendar-check</v>
      </c>
    </row>
    <row r="16" spans="1:16">
      <c r="A16" s="17"/>
      <c r="B16" s="17"/>
      <c r="C16" s="17"/>
      <c r="D16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6" t="str">
        <f>IF(F16="","",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6" t="str">
        <v>calendar-minus</v>
      </c>
    </row>
    <row r="17" spans="1:16">
      <c r="A17" s="17"/>
      <c r="B17" s="17"/>
      <c r="C17" s="17"/>
      <c r="D1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7" t="str">
        <f>IF(F17="","",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7" t="str">
        <v>calendar-plus</v>
      </c>
    </row>
    <row r="18" spans="1:16">
      <c r="A18" s="17"/>
      <c r="B18" s="17"/>
      <c r="C18" s="17"/>
      <c r="D1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8" t="str">
        <f>IF(F18="","",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8" t="str">
        <v>calendar-times</v>
      </c>
    </row>
    <row r="19" spans="1:16">
      <c r="A19" s="17"/>
      <c r="B19" s="17"/>
      <c r="C19" s="17"/>
      <c r="D1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9" t="str">
        <f>IF(F19="","",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9" t="str">
        <v>car</v>
      </c>
    </row>
    <row r="20" spans="1:16">
      <c r="J20" t="str">
        <f>IF(F20="","",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0" t="str">
        <v>cart-arrow-down</v>
      </c>
    </row>
    <row r="21" spans="1:16">
      <c r="J21" t="str">
        <f>IF(F21="","",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1" t="str">
        <v>cart-plus</v>
      </c>
    </row>
    <row r="22" spans="1:16">
      <c r="J22" t="str">
        <f>IF(F22="","",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2" t="str">
        <v>clock</v>
      </c>
    </row>
    <row r="23" spans="1:16">
      <c r="J23" t="str">
        <f>IF(F23="","",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3" t="str">
        <v>cloud-rain</v>
      </c>
    </row>
    <row r="24" spans="1:16">
      <c r="J24" t="str">
        <f>IF(F24="","",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4" t="str">
        <v>code</v>
      </c>
    </row>
    <row r="25" spans="1:16">
      <c r="J25" t="str">
        <f>IF(F25="","",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5" t="str">
        <v>code-branch</v>
      </c>
    </row>
    <row r="26" spans="1:16">
      <c r="J26" t="str">
        <f>IF(F26="","",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6" t="str">
        <v>comment</v>
      </c>
    </row>
    <row r="27" spans="1:16">
      <c r="J27" t="str">
        <f>IF(F27="","",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7" t="str">
        <v>comment</v>
      </c>
    </row>
    <row r="28" spans="1:16">
      <c r="J28" t="str">
        <f>IF(F28="","",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8" t="str">
        <v>comment-alt</v>
      </c>
    </row>
    <row r="29" spans="1:16">
      <c r="E29" s="2"/>
      <c r="J29" t="str">
        <f>IF(F29="","",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9" t="str">
        <v>comments</v>
      </c>
    </row>
    <row r="30" spans="1:16">
      <c r="E30" s="2"/>
      <c r="P30" t="str">
        <v>comment-slash</v>
      </c>
    </row>
    <row r="31" spans="1:16">
      <c r="E31" s="2"/>
      <c r="P31" t="str">
        <v>compass</v>
      </c>
    </row>
    <row r="32" spans="1:16">
      <c r="E32" s="2"/>
      <c r="P32" t="str">
        <v>database</v>
      </c>
    </row>
    <row r="33" spans="5:16">
      <c r="E33" s="2"/>
      <c r="P33" t="str">
        <v>desktop</v>
      </c>
    </row>
    <row r="34" spans="5:16">
      <c r="P34" t="str">
        <v>door-closed</v>
      </c>
    </row>
    <row r="35" spans="5:16">
      <c r="P35" t="str">
        <v>door-open</v>
      </c>
    </row>
    <row r="36" spans="5:16">
      <c r="P36" t="str">
        <v>download</v>
      </c>
    </row>
    <row r="37" spans="5:16">
      <c r="P37" t="str">
        <v>ethernet</v>
      </c>
    </row>
    <row r="38" spans="5:16">
      <c r="P38" t="str">
        <v>exclamation</v>
      </c>
    </row>
    <row r="39" spans="5:16">
      <c r="P39" t="str">
        <v>exclamation-circle</v>
      </c>
    </row>
    <row r="40" spans="5:16">
      <c r="P40" t="str">
        <v>exclamation-triangle</v>
      </c>
    </row>
    <row r="41" spans="5:16">
      <c r="P41" t="str">
        <v>eye</v>
      </c>
    </row>
    <row r="42" spans="5:16">
      <c r="P42" t="str">
        <v>eye-slash</v>
      </c>
    </row>
    <row r="43" spans="5:16">
      <c r="P43" t="str">
        <v>file</v>
      </c>
    </row>
    <row r="44" spans="5:16">
      <c r="P44" t="str">
        <v>file</v>
      </c>
    </row>
    <row r="45" spans="5:16">
      <c r="P45" t="str">
        <v>file-alt</v>
      </c>
    </row>
    <row r="46" spans="5:16">
      <c r="P46" t="str">
        <v>file-alt</v>
      </c>
    </row>
    <row r="47" spans="5:16">
      <c r="P47" t="str">
        <v>file-code</v>
      </c>
    </row>
    <row r="48" spans="5:16">
      <c r="P48" t="str">
        <v>filter</v>
      </c>
    </row>
    <row r="49" spans="16:16">
      <c r="P49" t="str">
        <v>flag</v>
      </c>
    </row>
    <row r="50" spans="16:16">
      <c r="P50" t="str">
        <v>folder</v>
      </c>
    </row>
    <row r="51" spans="16:16">
      <c r="P51" t="str">
        <v>folder</v>
      </c>
    </row>
    <row r="52" spans="16:16">
      <c r="P52" t="str">
        <v>folder-open</v>
      </c>
    </row>
    <row r="53" spans="16:16">
      <c r="P53" t="str">
        <v>folder-open</v>
      </c>
    </row>
    <row r="54" spans="16:16">
      <c r="P54" t="str">
        <v>frown</v>
      </c>
    </row>
    <row r="55" spans="16:16">
      <c r="P55" t="str">
        <v>gas-pump</v>
      </c>
    </row>
    <row r="56" spans="16:16">
      <c r="P56" t="str">
        <v>globe</v>
      </c>
    </row>
    <row r="57" spans="16:16">
      <c r="P57" t="str">
        <v>hdd</v>
      </c>
    </row>
    <row r="58" spans="16:16">
      <c r="P58" t="str">
        <v>home</v>
      </c>
    </row>
    <row r="59" spans="16:16">
      <c r="P59" t="str">
        <v>hourglass</v>
      </c>
    </row>
    <row r="60" spans="16:16">
      <c r="P60" t="str">
        <v>id-badge</v>
      </c>
    </row>
    <row r="61" spans="16:16">
      <c r="P61" t="str">
        <v>id-card</v>
      </c>
    </row>
    <row r="62" spans="16:16">
      <c r="P62" t="str">
        <v>id-card-alt</v>
      </c>
    </row>
    <row r="63" spans="16:16">
      <c r="P63" t="str">
        <v>info</v>
      </c>
    </row>
    <row r="64" spans="16:16">
      <c r="P64" t="str">
        <v>info-circle</v>
      </c>
    </row>
    <row r="65" spans="16:16">
      <c r="P65" t="str">
        <v>keyboard</v>
      </c>
    </row>
    <row r="66" spans="16:16">
      <c r="P66" t="str">
        <v>laptop</v>
      </c>
    </row>
    <row r="67" spans="16:16">
      <c r="P67" t="str">
        <v>layer-group</v>
      </c>
    </row>
    <row r="68" spans="16:16">
      <c r="P68" t="str">
        <v>lightbulb</v>
      </c>
    </row>
    <row r="69" spans="16:16">
      <c r="P69" t="str">
        <v>location-arrow</v>
      </c>
    </row>
    <row r="70" spans="16:16">
      <c r="P70" t="str">
        <v>lock</v>
      </c>
    </row>
    <row r="71" spans="16:16">
      <c r="P71" t="str">
        <v>lock-open</v>
      </c>
    </row>
    <row r="72" spans="16:16">
      <c r="P72" t="str">
        <v>map</v>
      </c>
    </row>
    <row r="73" spans="16:16">
      <c r="P73" t="str">
        <v>map-marker</v>
      </c>
    </row>
    <row r="74" spans="16:16">
      <c r="P74" t="str">
        <v>map-marker</v>
      </c>
    </row>
    <row r="75" spans="16:16">
      <c r="P75" t="str">
        <v>map-marker-alt</v>
      </c>
    </row>
    <row r="76" spans="16:16">
      <c r="P76" t="str">
        <v>map-pin</v>
      </c>
    </row>
    <row r="77" spans="16:16">
      <c r="P77" t="str">
        <v>meh</v>
      </c>
    </row>
    <row r="78" spans="16:16">
      <c r="P78" t="str">
        <v>memory</v>
      </c>
    </row>
    <row r="79" spans="16:16">
      <c r="P79" t="str">
        <v>microphone</v>
      </c>
    </row>
    <row r="80" spans="16:16">
      <c r="P80" t="str">
        <v>microphone</v>
      </c>
    </row>
    <row r="81" spans="16:16">
      <c r="P81" t="str">
        <v>microphone-alt</v>
      </c>
    </row>
    <row r="82" spans="16:16">
      <c r="P82" t="str">
        <v>microphone-alt-slash</v>
      </c>
    </row>
    <row r="83" spans="16:16">
      <c r="P83" t="str">
        <v>microphone-slash</v>
      </c>
    </row>
    <row r="84" spans="16:16">
      <c r="P84" t="str">
        <v>minus</v>
      </c>
    </row>
    <row r="85" spans="16:16">
      <c r="P85" t="str">
        <v>minus-circle</v>
      </c>
    </row>
    <row r="86" spans="16:16">
      <c r="P86" t="str">
        <v>minus-square</v>
      </c>
    </row>
    <row r="87" spans="16:16">
      <c r="P87" t="str">
        <v>mobile</v>
      </c>
    </row>
    <row r="88" spans="16:16">
      <c r="P88" t="str">
        <v>paper-plane</v>
      </c>
    </row>
    <row r="89" spans="16:16">
      <c r="P89" t="str">
        <v>parking</v>
      </c>
    </row>
    <row r="90" spans="16:16">
      <c r="P90" t="str">
        <v>phone</v>
      </c>
    </row>
    <row r="91" spans="16:16">
      <c r="P91" t="str">
        <v>phone-slash</v>
      </c>
    </row>
    <row r="92" spans="16:16">
      <c r="P92" t="str">
        <v>plus</v>
      </c>
    </row>
    <row r="93" spans="16:16">
      <c r="P93" t="str">
        <v>plus-circle</v>
      </c>
    </row>
    <row r="94" spans="16:16">
      <c r="P94" t="str">
        <v>plus-square</v>
      </c>
    </row>
    <row r="95" spans="16:16">
      <c r="P95" t="str">
        <v>poo</v>
      </c>
    </row>
    <row r="96" spans="16:16">
      <c r="P96" t="str">
        <v>power-off</v>
      </c>
    </row>
    <row r="97" spans="16:16">
      <c r="P97" t="str">
        <v>print</v>
      </c>
    </row>
    <row r="98" spans="16:16">
      <c r="P98" t="str">
        <v>print</v>
      </c>
    </row>
    <row r="99" spans="16:16">
      <c r="P99" t="str">
        <v>question</v>
      </c>
    </row>
    <row r="100" spans="16:16">
      <c r="P100" t="str">
        <v>question-circle</v>
      </c>
    </row>
    <row r="101" spans="16:16">
      <c r="P101" t="str">
        <v>recycle</v>
      </c>
    </row>
    <row r="102" spans="16:16">
      <c r="P102" t="str">
        <v>satellite</v>
      </c>
    </row>
    <row r="103" spans="16:16">
      <c r="P103" t="str">
        <v>sd-card</v>
      </c>
    </row>
    <row r="104" spans="16:16">
      <c r="P104" t="str">
        <v>search</v>
      </c>
    </row>
    <row r="105" spans="16:16">
      <c r="P105" t="str">
        <v>search-minus</v>
      </c>
    </row>
    <row r="106" spans="16:16">
      <c r="P106" t="str">
        <v>search-plus</v>
      </c>
    </row>
    <row r="107" spans="16:16">
      <c r="P107" t="str">
        <v>shield-alt</v>
      </c>
    </row>
    <row r="108" spans="16:16">
      <c r="P108" t="str">
        <v>shopping-cart</v>
      </c>
    </row>
    <row r="109" spans="16:16">
      <c r="P109" t="str">
        <v>sign-in-alt</v>
      </c>
    </row>
    <row r="110" spans="16:16">
      <c r="P110" t="str">
        <v>sim-card</v>
      </c>
    </row>
    <row r="111" spans="16:16">
      <c r="P111" t="str">
        <v>smile</v>
      </c>
    </row>
    <row r="112" spans="16:16">
      <c r="P112" t="str">
        <v>snowflake</v>
      </c>
    </row>
    <row r="113" spans="16:16">
      <c r="P113" t="str">
        <v>stopwatch</v>
      </c>
    </row>
    <row r="114" spans="16:16">
      <c r="P114" t="str">
        <v>stream</v>
      </c>
    </row>
    <row r="115" spans="16:16">
      <c r="P115" t="str">
        <v>stream</v>
      </c>
    </row>
    <row r="116" spans="16:16">
      <c r="P116" t="str">
        <v>tablet</v>
      </c>
    </row>
    <row r="117" spans="16:16">
      <c r="P117" t="str">
        <v>terminal</v>
      </c>
    </row>
    <row r="118" spans="16:16">
      <c r="P118" t="str">
        <v>thermometer-empty</v>
      </c>
    </row>
    <row r="119" spans="16:16">
      <c r="P119" t="str">
        <v>thermometer-full</v>
      </c>
    </row>
    <row r="120" spans="16:16">
      <c r="P120" t="str">
        <v>thermometer-half</v>
      </c>
    </row>
    <row r="121" spans="16:16">
      <c r="P121" t="str">
        <v>thermometer-quarter</v>
      </c>
    </row>
    <row r="122" spans="16:16">
      <c r="P122" t="str">
        <v>thermometer-three-quarters</v>
      </c>
    </row>
    <row r="123" spans="16:16">
      <c r="P123" t="str">
        <v>thumbs-down</v>
      </c>
    </row>
    <row r="124" spans="16:16">
      <c r="P124" t="str">
        <v>thumbs-up</v>
      </c>
    </row>
    <row r="125" spans="16:16">
      <c r="P125" t="str">
        <v>thumbtack</v>
      </c>
    </row>
    <row r="126" spans="16:16">
      <c r="P126" t="str">
        <v>ticket-alt</v>
      </c>
    </row>
    <row r="127" spans="16:16">
      <c r="P127" t="str">
        <v>tint</v>
      </c>
    </row>
    <row r="128" spans="16:16">
      <c r="P128" t="str">
        <v>tint-slash</v>
      </c>
    </row>
    <row r="129" spans="16:16">
      <c r="P129" t="str">
        <v>toggle-off</v>
      </c>
    </row>
    <row r="130" spans="16:16">
      <c r="P130" t="str">
        <v>toggle-on</v>
      </c>
    </row>
    <row r="131" spans="16:16">
      <c r="P131" t="str">
        <v>unlock</v>
      </c>
    </row>
    <row r="132" spans="16:16">
      <c r="P132" t="str">
        <v>unlock-alt</v>
      </c>
    </row>
    <row r="133" spans="16:16">
      <c r="P133" t="str">
        <v>upload</v>
      </c>
    </row>
    <row r="134" spans="16:16">
      <c r="P134" t="str">
        <v>user</v>
      </c>
    </row>
    <row r="135" spans="16:16">
      <c r="P135" t="str">
        <v>user-alt</v>
      </c>
    </row>
    <row r="136" spans="16:16">
      <c r="P136" t="str">
        <v>user-alt-slash</v>
      </c>
    </row>
    <row r="137" spans="16:16">
      <c r="P137" t="str">
        <v>user-circle</v>
      </c>
    </row>
    <row r="138" spans="16:16">
      <c r="P138" t="str">
        <v>user-cog</v>
      </c>
    </row>
    <row r="139" spans="16:16">
      <c r="P139" t="str">
        <v>user-edit</v>
      </c>
    </row>
    <row r="140" spans="16:16">
      <c r="P140" t="str">
        <v>user-minus</v>
      </c>
    </row>
    <row r="141" spans="16:16">
      <c r="P141" t="str">
        <v>user-plus</v>
      </c>
    </row>
    <row r="142" spans="16:16">
      <c r="P142" t="str">
        <v>users</v>
      </c>
    </row>
    <row r="143" spans="16:16">
      <c r="P143" t="str">
        <v>user-slash</v>
      </c>
    </row>
    <row r="144" spans="16:16">
      <c r="P144" t="str">
        <v>user-tie</v>
      </c>
    </row>
    <row r="145" spans="16:16">
      <c r="P145" t="str">
        <v>video</v>
      </c>
    </row>
    <row r="146" spans="16:16">
      <c r="P146" t="str">
        <v>video-slash</v>
      </c>
    </row>
    <row r="147" spans="16:16">
      <c r="P147" t="str">
        <v>volume-down</v>
      </c>
    </row>
    <row r="148" spans="16:16">
      <c r="P148" t="str">
        <v>volume-mute</v>
      </c>
    </row>
    <row r="149" spans="16:16">
      <c r="P149" t="str">
        <v>volume-off</v>
      </c>
    </row>
    <row r="150" spans="16:16">
      <c r="P150" t="str">
        <v>volume-up</v>
      </c>
    </row>
    <row r="151" spans="16:16">
      <c r="P151" t="str">
        <v>water</v>
      </c>
    </row>
    <row r="152" spans="16:16">
      <c r="P152" t="str">
        <v>wifi</v>
      </c>
    </row>
    <row r="153" spans="16:16">
      <c r="P153" t="str">
        <v>wind</v>
      </c>
    </row>
    <row r="154" spans="16:16">
      <c r="P154" t="str">
        <v>window-close</v>
      </c>
    </row>
    <row r="155" spans="16:16">
      <c r="P155" t="str">
        <v>window-maximize</v>
      </c>
    </row>
    <row r="156" spans="16:16">
      <c r="P156" t="str">
        <v>window-restore</v>
      </c>
    </row>
    <row r="157" spans="16:16">
      <c r="P157" t="str">
        <v>wrench</v>
      </c>
    </row>
  </sheetData>
  <conditionalFormatting sqref="E29:E33">
    <cfRule type="expression" dxfId="16" priority="3">
      <formula>_xlfn.ISFORMULA(E29)</formula>
    </cfRule>
  </conditionalFormatting>
  <conditionalFormatting sqref="F30:J85">
    <cfRule type="expression" dxfId="15" priority="1" stopIfTrue="1">
      <formula>$F30=""</formula>
    </cfRule>
    <cfRule type="expression" dxfId="14" priority="2">
      <formula>MOD(ROW(),2)=0</formula>
    </cfRule>
  </conditionalFormatting>
  <dataValidations count="6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C5:C19" xr:uid="{052469E0-5CEA-4652-ABF3-46F0BFD91CC9}">
      <formula1>_xlfn.ANCHORARRAY($P$1)</formula1>
    </dataValidation>
    <dataValidation type="list" allowBlank="1" showInputMessage="1" showErrorMessage="1" sqref="A5:A19 H81:H85 F2:G85" xr:uid="{C0E63196-21A6-46BC-9A39-70BC402D466D}">
      <formula1>_xlfn.ANCHORARRAY($O$2)</formula1>
    </dataValidation>
    <dataValidation type="list" allowBlank="1" showInputMessage="1" showErrorMessage="1" sqref="F86:H124" xr:uid="{252E5102-E5DE-44F6-A9E0-1FCDCB2FC8AD}">
      <formula1>$O$2</formula1>
    </dataValidation>
    <dataValidation type="list" allowBlank="1" showInputMessage="1" showErrorMessage="1" sqref="B5:B19 B1" xr:uid="{6D5F9A33-BF5F-49A4-AB13-271C03E99736}">
      <formula1>_xlfn.ANCHORARRAY($N$1)</formula1>
    </dataValidation>
    <dataValidation type="list" allowBlank="1" showInputMessage="1" showErrorMessage="1" sqref="H3:H80" xr:uid="{F1D0F96A-9EF6-4A15-A760-7AB5C0C924CA}">
      <formula1>"""--&gt;"",&lt;--&gt;"""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F73-F987-43A9-8066-D2F771CAA4BE}">
  <dimension ref="A1:U33"/>
  <sheetViews>
    <sheetView showGridLines="0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335</v>
      </c>
      <c r="B1" t="s">
        <v>337</v>
      </c>
      <c r="C1" t="s">
        <v>360</v>
      </c>
      <c r="D1" t="s">
        <v>361</v>
      </c>
      <c r="E1" t="s">
        <v>336</v>
      </c>
      <c r="F1" t="s">
        <v>5</v>
      </c>
      <c r="H1" s="4" t="s">
        <v>331</v>
      </c>
      <c r="I1" s="4" t="s">
        <v>340</v>
      </c>
      <c r="J1" s="4" t="s">
        <v>368</v>
      </c>
      <c r="K1" s="4" t="s">
        <v>351</v>
      </c>
      <c r="L1" s="4" t="s">
        <v>359</v>
      </c>
      <c r="M1" s="4" t="s">
        <v>5</v>
      </c>
      <c r="P1" s="4" t="s">
        <v>137</v>
      </c>
      <c r="R1" t="str" cm="1">
        <f t="array" ref="R1:R4">_xlfn.UNIQUE(_xlfn.VSTACK(erdEntities17[Source],erdEntities17[Target]))</f>
        <v>Manufacturer</v>
      </c>
      <c r="S1" t="str" cm="1">
        <f t="array" ref="S1:S4">erdDirections[Meaning]</f>
        <v>Exactly one</v>
      </c>
      <c r="T1" t="e" cm="1">
        <f t="array" ref="T1">#REF!</f>
        <v>#REF!</v>
      </c>
      <c r="U1" t="str" cm="1">
        <f t="array" ref="U1:U5">keyTypes[KeyTypes]</f>
        <v>PK</v>
      </c>
    </row>
    <row r="2" spans="1:21">
      <c r="A2" t="s">
        <v>366</v>
      </c>
      <c r="B2" t="s">
        <v>367</v>
      </c>
      <c r="C2" t="s">
        <v>326</v>
      </c>
      <c r="D2" t="s">
        <v>362</v>
      </c>
      <c r="E2" t="s">
        <v>333</v>
      </c>
      <c r="F2" s="16" t="str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Manufacturer||--o{Car : makes</v>
      </c>
      <c r="H2" t="s">
        <v>333</v>
      </c>
      <c r="I2" t="s">
        <v>350</v>
      </c>
      <c r="J2" t="s">
        <v>357</v>
      </c>
      <c r="K2" t="s">
        <v>341</v>
      </c>
      <c r="L2" t="s">
        <v>365</v>
      </c>
      <c r="M2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registationNumber PK "my comment"</v>
      </c>
      <c r="P2" t="e" cm="1">
        <f t="array" ref="P2">_xlfn.VSTACK(
"```mermaid","",
"erDiagram",
erdEntities17[mmSyntax],
_xlfn._xlws.FILTER(erdAttrMmSyntax,erdAttrMmSyntax&lt;&gt;"","")
)</f>
        <v>#REF!</v>
      </c>
      <c r="R2" t="str">
        <v>Car</v>
      </c>
      <c r="S2" t="str">
        <v>One or more</v>
      </c>
      <c r="U2" t="str">
        <v>FK</v>
      </c>
    </row>
    <row r="3" spans="1:21">
      <c r="A3" t="s">
        <v>333</v>
      </c>
      <c r="B3" t="s">
        <v>338</v>
      </c>
      <c r="C3" t="s">
        <v>326</v>
      </c>
      <c r="D3" t="s">
        <v>362</v>
      </c>
      <c r="E3" t="s">
        <v>334</v>
      </c>
      <c r="F3" t="str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Car||--o{Named-Driver : allows</v>
      </c>
      <c r="H3" t="s">
        <v>333</v>
      </c>
      <c r="I3" t="s">
        <v>350</v>
      </c>
      <c r="J3" t="s">
        <v>352</v>
      </c>
      <c r="M3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make</v>
      </c>
      <c r="R3" t="str">
        <v>Person</v>
      </c>
      <c r="S3" t="str">
        <v>Zero or more</v>
      </c>
      <c r="U3" t="str">
        <v>UK</v>
      </c>
    </row>
    <row r="4" spans="1:21">
      <c r="A4" t="s">
        <v>332</v>
      </c>
      <c r="B4" t="s">
        <v>339</v>
      </c>
      <c r="C4" t="s">
        <v>326</v>
      </c>
      <c r="D4" t="s">
        <v>362</v>
      </c>
      <c r="E4" t="s">
        <v>334</v>
      </c>
      <c r="F4" t="str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Person||--o{Named-Driver : is</v>
      </c>
      <c r="H4" t="s">
        <v>333</v>
      </c>
      <c r="I4" t="s">
        <v>350</v>
      </c>
      <c r="J4" t="s">
        <v>347</v>
      </c>
      <c r="M4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model</v>
      </c>
      <c r="R4" t="str">
        <v>Named-Driver</v>
      </c>
      <c r="S4" t="str">
        <v>Zero or one</v>
      </c>
      <c r="U4" t="str">
        <v>PK, FK</v>
      </c>
    </row>
    <row r="5" spans="1:21">
      <c r="H5" t="s">
        <v>333</v>
      </c>
      <c r="I5" t="s">
        <v>348</v>
      </c>
      <c r="J5" t="s">
        <v>353</v>
      </c>
      <c r="M5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json parts</v>
      </c>
      <c r="U5" t="str">
        <v>FK, UK</v>
      </c>
    </row>
    <row r="6" spans="1:21">
      <c r="H6" t="s">
        <v>332</v>
      </c>
      <c r="I6" t="s">
        <v>350</v>
      </c>
      <c r="J6" t="s">
        <v>354</v>
      </c>
      <c r="M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</v>
      </c>
    </row>
    <row r="7" spans="1:21">
      <c r="H7" t="s">
        <v>332</v>
      </c>
      <c r="I7" t="s">
        <v>350</v>
      </c>
      <c r="J7" t="s">
        <v>355</v>
      </c>
      <c r="M7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firstName</v>
      </c>
      <c r="P7" s="1"/>
    </row>
    <row r="8" spans="1:21">
      <c r="H8" t="s">
        <v>332</v>
      </c>
      <c r="I8" t="s">
        <v>350</v>
      </c>
      <c r="J8" t="s">
        <v>356</v>
      </c>
      <c r="M8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LastName</v>
      </c>
    </row>
    <row r="9" spans="1:21">
      <c r="H9" t="s">
        <v>332</v>
      </c>
      <c r="I9" t="s">
        <v>349</v>
      </c>
      <c r="J9" t="s">
        <v>364</v>
      </c>
      <c r="M9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polygon serviceArea</v>
      </c>
    </row>
    <row r="10" spans="1:21">
      <c r="H10" t="s">
        <v>332</v>
      </c>
      <c r="I10" t="s">
        <v>350</v>
      </c>
      <c r="J10" t="s">
        <v>212</v>
      </c>
      <c r="K10" t="s">
        <v>343</v>
      </c>
      <c r="M10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phone UK</v>
      </c>
    </row>
    <row r="11" spans="1:21">
      <c r="H11" t="s">
        <v>334</v>
      </c>
      <c r="I11" t="s">
        <v>350</v>
      </c>
      <c r="J11" t="s">
        <v>358</v>
      </c>
      <c r="K11" t="s">
        <v>344</v>
      </c>
      <c r="M11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carRegistrationNumber PK, FK</v>
      </c>
    </row>
    <row r="12" spans="1:21">
      <c r="H12" t="s">
        <v>334</v>
      </c>
      <c r="I12" t="s">
        <v>350</v>
      </c>
      <c r="J12" t="s">
        <v>354</v>
      </c>
      <c r="K12" t="s">
        <v>344</v>
      </c>
      <c r="M12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 PK, FK</v>
      </c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</sheetData>
  <conditionalFormatting sqref="G29:G33">
    <cfRule type="expression" dxfId="13" priority="3">
      <formula>_xlfn.ISFORMULA(G29)</formula>
    </cfRule>
  </conditionalFormatting>
  <conditionalFormatting sqref="H2:M12">
    <cfRule type="expression" dxfId="12" priority="1" stopIfTrue="1">
      <formula>$H2=""</formula>
    </cfRule>
    <cfRule type="expression" dxfId="11" priority="2">
      <formula>MOD(ROW(),2)=0</formula>
    </cfRule>
  </conditionalFormatting>
  <dataValidations count="4">
    <dataValidation type="list" allowBlank="1" showInputMessage="1" showErrorMessage="1" sqref="K2:K12" xr:uid="{5D63223B-B8F3-42B4-91EC-EEEE1EF93950}">
      <formula1>_xlfn.ANCHORARRAY($U$1)</formula1>
    </dataValidation>
    <dataValidation type="list" allowBlank="1" showInputMessage="1" showErrorMessage="1" sqref="I2:I12" xr:uid="{494387D7-D198-4532-A8B1-01E72212F51E}">
      <formula1>_xlfn.ANCHORARRAY($T$1)</formula1>
    </dataValidation>
    <dataValidation type="list" allowBlank="1" showInputMessage="1" showErrorMessage="1" sqref="H2:H12" xr:uid="{5AB72BDE-3E95-4F5D-9C04-D379BFE0DCED}">
      <formula1>_xlfn.ANCHORARRAY($R$1)</formula1>
    </dataValidation>
    <dataValidation type="list" allowBlank="1" showInputMessage="1" showErrorMessage="1" sqref="C2:D4" xr:uid="{4D444C49-111F-43E4-A930-CB9CB900D7A3}">
      <formula1>_xlfn.ANCHORARRAY($S$1)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O2" sqref="O2:O22"/>
    </sheetView>
  </sheetViews>
  <sheetFormatPr defaultRowHeight="14.6"/>
  <cols>
    <col min="1" max="1" width="10.15234375" bestFit="1" customWidth="1"/>
    <col min="2" max="2" width="16.15234375" bestFit="1" customWidth="1"/>
    <col min="3" max="3" width="20" hidden="1" customWidth="1"/>
    <col min="4" max="4" width="5.53515625" customWidth="1"/>
    <col min="5" max="5" width="10" customWidth="1"/>
    <col min="6" max="6" width="8.3828125" bestFit="1" customWidth="1"/>
    <col min="7" max="7" width="8.84375" bestFit="1" customWidth="1"/>
    <col min="8" max="8" width="11.15234375" hidden="1" customWidth="1"/>
    <col min="9" max="9" width="5.3046875" bestFit="1" customWidth="1"/>
    <col min="10" max="10" width="9.84375" customWidth="1"/>
    <col min="11" max="12" width="7.3828125" customWidth="1"/>
    <col min="13" max="13" width="25.15234375" hidden="1" customWidth="1"/>
    <col min="14" max="14" width="9.3046875" customWidth="1"/>
    <col min="15" max="15" width="26.3046875" bestFit="1" customWidth="1"/>
    <col min="16" max="16" width="10.843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312</v>
      </c>
      <c r="K2">
        <v>0.4</v>
      </c>
      <c r="L2">
        <v>0.7</v>
      </c>
      <c r="M2" t="str">
        <f>IF(OR(quadBuild[[#This Row],[Label]]="",quadBuild[[#This Row],[X]]="",quadBuild[[#This Row],[Y]]=""),"",J2&amp;": ["&amp;K2&amp;", "&amp;L2&amp;"]")</f>
        <v>Label 1: [0.4, 0.7]</v>
      </c>
      <c r="O2" t="str" cm="1">
        <f t="array" ref="O2:O22">_xlfn.VSTACK(
"quadrantChart",
"",
"%% Quadrant Setup",
quadElement[mmSyntax],
"",
"%% Axis Setup",
quadAxis[mmSyntax],
"",
"%% values",
_xlfn._xlws.FILTER(quadBuild[mmSyntax],quadBuild[mmSyntax]&lt;&gt;""))</f>
        <v>quadrantChart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313</v>
      </c>
      <c r="K3">
        <v>0.56000000000000005</v>
      </c>
      <c r="L3">
        <v>0.98</v>
      </c>
      <c r="M3" t="str">
        <f>IF(OR(quadBuild[[#This Row],[Label]]="",quadBuild[[#This Row],[X]]="",quadBuild[[#This Row],[Y]]=""),"",J3&amp;": ["&amp;K3&amp;", "&amp;L3&amp;"]")</f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314</v>
      </c>
      <c r="K4">
        <v>0.09</v>
      </c>
      <c r="L4">
        <v>0.35</v>
      </c>
      <c r="M4" t="str">
        <f>IF(OR(quadBuild[[#This Row],[Label]]="",quadBuild[[#This Row],[X]]="",quadBuild[[#This Row],[Y]]=""),"",J4&amp;": ["&amp;K4&amp;", "&amp;L4&amp;"]")</f>
        <v>Label 3: [0.09, 0.35]</v>
      </c>
      <c r="O4" t="str">
        <v>%% Quadrant Setup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315</v>
      </c>
      <c r="K5">
        <v>0.67</v>
      </c>
      <c r="L5">
        <v>0.83</v>
      </c>
      <c r="M5" t="str">
        <f>IF(OR(quadBuild[[#This Row],[Label]]="",quadBuild[[#This Row],[X]]="",quadBuild[[#This Row],[Y]]=""),"",J5&amp;": ["&amp;K5&amp;", "&amp;L5&amp;"]")</f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316</v>
      </c>
      <c r="K6">
        <v>0.75</v>
      </c>
      <c r="L6">
        <v>0.92</v>
      </c>
      <c r="M6" t="str">
        <f>IF(OR(quadBuild[[#This Row],[Label]]="",quadBuild[[#This Row],[X]]="",quadBuild[[#This Row],[Y]]=""),"",J6&amp;": ["&amp;K6&amp;", "&amp;L6&amp;"]")</f>
        <v>Label 5: [0.75, 0.92]</v>
      </c>
      <c r="O6" t="str">
        <v>quadrant-1 Quad 1</v>
      </c>
    </row>
    <row r="7" spans="1:15">
      <c r="J7" t="s">
        <v>317</v>
      </c>
      <c r="K7">
        <v>0.01</v>
      </c>
      <c r="L7">
        <v>0.68</v>
      </c>
      <c r="M7" t="str">
        <f>IF(OR(quadBuild[[#This Row],[Label]]="",quadBuild[[#This Row],[X]]="",quadBuild[[#This Row],[Y]]=""),"",J7&amp;": ["&amp;K7&amp;", "&amp;L7&amp;"]")</f>
        <v>Label 6: [0.01, 0.68]</v>
      </c>
      <c r="O7" s="1" t="str">
        <v>quadrant-2 Quad 2</v>
      </c>
    </row>
    <row r="8" spans="1:15">
      <c r="J8" t="s">
        <v>318</v>
      </c>
      <c r="K8">
        <v>0.4</v>
      </c>
      <c r="L8">
        <v>0.37</v>
      </c>
      <c r="M8" t="str">
        <f>IF(OR(quadBuild[[#This Row],[Label]]="",quadBuild[[#This Row],[X]]="",quadBuild[[#This Row],[Y]]=""),"",J8&amp;": ["&amp;K8&amp;", "&amp;L8&amp;"]")</f>
        <v>Label 7: [0.4, 0.37]</v>
      </c>
      <c r="O8" t="str">
        <v>quadrant-3 Quad 3</v>
      </c>
    </row>
    <row r="9" spans="1:15">
      <c r="M9" t="str">
        <f>IF(OR(quadBuild[[#This Row],[Label]]="",quadBuild[[#This Row],[X]]="",quadBuild[[#This Row],[Y]]=""),"",J9&amp;": ["&amp;K9&amp;", "&amp;L9&amp;"]")</f>
        <v/>
      </c>
      <c r="O9" t="str">
        <v>quadrant-4 Quad 4</v>
      </c>
    </row>
    <row r="10" spans="1:15">
      <c r="M10" t="str">
        <f>IF(OR(quadBuild[[#This Row],[Label]]="",quadBuild[[#This Row],[X]]="",quadBuild[[#This Row],[Y]]=""),"",J10&amp;": ["&amp;K10&amp;", "&amp;L10&amp;"]")</f>
        <v/>
      </c>
      <c r="O10" t="str">
        <v/>
      </c>
    </row>
    <row r="11" spans="1:15">
      <c r="M11" t="str">
        <f>IF(OR(quadBuild[[#This Row],[Label]]="",quadBuild[[#This Row],[X]]="",quadBuild[[#This Row],[Y]]=""),"",J11&amp;": ["&amp;K11&amp;", "&amp;L11&amp;"]")</f>
        <v/>
      </c>
      <c r="O11" t="str">
        <v>%% Axis Setup</v>
      </c>
    </row>
    <row r="12" spans="1:15">
      <c r="M12" t="str">
        <f>IF(OR(quadBuild[[#This Row],[Label]]="",quadBuild[[#This Row],[X]]="",quadBuild[[#This Row],[Y]]=""),"",J12&amp;": ["&amp;K12&amp;", "&amp;L12&amp;"]")</f>
        <v/>
      </c>
      <c r="O12" t="str">
        <v>x-axis low --&gt; high</v>
      </c>
    </row>
    <row r="13" spans="1:15">
      <c r="M13" t="str">
        <f>IF(OR(quadBuild[[#This Row],[Label]]="",quadBuild[[#This Row],[X]]="",quadBuild[[#This Row],[Y]]=""),"",J13&amp;": ["&amp;K13&amp;", "&amp;L13&amp;"]")</f>
        <v/>
      </c>
      <c r="O13" t="str">
        <v>y-axis low --&gt; high</v>
      </c>
    </row>
    <row r="14" spans="1:15">
      <c r="M14" t="str">
        <f>IF(OR(quadBuild[[#This Row],[Label]]="",quadBuild[[#This Row],[X]]="",quadBuild[[#This Row],[Y]]=""),"",J14&amp;": ["&amp;K14&amp;", "&amp;L14&amp;"]")</f>
        <v/>
      </c>
      <c r="O14" t="str">
        <v/>
      </c>
    </row>
    <row r="15" spans="1:15">
      <c r="M15" t="str">
        <f>IF(OR(quadBuild[[#This Row],[Label]]="",quadBuild[[#This Row],[X]]="",quadBuild[[#This Row],[Y]]=""),"",J15&amp;": ["&amp;K15&amp;", "&amp;L15&amp;"]")</f>
        <v/>
      </c>
      <c r="O15" t="str">
        <v>%% values</v>
      </c>
    </row>
    <row r="16" spans="1:15">
      <c r="M16" t="str">
        <f>IF(OR(quadBuild[[#This Row],[Label]]="",quadBuild[[#This Row],[X]]="",quadBuild[[#This Row],[Y]]=""),"",J16&amp;": ["&amp;K16&amp;", "&amp;L16&amp;"]")</f>
        <v/>
      </c>
      <c r="O16" t="str">
        <v>Label 1: [0.4, 0.7]</v>
      </c>
    </row>
    <row r="17" spans="5:15">
      <c r="M17" t="str">
        <f>IF(OR(quadBuild[[#This Row],[Label]]="",quadBuild[[#This Row],[X]]="",quadBuild[[#This Row],[Y]]=""),"",J17&amp;": ["&amp;K17&amp;", "&amp;L17&amp;"]")</f>
        <v/>
      </c>
      <c r="O17" t="str">
        <v>Label 2: [0.56, 0.98]</v>
      </c>
    </row>
    <row r="18" spans="5:15">
      <c r="M18" t="str">
        <f>IF(OR(quadBuild[[#This Row],[Label]]="",quadBuild[[#This Row],[X]]="",quadBuild[[#This Row],[Y]]=""),"",J18&amp;": ["&amp;K18&amp;", "&amp;L18&amp;"]")</f>
        <v/>
      </c>
      <c r="O18" t="str">
        <v>Label 3: [0.09, 0.35]</v>
      </c>
    </row>
    <row r="19" spans="5:15">
      <c r="M19" t="str">
        <f>IF(OR(quadBuild[[#This Row],[Label]]="",quadBuild[[#This Row],[X]]="",quadBuild[[#This Row],[Y]]=""),"",J19&amp;": ["&amp;K19&amp;", "&amp;L19&amp;"]")</f>
        <v/>
      </c>
      <c r="O19" t="str">
        <v>Label 4: [0.67, 0.83]</v>
      </c>
    </row>
    <row r="20" spans="5:15">
      <c r="O20" t="str">
        <v>Label 5: [0.75, 0.92]</v>
      </c>
    </row>
    <row r="21" spans="5:15">
      <c r="O21" t="str">
        <v>Label 6: [0.01, 0.68]</v>
      </c>
    </row>
    <row r="22" spans="5:15">
      <c r="O22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10" priority="3">
      <formula>_xlfn.ISFORMULA(E29)</formula>
    </cfRule>
  </conditionalFormatting>
  <conditionalFormatting sqref="F20:J64 F17:I19">
    <cfRule type="expression" dxfId="9" priority="1" stopIfTrue="1">
      <formula>$F17=""</formula>
    </cfRule>
    <cfRule type="expression" dxfId="8" priority="2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BC-DA8D-4B5F-B33D-7B3A7070FE97}">
  <dimension ref="A1:R34"/>
  <sheetViews>
    <sheetView showGridLines="0" zoomScale="115" zoomScaleNormal="115" workbookViewId="0">
      <selection activeCell="M2" sqref="M2:M34"/>
    </sheetView>
  </sheetViews>
  <sheetFormatPr defaultRowHeight="14.6"/>
  <cols>
    <col min="1" max="1" width="15.69140625" bestFit="1" customWidth="1"/>
    <col min="2" max="2" width="16.15234375" bestFit="1" customWidth="1"/>
    <col min="3" max="3" width="15.23046875" bestFit="1" customWidth="1"/>
    <col min="4" max="4" width="21.61328125" bestFit="1" customWidth="1"/>
    <col min="5" max="5" width="10" customWidth="1"/>
    <col min="6" max="6" width="8.23046875" bestFit="1" customWidth="1"/>
    <col min="7" max="8" width="12.07421875" bestFit="1" customWidth="1"/>
    <col min="9" max="9" width="17.07421875" bestFit="1" customWidth="1"/>
    <col min="10" max="10" width="9.23046875" bestFit="1" customWidth="1"/>
    <col min="11" max="11" width="43.23046875" bestFit="1" customWidth="1"/>
    <col min="12" max="12" width="8.15234375" customWidth="1"/>
    <col min="13" max="13" width="43.23046875" bestFit="1" customWidth="1"/>
    <col min="14" max="14" width="0" hidden="1" customWidth="1"/>
    <col min="16" max="16" width="6.53515625" hidden="1" customWidth="1"/>
    <col min="17" max="17" width="12.07421875" hidden="1" customWidth="1"/>
    <col min="18" max="18" width="0" hidden="1" customWidth="1"/>
  </cols>
  <sheetData>
    <row r="1" spans="1:18">
      <c r="A1" s="4" t="s">
        <v>0</v>
      </c>
      <c r="B1" s="8" t="s">
        <v>1</v>
      </c>
      <c r="F1" s="4" t="s">
        <v>492</v>
      </c>
      <c r="G1" s="4" t="s">
        <v>2</v>
      </c>
      <c r="H1" s="4" t="s">
        <v>4</v>
      </c>
      <c r="I1" s="4" t="s">
        <v>485</v>
      </c>
      <c r="J1" s="4" t="s">
        <v>3</v>
      </c>
      <c r="K1" s="4" t="s">
        <v>5</v>
      </c>
      <c r="M1" s="4" t="s">
        <v>137</v>
      </c>
      <c r="P1" t="str" cm="1">
        <f t="array" ref="P1:P2">_xlfn.UNIQUE(_xlfn._xlws.FILTER(seqObjects[Box],seqObjects[Box]&lt;&gt;"",""))</f>
        <v>middle</v>
      </c>
      <c r="Q1" s="4" t="s">
        <v>126</v>
      </c>
      <c r="R1" t="str" cm="1">
        <f t="array" ref="R1:R13">sequencegroups[Sequence Group]</f>
        <v>end</v>
      </c>
    </row>
    <row r="2" spans="1:18">
      <c r="A2" s="4" t="s">
        <v>6</v>
      </c>
      <c r="B2" s="10" t="b">
        <v>1</v>
      </c>
      <c r="K2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" t="str" cm="1">
        <f t="array" ref="M2:M34">_xlfn.VSTACK(
"sequenceDiagram",
IF(B3=TRUE,"autonumber",""),
"","%% Actors",
_xlfn._xlws.FILTER(seqObjects[mmSyntax],seqObjects[mmSyntax]&lt;&gt;""),"",
"%% Boxes",
IFERROR(_xlfn._xlws.FILTER(seqHelper!AB:AB,seqHelper!AB:AB&lt;&gt;""),"Fix your groups"),
"",
"%% Diagram",
_xlfn._xlws.FILTER(sequence[mmSyntax],(sequence[mmSyntax]&lt;&gt;"mmSyntax")*(sequence[mmSyntax]&lt;&gt;"")))</f>
        <v>sequenceDiagram</v>
      </c>
      <c r="P2" t="str">
        <v>front</v>
      </c>
      <c r="Q2" t="str" cm="1">
        <f t="array" ref="Q2:Q4">_xlfn._xlws.SORT(_xlfn.UNIQUE(_xlfn.VSTACK(_xlfn._xlws.FILTER(sequence[source],(sequence[source]&lt;&gt;"source")*(sequence[source]&lt;&gt;"")),_xlfn._xlws.FILTER(sequence[target],(sequence[target]&lt;&gt;"source")*(sequence[target]&lt;&gt;"")))))</f>
        <v>app</v>
      </c>
      <c r="R2" t="str">
        <v>loop</v>
      </c>
    </row>
    <row r="3" spans="1:18">
      <c r="A3" s="4" t="s">
        <v>11</v>
      </c>
      <c r="B3" s="10" t="b">
        <v>1</v>
      </c>
      <c r="F3" t="s">
        <v>123</v>
      </c>
      <c r="K3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 xml:space="preserve">loop </v>
      </c>
      <c r="M3" t="str">
        <v>autonumber</v>
      </c>
      <c r="Q3" t="str">
        <v>authenticator</v>
      </c>
      <c r="R3" t="str">
        <v>alt</v>
      </c>
    </row>
    <row r="4" spans="1:18">
      <c r="A4" s="4" t="s">
        <v>14</v>
      </c>
      <c r="B4" s="10" t="b">
        <v>0</v>
      </c>
      <c r="G4" t="s">
        <v>7</v>
      </c>
      <c r="H4" t="s">
        <v>10</v>
      </c>
      <c r="I4" t="s">
        <v>9</v>
      </c>
      <c r="J4" t="s">
        <v>8</v>
      </c>
      <c r="K4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user-&gt;&gt;app: userID</v>
      </c>
      <c r="M4" t="str">
        <v/>
      </c>
      <c r="Q4" t="str">
        <v>user</v>
      </c>
      <c r="R4" t="str">
        <v>opt</v>
      </c>
    </row>
    <row r="5" spans="1:18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sequence'!$K$2:$K$28)),
  IF(ISBLANK(_xlpm.s),
    0,
    _xlfn.REDUCE(_xlpm.o,
      ROW(INDIRECT("1:"&amp;LEN(_xlpm.s))),
      _xlfn.LAMBDA(_xlpm.acc,_xlpm.i,_xlpm.mulmod(_xlpm.p, _xlfn.BITXOR(_xlpm.acc, CODE(MID(_xlpm.s,_xlpm.i,1))), _xlpm.m))))))</f>
        <v>6A1656E7</v>
      </c>
      <c r="G5" t="s">
        <v>10</v>
      </c>
      <c r="H5" t="s">
        <v>13</v>
      </c>
      <c r="I5" t="s">
        <v>12</v>
      </c>
      <c r="J5" t="s">
        <v>8</v>
      </c>
      <c r="K5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app-&gt;&gt;authenticator: open with userID</v>
      </c>
      <c r="M5" t="str">
        <v>%% Actors</v>
      </c>
      <c r="R5" t="str">
        <v>else</v>
      </c>
    </row>
    <row r="6" spans="1:18">
      <c r="F6" t="s">
        <v>107</v>
      </c>
      <c r="K6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 xml:space="preserve">end </v>
      </c>
      <c r="M6" t="str">
        <v>Participant authenticator</v>
      </c>
      <c r="R6" t="str">
        <v>and</v>
      </c>
    </row>
    <row r="7" spans="1:18">
      <c r="A7" t="s">
        <v>477</v>
      </c>
      <c r="B7" t="s">
        <v>484</v>
      </c>
      <c r="C7" t="s">
        <v>478</v>
      </c>
      <c r="D7" t="s">
        <v>5</v>
      </c>
      <c r="F7" t="s">
        <v>495</v>
      </c>
      <c r="I7" t="s">
        <v>494</v>
      </c>
      <c r="K7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alt has account</v>
      </c>
      <c r="M7" s="1" t="str">
        <v>Actor user</v>
      </c>
      <c r="R7" t="str">
        <v>critical</v>
      </c>
    </row>
    <row r="8" spans="1:18">
      <c r="A8" t="s">
        <v>13</v>
      </c>
      <c r="B8" t="s">
        <v>482</v>
      </c>
      <c r="C8" t="s">
        <v>480</v>
      </c>
      <c r="D8" t="str">
        <f>IF(seqObjects[[#This Row],[Object]]="","",IF(seqObjects[[#This Row],[type]]="","Participant " &amp; seqObjects[[#This Row],[Object]],seqObjects[[#This Row],[type]]&amp;" "&amp;seqObjects[[#This Row],[Object]]))</f>
        <v>Participant authenticator</v>
      </c>
      <c r="G8" t="s">
        <v>13</v>
      </c>
      <c r="H8" t="s">
        <v>13</v>
      </c>
      <c r="I8" t="s">
        <v>15</v>
      </c>
      <c r="J8" t="s">
        <v>8</v>
      </c>
      <c r="K8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authenticator-&gt;&gt;authenticator: map userID to cred</v>
      </c>
      <c r="M8" t="str">
        <v/>
      </c>
      <c r="R8" t="str">
        <v>option</v>
      </c>
    </row>
    <row r="9" spans="1:18">
      <c r="A9" t="s">
        <v>7</v>
      </c>
      <c r="B9" t="s">
        <v>483</v>
      </c>
      <c r="C9" t="s">
        <v>372</v>
      </c>
      <c r="D9" t="str">
        <f>IF(seqObjects[[#This Row],[Object]]="","",IF(seqObjects[[#This Row],[type]]="","Participant " &amp; seqObjects[[#This Row],[Object]],seqObjects[[#This Row],[type]]&amp;" "&amp;seqObjects[[#This Row],[Object]]))</f>
        <v>Actor user</v>
      </c>
      <c r="F9" t="s">
        <v>487</v>
      </c>
      <c r="I9" t="s">
        <v>498</v>
      </c>
      <c r="K9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else no account</v>
      </c>
      <c r="M9" t="str">
        <v>%% Boxes</v>
      </c>
      <c r="R9" t="str">
        <v>note right of</v>
      </c>
    </row>
    <row r="10" spans="1:18">
      <c r="D10" t="str">
        <f>IF(seqObjects[[#This Row],[Object]]="","",IF(seqObjects[[#This Row],[type]]="","Participant " &amp; seqObjects[[#This Row],[Object]],seqObjects[[#This Row],[type]]&amp;" "&amp;seqObjects[[#This Row],[Object]]))</f>
        <v/>
      </c>
      <c r="G10" t="s">
        <v>10</v>
      </c>
      <c r="H10" t="s">
        <v>7</v>
      </c>
      <c r="I10" t="s">
        <v>497</v>
      </c>
      <c r="J10" t="s">
        <v>17</v>
      </c>
      <c r="K10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app--&gt;&gt;user: user onboard</v>
      </c>
      <c r="M10" t="str">
        <v>Box gray front</v>
      </c>
      <c r="R10" t="str">
        <v>note left of</v>
      </c>
    </row>
    <row r="11" spans="1:18">
      <c r="D11" t="str">
        <f>IF(seqObjects[[#This Row],[Object]]="","",IF(seqObjects[[#This Row],[type]]="","Participant " &amp; seqObjects[[#This Row],[Object]],seqObjects[[#This Row],[type]]&amp;" "&amp;seqObjects[[#This Row],[Object]]))</f>
        <v/>
      </c>
      <c r="F11" t="s">
        <v>107</v>
      </c>
      <c r="K11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 xml:space="preserve">end </v>
      </c>
      <c r="M11" t="str">
        <v>Actor user</v>
      </c>
      <c r="R11" t="str">
        <v>note over</v>
      </c>
    </row>
    <row r="12" spans="1:18">
      <c r="D12" t="str">
        <f>IF(seqObjects[[#This Row],[Object]]="","",IF(seqObjects[[#This Row],[type]]="","Participant " &amp; seqObjects[[#This Row],[Object]],seqObjects[[#This Row],[type]]&amp;" "&amp;seqObjects[[#This Row],[Object]]))</f>
        <v/>
      </c>
      <c r="G12" t="s">
        <v>13</v>
      </c>
      <c r="H12" t="s">
        <v>7</v>
      </c>
      <c r="I12" t="s">
        <v>18</v>
      </c>
      <c r="J12" t="s">
        <v>17</v>
      </c>
      <c r="K12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authenticator--&gt;&gt;user: password challenge</v>
      </c>
      <c r="M12" t="str">
        <v>end</v>
      </c>
      <c r="R12" t="str">
        <v>activate</v>
      </c>
    </row>
    <row r="13" spans="1:18">
      <c r="D13" t="str">
        <f>IF(seqObjects[[#This Row],[Object]]="","",IF(seqObjects[[#This Row],[type]]="","Participant " &amp; seqObjects[[#This Row],[Object]],seqObjects[[#This Row],[type]]&amp;" "&amp;seqObjects[[#This Row],[Object]]))</f>
        <v/>
      </c>
      <c r="G13" t="s">
        <v>7</v>
      </c>
      <c r="H13" t="s">
        <v>13</v>
      </c>
      <c r="I13" t="s">
        <v>19</v>
      </c>
      <c r="J13" t="s">
        <v>8</v>
      </c>
      <c r="K13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user-&gt;&gt;authenticator: password</v>
      </c>
      <c r="M13" t="str">
        <v>Box middle</v>
      </c>
      <c r="R13" t="str">
        <v>destroy</v>
      </c>
    </row>
    <row r="14" spans="1:18">
      <c r="D14" t="str">
        <f>IF(seqObjects[[#This Row],[Object]]="","",IF(seqObjects[[#This Row],[type]]="","Participant " &amp; seqObjects[[#This Row],[Object]],seqObjects[[#This Row],[type]]&amp;" "&amp;seqObjects[[#This Row],[Object]]))</f>
        <v/>
      </c>
      <c r="G14" t="s">
        <v>13</v>
      </c>
      <c r="H14" t="s">
        <v>7</v>
      </c>
      <c r="I14" t="s">
        <v>20</v>
      </c>
      <c r="J14" t="s">
        <v>17</v>
      </c>
      <c r="K14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authenticator--&gt;&gt;user: otc challenge</v>
      </c>
      <c r="M14" t="str">
        <v>Participant authenticator</v>
      </c>
    </row>
    <row r="15" spans="1:18">
      <c r="D15" t="str">
        <f>IF(seqObjects[[#This Row],[Object]]="","",IF(seqObjects[[#This Row],[type]]="","Participant " &amp; seqObjects[[#This Row],[Object]],seqObjects[[#This Row],[type]]&amp;" "&amp;seqObjects[[#This Row],[Object]]))</f>
        <v/>
      </c>
      <c r="G15" t="s">
        <v>7</v>
      </c>
      <c r="H15" t="s">
        <v>13</v>
      </c>
      <c r="I15" t="s">
        <v>21</v>
      </c>
      <c r="J15" t="s">
        <v>8</v>
      </c>
      <c r="K15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user-&gt;&gt;authenticator: one-time code</v>
      </c>
      <c r="M15" t="str">
        <v>end</v>
      </c>
    </row>
    <row r="16" spans="1:18">
      <c r="D16" t="str">
        <f>IF(seqObjects[[#This Row],[Object]]="","",IF(seqObjects[[#This Row],[type]]="","Participant " &amp; seqObjects[[#This Row],[Object]],seqObjects[[#This Row],[type]]&amp;" "&amp;seqObjects[[#This Row],[Object]]))</f>
        <v/>
      </c>
      <c r="K16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16" t="str">
        <v/>
      </c>
    </row>
    <row r="17" spans="1:13">
      <c r="D17" t="str">
        <f>IF(seqObjects[[#This Row],[Object]]="","",IF(seqObjects[[#This Row],[type]]="","Participant " &amp; seqObjects[[#This Row],[Object]],seqObjects[[#This Row],[type]]&amp;" "&amp;seqObjects[[#This Row],[Object]]))</f>
        <v/>
      </c>
      <c r="G17" t="s">
        <v>7</v>
      </c>
      <c r="H17" t="s">
        <v>13</v>
      </c>
      <c r="I17" t="s">
        <v>21</v>
      </c>
      <c r="J17" t="s">
        <v>8</v>
      </c>
      <c r="K17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user-&gt;&gt;authenticator: one-time code</v>
      </c>
      <c r="M17" t="str">
        <v>%% Diagram</v>
      </c>
    </row>
    <row r="18" spans="1:13">
      <c r="D18" t="str">
        <f>IF(seqObjects[[#This Row],[Object]]="","",IF(seqObjects[[#This Row],[type]]="","Participant " &amp; seqObjects[[#This Row],[Object]],seqObjects[[#This Row],[type]]&amp;" "&amp;seqObjects[[#This Row],[Object]]))</f>
        <v/>
      </c>
      <c r="K18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18" t="str">
        <v xml:space="preserve">loop </v>
      </c>
    </row>
    <row r="19" spans="1:13">
      <c r="D19" t="str">
        <f>IF(seqObjects[[#This Row],[Object]]="","",IF(seqObjects[[#This Row],[type]]="","Participant " &amp; seqObjects[[#This Row],[Object]],seqObjects[[#This Row],[type]]&amp;" "&amp;seqObjects[[#This Row],[Object]]))</f>
        <v/>
      </c>
      <c r="K19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19" t="str">
        <v>user-&gt;&gt;app: userID</v>
      </c>
    </row>
    <row r="20" spans="1:13">
      <c r="F20" t="s">
        <v>104</v>
      </c>
      <c r="I20" t="s">
        <v>13</v>
      </c>
      <c r="K20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destroy authenticator</v>
      </c>
      <c r="M20" t="str">
        <v>app-&gt;&gt;authenticator: open with userID</v>
      </c>
    </row>
    <row r="21" spans="1:13">
      <c r="G21" t="s">
        <v>13</v>
      </c>
      <c r="H21" t="s">
        <v>10</v>
      </c>
      <c r="I21" t="s">
        <v>23</v>
      </c>
      <c r="J21" t="s">
        <v>8</v>
      </c>
      <c r="K21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authenticator-&gt;&gt;app: token</v>
      </c>
      <c r="M21" t="str">
        <v xml:space="preserve">end </v>
      </c>
    </row>
    <row r="22" spans="1:13">
      <c r="K22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2" t="str">
        <v>alt has account</v>
      </c>
    </row>
    <row r="23" spans="1:13">
      <c r="K23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3" t="str">
        <v>authenticator-&gt;&gt;authenticator: map userID to cred</v>
      </c>
    </row>
    <row r="24" spans="1:13">
      <c r="A24" t="s">
        <v>484</v>
      </c>
      <c r="B24" t="s">
        <v>479</v>
      </c>
      <c r="C24" t="s">
        <v>5</v>
      </c>
      <c r="K24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4" t="str">
        <v>else no account</v>
      </c>
    </row>
    <row r="25" spans="1:13">
      <c r="A25" t="s">
        <v>483</v>
      </c>
      <c r="B25" t="s">
        <v>481</v>
      </c>
      <c r="C25" t="str">
        <f>IF(Table4[[#This Row],[Box]]="","",IF(Table4[[#This Row],[Color]]="","Box " &amp; Table4[[#This Row],[Box]],"Box " &amp; Table4[[#This Row],[Color]] &amp; " " &amp; Table4[[#This Row],[Box]]))</f>
        <v>Box gray front</v>
      </c>
      <c r="G25" t="s">
        <v>10</v>
      </c>
      <c r="H25" t="s">
        <v>7</v>
      </c>
      <c r="I25" t="s">
        <v>24</v>
      </c>
      <c r="J25" t="s">
        <v>8</v>
      </c>
      <c r="K25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app-&gt;&gt;user: session established</v>
      </c>
      <c r="M25" t="str">
        <v>app--&gt;&gt;user: user onboard</v>
      </c>
    </row>
    <row r="26" spans="1:13">
      <c r="A26" t="s">
        <v>482</v>
      </c>
      <c r="C26" t="str">
        <f>IF(Table4[[#This Row],[Box]]="","",IF(Table4[[#This Row],[Color]]="","Box " &amp; Table4[[#This Row],[Box]],"Box " &amp; Table4[[#This Row],[Color]] &amp; " " &amp; Table4[[#This Row],[Box]]))</f>
        <v>Box middle</v>
      </c>
      <c r="K26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6" t="str">
        <v xml:space="preserve">end </v>
      </c>
    </row>
    <row r="27" spans="1:13">
      <c r="C27" t="str">
        <f>IF(Table4[[#This Row],[Box]]="","",IF(Table4[[#This Row],[Color]]="","Box " &amp; Table4[[#This Row],[Box]],"Box " &amp; Table4[[#This Row],[Color]] &amp; " " &amp; Table4[[#This Row],[Box]]))</f>
        <v/>
      </c>
      <c r="K27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7" t="str">
        <v>authenticator--&gt;&gt;user: password challenge</v>
      </c>
    </row>
    <row r="28" spans="1:13">
      <c r="C28" t="str">
        <f>IF(Table4[[#This Row],[Box]]="","",IF(Table4[[#This Row],[Color]]="","Box " &amp; Table4[[#This Row],[Box]],"Box " &amp; Table4[[#This Row],[Color]] &amp; " " &amp; Table4[[#This Row],[Box]]))</f>
        <v/>
      </c>
      <c r="K28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8" t="str">
        <v>user-&gt;&gt;authenticator: password</v>
      </c>
    </row>
    <row r="29" spans="1:13">
      <c r="A29" s="2"/>
      <c r="C29" t="str">
        <f>IF(Table4[[#This Row],[Box]]="","",IF(Table4[[#This Row],[Color]]="","Box " &amp; Table4[[#This Row],[Box]],"Box " &amp; Table4[[#This Row],[Color]] &amp; " " &amp; Table4[[#This Row],[Box]]))</f>
        <v/>
      </c>
      <c r="E29" s="2"/>
      <c r="M29" t="str">
        <v>authenticator--&gt;&gt;user: otc challenge</v>
      </c>
    </row>
    <row r="30" spans="1:13">
      <c r="A30" s="2"/>
      <c r="B30" s="2"/>
      <c r="C30" s="2" t="str">
        <f>IF(Table4[[#This Row],[Box]]="","",IF(Table4[[#This Row],[Color]]="","Box " &amp; Table4[[#This Row],[Box]],"Box " &amp; Table4[[#This Row],[Color]] &amp; " " &amp; Table4[[#This Row],[Box]]))</f>
        <v/>
      </c>
      <c r="E30" s="2"/>
      <c r="M30" t="str">
        <v>user-&gt;&gt;authenticator: one-time code</v>
      </c>
    </row>
    <row r="31" spans="1:13">
      <c r="A31" s="2"/>
      <c r="C31" t="str">
        <f>IF(Table4[[#This Row],[Box]]="","",IF(Table4[[#This Row],[Color]]="","Box " &amp; Table4[[#This Row],[Box]],"Box " &amp; Table4[[#This Row],[Color]] &amp; " " &amp; Table4[[#This Row],[Box]]))</f>
        <v/>
      </c>
      <c r="E31" s="2"/>
      <c r="M31" t="str">
        <v>user-&gt;&gt;authenticator: one-time code</v>
      </c>
    </row>
    <row r="32" spans="1:13">
      <c r="A32" s="2"/>
      <c r="C32" t="str">
        <f>IF(Table4[[#This Row],[Box]]="","",IF(Table4[[#This Row],[Color]]="","Box " &amp; Table4[[#This Row],[Box]],"Box " &amp; Table4[[#This Row],[Color]] &amp; " " &amp; Table4[[#This Row],[Box]]))</f>
        <v/>
      </c>
      <c r="E32" s="2"/>
      <c r="M32" t="str">
        <v>destroy authenticator</v>
      </c>
    </row>
    <row r="33" spans="1:13">
      <c r="A33" s="2"/>
      <c r="E33" s="2"/>
      <c r="M33" t="str">
        <v>authenticator-&gt;&gt;app: token</v>
      </c>
    </row>
    <row r="34" spans="1:13">
      <c r="M34" t="str">
        <v>app-&gt;&gt;user: session established</v>
      </c>
    </row>
  </sheetData>
  <phoneticPr fontId="8" type="noConversion"/>
  <conditionalFormatting sqref="A29:A33 E29:E33 B30:C30">
    <cfRule type="expression" dxfId="7" priority="3">
      <formula>_xlfn.ISFORMULA(A29)</formula>
    </cfRule>
  </conditionalFormatting>
  <conditionalFormatting sqref="F29:J64">
    <cfRule type="expression" dxfId="6" priority="1" stopIfTrue="1">
      <formula>$F29=""</formula>
    </cfRule>
    <cfRule type="expression" dxfId="5" priority="2">
      <formula>MOD(ROW(),2)=0</formula>
    </cfRule>
  </conditionalFormatting>
  <dataValidations count="5">
    <dataValidation type="list" allowBlank="1" showInputMessage="1" showErrorMessage="1" sqref="A8:A19 F29:G64 G2:H28" xr:uid="{812B84D2-C1F4-424E-B64D-B50A679EF5A3}">
      <formula1>_xlfn.ANCHORARRAY($Q$2)</formula1>
    </dataValidation>
    <dataValidation type="list" allowBlank="1" showInputMessage="1" showErrorMessage="1" sqref="F65:G103" xr:uid="{F0CE48CD-F5DB-4719-9E2B-516AE8656DB2}">
      <formula1>$Q$2</formula1>
    </dataValidation>
    <dataValidation type="list" allowBlank="1" showInputMessage="1" showErrorMessage="1" sqref="B2:B4 D2:D4" xr:uid="{BCF83D24-8DC9-4A30-A569-41ABE5FF36D7}">
      <formula1>lstTrueFalse</formula1>
    </dataValidation>
    <dataValidation type="list" allowBlank="1" showInputMessage="1" showErrorMessage="1" sqref="A25:A32" xr:uid="{9D0EF362-7127-4C32-9170-1F0E2B925FAD}">
      <formula1>_xlfn.ANCHORARRAY($P$1)</formula1>
    </dataValidation>
    <dataValidation type="list" allowBlank="1" showInputMessage="1" showErrorMessage="1" sqref="F2:F28" xr:uid="{A7DB8789-F71A-4F2B-9DCF-CA61503A69E5}">
      <formula1>_xlfn.ANCHORARRAY($R$1)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011C74-5B7A-4A6B-B9BA-11343AD5EA77}">
          <x14:formula1>
            <xm:f>'supporting tables'!$U$2:$U$9</xm:f>
          </x14:formula1>
          <xm:sqref>J2:J28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L30"/>
  <sheetViews>
    <sheetView showGridLines="0" zoomScale="115" zoomScaleNormal="115" workbookViewId="0">
      <selection activeCell="J2" sqref="J2:J12"/>
    </sheetView>
  </sheetViews>
  <sheetFormatPr defaultRowHeight="14.6"/>
  <cols>
    <col min="4" max="5" width="12.15234375" bestFit="1" customWidth="1"/>
    <col min="6" max="6" width="17.3828125" bestFit="1" customWidth="1"/>
    <col min="7" max="7" width="4.921875" bestFit="1" customWidth="1"/>
    <col min="8" max="8" width="43.3046875" customWidth="1"/>
    <col min="9" max="9" width="9.69140625" customWidth="1"/>
    <col min="10" max="10" width="57.3828125" customWidth="1"/>
    <col min="12" max="12" width="0" hidden="1" customWidth="1"/>
    <col min="14" max="14" width="10.84375" bestFit="1" customWidth="1"/>
  </cols>
  <sheetData>
    <row r="1" spans="1:12">
      <c r="A1" s="4" t="s">
        <v>427</v>
      </c>
      <c r="B1" s="15" t="s">
        <v>125</v>
      </c>
      <c r="D1" s="4" t="s">
        <v>2</v>
      </c>
      <c r="E1" s="4" t="s">
        <v>4</v>
      </c>
      <c r="F1" s="4" t="s">
        <v>139</v>
      </c>
      <c r="G1" s="4" t="s">
        <v>426</v>
      </c>
      <c r="H1" s="4" t="s">
        <v>5</v>
      </c>
      <c r="J1" s="4" t="s">
        <v>137</v>
      </c>
      <c r="L1" s="4" t="s">
        <v>126</v>
      </c>
    </row>
    <row r="2" spans="1:12">
      <c r="D2" t="s">
        <v>128</v>
      </c>
      <c r="E2" t="s">
        <v>130</v>
      </c>
      <c r="F2" t="s">
        <v>129</v>
      </c>
      <c r="H2" t="str">
        <f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f>
        <v>[*]--&gt;step1: start</v>
      </c>
      <c r="J2" t="str" cm="1">
        <f t="array" ref="J2:J12">_xlfn.VSTACK(
"stateDiagram-v2",
"direction "&amp;stateDir,
_xlfn._xlws.FILTER(state[mmSyntax],state[mmSyntax]&lt;&gt;""))</f>
        <v>stateDiagram-v2</v>
      </c>
      <c r="L2" t="str" cm="1">
        <f t="array" ref="L2:L7">_xlfn._xlws.SORT(_xlfn.UNIQUE(_xlfn.VSTACK(_xlfn._xlws.FILTER(D:D,(D:D&lt;&gt;"source")*(D:D&lt;&gt;"")),_xlfn._xlws.FILTER(E:E,(E:E&lt;&gt;"target")*(E:E&lt;&gt;"")))))</f>
        <v>[*]</v>
      </c>
    </row>
    <row r="3" spans="1:12">
      <c r="D3" t="s">
        <v>130</v>
      </c>
      <c r="E3" t="s">
        <v>131</v>
      </c>
      <c r="F3" t="s">
        <v>135</v>
      </c>
      <c r="H3" t="str">
        <f>IF(state[[#This Row],[Note]]="",_xlfn.TEXTJOIN("",TRUE,'🔄 simpleState'!$D3,(IF(state[[#This Row],[source]]="","","--&gt;"&amp;'🔄 simpleState'!$E3&amp;": "&amp;'🔄 simpleState'!$F3))),"note "&amp;state[[#This Row],[Note]]&amp; " of " &amp; D2 &amp;" : " &amp; state[[#This Row],[label]])</f>
        <v>step1--&gt;step2: goto step2</v>
      </c>
      <c r="J3" t="str">
        <v>direction LR</v>
      </c>
      <c r="L3" t="str">
        <v>state join_state &lt;&lt;join&gt;&gt;</v>
      </c>
    </row>
    <row r="4" spans="1:12">
      <c r="F4" t="s">
        <v>476</v>
      </c>
      <c r="G4" t="s">
        <v>428</v>
      </c>
      <c r="H4" s="16" t="str">
        <f>IF(state[[#This Row],[Note]]="",_xlfn.TEXTJOIN("",TRUE,'🔄 simpleState'!$D4,(IF(state[[#This Row],[source]]="","","--&gt;"&amp;'🔄 simpleState'!$E4&amp;": "&amp;'🔄 simpleState'!$F4))),"note "&amp;state[[#This Row],[Note]]&amp; " of " &amp; D3 &amp;" : " &amp; state[[#This Row],[label]])</f>
        <v>note right of step1 : this is a note</v>
      </c>
      <c r="J4" t="str">
        <v>[*]--&gt;step1: start</v>
      </c>
      <c r="L4" t="str">
        <v>step1</v>
      </c>
    </row>
    <row r="5" spans="1:12">
      <c r="H5" s="16" t="str">
        <f>IF(state[[#This Row],[Note]]="",_xlfn.TEXTJOIN("",TRUE,'🔄 simpleState'!$D5,(IF(state[[#This Row],[source]]="","","--&gt;"&amp;'🔄 simpleState'!$E5&amp;": "&amp;'🔄 simpleState'!$F5))),"note "&amp;state[[#This Row],[Note]]&amp; " of " &amp; D4 &amp;" : " &amp; state[[#This Row],[label]])</f>
        <v/>
      </c>
      <c r="J5" t="str">
        <v>step1--&gt;step2: goto step2</v>
      </c>
      <c r="L5" t="str">
        <v>step2</v>
      </c>
    </row>
    <row r="6" spans="1:12">
      <c r="H6" s="16" t="str">
        <f>IF(state[[#This Row],[Note]]="",_xlfn.TEXTJOIN("",TRUE,'🔄 simpleState'!$D6,(IF(state[[#This Row],[source]]="","","--&gt;"&amp;'🔄 simpleState'!$E6&amp;": "&amp;'🔄 simpleState'!$F6))),"note "&amp;state[[#This Row],[Note]]&amp; " of " &amp; D5 &amp;" : " &amp; state[[#This Row],[label]])</f>
        <v/>
      </c>
      <c r="J6" t="str">
        <v>note right of step1 : this is a note</v>
      </c>
      <c r="L6" t="str">
        <v>step3</v>
      </c>
    </row>
    <row r="7" spans="1:12">
      <c r="H7" s="16" t="str">
        <f>IF(state[[#This Row],[Note]]="",_xlfn.TEXTJOIN("",TRUE,'🔄 simpleState'!$D7,(IF(state[[#This Row],[source]]="","","--&gt;"&amp;'🔄 simpleState'!$E7&amp;": "&amp;'🔄 simpleState'!$F7))),"note "&amp;state[[#This Row],[Note]]&amp; " of " &amp; D6 &amp;" : " &amp; state[[#This Row],[label]])</f>
        <v/>
      </c>
      <c r="J7" s="1" t="str">
        <v>step2--&gt;step1: goto step1</v>
      </c>
      <c r="L7" t="str">
        <v>step4</v>
      </c>
    </row>
    <row r="8" spans="1:12">
      <c r="D8" t="s">
        <v>131</v>
      </c>
      <c r="E8" t="s">
        <v>130</v>
      </c>
      <c r="F8" t="s">
        <v>134</v>
      </c>
      <c r="H8" s="16" t="str">
        <f>IF(state[[#This Row],[Note]]="",_xlfn.TEXTJOIN("",TRUE,'🔄 simpleState'!$D8,(IF(state[[#This Row],[source]]="","","--&gt;"&amp;'🔄 simpleState'!$E8&amp;": "&amp;'🔄 simpleState'!$F8))),"note "&amp;state[[#This Row],[Note]]&amp; " of " &amp; D7 &amp;" : " &amp; state[[#This Row],[label]])</f>
        <v>step2--&gt;step1: goto step1</v>
      </c>
      <c r="J8" t="str">
        <v xml:space="preserve">step3--&gt;step4: </v>
      </c>
    </row>
    <row r="9" spans="1:12">
      <c r="D9" t="s">
        <v>132</v>
      </c>
      <c r="E9" t="s">
        <v>133</v>
      </c>
      <c r="H9" s="16" t="str">
        <f>IF(state[[#This Row],[Note]]="",_xlfn.TEXTJOIN("",TRUE,'🔄 simpleState'!$D9,(IF(state[[#This Row],[source]]="","","--&gt;"&amp;'🔄 simpleState'!$E9&amp;": "&amp;'🔄 simpleState'!$F9))),"note "&amp;state[[#This Row],[Note]]&amp; " of " &amp; D8 &amp;" : " &amp; state[[#This Row],[label]])</f>
        <v xml:space="preserve">step3--&gt;step4: </v>
      </c>
      <c r="J9" t="str">
        <v>step3--&gt;step1: goto step1</v>
      </c>
    </row>
    <row r="10" spans="1:12">
      <c r="D10" t="s">
        <v>132</v>
      </c>
      <c r="E10" t="s">
        <v>130</v>
      </c>
      <c r="F10" t="s">
        <v>134</v>
      </c>
      <c r="H10" s="16" t="str">
        <f>IF(state[[#This Row],[Note]]="",_xlfn.TEXTJOIN("",TRUE,'🔄 simpleState'!$D10,(IF(state[[#This Row],[source]]="","","--&gt;"&amp;'🔄 simpleState'!$E10&amp;": "&amp;'🔄 simpleState'!$F10))),"note "&amp;state[[#This Row],[Note]]&amp; " of " &amp; D9 &amp;" : " &amp; state[[#This Row],[label]])</f>
        <v>step3--&gt;step1: goto step1</v>
      </c>
      <c r="J10" t="str">
        <v xml:space="preserve">state join_state &lt;&lt;join&gt;&gt;--&gt;: </v>
      </c>
    </row>
    <row r="11" spans="1:12">
      <c r="D11" t="s">
        <v>493</v>
      </c>
      <c r="H11" s="16" t="str">
        <f>IF(state[[#This Row],[Note]]="",_xlfn.TEXTJOIN("",TRUE,'🔄 simpleState'!$D11,(IF(state[[#This Row],[source]]="","","--&gt;"&amp;'🔄 simpleState'!$E11&amp;": "&amp;'🔄 simpleState'!$F11))),"note "&amp;state[[#This Row],[Note]]&amp; " of " &amp; D10 &amp;" : " &amp; state[[#This Row],[label]])</f>
        <v xml:space="preserve">state join_state &lt;&lt;join&gt;&gt;--&gt;: </v>
      </c>
      <c r="J11" t="str">
        <v>step3--&gt;step2: goto step 1</v>
      </c>
    </row>
    <row r="12" spans="1:12">
      <c r="H12" s="16" t="str">
        <f>IF(state[[#This Row],[Note]]="",_xlfn.TEXTJOIN("",TRUE,'🔄 simpleState'!$D12,(IF(state[[#This Row],[source]]="","","--&gt;"&amp;'🔄 simpleState'!$E12&amp;": "&amp;'🔄 simpleState'!$F12))),"note "&amp;state[[#This Row],[Note]]&amp; " of " &amp; D11 &amp;" : " &amp; state[[#This Row],[label]])</f>
        <v/>
      </c>
      <c r="J12" t="str">
        <v>step4--&gt;[*]: end</v>
      </c>
    </row>
    <row r="13" spans="1:12">
      <c r="D13" t="s">
        <v>132</v>
      </c>
      <c r="E13" t="s">
        <v>131</v>
      </c>
      <c r="F13" t="s">
        <v>138</v>
      </c>
      <c r="H13" s="16" t="str">
        <f>IF(state[[#This Row],[Note]]="",_xlfn.TEXTJOIN("",TRUE,'🔄 simpleState'!$D13,(IF(state[[#This Row],[source]]="","","--&gt;"&amp;'🔄 simpleState'!$E13&amp;": "&amp;'🔄 simpleState'!$F13))),"note "&amp;state[[#This Row],[Note]]&amp; " of " &amp; D12 &amp;" : " &amp; state[[#This Row],[label]])</f>
        <v>step3--&gt;step2: goto step 1</v>
      </c>
    </row>
    <row r="14" spans="1:12">
      <c r="D14" t="s">
        <v>133</v>
      </c>
      <c r="E14" t="s">
        <v>128</v>
      </c>
      <c r="F14" t="s">
        <v>107</v>
      </c>
      <c r="H14" s="16" t="str">
        <f>IF(state[[#This Row],[Note]]="",_xlfn.TEXTJOIN("",TRUE,'🔄 simpleState'!$D14,(IF(state[[#This Row],[source]]="","","--&gt;"&amp;'🔄 simpleState'!$E14&amp;": "&amp;'🔄 simpleState'!$F14))),"note "&amp;state[[#This Row],[Note]]&amp; " of " &amp; D13 &amp;" : " &amp; state[[#This Row],[label]])</f>
        <v>step4--&gt;[*]: end</v>
      </c>
    </row>
    <row r="15" spans="1:12">
      <c r="H15" s="16" t="str">
        <f>IF(state[[#This Row],[Note]]="",_xlfn.TEXTJOIN("",TRUE,'🔄 simpleState'!$D15,(IF(state[[#This Row],[source]]="","","--&gt;"&amp;'🔄 simpleState'!$E15&amp;": "&amp;'🔄 simpleState'!$F15))),"note "&amp;state[[#This Row],[Note]]&amp; " of " &amp; D14 &amp;" : " &amp; state[[#This Row],[label]])</f>
        <v/>
      </c>
    </row>
    <row r="16" spans="1:12">
      <c r="H16" s="16" t="str">
        <f>IF(state[[#This Row],[Note]]="",_xlfn.TEXTJOIN("",TRUE,'🔄 simpleState'!$D16,(IF(state[[#This Row],[source]]="","","--&gt;"&amp;'🔄 simpleState'!$E16&amp;": "&amp;'🔄 simpleState'!$F16))),"note "&amp;state[[#This Row],[Note]]&amp; " of " &amp; D15 &amp;" : " &amp; state[[#This Row],[label]])</f>
        <v/>
      </c>
    </row>
    <row r="17" spans="8:8">
      <c r="H17" s="16" t="str">
        <f>IF(state[[#This Row],[Note]]="",_xlfn.TEXTJOIN("",TRUE,'🔄 simpleState'!$D17,(IF(state[[#This Row],[source]]="","","--&gt;"&amp;'🔄 simpleState'!$E17&amp;": "&amp;'🔄 simpleState'!$F17))),"note "&amp;state[[#This Row],[Note]]&amp; " of " &amp; D16 &amp;" : " &amp; state[[#This Row],[label]])</f>
        <v/>
      </c>
    </row>
    <row r="18" spans="8:8">
      <c r="H18" s="16" t="str">
        <f>IF(state[[#This Row],[Note]]="",_xlfn.TEXTJOIN("",TRUE,'🔄 simpleState'!$D18,(IF(state[[#This Row],[source]]="","","--&gt;"&amp;'🔄 simpleState'!$E18&amp;": "&amp;'🔄 simpleState'!$F18))),"note "&amp;state[[#This Row],[Note]]&amp; " of " &amp; D17 &amp;" : " &amp; state[[#This Row],[label]])</f>
        <v/>
      </c>
    </row>
    <row r="19" spans="8:8">
      <c r="H19" s="16" t="str">
        <f>IF(state[[#This Row],[Note]]="",_xlfn.TEXTJOIN("",TRUE,'🔄 simpleState'!$D19,(IF(state[[#This Row],[source]]="","","--&gt;"&amp;'🔄 simpleState'!$E19&amp;": "&amp;'🔄 simpleState'!$F19))),"note "&amp;state[[#This Row],[Note]]&amp; " of " &amp; D18 &amp;" : " &amp; state[[#This Row],[label]])</f>
        <v/>
      </c>
    </row>
    <row r="20" spans="8:8">
      <c r="H20" s="16" t="str">
        <f>IF(state[[#This Row],[Note]]="",_xlfn.TEXTJOIN("",TRUE,'🔄 simpleState'!$D20,(IF(state[[#This Row],[source]]="","","--&gt;"&amp;'🔄 simpleState'!$E20&amp;": "&amp;'🔄 simpleState'!$F20))),"note "&amp;state[[#This Row],[Note]]&amp; " of " &amp; D19 &amp;" : " &amp; state[[#This Row],[label]])</f>
        <v/>
      </c>
    </row>
    <row r="21" spans="8:8">
      <c r="H21" s="16" t="str">
        <f>IF(state[[#This Row],[Note]]="",_xlfn.TEXTJOIN("",TRUE,'🔄 simpleState'!$D21,(IF(state[[#This Row],[source]]="","","--&gt;"&amp;'🔄 simpleState'!$E21&amp;": "&amp;'🔄 simpleState'!$F21))),"note "&amp;state[[#This Row],[Note]]&amp; " of " &amp; D20 &amp;" : " &amp; state[[#This Row],[label]])</f>
        <v/>
      </c>
    </row>
    <row r="22" spans="8:8">
      <c r="H22" s="16" t="str">
        <f>IF(state[[#This Row],[Note]]="",_xlfn.TEXTJOIN("",TRUE,'🔄 simpleState'!$D22,(IF(state[[#This Row],[source]]="","","--&gt;"&amp;'🔄 simpleState'!$E22&amp;": "&amp;'🔄 simpleState'!$F22))),"note "&amp;state[[#This Row],[Note]]&amp; " of " &amp; D21 &amp;" : " &amp; state[[#This Row],[label]])</f>
        <v/>
      </c>
    </row>
    <row r="23" spans="8:8">
      <c r="H23" s="16" t="str">
        <f>IF(state[[#This Row],[Note]]="",_xlfn.TEXTJOIN("",TRUE,'🔄 simpleState'!$D23,(IF(state[[#This Row],[source]]="","","--&gt;"&amp;'🔄 simpleState'!$E23&amp;": "&amp;'🔄 simpleState'!$F23))),"note "&amp;state[[#This Row],[Note]]&amp; " of " &amp; D22 &amp;" : " &amp; state[[#This Row],[label]])</f>
        <v/>
      </c>
    </row>
    <row r="24" spans="8:8">
      <c r="H24" s="16" t="str">
        <f>IF(state[[#This Row],[Note]]="",_xlfn.TEXTJOIN("",TRUE,'🔄 simpleState'!$D24,(IF(state[[#This Row],[source]]="","","--&gt;"&amp;'🔄 simpleState'!$E24&amp;": "&amp;'🔄 simpleState'!$F24))),"note "&amp;state[[#This Row],[Note]]&amp; " of " &amp; D23 &amp;" : " &amp; state[[#This Row],[label]])</f>
        <v/>
      </c>
    </row>
    <row r="25" spans="8:8">
      <c r="H25" s="16" t="str">
        <f>IF(state[[#This Row],[Note]]="",_xlfn.TEXTJOIN("",TRUE,'🔄 simpleState'!$D25,(IF(state[[#This Row],[source]]="","","--&gt;"&amp;'🔄 simpleState'!$E25&amp;": "&amp;'🔄 simpleState'!$F25))),"note "&amp;state[[#This Row],[Note]]&amp; " of " &amp; D24 &amp;" : " &amp; state[[#This Row],[label]])</f>
        <v/>
      </c>
    </row>
    <row r="26" spans="8:8">
      <c r="H26" s="16" t="str">
        <f>IF(state[[#This Row],[Note]]="",_xlfn.TEXTJOIN("",TRUE,'🔄 simpleState'!$D26,(IF(state[[#This Row],[source]]="","","--&gt;"&amp;'🔄 simpleState'!$E26&amp;": "&amp;'🔄 simpleState'!$F26))),"note "&amp;state[[#This Row],[Note]]&amp; " of " &amp; D25 &amp;" : " &amp; state[[#This Row],[label]])</f>
        <v/>
      </c>
    </row>
    <row r="27" spans="8:8">
      <c r="H27" s="16" t="str">
        <f>IF(state[[#This Row],[Note]]="",_xlfn.TEXTJOIN("",TRUE,'🔄 simpleState'!$D27,(IF(state[[#This Row],[source]]="","","--&gt;"&amp;'🔄 simpleState'!$E27&amp;": "&amp;'🔄 simpleState'!$F27))),"note "&amp;state[[#This Row],[Note]]&amp; " of " &amp; D26 &amp;" : " &amp; state[[#This Row],[label]])</f>
        <v/>
      </c>
    </row>
    <row r="28" spans="8:8">
      <c r="H28" s="16" t="str">
        <f>IF(state[[#This Row],[Note]]="",_xlfn.TEXTJOIN("",TRUE,'🔄 simpleState'!$D28,(IF(state[[#This Row],[source]]="","","--&gt;"&amp;'🔄 simpleState'!$E28&amp;": "&amp;'🔄 simpleState'!$F28))),"note "&amp;state[[#This Row],[Note]]&amp; " of " &amp; D27 &amp;" : " &amp; state[[#This Row],[label]])</f>
        <v/>
      </c>
    </row>
    <row r="29" spans="8:8">
      <c r="H29" s="16" t="str">
        <f>IF(state[[#This Row],[Note]]="",_xlfn.TEXTJOIN("",TRUE,'🔄 simpleState'!$D29,(IF(state[[#This Row],[source]]="","","--&gt;"&amp;'🔄 simpleState'!$E29&amp;": "&amp;'🔄 simpleState'!$F29))),"note "&amp;state[[#This Row],[Note]]&amp; " of " &amp; D28 &amp;" : " &amp; state[[#This Row],[label]])</f>
        <v/>
      </c>
    </row>
    <row r="30" spans="8:8">
      <c r="H30" s="16" t="str">
        <f>IF(state[[#This Row],[Note]]="",_xlfn.TEXTJOIN("",TRUE,'🔄 simpleState'!$D30,(IF(state[[#This Row],[source]]="","","--&gt;"&amp;'🔄 simpleState'!$E30&amp;": "&amp;'🔄 simpleState'!$F30))),"note "&amp;state[[#This Row],[Note]]&amp; " of " &amp; D29 &amp;" : " &amp; state[[#This Row],[label]])</f>
        <v/>
      </c>
    </row>
  </sheetData>
  <dataValidations count="2">
    <dataValidation type="list" allowBlank="1" showInputMessage="1" showErrorMessage="1" sqref="D31:E69" xr:uid="{984CF140-4F46-4686-BCF3-0824E10E5B78}">
      <formula1>$L$2</formula1>
    </dataValidation>
    <dataValidation type="list" allowBlank="1" showInputMessage="1" showErrorMessage="1" sqref="D2:E4 D18:E30 E8:E17 D5:D10 D12:D16" xr:uid="{D9D56CFC-1DB1-4AFD-9F99-F19EB15EC836}">
      <formula1>_xlfn.ANCHORARRAY($L$2)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M23"/>
  <sheetViews>
    <sheetView showGridLines="0" zoomScale="115" zoomScaleNormal="115" workbookViewId="0">
      <selection activeCell="C36" sqref="C36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3" max="13" width="0" hidden="1" customWidth="1"/>
    <col min="14" max="14" width="10.84375" bestFit="1" customWidth="1"/>
  </cols>
  <sheetData>
    <row r="1" spans="1:13">
      <c r="A1" s="4" t="s">
        <v>0</v>
      </c>
      <c r="B1" s="8" t="s">
        <v>1</v>
      </c>
      <c r="D1" t="s">
        <v>2</v>
      </c>
      <c r="E1" t="s">
        <v>4</v>
      </c>
      <c r="F1" t="s">
        <v>127</v>
      </c>
      <c r="G1" t="s">
        <v>3</v>
      </c>
      <c r="H1" t="s">
        <v>5</v>
      </c>
      <c r="J1" s="4" t="s">
        <v>137</v>
      </c>
      <c r="M1" s="4" t="s">
        <v>126</v>
      </c>
    </row>
    <row r="2" spans="1:13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IF('🔢 simpleSequence'!$G2="","",_xlfn.TEXTJOIN("",TRUE,'🔢 simpleSequence'!$D2,(_xlfn.XLOOKUP('🔢 simpleSequence'!$G2,tblSeqConn[display],tblSeqConn[mmSyntax])))&amp;'🔢 simpleSequence'!$E2&amp;": "&amp;'🔢 simpleSequence'!$F2)</f>
        <v>user-&gt;&gt;app: userID</v>
      </c>
      <c r="J2" t="str" cm="1">
        <f t="array" ref="J2:J14">_xlfn.VSTACK(
"sequenceDiagram",
IF($B$2=TRUE,"note left of "&amp;$D$2&amp;": "&amp;B1),
IF(B4=TRUE,"note left of "&amp;$D$2&amp;": "&amp;B5,""),
IF(B3=TRUE,"autonumber",""),
_xlfn._xlws.FILTER(simpleSequence[mmSyntax],(simpleSequence[mmSyntax]&lt;&gt;"mmSyntax")*(simpleSequence[mmSyntax]&lt;&gt;"")))</f>
        <v>sequenceDiagram</v>
      </c>
      <c r="M2" t="str" cm="1">
        <f t="array" ref="M2:M5">_xlfn._xlws.SORT(_xlfn.UNIQUE(_xlfn.VSTACK(_xlfn._xlws.FILTER(D:D,(D:D&lt;&gt;"source")*(D:D&lt;&gt;"")),_xlfn._xlws.FILTER(E:E,(E:E&lt;&gt;"source")*(E:E&lt;&gt;"")))))</f>
        <v>app</v>
      </c>
    </row>
    <row r="3" spans="1:13">
      <c r="A3" s="4" t="s">
        <v>11</v>
      </c>
      <c r="B3" s="10" t="b">
        <v>1</v>
      </c>
      <c r="D3" t="s">
        <v>10</v>
      </c>
      <c r="E3" t="s">
        <v>13</v>
      </c>
      <c r="F3" t="s">
        <v>12</v>
      </c>
      <c r="G3" t="s">
        <v>8</v>
      </c>
      <c r="H3" t="str">
        <f>IF('🔢 simpleSequence'!$G3="","",_xlfn.TEXTJOIN("",TRUE,'🔢 simpleSequence'!$D3,(_xlfn.XLOOKUP('🔢 simpleSequence'!$G3,tblSeqConn[display],tblSeqConn[mmSyntax])))&amp;'🔢 simpleSequence'!$E3&amp;": "&amp;'🔢 simpleSequence'!$F3)</f>
        <v>app-&gt;&gt;authenticator: open with userID</v>
      </c>
      <c r="J3" t="str">
        <v>note left of user: multi factor auth</v>
      </c>
      <c r="M3" t="str">
        <v>authenticator</v>
      </c>
    </row>
    <row r="4" spans="1:13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IF('🔢 simpleSequence'!$G4="","",_xlfn.TEXTJOIN("",TRUE,'🔢 simpleSequence'!$D4,(_xlfn.XLOOKUP('🔢 simpleSequence'!$G4,tblSeqConn[display],tblSeqConn[mmSyntax])))&amp;'🔢 simpleSequence'!$E4&amp;": "&amp;'🔢 simpleSequence'!$F4)</f>
        <v>authenticator-&gt;&gt;authenticator: map userID to cred</v>
      </c>
      <c r="J4" t="str">
        <v/>
      </c>
      <c r="M4" t="str">
        <v>target</v>
      </c>
    </row>
    <row r="5" spans="1:13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simpleSequence'!$H$2:$H$23)),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IF('🔢 simpleSequence'!$G5="","",_xlfn.TEXTJOIN("",TRUE,'🔢 simpleSequence'!$D5,(_xlfn.XLOOKUP('🔢 simpleSequence'!$G5,tblSeqConn[display],tblSeqConn[mmSyntax])))&amp;'🔢 simpleSequence'!$E5&amp;": "&amp;'🔢 simpleSequence'!$F5)</f>
        <v>authenticator--&gt;&gt;user: password challenge</v>
      </c>
      <c r="J5" t="str">
        <v>autonumber</v>
      </c>
      <c r="M5" t="str">
        <v>user</v>
      </c>
    </row>
    <row r="6" spans="1:13">
      <c r="D6" t="s">
        <v>7</v>
      </c>
      <c r="E6" t="s">
        <v>13</v>
      </c>
      <c r="F6" t="s">
        <v>19</v>
      </c>
      <c r="G6" t="s">
        <v>8</v>
      </c>
      <c r="H6" t="str">
        <f>IF('🔢 simpleSequence'!$G6="","",_xlfn.TEXTJOIN("",TRUE,'🔢 simpleSequence'!$D6,(_xlfn.XLOOKUP('🔢 simpleSequence'!$G6,tblSeqConn[display],tblSeqConn[mmSyntax])))&amp;'🔢 simpleSequence'!$E6&amp;": "&amp;'🔢 simpleSequence'!$F6)</f>
        <v>user-&gt;&gt;authenticator: password</v>
      </c>
      <c r="J6" t="str">
        <v>user-&gt;&gt;app: userID</v>
      </c>
    </row>
    <row r="7" spans="1:13">
      <c r="D7" t="s">
        <v>13</v>
      </c>
      <c r="E7" t="s">
        <v>7</v>
      </c>
      <c r="F7" t="s">
        <v>20</v>
      </c>
      <c r="G7" t="s">
        <v>17</v>
      </c>
      <c r="H7" t="str">
        <f>IF('🔢 simpleSequence'!$G7="","",_xlfn.TEXTJOIN("",TRUE,'🔢 simpleSequence'!$D7,(_xlfn.XLOOKUP('🔢 simpleSequence'!$G7,tblSeqConn[display],tblSeqConn[mmSyntax])))&amp;'🔢 simpleSequence'!$E7&amp;": "&amp;'🔢 simpleSequence'!$F7)</f>
        <v>authenticator--&gt;&gt;user: otc challenge</v>
      </c>
      <c r="J7" s="1" t="str">
        <v>app-&gt;&gt;authenticator: open with userID</v>
      </c>
    </row>
    <row r="8" spans="1:13">
      <c r="D8" t="s">
        <v>7</v>
      </c>
      <c r="E8" t="s">
        <v>13</v>
      </c>
      <c r="F8" t="s">
        <v>21</v>
      </c>
      <c r="G8" t="s">
        <v>8</v>
      </c>
      <c r="H8" t="str">
        <f>IF('🔢 simpleSequence'!$G8="","",_xlfn.TEXTJOIN("",TRUE,'🔢 simpleSequence'!$D8,(_xlfn.XLOOKUP('🔢 simpleSequence'!$G8,tblSeqConn[display],tblSeqConn[mmSyntax])))&amp;'🔢 simpleSequence'!$E8&amp;": "&amp;'🔢 simpleSequence'!$F8)</f>
        <v>user-&gt;&gt;authenticator: one-time code</v>
      </c>
      <c r="J8" t="str">
        <v>authenticator-&gt;&gt;authenticator: map userID to cred</v>
      </c>
    </row>
    <row r="9" spans="1:13">
      <c r="D9" t="s">
        <v>13</v>
      </c>
      <c r="E9" t="s">
        <v>10</v>
      </c>
      <c r="F9" t="s">
        <v>23</v>
      </c>
      <c r="G9" t="s">
        <v>22</v>
      </c>
      <c r="H9" t="str">
        <f>IF('🔢 simpleSequence'!$G9="","",_xlfn.TEXTJOIN("",TRUE,'🔢 simpleSequence'!$D9,(_xlfn.XLOOKUP('🔢 simpleSequence'!$G9,tblSeqConn[display],tblSeqConn[mmSyntax])))&amp;'🔢 simpleSequence'!$E9&amp;": "&amp;'🔢 simpleSequence'!$F9)</f>
        <v>authenticator--xapp: token</v>
      </c>
      <c r="J9" t="str">
        <v>authenticator--&gt;&gt;user: password challenge</v>
      </c>
    </row>
    <row r="10" spans="1:13">
      <c r="D10" t="s">
        <v>10</v>
      </c>
      <c r="E10" t="s">
        <v>7</v>
      </c>
      <c r="F10" t="s">
        <v>24</v>
      </c>
      <c r="G10" t="s">
        <v>8</v>
      </c>
      <c r="H10" t="str">
        <f>IF('🔢 simpleSequence'!$G10="","",_xlfn.TEXTJOIN("",TRUE,'🔢 simpleSequence'!$D10,(_xlfn.XLOOKUP('🔢 simpleSequence'!$G10,tblSeqConn[display],tblSeqConn[mmSyntax])))&amp;'🔢 simpleSequence'!$E10&amp;": "&amp;'🔢 simpleSequence'!$F10)</f>
        <v>app-&gt;&gt;user: session established</v>
      </c>
      <c r="J10" t="str">
        <v>user-&gt;&gt;authenticator: password</v>
      </c>
    </row>
    <row r="11" spans="1:13">
      <c r="H11" t="str">
        <f>IF('🔢 simpleSequence'!$G11="","",_xlfn.TEXTJOIN("",TRUE,'🔢 simpleSequence'!$D11,(_xlfn.XLOOKUP('🔢 simpleSequence'!$G11,tblSeqConn[display],tblSeqConn[mmSyntax])))&amp;'🔢 simpleSequence'!$E11&amp;": "&amp;'🔢 simpleSequence'!$F11)</f>
        <v/>
      </c>
      <c r="J11" t="str">
        <v>authenticator--&gt;&gt;user: otc challenge</v>
      </c>
    </row>
    <row r="12" spans="1:13">
      <c r="H12" t="str">
        <f>IF('🔢 simpleSequence'!$G12="","",_xlfn.TEXTJOIN("",TRUE,'🔢 simpleSequence'!$D12,(_xlfn.XLOOKUP('🔢 simpleSequence'!$G12,tblSeqConn[display],tblSeqConn[mmSyntax])))&amp;'🔢 simpleSequence'!$E12&amp;": "&amp;'🔢 simpleSequence'!$F12)</f>
        <v/>
      </c>
      <c r="J12" t="str">
        <v>user-&gt;&gt;authenticator: one-time code</v>
      </c>
    </row>
    <row r="13" spans="1:13">
      <c r="H13" t="str">
        <f>IF('🔢 simpleSequence'!$G13="","",_xlfn.TEXTJOIN("",TRUE,'🔢 simpleSequence'!$D13,(_xlfn.XLOOKUP('🔢 simpleSequence'!$G13,tblSeqConn[display],tblSeqConn[mmSyntax])))&amp;'🔢 simpleSequence'!$E13&amp;": "&amp;'🔢 simpleSequence'!$F13)</f>
        <v/>
      </c>
      <c r="J13" t="str">
        <v>authenticator--xapp: token</v>
      </c>
    </row>
    <row r="14" spans="1:13">
      <c r="H14" t="str">
        <f>IF('🔢 simpleSequence'!$G14="","",_xlfn.TEXTJOIN("",TRUE,'🔢 simpleSequence'!$D14,(_xlfn.XLOOKUP('🔢 simpleSequence'!$G14,tblSeqConn[display],tblSeqConn[mmSyntax])))&amp;'🔢 simpleSequence'!$E14&amp;": "&amp;'🔢 simpleSequence'!$F14)</f>
        <v/>
      </c>
      <c r="J14" t="str">
        <v>app-&gt;&gt;user: session established</v>
      </c>
    </row>
    <row r="15" spans="1:13">
      <c r="H15" t="str">
        <f>IF('🔢 simpleSequence'!$G15="","",_xlfn.TEXTJOIN("",TRUE,'🔢 simpleSequence'!$D15,(_xlfn.XLOOKUP('🔢 simpleSequence'!$G15,tblSeqConn[display],tblSeqConn[mmSyntax])))&amp;'🔢 simpleSequence'!$E15&amp;": "&amp;'🔢 simpleSequence'!$F15)</f>
        <v/>
      </c>
    </row>
    <row r="16" spans="1:13">
      <c r="H16" t="str">
        <f>IF('🔢 simpleSequence'!$G16="","",_xlfn.TEXTJOIN("",TRUE,'🔢 simpleSequence'!$D16,(_xlfn.XLOOKUP('🔢 simpleSequence'!$G16,tblSeqConn[display],tblSeqConn[mmSyntax])))&amp;'🔢 simpleSequence'!$E16&amp;": "&amp;'🔢 simpleSequence'!$F16)</f>
        <v/>
      </c>
    </row>
    <row r="17" spans="8:8">
      <c r="H17" t="str">
        <f>IF('🔢 simpleSequence'!$G17="","",_xlfn.TEXTJOIN("",TRUE,'🔢 simpleSequence'!$D17,(_xlfn.XLOOKUP('🔢 simpleSequence'!$G17,tblSeqConn[display],tblSeqConn[mmSyntax])))&amp;'🔢 simpleSequence'!$E17&amp;": "&amp;'🔢 simpleSequence'!$F17)</f>
        <v/>
      </c>
    </row>
    <row r="18" spans="8:8">
      <c r="H18" t="str">
        <f>IF('🔢 simpleSequence'!$G18="","",_xlfn.TEXTJOIN("",TRUE,'🔢 simpleSequence'!$D18,(_xlfn.XLOOKUP('🔢 simpleSequence'!$G18,tblSeqConn[display],tblSeqConn[mmSyntax])))&amp;'🔢 simpleSequence'!$E18&amp;": "&amp;'🔢 simpleSequence'!$F18)</f>
        <v/>
      </c>
    </row>
    <row r="19" spans="8:8">
      <c r="H19" t="str">
        <f>IF('🔢 simpleSequence'!$G19="","",_xlfn.TEXTJOIN("",TRUE,'🔢 simpleSequence'!$D19,(_xlfn.XLOOKUP('🔢 simpleSequence'!$G19,tblSeqConn[display],tblSeqConn[mmSyntax])))&amp;'🔢 simpleSequence'!$E19&amp;": "&amp;'🔢 simpleSequence'!$F19)</f>
        <v/>
      </c>
    </row>
    <row r="20" spans="8:8">
      <c r="H20" t="str">
        <f>IF('🔢 simpleSequence'!$G20="","",_xlfn.TEXTJOIN("",TRUE,'🔢 simpleSequence'!$D20,(_xlfn.XLOOKUP('🔢 simpleSequence'!$G20,tblSeqConn[display],tblSeqConn[mmSyntax])))&amp;'🔢 simpleSequence'!$E20&amp;": "&amp;'🔢 simpleSequence'!$F20)</f>
        <v/>
      </c>
    </row>
    <row r="21" spans="8:8">
      <c r="H21" t="str">
        <f>IF('🔢 simpleSequence'!$G21="","",_xlfn.TEXTJOIN("",TRUE,'🔢 simpleSequence'!$D21,(_xlfn.XLOOKUP('🔢 simpleSequence'!$G21,tblSeqConn[display],tblSeqConn[mmSyntax])))&amp;'🔢 simpleSequence'!$E21&amp;": "&amp;'🔢 simpleSequence'!$F21)</f>
        <v/>
      </c>
    </row>
    <row r="22" spans="8:8">
      <c r="H22" t="str">
        <f>IF('🔢 simpleSequence'!$G22="","",_xlfn.TEXTJOIN("",TRUE,'🔢 simpleSequence'!$D22,(_xlfn.XLOOKUP('🔢 simpleSequence'!$G22,tblSeqConn[display],tblSeqConn[mmSyntax])))&amp;'🔢 simpleSequence'!$E22&amp;": "&amp;'🔢 simpleSequence'!$F22)</f>
        <v/>
      </c>
    </row>
    <row r="23" spans="8:8">
      <c r="H23" t="str">
        <f>IF('🔢 simpleSequence'!$G23="","",_xlfn.TEXTJOIN("",TRUE,'🔢 simpleSequence'!$D23,(_xlfn.XLOOKUP('🔢 simpleSequence'!$G23,tblSeqConn[display],tblSeqConn[mmSyntax])))&amp;'🔢 simpleSequence'!$E23&amp;": "&amp;'🔢 simpleSequence'!$F23)</f>
        <v/>
      </c>
    </row>
  </sheetData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E103" xr:uid="{4E35E35E-73C3-4152-AC8E-FE812DD22CA4}">
      <formula1>$M$2</formula1>
    </dataValidation>
    <dataValidation type="list" allowBlank="1" showInputMessage="1" showErrorMessage="1" sqref="D2:E23" xr:uid="{F2D4D6AA-D54E-4330-91EF-CE4D1527EE6E}">
      <formula1>_xlfn.ANCHORARRAY($M$2)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589F-4720-47B8-8B3C-9619CB65BCF4}">
  <sheetPr>
    <tabColor theme="1" tint="0.499984740745262"/>
  </sheetPr>
  <dimension ref="A1:AB27"/>
  <sheetViews>
    <sheetView workbookViewId="0">
      <selection activeCell="A2" sqref="A2:N2"/>
    </sheetView>
  </sheetViews>
  <sheetFormatPr defaultRowHeight="14.6"/>
  <cols>
    <col min="1" max="1" width="23.69140625" customWidth="1"/>
    <col min="2" max="2" width="28.921875" bestFit="1" customWidth="1"/>
    <col min="3" max="3" width="19.4609375" customWidth="1"/>
    <col min="5" max="5" width="12.3828125" bestFit="1" customWidth="1"/>
  </cols>
  <sheetData>
    <row r="1" spans="1:28">
      <c r="A1" t="str" cm="1">
        <f t="array" ref="A1:B1">TRANSPOSE(_xlfn.UNIQUE(_xlfn._xlws.FILTER(seqObjects[Box],seqObjects[Box]&lt;&gt;"","")))</f>
        <v>middle</v>
      </c>
      <c r="B1" t="str">
        <v>front</v>
      </c>
    </row>
    <row r="2" spans="1:28">
      <c r="A2" s="23" t="str" cm="1">
        <f t="array" ref="A2:A4">IF(A1="","",_xlfn.VSTACK(
_xlfn.XLOOKUP(A1,Table4[Box],Table4[mmSyntax]),
_xlfn._xlws.FILTER(seqObjects[mmSyntax],seqObjects[Box]=A1),
"end"))</f>
        <v>Box middle</v>
      </c>
      <c r="B2" s="23" t="str" cm="1">
        <f t="array" ref="B2:B4">IF(B1="","",_xlfn.VSTACK(
_xlfn.XLOOKUP(B1,Table4[Box],Table4[mmSyntax]),
_xlfn._xlws.FILTER(seqObjects[mmSyntax],seqObjects[Box]=B1),
"end"))</f>
        <v>Box gray front</v>
      </c>
      <c r="C2" s="23" t="str" cm="1">
        <f t="array" ref="C2">IF(C1="","",_xlfn.VSTACK(
_xlfn.XLOOKUP(C1,Table4[Box],Table4[mmSyntax]),
_xlfn._xlws.FILTER(seqObjects[mmSyntax],seqObjects[Box]=C1),
"end"))</f>
        <v/>
      </c>
      <c r="D2" s="23" t="str" cm="1">
        <f t="array" ref="D2">IF(D1="","",_xlfn.VSTACK(
_xlfn.XLOOKUP(D1,Table4[Box],Table4[mmSyntax]),
_xlfn._xlws.FILTER(seqObjects[mmSyntax],seqObjects[Box]=D1),
"end"))</f>
        <v/>
      </c>
      <c r="E2" s="23" t="str" cm="1">
        <f t="array" ref="E2">IF(E1="","",_xlfn.VSTACK(
_xlfn.XLOOKUP(E1,Table4[Box],Table4[mmSyntax]),
_xlfn._xlws.FILTER(seqObjects[mmSyntax],seqObjects[Box]=E1),
"end"))</f>
        <v/>
      </c>
      <c r="F2" s="23" t="str" cm="1">
        <f t="array" ref="F2">IF(F1="","",_xlfn.VSTACK(
_xlfn.XLOOKUP(F1,Table4[Box],Table4[mmSyntax]),
_xlfn._xlws.FILTER(seqObjects[mmSyntax],seqObjects[Box]=F1),
"end"))</f>
        <v/>
      </c>
      <c r="G2" s="23" t="str" cm="1">
        <f t="array" ref="G2">IF(G1="","",_xlfn.VSTACK(
_xlfn.XLOOKUP(G1,Table4[Box],Table4[mmSyntax]),
_xlfn._xlws.FILTER(seqObjects[mmSyntax],seqObjects[Box]=G1),
"end"))</f>
        <v/>
      </c>
      <c r="H2" s="23" t="str" cm="1">
        <f t="array" ref="H2">IF(H1="","",_xlfn.VSTACK(
_xlfn.XLOOKUP(H1,Table4[Box],Table4[mmSyntax]),
_xlfn._xlws.FILTER(seqObjects[mmSyntax],seqObjects[Box]=H1),
"end"))</f>
        <v/>
      </c>
      <c r="I2" s="23" t="str" cm="1">
        <f t="array" ref="I2">IF(I1="","",_xlfn.VSTACK(
_xlfn.XLOOKUP(I1,Table4[Box],Table4[mmSyntax]),
_xlfn._xlws.FILTER(seqObjects[mmSyntax],seqObjects[Box]=I1),
"end"))</f>
        <v/>
      </c>
      <c r="J2" s="23" t="str" cm="1">
        <f t="array" ref="J2">IF(J1="","",_xlfn.VSTACK(
_xlfn.XLOOKUP(J1,Table4[Box],Table4[mmSyntax]),
_xlfn._xlws.FILTER(seqObjects[mmSyntax],seqObjects[Box]=J1),
"end"))</f>
        <v/>
      </c>
      <c r="K2" s="23" t="str" cm="1">
        <f t="array" ref="K2">IF(K1="","",_xlfn.VSTACK(
_xlfn.XLOOKUP(K1,Table4[Box],Table4[mmSyntax]),
_xlfn._xlws.FILTER(seqObjects[mmSyntax],seqObjects[Box]=K1),
"end"))</f>
        <v/>
      </c>
      <c r="L2" s="23" t="str" cm="1">
        <f t="array" ref="L2">IF(L1="","",_xlfn.VSTACK(
_xlfn.XLOOKUP(L1,Table4[Box],Table4[mmSyntax]),
_xlfn._xlws.FILTER(seqObjects[mmSyntax],seqObjects[Box]=L1),
"end"))</f>
        <v/>
      </c>
      <c r="M2" s="23" t="str" cm="1">
        <f t="array" ref="M2">IF(M1="","",_xlfn.VSTACK(
_xlfn.XLOOKUP(M1,Table4[Box],Table4[mmSyntax]),
_xlfn._xlws.FILTER(seqObjects[mmSyntax],seqObjects[Box]=M1),
"end"))</f>
        <v/>
      </c>
      <c r="N2" s="23" t="str" cm="1">
        <f t="array" ref="N2">IF(N1="","",_xlfn.VSTACK(
_xlfn.XLOOKUP(N1,Table4[Box],Table4[mmSyntax]),
_xlfn._xlws.FILTER(seqObjects[mmSyntax],seqObjects[Box]=N1),
"end"))</f>
        <v/>
      </c>
      <c r="AB2" s="23" t="str" cm="1">
        <f t="array" ref="AB2:AB19">_xlfn.VSTACK(_xlfn._xlws.FILTER(B2:B27,B2:B27&lt;&gt;"",""),_xlfn._xlws.FILTER(A2:A27,A2:A27&lt;&gt;"",""),_xlfn._xlws.FILTER(C2:C27,C2:C27&lt;&gt;"",""),_xlfn._xlws.FILTER(D2:D27,D2:D27&lt;&gt;"",""),_xlfn._xlws.FILTER(E2:E27,E2:E27&lt;&gt;"",""),_xlfn._xlws.FILTER(F2:F27,F2:F27&lt;&gt;"",""),_xlfn._xlws.FILTER(G2:G27,G2:G27&lt;&gt;"",""),_xlfn._xlws.FILTER(H2:H27,H2:H27&lt;&gt;"",""),_xlfn._xlws.FILTER(I2:I27,I2:I27&lt;&gt;"",""),_xlfn._xlws.FILTER(J2:J27,J2:J27&lt;&gt;"",""),_xlfn._xlws.FILTER(K2:K27,K2:K27&lt;&gt;"",""),_xlfn._xlws.FILTER(L2:L27,L2:L27&lt;&gt;"",""),_xlfn._xlws.FILTER(M2:M27,M2:M27&lt;&gt;"",""),_xlfn._xlws.FILTER(N2:N27,N2:N27&lt;&gt;"",""))</f>
        <v>Box gray front</v>
      </c>
    </row>
    <row r="3" spans="1:28">
      <c r="A3" s="23" t="str">
        <v>Participant authenticator</v>
      </c>
      <c r="B3" s="23" t="str">
        <v>Actor user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AB3" t="str">
        <v>Actor user</v>
      </c>
    </row>
    <row r="4" spans="1:28">
      <c r="A4" s="23" t="str">
        <v>end</v>
      </c>
      <c r="B4" s="23" t="str">
        <v>end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AB4" t="str">
        <v>end</v>
      </c>
    </row>
    <row r="5" spans="1:28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AB5" t="str">
        <v>Box middle</v>
      </c>
    </row>
    <row r="6" spans="1:28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AB6" t="str">
        <v>Participant authenticator</v>
      </c>
    </row>
    <row r="7" spans="1:28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AB7" t="str">
        <v>end</v>
      </c>
    </row>
    <row r="8" spans="1:2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AB8" t="str">
        <v/>
      </c>
    </row>
    <row r="9" spans="1:28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AB9" t="str">
        <v/>
      </c>
    </row>
    <row r="10" spans="1:28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AB10" t="str">
        <v/>
      </c>
    </row>
    <row r="11" spans="1:2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AB11" t="str">
        <v/>
      </c>
    </row>
    <row r="12" spans="1:2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AB12" t="str">
        <v/>
      </c>
    </row>
    <row r="13" spans="1:2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AB13" t="str">
        <v/>
      </c>
    </row>
    <row r="14" spans="1:28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AB14" t="str">
        <v/>
      </c>
    </row>
    <row r="15" spans="1:28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AB15" t="str">
        <v/>
      </c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AB16" t="str">
        <v/>
      </c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AB17" t="str">
        <v/>
      </c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AB18" t="str">
        <v/>
      </c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AB19" t="str">
        <v/>
      </c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913-B672-4942-8ED4-A227B404A7F9}">
  <sheetPr>
    <tabColor theme="1" tint="0.499984740745262"/>
  </sheetPr>
  <dimension ref="A1:AB36"/>
  <sheetViews>
    <sheetView topLeftCell="M1" workbookViewId="0">
      <selection activeCell="A2" sqref="A2:N2"/>
    </sheetView>
  </sheetViews>
  <sheetFormatPr defaultRowHeight="14.6"/>
  <cols>
    <col min="1" max="1" width="23.69140625" customWidth="1"/>
    <col min="2" max="2" width="28.921875" bestFit="1" customWidth="1"/>
    <col min="5" max="5" width="12.3828125" bestFit="1" customWidth="1"/>
  </cols>
  <sheetData>
    <row r="1" spans="1:28">
      <c r="A1" t="str" cm="1">
        <f t="array" ref="A1:E1">TRANSPOSE(_xlfn.UNIQUE(_xlfn.VSTACK(erdEntities[Source],erdEntities[Target])))</f>
        <v>Manufacturer</v>
      </c>
      <c r="B1" t="str">
        <v>Car</v>
      </c>
      <c r="C1" t="str">
        <v>Person</v>
      </c>
      <c r="D1" t="str">
        <v>household</v>
      </c>
      <c r="E1" t="str">
        <v>Named-Driver</v>
      </c>
    </row>
    <row r="2" spans="1:28">
      <c r="A2" s="23" t="str" cm="1">
        <f t="array" ref="A2:A4">_xlfn.VSTACK(A1&amp;"{",(_xlfn._xlws.FILTER(erdAttributes[mmSyntax],erdAttributes[Entity]=A1,"")),"}")</f>
        <v>Manufacturer{</v>
      </c>
      <c r="B2" s="23" t="str" cm="1">
        <f t="array" ref="B2:B8">IF(B1="","",_xlfn.VSTACK(B1&amp;"{",(_xlfn._xlws.FILTER(erdAttributes[mmSyntax],erdAttributes[Entity]=B1,"")),"}"))</f>
        <v>Car{</v>
      </c>
      <c r="C2" s="23" t="str" cm="1">
        <f t="array" ref="C2:C9">IF(C1="","",_xlfn.VSTACK(C1&amp;"{",(_xlfn._xlws.FILTER(erdAttributes[mmSyntax],erdAttributes[Entity]=C1,"")),"}"))</f>
        <v>Person{</v>
      </c>
      <c r="D2" s="23" t="str" cm="1">
        <f t="array" ref="D2:D6">IF(D1="","",_xlfn.VSTACK(D1&amp;"{",(_xlfn._xlws.FILTER(erdAttributes[mmSyntax],erdAttributes[Entity]=D1,"")),"}"))</f>
        <v>household{</v>
      </c>
      <c r="E2" s="23" t="str" cm="1">
        <f t="array" ref="E2:E5">IF(E1="","",_xlfn.VSTACK(E1&amp;"{",(_xlfn._xlws.FILTER(erdAttributes[mmSyntax],erdAttributes[Entity]=E1,"")),"}"))</f>
        <v>Named-Driver{</v>
      </c>
      <c r="F2" s="23" t="str" cm="1">
        <f t="array" ref="F2">IF(F1="","",_xlfn.VSTACK(F1&amp;"{",(_xlfn._xlws.FILTER(erdAttributes[mmSyntax],erdAttributes[Entity]=F1,"")),"}"))</f>
        <v/>
      </c>
      <c r="G2" s="23" t="str" cm="1">
        <f t="array" ref="G2">IF(G1="","",_xlfn.VSTACK(G1&amp;"{",(_xlfn._xlws.FILTER(erdAttributes[mmSyntax],erdAttributes[Entity]=G1,"")),"}"))</f>
        <v/>
      </c>
      <c r="H2" s="23" t="str" cm="1">
        <f t="array" ref="H2">IF(H1="","",_xlfn.VSTACK(H1&amp;"{",(_xlfn._xlws.FILTER(erdAttributes[mmSyntax],erdAttributes[Entity]=H1,"")),"}"))</f>
        <v/>
      </c>
      <c r="I2" s="23" t="str" cm="1">
        <f t="array" ref="I2">IF(I1="","",_xlfn.VSTACK(I1&amp;"{",(_xlfn._xlws.FILTER(erdAttributes[mmSyntax],erdAttributes[Entity]=I1,"")),"}"))</f>
        <v/>
      </c>
      <c r="J2" s="23" t="str" cm="1">
        <f t="array" ref="J2">IF(J1="","",_xlfn.VSTACK(J1&amp;"{",(_xlfn._xlws.FILTER(erdAttributes[mmSyntax],erdAttributes[Entity]=J1,"")),"}"))</f>
        <v/>
      </c>
      <c r="K2" s="23" t="str" cm="1">
        <f t="array" ref="K2">IF(K1="","",_xlfn.VSTACK(K1&amp;"{",(_xlfn._xlws.FILTER(erdAttributes[mmSyntax],erdAttributes[Entity]=K1,"")),"}"))</f>
        <v/>
      </c>
      <c r="L2" s="23" t="str" cm="1">
        <f t="array" ref="L2">IF(L1="","",_xlfn.VSTACK(L1&amp;"{",(_xlfn._xlws.FILTER(erdAttributes[mmSyntax],erdAttributes[Entity]=L1,"")),"}"))</f>
        <v/>
      </c>
      <c r="M2" s="23" t="str" cm="1">
        <f t="array" ref="M2">IF(M1="","",_xlfn.VSTACK(M1&amp;"{",(_xlfn._xlws.FILTER(erdAttributes[mmSyntax],erdAttributes[Entity]=M1,"")),"}"))</f>
        <v/>
      </c>
      <c r="N2" s="23" t="str" cm="1">
        <f t="array" ref="N2">IF(N1="","",_xlfn.VSTACK(N1&amp;"{",(_xlfn._xlws.FILTER(erdAttributes[mmSyntax],erdAttributes[Entity]=N1,"")),"}"))</f>
        <v/>
      </c>
      <c r="AB2" s="23" t="str" cm="1">
        <f t="array" ref="AB2:AB36">_xlfn.VSTACK(_xlfn._xlws.FILTER(B2:B27,B2:B27&lt;&gt;"",""),_xlfn._xlws.FILTER(A2:A27,A2:A27&lt;&gt;"",""),_xlfn._xlws.FILTER(C2:C27,C2:C27&lt;&gt;"",""),_xlfn._xlws.FILTER(D2:D27,D2:D27&lt;&gt;"",""),_xlfn._xlws.FILTER(E2:E27,E2:E27&lt;&gt;"",""),_xlfn._xlws.FILTER(F2:F27,F2:F27&lt;&gt;"",""),_xlfn._xlws.FILTER(G2:G27,G2:G27&lt;&gt;"",""),_xlfn._xlws.FILTER(H2:H27,H2:H27&lt;&gt;"",""),_xlfn._xlws.FILTER(I2:I27,I2:I27&lt;&gt;"",""),_xlfn._xlws.FILTER(J2:J27,J2:J27&lt;&gt;"",""),_xlfn._xlws.FILTER(K2:K27,K2:K27&lt;&gt;"",""),_xlfn._xlws.FILTER(L2:L27,L2:L27&lt;&gt;"",""),_xlfn._xlws.FILTER(M2:M27,M2:M27&lt;&gt;"",""),_xlfn._xlws.FILTER(N2:N27,N2:N27&lt;&gt;"",""))</f>
        <v>Car{</v>
      </c>
    </row>
    <row r="3" spans="1:28">
      <c r="A3" s="23" t="str">
        <v/>
      </c>
      <c r="B3" s="23" t="str">
        <v>string make "my comment"</v>
      </c>
      <c r="C3" s="23" t="str">
        <v>string driversLicense UK</v>
      </c>
      <c r="D3" s="23" t="str">
        <v>string householdUUID PK</v>
      </c>
      <c r="E3" s="23" t="str">
        <v>string carRegistrationNumber PK, FK</v>
      </c>
      <c r="F3" s="23"/>
      <c r="G3" s="23"/>
      <c r="H3" s="23"/>
      <c r="I3" s="23"/>
      <c r="J3" s="23"/>
      <c r="K3" s="23"/>
      <c r="L3" s="23"/>
      <c r="M3" s="23"/>
      <c r="N3" s="23"/>
      <c r="AB3" t="str">
        <v>string make "my comment"</v>
      </c>
    </row>
    <row r="4" spans="1:28">
      <c r="A4" s="23" t="str">
        <v>}</v>
      </c>
      <c r="B4" s="23" t="str">
        <v>string model</v>
      </c>
      <c r="C4" s="23" t="str">
        <v>json name</v>
      </c>
      <c r="D4" s="23" t="str">
        <v>json address</v>
      </c>
      <c r="E4" s="23" t="str">
        <v>string driversLicense FK, UK</v>
      </c>
      <c r="F4" s="23"/>
      <c r="G4" s="23"/>
      <c r="H4" s="23"/>
      <c r="I4" s="23"/>
      <c r="J4" s="23"/>
      <c r="K4" s="23"/>
      <c r="L4" s="23"/>
      <c r="M4" s="23"/>
      <c r="N4" s="23"/>
      <c r="AB4" t="str">
        <v>string model</v>
      </c>
    </row>
    <row r="5" spans="1:28">
      <c r="A5" s="23"/>
      <c r="B5" s="23" t="str">
        <v>json parts</v>
      </c>
      <c r="C5" s="23" t="str">
        <v>polygon serviceArea</v>
      </c>
      <c r="D5" s="23" t="str">
        <v>string personUUID FK</v>
      </c>
      <c r="E5" s="23" t="str">
        <v>}</v>
      </c>
      <c r="F5" s="23"/>
      <c r="G5" s="23"/>
      <c r="H5" s="23"/>
      <c r="I5" s="23"/>
      <c r="J5" s="23"/>
      <c r="K5" s="23"/>
      <c r="L5" s="23"/>
      <c r="M5" s="23"/>
      <c r="N5" s="23"/>
      <c r="AB5" t="str">
        <v>json parts</v>
      </c>
    </row>
    <row r="6" spans="1:28">
      <c r="A6" s="23"/>
      <c r="B6" s="23" t="str">
        <v>string registrationNumber PK</v>
      </c>
      <c r="C6" s="23" t="str">
        <v>string phone UK</v>
      </c>
      <c r="D6" s="23" t="str">
        <v>}</v>
      </c>
      <c r="E6" s="23"/>
      <c r="F6" s="23"/>
      <c r="G6" s="23"/>
      <c r="H6" s="23"/>
      <c r="I6" s="23"/>
      <c r="J6" s="23"/>
      <c r="K6" s="23"/>
      <c r="L6" s="23"/>
      <c r="M6" s="23"/>
      <c r="N6" s="23"/>
      <c r="AB6" t="str">
        <v>string registrationNumber PK</v>
      </c>
    </row>
    <row r="7" spans="1:28">
      <c r="A7" s="23"/>
      <c r="B7" s="23" t="str">
        <v>string VIN UK</v>
      </c>
      <c r="C7" s="23" t="str">
        <v>string householdUUID FK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AB7" t="str">
        <v>string VIN UK</v>
      </c>
    </row>
    <row r="8" spans="1:28">
      <c r="A8" s="23"/>
      <c r="B8" s="23" t="str">
        <v>}</v>
      </c>
      <c r="C8" s="23" t="str">
        <v>string personUUID PK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AB8" t="str">
        <v>}</v>
      </c>
    </row>
    <row r="9" spans="1:28">
      <c r="A9" s="23"/>
      <c r="B9" s="23"/>
      <c r="C9" s="23" t="str">
        <v>}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AB9" t="str">
        <v>Manufacturer{</v>
      </c>
    </row>
    <row r="10" spans="1:28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AB10" t="str">
        <v>}</v>
      </c>
    </row>
    <row r="11" spans="1:2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AB11" t="str">
        <v>Person{</v>
      </c>
    </row>
    <row r="12" spans="1:2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AB12" t="str">
        <v>string driversLicense UK</v>
      </c>
    </row>
    <row r="13" spans="1:2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AB13" t="str">
        <v>json name</v>
      </c>
    </row>
    <row r="14" spans="1:28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AB14" t="str">
        <v>polygon serviceArea</v>
      </c>
    </row>
    <row r="15" spans="1:28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AB15" t="str">
        <v>string phone UK</v>
      </c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AB16" t="str">
        <v>string householdUUID FK</v>
      </c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AB17" t="str">
        <v>string personUUID PK</v>
      </c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AB18" t="str">
        <v>}</v>
      </c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AB19" t="str">
        <v>household{</v>
      </c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AB20" t="str">
        <v>string householdUUID PK</v>
      </c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AB21" t="str">
        <v>json address</v>
      </c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AB22" t="str">
        <v>string personUUID FK</v>
      </c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AB23" t="str">
        <v>}</v>
      </c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AB24" t="str">
        <v>Named-Driver{</v>
      </c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AB25" t="str">
        <v>string carRegistrationNumber PK, FK</v>
      </c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AB26" t="str">
        <v>string driversLicense FK, UK</v>
      </c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AB27" t="str">
        <v>}</v>
      </c>
    </row>
    <row r="28" spans="1:28">
      <c r="AB28" t="str">
        <v/>
      </c>
    </row>
    <row r="29" spans="1:28">
      <c r="AB29" t="str">
        <v/>
      </c>
    </row>
    <row r="30" spans="1:28">
      <c r="AB30" t="str">
        <v/>
      </c>
    </row>
    <row r="31" spans="1:28">
      <c r="AB31" t="str">
        <v/>
      </c>
    </row>
    <row r="32" spans="1:28">
      <c r="AB32" t="str">
        <v/>
      </c>
    </row>
    <row r="33" spans="28:28">
      <c r="AB33" t="str">
        <v/>
      </c>
    </row>
    <row r="34" spans="28:28">
      <c r="AB34" t="str">
        <v/>
      </c>
    </row>
    <row r="35" spans="28:28">
      <c r="AB35" t="str">
        <v/>
      </c>
    </row>
    <row r="36" spans="28:28">
      <c r="AB36" t="str"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191"/>
  <sheetViews>
    <sheetView topLeftCell="A29" workbookViewId="0">
      <selection activeCell="A2" sqref="A2:N2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1" max="11" width="16.3828125" bestFit="1" customWidth="1"/>
    <col min="12" max="12" width="11.4609375" customWidth="1"/>
    <col min="16" max="16" width="10.4609375" customWidth="1"/>
    <col min="20" max="20" width="41.3046875" bestFit="1" customWidth="1"/>
    <col min="23" max="23" width="11.53515625" customWidth="1"/>
  </cols>
  <sheetData>
    <row r="1" spans="1:21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K1" t="s">
        <v>25</v>
      </c>
      <c r="L1" t="s">
        <v>35</v>
      </c>
      <c r="N1" t="str" cm="1">
        <f t="array" ref="N1:N3">_xlfn.UNIQUE(tblFcConn[connLength])</f>
        <v>1</v>
      </c>
      <c r="P1" t="s">
        <v>36</v>
      </c>
      <c r="S1" t="s">
        <v>5</v>
      </c>
      <c r="T1" t="s">
        <v>37</v>
      </c>
      <c r="U1" t="s">
        <v>35</v>
      </c>
    </row>
    <row r="2" spans="1:21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K2" t="s">
        <v>28</v>
      </c>
      <c r="L2" t="s">
        <v>40</v>
      </c>
      <c r="N2" t="str">
        <v>2</v>
      </c>
      <c r="P2" t="b">
        <v>1</v>
      </c>
      <c r="S2" t="s">
        <v>41</v>
      </c>
      <c r="T2" t="s">
        <v>42</v>
      </c>
      <c r="U2" s="3" t="s">
        <v>43</v>
      </c>
    </row>
    <row r="3" spans="1:21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K3" t="s">
        <v>46</v>
      </c>
      <c r="L3" t="s">
        <v>47</v>
      </c>
      <c r="N3" t="str">
        <v>3</v>
      </c>
      <c r="P3" t="b">
        <v>0</v>
      </c>
      <c r="S3" t="s">
        <v>48</v>
      </c>
      <c r="T3" t="s">
        <v>49</v>
      </c>
      <c r="U3" s="3" t="s">
        <v>50</v>
      </c>
    </row>
    <row r="4" spans="1:21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K4" t="s">
        <v>56</v>
      </c>
      <c r="S4" t="s">
        <v>57</v>
      </c>
      <c r="T4" t="s">
        <v>58</v>
      </c>
      <c r="U4" t="s">
        <v>8</v>
      </c>
    </row>
    <row r="5" spans="1:21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K5" t="s">
        <v>60</v>
      </c>
      <c r="S5" t="s">
        <v>61</v>
      </c>
      <c r="T5" t="s">
        <v>62</v>
      </c>
      <c r="U5" t="s">
        <v>17</v>
      </c>
    </row>
    <row r="6" spans="1:21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K6" t="s">
        <v>64</v>
      </c>
      <c r="S6" t="s">
        <v>65</v>
      </c>
      <c r="T6" t="s">
        <v>66</v>
      </c>
      <c r="U6" s="3" t="s">
        <v>67</v>
      </c>
    </row>
    <row r="7" spans="1:21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K7" t="s">
        <v>70</v>
      </c>
      <c r="S7" t="s">
        <v>71</v>
      </c>
      <c r="T7" t="s">
        <v>72</v>
      </c>
      <c r="U7" s="3" t="s">
        <v>22</v>
      </c>
    </row>
    <row r="8" spans="1:21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K8" t="s">
        <v>74</v>
      </c>
      <c r="S8" t="s">
        <v>75</v>
      </c>
      <c r="T8" t="s">
        <v>76</v>
      </c>
      <c r="U8" t="s">
        <v>77</v>
      </c>
    </row>
    <row r="9" spans="1:21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S9" t="s">
        <v>81</v>
      </c>
      <c r="T9" t="s">
        <v>82</v>
      </c>
      <c r="U9" t="s">
        <v>83</v>
      </c>
    </row>
    <row r="10" spans="1:21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1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1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1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K13" s="11" t="s">
        <v>5</v>
      </c>
      <c r="L13" s="11" t="s">
        <v>37</v>
      </c>
    </row>
    <row r="14" spans="1:21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K14" s="12" t="s">
        <v>41</v>
      </c>
      <c r="L14" s="12" t="s">
        <v>42</v>
      </c>
      <c r="T14" t="s">
        <v>98</v>
      </c>
    </row>
    <row r="15" spans="1:21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K15" s="13" t="s">
        <v>48</v>
      </c>
      <c r="L15" s="13" t="s">
        <v>49</v>
      </c>
      <c r="T15" t="s">
        <v>101</v>
      </c>
    </row>
    <row r="16" spans="1:21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K16" s="12" t="s">
        <v>57</v>
      </c>
      <c r="L16" s="12" t="s">
        <v>58</v>
      </c>
      <c r="T16" t="s">
        <v>104</v>
      </c>
    </row>
    <row r="17" spans="1:20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K17" s="13" t="s">
        <v>61</v>
      </c>
      <c r="L17" s="13" t="s">
        <v>62</v>
      </c>
      <c r="T17" t="s">
        <v>107</v>
      </c>
    </row>
    <row r="18" spans="1:20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K18" s="12" t="s">
        <v>65</v>
      </c>
      <c r="L18" s="12" t="s">
        <v>66</v>
      </c>
      <c r="T18" t="s">
        <v>109</v>
      </c>
    </row>
    <row r="19" spans="1:20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K19" s="13" t="s">
        <v>71</v>
      </c>
      <c r="L19" s="13" t="s">
        <v>72</v>
      </c>
      <c r="T19" t="s">
        <v>111</v>
      </c>
    </row>
    <row r="20" spans="1:20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K20" s="12" t="s">
        <v>75</v>
      </c>
      <c r="L20" s="12" t="s">
        <v>76</v>
      </c>
      <c r="T20" t="s">
        <v>113</v>
      </c>
    </row>
    <row r="21" spans="1:20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K21" s="14" t="s">
        <v>81</v>
      </c>
      <c r="L21" s="14" t="s">
        <v>82</v>
      </c>
      <c r="T21" t="s">
        <v>115</v>
      </c>
    </row>
    <row r="22" spans="1:20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T22" t="s">
        <v>118</v>
      </c>
    </row>
    <row r="23" spans="1:20">
      <c r="A23" t="s">
        <v>119</v>
      </c>
      <c r="T23" t="s">
        <v>120</v>
      </c>
    </row>
    <row r="24" spans="1:20">
      <c r="A24" t="s">
        <v>27</v>
      </c>
      <c r="T24" t="s">
        <v>121</v>
      </c>
    </row>
    <row r="25" spans="1:20">
      <c r="A25" t="s">
        <v>122</v>
      </c>
      <c r="T25" t="s">
        <v>123</v>
      </c>
    </row>
    <row r="26" spans="1:20">
      <c r="A26" t="s">
        <v>124</v>
      </c>
    </row>
    <row r="27" spans="1:20">
      <c r="P27" t="s">
        <v>346</v>
      </c>
    </row>
    <row r="28" spans="1:20">
      <c r="P28" t="s">
        <v>341</v>
      </c>
    </row>
    <row r="29" spans="1:20">
      <c r="G29" t="s">
        <v>319</v>
      </c>
      <c r="H29" t="s">
        <v>320</v>
      </c>
      <c r="I29" t="s">
        <v>321</v>
      </c>
      <c r="J29" t="s">
        <v>35</v>
      </c>
      <c r="P29" t="s">
        <v>342</v>
      </c>
    </row>
    <row r="30" spans="1:20">
      <c r="G30" t="s">
        <v>325</v>
      </c>
      <c r="H30" t="s">
        <v>325</v>
      </c>
      <c r="I30" t="s">
        <v>326</v>
      </c>
      <c r="J30" t="str">
        <f>"==1"</f>
        <v>==1</v>
      </c>
      <c r="P30" t="s">
        <v>343</v>
      </c>
    </row>
    <row r="31" spans="1:20">
      <c r="G31" t="s">
        <v>329</v>
      </c>
      <c r="H31" t="s">
        <v>330</v>
      </c>
      <c r="I31" t="s">
        <v>363</v>
      </c>
      <c r="J31" t="str">
        <f>"&gt;=1"</f>
        <v>&gt;=1</v>
      </c>
      <c r="P31" t="s">
        <v>344</v>
      </c>
    </row>
    <row r="32" spans="1:20">
      <c r="G32" t="s">
        <v>327</v>
      </c>
      <c r="H32" t="s">
        <v>328</v>
      </c>
      <c r="I32" t="s">
        <v>362</v>
      </c>
      <c r="J32" t="str">
        <f>"&gt;=0"</f>
        <v>&gt;=0</v>
      </c>
      <c r="P32" t="s">
        <v>345</v>
      </c>
    </row>
    <row r="33" spans="2:20">
      <c r="G33" t="s">
        <v>322</v>
      </c>
      <c r="H33" t="s">
        <v>323</v>
      </c>
      <c r="I33" t="s">
        <v>324</v>
      </c>
      <c r="J33" t="str">
        <f>"0"&amp;" &amp;&amp; "&amp;"1"</f>
        <v>0 &amp;&amp; 1</v>
      </c>
    </row>
    <row r="34" spans="2:20">
      <c r="B34" t="s">
        <v>164</v>
      </c>
      <c r="C34" t="s">
        <v>165</v>
      </c>
    </row>
    <row r="35" spans="2:20">
      <c r="B35" t="str">
        <f>"fa:fa-"&amp;icon[[#This Row],[Display]]</f>
        <v>fa:fa-battery-empty</v>
      </c>
      <c r="C35" t="s">
        <v>166</v>
      </c>
    </row>
    <row r="36" spans="2:20">
      <c r="B36" t="str">
        <f>"fa:fa-"&amp;icon[[#This Row],[Display]]</f>
        <v>fa:fa-battery-full</v>
      </c>
      <c r="C36" t="s">
        <v>167</v>
      </c>
      <c r="L36" t="s">
        <v>462</v>
      </c>
      <c r="T36" t="s">
        <v>425</v>
      </c>
    </row>
    <row r="37" spans="2:20">
      <c r="B37" t="str">
        <f>"fa:fa-"&amp;icon[[#This Row],[Display]]</f>
        <v>fa:fa-battery-half</v>
      </c>
      <c r="C37" t="s">
        <v>168</v>
      </c>
      <c r="L37" t="str">
        <f>"1:*"</f>
        <v>1:*</v>
      </c>
      <c r="T37" t="s">
        <v>372</v>
      </c>
    </row>
    <row r="38" spans="2:20">
      <c r="B38" t="str">
        <f>"fa:fa-"&amp;icon[[#This Row],[Display]]</f>
        <v>fa:fa-battery-quarter</v>
      </c>
      <c r="C38" t="s">
        <v>169</v>
      </c>
      <c r="H38" t="s">
        <v>486</v>
      </c>
      <c r="L38" t="str">
        <f>"*:*"</f>
        <v>*:*</v>
      </c>
      <c r="T38" t="s">
        <v>371</v>
      </c>
    </row>
    <row r="39" spans="2:20">
      <c r="B39" t="str">
        <f>"fa:fa-"&amp;icon[[#This Row],[Display]]</f>
        <v>fa:fa-battery-three-quarters</v>
      </c>
      <c r="C39" t="s">
        <v>170</v>
      </c>
      <c r="H39" t="s">
        <v>107</v>
      </c>
      <c r="L39" t="str">
        <f>"*:1"</f>
        <v>*:1</v>
      </c>
      <c r="T39" t="s">
        <v>373</v>
      </c>
    </row>
    <row r="40" spans="2:20">
      <c r="B40" t="str">
        <f>"fa:fa-"&amp;icon[[#This Row],[Display]]</f>
        <v>fa:fa-bell</v>
      </c>
      <c r="C40" t="s">
        <v>171</v>
      </c>
      <c r="H40" t="s">
        <v>123</v>
      </c>
      <c r="L40" t="str">
        <f>"1:1"</f>
        <v>1:1</v>
      </c>
      <c r="T40" t="s">
        <v>374</v>
      </c>
    </row>
    <row r="41" spans="2:20">
      <c r="B41" t="str">
        <f>"fa:fa-"&amp;icon[[#This Row],[Display]]</f>
        <v>fa:fa-bell-slash</v>
      </c>
      <c r="C41" t="s">
        <v>172</v>
      </c>
      <c r="H41" t="s">
        <v>495</v>
      </c>
      <c r="T41" t="s">
        <v>331</v>
      </c>
    </row>
    <row r="42" spans="2:20">
      <c r="B42" t="str">
        <f>"fa:fa-"&amp;icon[[#This Row],[Display]]</f>
        <v>fa:fa-calendar</v>
      </c>
      <c r="C42" t="s">
        <v>173</v>
      </c>
      <c r="H42" t="s">
        <v>496</v>
      </c>
      <c r="T42" t="s">
        <v>376</v>
      </c>
    </row>
    <row r="43" spans="2:20">
      <c r="B43" t="str">
        <f>"fa:fa-"&amp;icon[[#This Row],[Display]]</f>
        <v>fa:fa-calendar-alt</v>
      </c>
      <c r="C43" t="s">
        <v>174</v>
      </c>
      <c r="H43" t="s">
        <v>487</v>
      </c>
      <c r="T43" t="s">
        <v>375</v>
      </c>
    </row>
    <row r="44" spans="2:20">
      <c r="B44" t="str">
        <f>"fa:fa-"&amp;icon[[#This Row],[Display]]</f>
        <v>fa:fa-calendar-check</v>
      </c>
      <c r="C44" t="s">
        <v>175</v>
      </c>
      <c r="H44" t="s">
        <v>488</v>
      </c>
      <c r="T44" t="s">
        <v>377</v>
      </c>
    </row>
    <row r="45" spans="2:20">
      <c r="B45" t="str">
        <f>"fa:fa-"&amp;icon[[#This Row],[Display]]</f>
        <v>fa:fa-calendar-minus</v>
      </c>
      <c r="C45" t="s">
        <v>176</v>
      </c>
      <c r="H45" t="s">
        <v>489</v>
      </c>
      <c r="T45" t="s">
        <v>378</v>
      </c>
    </row>
    <row r="46" spans="2:20">
      <c r="B46" t="str">
        <f>"fa:fa-"&amp;icon[[#This Row],[Display]]</f>
        <v>fa:fa-calendar-plus</v>
      </c>
      <c r="C46" t="s">
        <v>177</v>
      </c>
      <c r="H46" t="s">
        <v>490</v>
      </c>
      <c r="T46" t="s">
        <v>379</v>
      </c>
    </row>
    <row r="47" spans="2:20">
      <c r="B47" t="str">
        <f>"fa:fa-"&amp;icon[[#This Row],[Display]]</f>
        <v>fa:fa-calendar-times</v>
      </c>
      <c r="C47" t="s">
        <v>178</v>
      </c>
      <c r="H47" t="s">
        <v>491</v>
      </c>
      <c r="T47" t="s">
        <v>380</v>
      </c>
    </row>
    <row r="48" spans="2:20">
      <c r="B48" t="str">
        <f>"fa:fa-"&amp;icon[[#This Row],[Display]]</f>
        <v>fa:fa-cart-arrow-down</v>
      </c>
      <c r="C48" t="s">
        <v>179</v>
      </c>
      <c r="H48" t="s">
        <v>120</v>
      </c>
      <c r="T48" t="s">
        <v>381</v>
      </c>
    </row>
    <row r="49" spans="2:20">
      <c r="B49" t="str">
        <f>"fa:fa-"&amp;icon[[#This Row],[Display]]</f>
        <v>fa:fa-cart-plus</v>
      </c>
      <c r="C49" t="s">
        <v>180</v>
      </c>
      <c r="H49" t="s">
        <v>121</v>
      </c>
      <c r="T49" t="s">
        <v>382</v>
      </c>
    </row>
    <row r="50" spans="2:20">
      <c r="B50" t="str">
        <f>"fa:fa-"&amp;icon[[#This Row],[Display]]</f>
        <v>fa:fa-comment</v>
      </c>
      <c r="C50" t="s">
        <v>181</v>
      </c>
      <c r="H50" t="s">
        <v>109</v>
      </c>
      <c r="T50" t="s">
        <v>383</v>
      </c>
    </row>
    <row r="51" spans="2:20">
      <c r="B51" t="str">
        <f>"fa:fa-"&amp;icon[[#This Row],[Display]]</f>
        <v>fa:fa-comment-alt</v>
      </c>
      <c r="C51" t="s">
        <v>182</v>
      </c>
      <c r="H51" t="s">
        <v>104</v>
      </c>
      <c r="T51" t="s">
        <v>384</v>
      </c>
    </row>
    <row r="52" spans="2:20">
      <c r="B52" t="str">
        <f>"fa:fa-"&amp;icon[[#This Row],[Display]]</f>
        <v>fa:fa-comment-slash</v>
      </c>
      <c r="C52" t="s">
        <v>183</v>
      </c>
      <c r="T52" t="s">
        <v>385</v>
      </c>
    </row>
    <row r="53" spans="2:20">
      <c r="B53" t="str">
        <f>"fa:fa-"&amp;icon[[#This Row],[Display]]</f>
        <v>fa:fa-compass</v>
      </c>
      <c r="C53" t="s">
        <v>184</v>
      </c>
      <c r="T53" t="s">
        <v>386</v>
      </c>
    </row>
    <row r="54" spans="2:20">
      <c r="B54" t="str">
        <f>"fa:fa-"&amp;icon[[#This Row],[Display]]</f>
        <v>fa:fa-door-closed</v>
      </c>
      <c r="C54" t="s">
        <v>185</v>
      </c>
      <c r="T54" t="s">
        <v>387</v>
      </c>
    </row>
    <row r="55" spans="2:20">
      <c r="B55" t="str">
        <f>"fa:fa-"&amp;icon[[#This Row],[Display]]</f>
        <v>fa:fa-door-open</v>
      </c>
      <c r="C55" t="s">
        <v>186</v>
      </c>
      <c r="T55" t="s">
        <v>388</v>
      </c>
    </row>
    <row r="56" spans="2:20">
      <c r="B56" t="str">
        <f>"fa:fa-"&amp;icon[[#This Row],[Display]]</f>
        <v>fa:fa-exclamation</v>
      </c>
      <c r="C56" t="s">
        <v>187</v>
      </c>
      <c r="T56" t="s">
        <v>389</v>
      </c>
    </row>
    <row r="57" spans="2:20">
      <c r="B57" t="str">
        <f>"fa:fa-"&amp;icon[[#This Row],[Display]]</f>
        <v>fa:fa-exclamation-circle</v>
      </c>
      <c r="C57" t="s">
        <v>188</v>
      </c>
      <c r="T57" t="s">
        <v>390</v>
      </c>
    </row>
    <row r="58" spans="2:20">
      <c r="B58" t="str">
        <f>"fa:fa-"&amp;icon[[#This Row],[Display]]</f>
        <v>fa:fa-exclamation-triangle</v>
      </c>
      <c r="C58" t="s">
        <v>189</v>
      </c>
      <c r="T58" t="s">
        <v>391</v>
      </c>
    </row>
    <row r="59" spans="2:20">
      <c r="B59" t="str">
        <f>"fa:fa-"&amp;icon[[#This Row],[Display]]</f>
        <v>fa:fa-eye</v>
      </c>
      <c r="C59" t="s">
        <v>190</v>
      </c>
      <c r="T59" t="s">
        <v>392</v>
      </c>
    </row>
    <row r="60" spans="2:20">
      <c r="B60" t="str">
        <f>"fa:fa-"&amp;icon[[#This Row],[Display]]</f>
        <v>fa:fa-eye-slash</v>
      </c>
      <c r="C60" t="s">
        <v>191</v>
      </c>
      <c r="T60" t="s">
        <v>393</v>
      </c>
    </row>
    <row r="61" spans="2:20">
      <c r="B61" t="str">
        <f>"fa:fa-"&amp;icon[[#This Row],[Display]]</f>
        <v>fa:fa-file</v>
      </c>
      <c r="C61" t="s">
        <v>192</v>
      </c>
      <c r="T61" t="s">
        <v>394</v>
      </c>
    </row>
    <row r="62" spans="2:20">
      <c r="B62" t="str">
        <f>"fa:fa-"&amp;icon[[#This Row],[Display]]</f>
        <v>fa:fa-file-alt</v>
      </c>
      <c r="C62" t="s">
        <v>193</v>
      </c>
      <c r="T62" t="s">
        <v>395</v>
      </c>
    </row>
    <row r="63" spans="2:20">
      <c r="B63" t="str">
        <f>"fa:fa-"&amp;icon[[#This Row],[Display]]</f>
        <v>fa:fa-folder</v>
      </c>
      <c r="C63" t="s">
        <v>194</v>
      </c>
      <c r="T63" t="s">
        <v>396</v>
      </c>
    </row>
    <row r="64" spans="2:20">
      <c r="B64" t="str">
        <f>"fa:fa-"&amp;icon[[#This Row],[Display]]</f>
        <v>fa:fa-folder-open</v>
      </c>
      <c r="C64" t="s">
        <v>195</v>
      </c>
      <c r="T64" t="s">
        <v>397</v>
      </c>
    </row>
    <row r="65" spans="2:20">
      <c r="B65" t="str">
        <f>"fa:fa-"&amp;icon[[#This Row],[Display]]</f>
        <v>fa:fa-gas-pump</v>
      </c>
      <c r="C65" t="s">
        <v>196</v>
      </c>
      <c r="T65" t="s">
        <v>398</v>
      </c>
    </row>
    <row r="66" spans="2:20">
      <c r="B66" t="str">
        <f>"fa:fa-"&amp;icon[[#This Row],[Display]]</f>
        <v>fa:fa-info</v>
      </c>
      <c r="C66" t="s">
        <v>197</v>
      </c>
      <c r="T66" t="s">
        <v>399</v>
      </c>
    </row>
    <row r="67" spans="2:20">
      <c r="B67" t="str">
        <f>"fa:fa-"&amp;icon[[#This Row],[Display]]</f>
        <v>fa:fa-info-circle</v>
      </c>
      <c r="C67" t="s">
        <v>198</v>
      </c>
      <c r="T67" t="s">
        <v>400</v>
      </c>
    </row>
    <row r="68" spans="2:20">
      <c r="B68" t="str">
        <f>"fa:fa-"&amp;icon[[#This Row],[Display]]</f>
        <v>fa:fa-lightbulb</v>
      </c>
      <c r="C68" t="s">
        <v>199</v>
      </c>
      <c r="T68" t="s">
        <v>401</v>
      </c>
    </row>
    <row r="69" spans="2:20">
      <c r="B69" t="str">
        <f>"fa:fa-"&amp;icon[[#This Row],[Display]]</f>
        <v>fa:fa-lock</v>
      </c>
      <c r="C69" t="s">
        <v>200</v>
      </c>
      <c r="T69" t="s">
        <v>402</v>
      </c>
    </row>
    <row r="70" spans="2:20">
      <c r="B70" t="str">
        <f>"fa:fa-"&amp;icon[[#This Row],[Display]]</f>
        <v>fa:fa-lock-open</v>
      </c>
      <c r="C70" t="s">
        <v>201</v>
      </c>
      <c r="T70" t="s">
        <v>403</v>
      </c>
    </row>
    <row r="71" spans="2:20">
      <c r="B71" t="str">
        <f>"fa:fa-"&amp;icon[[#This Row],[Display]]</f>
        <v>fa:fa-map-marker</v>
      </c>
      <c r="C71" t="s">
        <v>202</v>
      </c>
      <c r="T71" t="s">
        <v>404</v>
      </c>
    </row>
    <row r="72" spans="2:20">
      <c r="B72" t="str">
        <f>"fa:fa-"&amp;icon[[#This Row],[Display]]</f>
        <v>fa:fa-map-marker-alt</v>
      </c>
      <c r="C72" t="s">
        <v>203</v>
      </c>
      <c r="T72" t="s">
        <v>405</v>
      </c>
    </row>
    <row r="73" spans="2:20">
      <c r="B73" t="str">
        <f>"fa:fa-"&amp;icon[[#This Row],[Display]]</f>
        <v>fa:fa-microphone</v>
      </c>
      <c r="C73" t="s">
        <v>204</v>
      </c>
      <c r="T73" t="s">
        <v>406</v>
      </c>
    </row>
    <row r="74" spans="2:20">
      <c r="B74" t="str">
        <f>"fa:fa-"&amp;icon[[#This Row],[Display]]</f>
        <v>fa:fa-microphone-alt</v>
      </c>
      <c r="C74" t="s">
        <v>205</v>
      </c>
      <c r="T74" t="s">
        <v>407</v>
      </c>
    </row>
    <row r="75" spans="2:20">
      <c r="B75" t="str">
        <f>"fa:fa-"&amp;icon[[#This Row],[Display]]</f>
        <v>fa:fa-microphone-alt-slash</v>
      </c>
      <c r="C75" t="s">
        <v>206</v>
      </c>
      <c r="T75" t="s">
        <v>408</v>
      </c>
    </row>
    <row r="76" spans="2:20">
      <c r="B76" t="str">
        <f>"fa:fa-"&amp;icon[[#This Row],[Display]]</f>
        <v>fa:fa-microphone-slash</v>
      </c>
      <c r="C76" t="s">
        <v>207</v>
      </c>
      <c r="T76" t="s">
        <v>409</v>
      </c>
    </row>
    <row r="77" spans="2:20">
      <c r="B77" t="str">
        <f>"fa:fa-"&amp;icon[[#This Row],[Display]]</f>
        <v>fa:fa-minus</v>
      </c>
      <c r="C77" t="s">
        <v>208</v>
      </c>
      <c r="T77" t="s">
        <v>410</v>
      </c>
    </row>
    <row r="78" spans="2:20">
      <c r="B78" t="str">
        <f>"fa:fa-"&amp;icon[[#This Row],[Display]]</f>
        <v>fa:fa-minus-circle</v>
      </c>
      <c r="C78" t="s">
        <v>209</v>
      </c>
      <c r="T78" t="s">
        <v>412</v>
      </c>
    </row>
    <row r="79" spans="2:20">
      <c r="B79" t="str">
        <f>"fa:fa-"&amp;icon[[#This Row],[Display]]</f>
        <v>fa:fa-minus-square</v>
      </c>
      <c r="C79" t="s">
        <v>210</v>
      </c>
      <c r="T79" t="s">
        <v>411</v>
      </c>
    </row>
    <row r="80" spans="2:20">
      <c r="B80" t="str">
        <f>"fa:fa-"&amp;icon[[#This Row],[Display]]</f>
        <v>fa:fa-parking</v>
      </c>
      <c r="C80" t="s">
        <v>211</v>
      </c>
      <c r="T80" t="s">
        <v>413</v>
      </c>
    </row>
    <row r="81" spans="2:20">
      <c r="B81" t="str">
        <f>"fa:fa-"&amp;icon[[#This Row],[Display]]</f>
        <v>fa:fa-phone</v>
      </c>
      <c r="C81" t="s">
        <v>212</v>
      </c>
      <c r="T81" t="s">
        <v>414</v>
      </c>
    </row>
    <row r="82" spans="2:20">
      <c r="B82" t="str">
        <f>"fa:fa-"&amp;icon[[#This Row],[Display]]</f>
        <v>fa:fa-phone-slash</v>
      </c>
      <c r="C82" t="s">
        <v>213</v>
      </c>
      <c r="T82" t="s">
        <v>415</v>
      </c>
    </row>
    <row r="83" spans="2:20">
      <c r="B83" t="str">
        <f>"fa:fa-"&amp;icon[[#This Row],[Display]]</f>
        <v>fa:fa-plus</v>
      </c>
      <c r="C83" t="s">
        <v>214</v>
      </c>
      <c r="T83" t="s">
        <v>416</v>
      </c>
    </row>
    <row r="84" spans="2:20">
      <c r="B84" t="str">
        <f>"fa:fa-"&amp;icon[[#This Row],[Display]]</f>
        <v>fa:fa-plus-circle</v>
      </c>
      <c r="C84" t="s">
        <v>215</v>
      </c>
      <c r="T84" t="s">
        <v>417</v>
      </c>
    </row>
    <row r="85" spans="2:20">
      <c r="B85" t="str">
        <f>"fa:fa-"&amp;icon[[#This Row],[Display]]</f>
        <v>fa:fa-plus-square</v>
      </c>
      <c r="C85" t="s">
        <v>216</v>
      </c>
      <c r="T85" t="s">
        <v>418</v>
      </c>
    </row>
    <row r="86" spans="2:20">
      <c r="B86" t="str">
        <f>"fa:fa-"&amp;icon[[#This Row],[Display]]</f>
        <v>fa:fa-print</v>
      </c>
      <c r="C86" t="s">
        <v>217</v>
      </c>
      <c r="T86" t="s">
        <v>419</v>
      </c>
    </row>
    <row r="87" spans="2:20">
      <c r="B87" t="str">
        <f>"fa:fa-"&amp;icon[[#This Row],[Display]]</f>
        <v>fa:fa-question</v>
      </c>
      <c r="C87" t="s">
        <v>218</v>
      </c>
      <c r="T87" t="s">
        <v>420</v>
      </c>
    </row>
    <row r="88" spans="2:20">
      <c r="B88" t="str">
        <f>"fa:fa-"&amp;icon[[#This Row],[Display]]</f>
        <v>fa:fa-question-circle</v>
      </c>
      <c r="C88" t="s">
        <v>219</v>
      </c>
      <c r="T88" t="s">
        <v>421</v>
      </c>
    </row>
    <row r="89" spans="2:20">
      <c r="B89" t="str">
        <f>"fa:fa-"&amp;icon[[#This Row],[Display]]</f>
        <v>fa:fa-shield-alt</v>
      </c>
      <c r="C89" t="s">
        <v>220</v>
      </c>
      <c r="T89" t="s">
        <v>422</v>
      </c>
    </row>
    <row r="90" spans="2:20">
      <c r="B90" t="str">
        <f>"fa:fa-"&amp;icon[[#This Row],[Display]]</f>
        <v>fa:fa-shopping-cart</v>
      </c>
      <c r="C90" t="s">
        <v>221</v>
      </c>
      <c r="T90" t="s">
        <v>423</v>
      </c>
    </row>
    <row r="91" spans="2:20">
      <c r="B91" t="str">
        <f>"fa:fa-"&amp;icon[[#This Row],[Display]]</f>
        <v>fa:fa-sign-in-alt</v>
      </c>
      <c r="C91" t="s">
        <v>222</v>
      </c>
      <c r="T91" t="s">
        <v>424</v>
      </c>
    </row>
    <row r="92" spans="2:20">
      <c r="B92" t="str">
        <f>"fa:fa-"&amp;icon[[#This Row],[Display]]</f>
        <v>fa:fa-stream</v>
      </c>
      <c r="C92" t="s">
        <v>223</v>
      </c>
    </row>
    <row r="93" spans="2:20">
      <c r="B93" t="str">
        <f>"fa:fa-"&amp;icon[[#This Row],[Display]]</f>
        <v>fa:fa-thermometer-empty</v>
      </c>
      <c r="C93" t="s">
        <v>224</v>
      </c>
    </row>
    <row r="94" spans="2:20">
      <c r="B94" t="str">
        <f>"fa:fa-"&amp;icon[[#This Row],[Display]]</f>
        <v>fa:fa-thermometer-full</v>
      </c>
      <c r="C94" t="s">
        <v>225</v>
      </c>
    </row>
    <row r="95" spans="2:20">
      <c r="B95" t="str">
        <f>"fa:fa-"&amp;icon[[#This Row],[Display]]</f>
        <v>fa:fa-thermometer-half</v>
      </c>
      <c r="C95" t="s">
        <v>226</v>
      </c>
    </row>
    <row r="96" spans="2:20">
      <c r="B96" t="str">
        <f>"fa:fa-"&amp;icon[[#This Row],[Display]]</f>
        <v>fa:fa-thermometer-quarter</v>
      </c>
      <c r="C96" t="s">
        <v>227</v>
      </c>
    </row>
    <row r="97" spans="2:3">
      <c r="B97" t="str">
        <f>"fa:fa-"&amp;icon[[#This Row],[Display]]</f>
        <v>fa:fa-thermometer-three-quarters</v>
      </c>
      <c r="C97" t="s">
        <v>228</v>
      </c>
    </row>
    <row r="98" spans="2:3">
      <c r="B98" t="str">
        <f>"fa:fa-"&amp;icon[[#This Row],[Display]]</f>
        <v>fa:fa-thumbs-down</v>
      </c>
      <c r="C98" t="s">
        <v>229</v>
      </c>
    </row>
    <row r="99" spans="2:3">
      <c r="B99" t="str">
        <f>"fa:fa-"&amp;icon[[#This Row],[Display]]</f>
        <v>fa:fa-thumbs-up</v>
      </c>
      <c r="C99" t="s">
        <v>230</v>
      </c>
    </row>
    <row r="100" spans="2:3">
      <c r="B100" t="str">
        <f>"fa:fa-"&amp;icon[[#This Row],[Display]]</f>
        <v>fa:fa-tint</v>
      </c>
      <c r="C100" t="s">
        <v>231</v>
      </c>
    </row>
    <row r="101" spans="2:3">
      <c r="B101" t="str">
        <f>"fa:fa-"&amp;icon[[#This Row],[Display]]</f>
        <v>fa:fa-tint-slash</v>
      </c>
      <c r="C101" t="s">
        <v>232</v>
      </c>
    </row>
    <row r="102" spans="2:3">
      <c r="B102" t="str">
        <f>"fa:fa-"&amp;icon[[#This Row],[Display]]</f>
        <v>fa:fa-toggle-off</v>
      </c>
      <c r="C102" t="s">
        <v>233</v>
      </c>
    </row>
    <row r="103" spans="2:3">
      <c r="B103" t="str">
        <f>"fa:fa-"&amp;icon[[#This Row],[Display]]</f>
        <v>fa:fa-toggle-on</v>
      </c>
      <c r="C103" t="s">
        <v>234</v>
      </c>
    </row>
    <row r="104" spans="2:3">
      <c r="B104" t="str">
        <f>"fa:fa-"&amp;icon[[#This Row],[Display]]</f>
        <v>fa:fa-unlock</v>
      </c>
      <c r="C104" t="s">
        <v>235</v>
      </c>
    </row>
    <row r="105" spans="2:3">
      <c r="B105" t="str">
        <f>"fa:fa-"&amp;icon[[#This Row],[Display]]</f>
        <v>fa:fa-unlock-alt</v>
      </c>
      <c r="C105" t="s">
        <v>236</v>
      </c>
    </row>
    <row r="106" spans="2:3">
      <c r="B106" t="str">
        <f>"fa:fa-"&amp;icon[[#This Row],[Display]]</f>
        <v>fa:fa-user</v>
      </c>
      <c r="C106" t="s">
        <v>7</v>
      </c>
    </row>
    <row r="107" spans="2:3">
      <c r="B107" t="str">
        <f>"fa:fa-"&amp;icon[[#This Row],[Display]]</f>
        <v>fa:fa-user-alt</v>
      </c>
      <c r="C107" t="s">
        <v>237</v>
      </c>
    </row>
    <row r="108" spans="2:3">
      <c r="B108" t="str">
        <f>"fa:fa-"&amp;icon[[#This Row],[Display]]</f>
        <v>fa:fa-user-alt-slash</v>
      </c>
      <c r="C108" t="s">
        <v>238</v>
      </c>
    </row>
    <row r="109" spans="2:3">
      <c r="B109" t="str">
        <f>"fa:fa-"&amp;icon[[#This Row],[Display]]</f>
        <v>fa:fa-user-slash</v>
      </c>
      <c r="C109" t="s">
        <v>239</v>
      </c>
    </row>
    <row r="110" spans="2:3">
      <c r="B110" t="str">
        <f>"fa:fa-"&amp;icon[[#This Row],[Display]]</f>
        <v>fa:fa-video</v>
      </c>
      <c r="C110" t="s">
        <v>240</v>
      </c>
    </row>
    <row r="111" spans="2:3">
      <c r="B111" t="str">
        <f>"fa:fa-"&amp;icon[[#This Row],[Display]]</f>
        <v>fa:fa-video-slash</v>
      </c>
      <c r="C111" t="s">
        <v>241</v>
      </c>
    </row>
    <row r="112" spans="2:3">
      <c r="B112" t="str">
        <f>"fa:fa-"&amp;icon[[#This Row],[Display]]</f>
        <v>fa:fa-volume-down</v>
      </c>
      <c r="C112" t="s">
        <v>242</v>
      </c>
    </row>
    <row r="113" spans="2:3">
      <c r="B113" t="str">
        <f>"fa:fa-"&amp;icon[[#This Row],[Display]]</f>
        <v>fa:fa-volume-mute</v>
      </c>
      <c r="C113" t="s">
        <v>243</v>
      </c>
    </row>
    <row r="114" spans="2:3">
      <c r="B114" t="str">
        <f>"fa:fa-"&amp;icon[[#This Row],[Display]]</f>
        <v>fa:fa-volume-off</v>
      </c>
      <c r="C114" t="s">
        <v>244</v>
      </c>
    </row>
    <row r="115" spans="2:3">
      <c r="B115" t="str">
        <f>"fa:fa-"&amp;icon[[#This Row],[Display]]</f>
        <v>fa:fa-volume-up</v>
      </c>
      <c r="C115" t="s">
        <v>245</v>
      </c>
    </row>
    <row r="116" spans="2:3">
      <c r="B116" t="str">
        <f>"fa:fa-"&amp;icon[[#This Row],[Display]]</f>
        <v>fa:fa-wifi</v>
      </c>
      <c r="C116" t="s">
        <v>246</v>
      </c>
    </row>
    <row r="117" spans="2:3">
      <c r="B117" t="str">
        <f>"fa:fa-"&amp;icon[[#This Row],[Display]]</f>
        <v>fa:fa-barcode</v>
      </c>
      <c r="C117" t="s">
        <v>247</v>
      </c>
    </row>
    <row r="118" spans="2:3">
      <c r="B118" t="str">
        <f>"fa:fa-"&amp;icon[[#This Row],[Display]]</f>
        <v>fa:fa-bug</v>
      </c>
      <c r="C118" t="s">
        <v>248</v>
      </c>
    </row>
    <row r="119" spans="2:3">
      <c r="B119" t="str">
        <f>"fa:fa-"&amp;icon[[#This Row],[Display]]</f>
        <v>fa:fa-code</v>
      </c>
      <c r="C119" t="s">
        <v>249</v>
      </c>
    </row>
    <row r="120" spans="2:3">
      <c r="B120" t="str">
        <f>"fa:fa-"&amp;icon[[#This Row],[Display]]</f>
        <v>fa:fa-code-branch</v>
      </c>
      <c r="C120" t="s">
        <v>250</v>
      </c>
    </row>
    <row r="121" spans="2:3">
      <c r="B121" t="str">
        <f>"fa:fa-"&amp;icon[[#This Row],[Display]]</f>
        <v>fa:fa-file</v>
      </c>
      <c r="C121" t="s">
        <v>192</v>
      </c>
    </row>
    <row r="122" spans="2:3">
      <c r="B122" t="str">
        <f>"fa:fa-"&amp;icon[[#This Row],[Display]]</f>
        <v>fa:fa-file-alt</v>
      </c>
      <c r="C122" t="s">
        <v>193</v>
      </c>
    </row>
    <row r="123" spans="2:3">
      <c r="B123" t="str">
        <f>"fa:fa-"&amp;icon[[#This Row],[Display]]</f>
        <v>fa:fa-file-code</v>
      </c>
      <c r="C123" t="s">
        <v>251</v>
      </c>
    </row>
    <row r="124" spans="2:3">
      <c r="B124" t="str">
        <f>"fa:fa-"&amp;icon[[#This Row],[Display]]</f>
        <v>fa:fa-filter</v>
      </c>
      <c r="C124" t="s">
        <v>252</v>
      </c>
    </row>
    <row r="125" spans="2:3">
      <c r="B125" t="str">
        <f>"fa:fa-"&amp;icon[[#This Row],[Display]]</f>
        <v>fa:fa-keyboard</v>
      </c>
      <c r="C125" t="s">
        <v>253</v>
      </c>
    </row>
    <row r="126" spans="2:3">
      <c r="B126" t="str">
        <f>"fa:fa-"&amp;icon[[#This Row],[Display]]</f>
        <v>fa:fa-folder</v>
      </c>
      <c r="C126" t="s">
        <v>194</v>
      </c>
    </row>
    <row r="127" spans="2:3">
      <c r="B127" t="str">
        <f>"fa:fa-"&amp;icon[[#This Row],[Display]]</f>
        <v>fa:fa-folder-open</v>
      </c>
      <c r="C127" t="s">
        <v>195</v>
      </c>
    </row>
    <row r="128" spans="2:3">
      <c r="B128" t="str">
        <f>"fa:fa-"&amp;icon[[#This Row],[Display]]</f>
        <v>fa:fa-terminal</v>
      </c>
      <c r="C128" t="s">
        <v>254</v>
      </c>
    </row>
    <row r="129" spans="2:3">
      <c r="B129" t="str">
        <f>"fa:fa-"&amp;icon[[#This Row],[Display]]</f>
        <v>fa:fa-window-close</v>
      </c>
      <c r="C129" t="s">
        <v>255</v>
      </c>
    </row>
    <row r="130" spans="2:3">
      <c r="B130" t="str">
        <f>"fa:fa-"&amp;icon[[#This Row],[Display]]</f>
        <v>fa:fa-window-maximize</v>
      </c>
      <c r="C130" t="s">
        <v>256</v>
      </c>
    </row>
    <row r="131" spans="2:3">
      <c r="B131" t="str">
        <f>"fa:fa-"&amp;icon[[#This Row],[Display]]</f>
        <v>fa:fa-window-restore</v>
      </c>
      <c r="C131" t="s">
        <v>257</v>
      </c>
    </row>
    <row r="132" spans="2:3">
      <c r="B132" t="str">
        <f>"fa:fa-"&amp;icon[[#This Row],[Display]]</f>
        <v>fa:fa-comment</v>
      </c>
      <c r="C132" t="s">
        <v>181</v>
      </c>
    </row>
    <row r="133" spans="2:3">
      <c r="B133" t="str">
        <f>"fa:fa-"&amp;icon[[#This Row],[Display]]</f>
        <v>fa:fa-comments</v>
      </c>
      <c r="C133" t="s">
        <v>258</v>
      </c>
    </row>
    <row r="134" spans="2:3">
      <c r="B134" t="str">
        <f>"fa:fa-"&amp;icon[[#This Row],[Display]]</f>
        <v>fa:fa-microphone</v>
      </c>
      <c r="C134" t="s">
        <v>204</v>
      </c>
    </row>
    <row r="135" spans="2:3">
      <c r="B135" t="str">
        <f>"fa:fa-"&amp;icon[[#This Row],[Display]]</f>
        <v>fa:fa-mobile</v>
      </c>
      <c r="C135" t="s">
        <v>259</v>
      </c>
    </row>
    <row r="136" spans="2:3">
      <c r="B136" t="str">
        <f>"fa:fa-"&amp;icon[[#This Row],[Display]]</f>
        <v>fa:fa-paper-plane</v>
      </c>
      <c r="C136" t="s">
        <v>260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261</v>
      </c>
    </row>
    <row r="139" spans="2:3">
      <c r="B139" t="str">
        <f>"fa:fa-"&amp;icon[[#This Row],[Display]]</f>
        <v>fa:fa-hdd</v>
      </c>
      <c r="C139" t="s">
        <v>262</v>
      </c>
    </row>
    <row r="140" spans="2:3">
      <c r="B140" t="str">
        <f>"fa:fa-"&amp;icon[[#This Row],[Display]]</f>
        <v>fa:fa-ethernet</v>
      </c>
      <c r="C140" t="s">
        <v>263</v>
      </c>
    </row>
    <row r="141" spans="2:3">
      <c r="B141" t="str">
        <f>"fa:fa-"&amp;icon[[#This Row],[Display]]</f>
        <v>fa:fa-download</v>
      </c>
      <c r="C141" t="s">
        <v>264</v>
      </c>
    </row>
    <row r="142" spans="2:3">
      <c r="B142" t="str">
        <f>"fa:fa-"&amp;icon[[#This Row],[Display]]</f>
        <v>fa:fa-laptop</v>
      </c>
      <c r="C142" t="s">
        <v>265</v>
      </c>
    </row>
    <row r="143" spans="2:3">
      <c r="B143" t="str">
        <f>"fa:fa-"&amp;icon[[#This Row],[Display]]</f>
        <v>fa:fa-memory</v>
      </c>
      <c r="C143" t="s">
        <v>266</v>
      </c>
    </row>
    <row r="144" spans="2:3">
      <c r="B144" t="str">
        <f>"fa:fa-"&amp;icon[[#This Row],[Display]]</f>
        <v>fa:fa-power-off</v>
      </c>
      <c r="C144" t="s">
        <v>267</v>
      </c>
    </row>
    <row r="145" spans="2:3">
      <c r="B145" t="str">
        <f>"fa:fa-"&amp;icon[[#This Row],[Display]]</f>
        <v>fa:fa-print</v>
      </c>
      <c r="C145" t="s">
        <v>217</v>
      </c>
    </row>
    <row r="146" spans="2:3">
      <c r="B146" t="str">
        <f>"fa:fa-"&amp;icon[[#This Row],[Display]]</f>
        <v>fa:fa-satellite</v>
      </c>
      <c r="C146" t="s">
        <v>268</v>
      </c>
    </row>
    <row r="147" spans="2:3">
      <c r="B147" t="str">
        <f>"fa:fa-"&amp;icon[[#This Row],[Display]]</f>
        <v>fa:fa-sd-card</v>
      </c>
      <c r="C147" t="s">
        <v>269</v>
      </c>
    </row>
    <row r="148" spans="2:3">
      <c r="B148" t="str">
        <f>"fa:fa-"&amp;icon[[#This Row],[Display]]</f>
        <v>fa:fa-stream</v>
      </c>
      <c r="C148" t="s">
        <v>223</v>
      </c>
    </row>
    <row r="149" spans="2:3">
      <c r="B149" t="str">
        <f>"fa:fa-"&amp;icon[[#This Row],[Display]]</f>
        <v>fa:fa-tablet</v>
      </c>
      <c r="C149" t="s">
        <v>270</v>
      </c>
    </row>
    <row r="150" spans="2:3">
      <c r="B150" t="str">
        <f>"fa:fa-"&amp;icon[[#This Row],[Display]]</f>
        <v>fa:fa-sim-card</v>
      </c>
      <c r="C150" t="s">
        <v>271</v>
      </c>
    </row>
    <row r="151" spans="2:3">
      <c r="B151" t="str">
        <f>"fa:fa-"&amp;icon[[#This Row],[Display]]</f>
        <v>fa:fa-upload</v>
      </c>
      <c r="C151" t="s">
        <v>272</v>
      </c>
    </row>
    <row r="152" spans="2:3">
      <c r="B152" t="str">
        <f>"fa:fa-"&amp;icon[[#This Row],[Display]]</f>
        <v>fa:fa-clock</v>
      </c>
      <c r="C152" t="s">
        <v>273</v>
      </c>
    </row>
    <row r="153" spans="2:3">
      <c r="B153" t="str">
        <f>"fa:fa-"&amp;icon[[#This Row],[Display]]</f>
        <v>fa:fa-hourglass</v>
      </c>
      <c r="C153" t="s">
        <v>274</v>
      </c>
    </row>
    <row r="154" spans="2:3">
      <c r="B154" t="str">
        <f>"fa:fa-"&amp;icon[[#This Row],[Display]]</f>
        <v>fa:fa-stopwatch</v>
      </c>
      <c r="C154" t="s">
        <v>275</v>
      </c>
    </row>
    <row r="155" spans="2:3">
      <c r="B155" t="str">
        <f>"fa:fa-"&amp;icon[[#This Row],[Display]]</f>
        <v>fa:fa-bookmark</v>
      </c>
      <c r="C155" t="s">
        <v>276</v>
      </c>
    </row>
    <row r="156" spans="2:3">
      <c r="B156" t="str">
        <f>"fa:fa-"&amp;icon[[#This Row],[Display]]</f>
        <v>fa:fa-building</v>
      </c>
      <c r="C156" t="s">
        <v>277</v>
      </c>
    </row>
    <row r="157" spans="2:3">
      <c r="B157" t="str">
        <f>"fa:fa-"&amp;icon[[#This Row],[Display]]</f>
        <v>fa:fa-car</v>
      </c>
      <c r="C157" t="s">
        <v>278</v>
      </c>
    </row>
    <row r="158" spans="2:3">
      <c r="B158" t="str">
        <f>"fa:fa-"&amp;icon[[#This Row],[Display]]</f>
        <v>fa:fa-flag</v>
      </c>
      <c r="C158" t="s">
        <v>88</v>
      </c>
    </row>
    <row r="159" spans="2:3">
      <c r="B159" t="str">
        <f>"fa:fa-"&amp;icon[[#This Row],[Display]]</f>
        <v>fa:fa-globe</v>
      </c>
      <c r="C159" t="s">
        <v>279</v>
      </c>
    </row>
    <row r="160" spans="2:3">
      <c r="B160" t="str">
        <f>"fa:fa-"&amp;icon[[#This Row],[Display]]</f>
        <v>fa:fa-home</v>
      </c>
      <c r="C160" t="s">
        <v>280</v>
      </c>
    </row>
    <row r="161" spans="2:3">
      <c r="B161" t="str">
        <f>"fa:fa-"&amp;icon[[#This Row],[Display]]</f>
        <v>fa:fa-layer-group</v>
      </c>
      <c r="C161" t="s">
        <v>281</v>
      </c>
    </row>
    <row r="162" spans="2:3">
      <c r="B162" t="str">
        <f>"fa:fa-"&amp;icon[[#This Row],[Display]]</f>
        <v>fa:fa-location-arrow</v>
      </c>
      <c r="C162" t="s">
        <v>282</v>
      </c>
    </row>
    <row r="163" spans="2:3">
      <c r="B163" t="str">
        <f>"fa:fa-"&amp;icon[[#This Row],[Display]]</f>
        <v>fa:fa-map</v>
      </c>
      <c r="C163" t="s">
        <v>283</v>
      </c>
    </row>
    <row r="164" spans="2:3">
      <c r="B164" t="str">
        <f>"fa:fa-"&amp;icon[[#This Row],[Display]]</f>
        <v>fa:fa-map-marker</v>
      </c>
      <c r="C164" t="s">
        <v>202</v>
      </c>
    </row>
    <row r="165" spans="2:3">
      <c r="B165" t="str">
        <f>"fa:fa-"&amp;icon[[#This Row],[Display]]</f>
        <v>fa:fa-map-pin</v>
      </c>
      <c r="C165" t="s">
        <v>284</v>
      </c>
    </row>
    <row r="166" spans="2:3">
      <c r="B166" t="str">
        <f>"fa:fa-"&amp;icon[[#This Row],[Display]]</f>
        <v>fa:fa-search</v>
      </c>
      <c r="C166" t="s">
        <v>285</v>
      </c>
    </row>
    <row r="167" spans="2:3">
      <c r="B167" t="str">
        <f>"fa:fa-"&amp;icon[[#This Row],[Display]]</f>
        <v>fa:fa-search-minus</v>
      </c>
      <c r="C167" t="s">
        <v>286</v>
      </c>
    </row>
    <row r="168" spans="2:3">
      <c r="B168" t="str">
        <f>"fa:fa-"&amp;icon[[#This Row],[Display]]</f>
        <v>fa:fa-search-plus</v>
      </c>
      <c r="C168" t="s">
        <v>287</v>
      </c>
    </row>
    <row r="169" spans="2:3">
      <c r="B169" t="str">
        <f>"fa:fa-"&amp;icon[[#This Row],[Display]]</f>
        <v>fa:fa-ticket-alt</v>
      </c>
      <c r="C169" t="s">
        <v>288</v>
      </c>
    </row>
    <row r="170" spans="2:3">
      <c r="B170" t="str">
        <f>"fa:fa-"&amp;icon[[#This Row],[Display]]</f>
        <v>fa:fa-thumbtack</v>
      </c>
      <c r="C170" t="s">
        <v>289</v>
      </c>
    </row>
    <row r="171" spans="2:3">
      <c r="B171" t="str">
        <f>"fa:fa-"&amp;icon[[#This Row],[Display]]</f>
        <v>fa:fa-wrench</v>
      </c>
      <c r="C171" t="s">
        <v>290</v>
      </c>
    </row>
    <row r="172" spans="2:3">
      <c r="B172" t="str">
        <f>"fa:fa-"&amp;icon[[#This Row],[Display]]</f>
        <v>fa:fa-id-badge</v>
      </c>
      <c r="C172" t="s">
        <v>291</v>
      </c>
    </row>
    <row r="173" spans="2:3">
      <c r="B173" t="str">
        <f>"fa:fa-"&amp;icon[[#This Row],[Display]]</f>
        <v>fa:fa-id-card</v>
      </c>
      <c r="C173" t="s">
        <v>292</v>
      </c>
    </row>
    <row r="174" spans="2:3">
      <c r="B174" t="str">
        <f>"fa:fa-"&amp;icon[[#This Row],[Display]]</f>
        <v>fa:fa-frown</v>
      </c>
      <c r="C174" t="s">
        <v>293</v>
      </c>
    </row>
    <row r="175" spans="2:3">
      <c r="B175" t="str">
        <f>"fa:fa-"&amp;icon[[#This Row],[Display]]</f>
        <v>fa:fa-smile</v>
      </c>
      <c r="C175" t="s">
        <v>294</v>
      </c>
    </row>
    <row r="176" spans="2:3">
      <c r="B176" t="str">
        <f>"fa:fa-"&amp;icon[[#This Row],[Display]]</f>
        <v>fa:fa-meh</v>
      </c>
      <c r="C176" t="s">
        <v>295</v>
      </c>
    </row>
    <row r="177" spans="2:3">
      <c r="B177" t="str">
        <f>"fa:fa-"&amp;icon[[#This Row],[Display]]</f>
        <v>fa:fa-poo</v>
      </c>
      <c r="C177" t="s">
        <v>296</v>
      </c>
    </row>
    <row r="178" spans="2:3">
      <c r="B178" t="str">
        <f>"fa:fa-"&amp;icon[[#This Row],[Display]]</f>
        <v>fa:fa-id-card-alt</v>
      </c>
      <c r="C178" t="s">
        <v>297</v>
      </c>
    </row>
    <row r="179" spans="2:3">
      <c r="B179" s="16" t="str">
        <f>"fa:fa-"&amp;icon[[#This Row],[Display]]</f>
        <v>fa:fa-recycle</v>
      </c>
      <c r="C179" t="s">
        <v>298</v>
      </c>
    </row>
    <row r="180" spans="2:3">
      <c r="B180" s="16" t="str">
        <f>"fa:fa-"&amp;icon[[#This Row],[Display]]</f>
        <v>fa:fa-user-circle</v>
      </c>
      <c r="C180" t="s">
        <v>299</v>
      </c>
    </row>
    <row r="181" spans="2:3">
      <c r="B181" s="16" t="str">
        <f>"fa:fa-"&amp;icon[[#This Row],[Display]]</f>
        <v>fa:fa-user-edit</v>
      </c>
      <c r="C181" t="s">
        <v>300</v>
      </c>
    </row>
    <row r="182" spans="2:3">
      <c r="B182" s="16" t="str">
        <f>"fa:fa-"&amp;icon[[#This Row],[Display]]</f>
        <v>fa:fa-user-cog</v>
      </c>
      <c r="C182" t="s">
        <v>301</v>
      </c>
    </row>
    <row r="183" spans="2:3">
      <c r="B183" s="16" t="str">
        <f>"fa:fa-"&amp;icon[[#This Row],[Display]]</f>
        <v>fa:fa-user-plus</v>
      </c>
      <c r="C183" t="s">
        <v>302</v>
      </c>
    </row>
    <row r="184" spans="2:3">
      <c r="B184" s="16" t="str">
        <f>"fa:fa-"&amp;icon[[#This Row],[Display]]</f>
        <v>fa:fa-user-minus</v>
      </c>
      <c r="C184" t="s">
        <v>303</v>
      </c>
    </row>
    <row r="185" spans="2:3">
      <c r="B185" s="16" t="str">
        <f>"fa:fa-"&amp;icon[[#This Row],[Display]]</f>
        <v>fa:fa-user-tie</v>
      </c>
      <c r="C185" t="s">
        <v>304</v>
      </c>
    </row>
    <row r="186" spans="2:3">
      <c r="B186" s="16" t="str">
        <f>"fa:fa-"&amp;icon[[#This Row],[Display]]</f>
        <v>fa:fa-users</v>
      </c>
      <c r="C186" t="s">
        <v>305</v>
      </c>
    </row>
    <row r="187" spans="2:3">
      <c r="B187" s="16" t="str">
        <f>"fa:fa-"&amp;icon[[#This Row],[Display]]</f>
        <v>fa:fa-bolt</v>
      </c>
      <c r="C187" t="s">
        <v>306</v>
      </c>
    </row>
    <row r="188" spans="2:3">
      <c r="B188" s="16" t="str">
        <f>"fa:fa-"&amp;icon[[#This Row],[Display]]</f>
        <v>fa:fa-cloud-rain</v>
      </c>
      <c r="C188" t="s">
        <v>307</v>
      </c>
    </row>
    <row r="189" spans="2:3">
      <c r="B189" s="16" t="str">
        <f>"fa:fa-"&amp;icon[[#This Row],[Display]]</f>
        <v>fa:fa-snowflake</v>
      </c>
      <c r="C189" t="s">
        <v>308</v>
      </c>
    </row>
    <row r="190" spans="2:3">
      <c r="B190" s="16" t="str">
        <f>"fa:fa-"&amp;icon[[#This Row],[Display]]</f>
        <v>fa:fa-water</v>
      </c>
      <c r="C190" t="s">
        <v>309</v>
      </c>
    </row>
    <row r="191" spans="2:3">
      <c r="B191" s="16" t="str">
        <f>"fa:fa-"&amp;icon[[#This Row],[Display]]</f>
        <v>fa:fa-wind</v>
      </c>
      <c r="C191" t="s">
        <v>310</v>
      </c>
    </row>
  </sheetData>
  <dataValidations disablePrompts="1"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※ entity</vt:lpstr>
      <vt:lpstr>📆 gantt</vt:lpstr>
      <vt:lpstr>🔀 flow</vt:lpstr>
      <vt:lpstr>zenUML</vt:lpstr>
      <vt:lpstr>🔳 quadrant</vt:lpstr>
      <vt:lpstr>🔢 sequence</vt:lpstr>
      <vt:lpstr>🔄 simpleState</vt:lpstr>
      <vt:lpstr>🔢 simpleSequence</vt:lpstr>
      <vt:lpstr>seqHelper</vt:lpstr>
      <vt:lpstr>erdv2Helper</vt:lpstr>
      <vt:lpstr>supporting tables</vt:lpstr>
      <vt:lpstr>'※ entity'!erdDefaultRelationship</vt:lpstr>
      <vt:lpstr>seqHelper!erdv2Attr</vt:lpstr>
      <vt:lpstr>erdv2Attr</vt:lpstr>
      <vt:lpstr>stateDir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2024-04-30T16:19:30Z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