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d\Documents\"/>
    </mc:Choice>
  </mc:AlternateContent>
  <xr:revisionPtr revIDLastSave="0" documentId="13_ncr:1_{D6D94EA2-B5B2-41D4-9F78-5D9A2C14812F}" xr6:coauthVersionLast="47" xr6:coauthVersionMax="47" xr10:uidLastSave="{00000000-0000-0000-0000-000000000000}"/>
  <bookViews>
    <workbookView xWindow="2910" yWindow="1215" windowWidth="20775" windowHeight="12375" activeTab="5" xr2:uid="{8F49FD30-7952-4E35-A80C-C726F0652808}"/>
  </bookViews>
  <sheets>
    <sheet name="Notes " sheetId="1" r:id="rId1"/>
    <sheet name="DCF" sheetId="2" r:id="rId2"/>
    <sheet name="Assumptions" sheetId="8" r:id="rId3"/>
    <sheet name="Income Statement" sheetId="6" r:id="rId4"/>
    <sheet name="Cash Flow" sheetId="7" r:id="rId5"/>
    <sheet name="WACC" sheetId="9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4" i="2" l="1"/>
  <c r="Q84" i="2" s="1"/>
  <c r="O84" i="2"/>
  <c r="N84" i="2"/>
  <c r="M84" i="2"/>
  <c r="M83" i="2"/>
  <c r="E14" i="8"/>
  <c r="E13" i="8"/>
  <c r="C17" i="9"/>
  <c r="C21" i="9" s="1"/>
  <c r="K13" i="8" s="1"/>
  <c r="N72" i="2"/>
  <c r="O72" i="2" s="1"/>
  <c r="P72" i="2" s="1"/>
  <c r="Q72" i="2" s="1"/>
  <c r="M72" i="2"/>
  <c r="L72" i="2"/>
  <c r="M60" i="2"/>
  <c r="N60" i="2"/>
  <c r="O60" i="2"/>
  <c r="P60" i="2"/>
  <c r="Q60" i="2"/>
  <c r="L60" i="2"/>
  <c r="Q63" i="2"/>
  <c r="P63" i="2"/>
  <c r="O63" i="2"/>
  <c r="N63" i="2"/>
  <c r="M63" i="2"/>
  <c r="L63" i="2"/>
  <c r="Q61" i="2"/>
  <c r="P61" i="2"/>
  <c r="O61" i="2"/>
  <c r="N61" i="2"/>
  <c r="M61" i="2"/>
  <c r="L61" i="2"/>
  <c r="M62" i="2"/>
  <c r="N62" i="2"/>
  <c r="O62" i="2"/>
  <c r="P62" i="2"/>
  <c r="Q62" i="2"/>
  <c r="L62" i="2"/>
  <c r="M66" i="2"/>
  <c r="N66" i="2"/>
  <c r="O66" i="2"/>
  <c r="P66" i="2"/>
  <c r="Q66" i="2"/>
  <c r="L66" i="2"/>
  <c r="Q69" i="2"/>
  <c r="P69" i="2"/>
  <c r="O69" i="2"/>
  <c r="N69" i="2"/>
  <c r="M69" i="2"/>
  <c r="Q67" i="2"/>
  <c r="P67" i="2"/>
  <c r="O67" i="2"/>
  <c r="N67" i="2"/>
  <c r="M67" i="2"/>
  <c r="M68" i="2"/>
  <c r="N68" i="2"/>
  <c r="O68" i="2"/>
  <c r="P68" i="2"/>
  <c r="Q68" i="2"/>
  <c r="L67" i="2"/>
  <c r="L69" i="2"/>
  <c r="L68" i="2"/>
  <c r="Q52" i="2"/>
  <c r="N52" i="2"/>
  <c r="O52" i="2" s="1"/>
  <c r="P52" i="2" s="1"/>
  <c r="M52" i="2"/>
  <c r="L52" i="2"/>
  <c r="Q45" i="2"/>
  <c r="M45" i="2"/>
  <c r="N45" i="2"/>
  <c r="O45" i="2"/>
  <c r="P45" i="2"/>
  <c r="L45" i="2"/>
  <c r="P48" i="2"/>
  <c r="O48" i="2"/>
  <c r="O47" i="2"/>
  <c r="Q48" i="2"/>
  <c r="Q46" i="2"/>
  <c r="N48" i="2"/>
  <c r="N46" i="2"/>
  <c r="M48" i="2"/>
  <c r="M46" i="2"/>
  <c r="L48" i="2"/>
  <c r="L46" i="2"/>
  <c r="M47" i="2"/>
  <c r="N47" i="2"/>
  <c r="P47" i="2"/>
  <c r="Q47" i="2"/>
  <c r="L47" i="2"/>
  <c r="M38" i="2"/>
  <c r="N38" i="2"/>
  <c r="O38" i="2"/>
  <c r="P38" i="2"/>
  <c r="Q38" i="2"/>
  <c r="L38" i="2"/>
  <c r="L37" i="2" s="1"/>
  <c r="L71" i="2" s="1"/>
  <c r="O41" i="2"/>
  <c r="P41" i="2" s="1"/>
  <c r="O40" i="2"/>
  <c r="P40" i="2" s="1"/>
  <c r="O39" i="2"/>
  <c r="P39" i="2" s="1"/>
  <c r="Q41" i="2"/>
  <c r="N41" i="2"/>
  <c r="N39" i="2"/>
  <c r="Q39" i="2"/>
  <c r="M41" i="2"/>
  <c r="M39" i="2"/>
  <c r="P6" i="2"/>
  <c r="N40" i="2"/>
  <c r="M40" i="2"/>
  <c r="L41" i="2"/>
  <c r="L39" i="2"/>
  <c r="L40" i="2"/>
  <c r="E72" i="2"/>
  <c r="F72" i="2"/>
  <c r="G72" i="2"/>
  <c r="H72" i="2"/>
  <c r="I72" i="2"/>
  <c r="J72" i="2"/>
  <c r="K72" i="2"/>
  <c r="D72" i="2"/>
  <c r="D66" i="2"/>
  <c r="E66" i="2"/>
  <c r="F66" i="2"/>
  <c r="G66" i="2"/>
  <c r="H66" i="2"/>
  <c r="I66" i="2"/>
  <c r="J66" i="2"/>
  <c r="K66" i="2"/>
  <c r="C66" i="2"/>
  <c r="D71" i="2"/>
  <c r="E71" i="2"/>
  <c r="F71" i="2"/>
  <c r="G71" i="2"/>
  <c r="H71" i="2"/>
  <c r="I71" i="2"/>
  <c r="J71" i="2"/>
  <c r="K71" i="2"/>
  <c r="C71" i="2"/>
  <c r="D65" i="2"/>
  <c r="E65" i="2"/>
  <c r="F65" i="2"/>
  <c r="G65" i="2"/>
  <c r="H65" i="2"/>
  <c r="I65" i="2"/>
  <c r="J65" i="2"/>
  <c r="K65" i="2"/>
  <c r="C65" i="2"/>
  <c r="K60" i="2"/>
  <c r="D60" i="2"/>
  <c r="E60" i="2"/>
  <c r="F60" i="2"/>
  <c r="G60" i="2"/>
  <c r="H60" i="2"/>
  <c r="I60" i="2"/>
  <c r="J60" i="2"/>
  <c r="C60" i="2"/>
  <c r="D59" i="2"/>
  <c r="E59" i="2"/>
  <c r="F59" i="2"/>
  <c r="G59" i="2"/>
  <c r="H59" i="2"/>
  <c r="I59" i="2"/>
  <c r="J59" i="2"/>
  <c r="K59" i="2"/>
  <c r="C59" i="2"/>
  <c r="D52" i="2"/>
  <c r="E52" i="2"/>
  <c r="F52" i="2"/>
  <c r="G52" i="2"/>
  <c r="H52" i="2"/>
  <c r="I52" i="2"/>
  <c r="J52" i="2"/>
  <c r="K52" i="2"/>
  <c r="C52" i="2"/>
  <c r="D51" i="2"/>
  <c r="E51" i="2"/>
  <c r="F51" i="2"/>
  <c r="G51" i="2"/>
  <c r="H51" i="2"/>
  <c r="I51" i="2"/>
  <c r="J51" i="2"/>
  <c r="K51" i="2"/>
  <c r="C51" i="2"/>
  <c r="D45" i="2"/>
  <c r="E45" i="2"/>
  <c r="F45" i="2"/>
  <c r="G45" i="2"/>
  <c r="H45" i="2"/>
  <c r="I45" i="2"/>
  <c r="J45" i="2"/>
  <c r="K45" i="2"/>
  <c r="C45" i="2"/>
  <c r="D44" i="2"/>
  <c r="E44" i="2"/>
  <c r="F44" i="2"/>
  <c r="G44" i="2"/>
  <c r="H44" i="2"/>
  <c r="I44" i="2"/>
  <c r="J44" i="2"/>
  <c r="K44" i="2"/>
  <c r="C44" i="2"/>
  <c r="E38" i="2"/>
  <c r="F38" i="2"/>
  <c r="G38" i="2"/>
  <c r="H38" i="2"/>
  <c r="I38" i="2"/>
  <c r="J38" i="2"/>
  <c r="K38" i="2"/>
  <c r="D38" i="2"/>
  <c r="K37" i="2"/>
  <c r="F37" i="2"/>
  <c r="G37" i="2"/>
  <c r="H37" i="2"/>
  <c r="I37" i="2"/>
  <c r="J37" i="2"/>
  <c r="D37" i="2"/>
  <c r="E37" i="2"/>
  <c r="C37" i="2"/>
  <c r="E31" i="2"/>
  <c r="F31" i="2"/>
  <c r="G31" i="2"/>
  <c r="H31" i="2"/>
  <c r="I31" i="2"/>
  <c r="J31" i="2"/>
  <c r="K31" i="2"/>
  <c r="D31" i="2"/>
  <c r="D30" i="2"/>
  <c r="E30" i="2"/>
  <c r="F30" i="2"/>
  <c r="G30" i="2"/>
  <c r="H30" i="2"/>
  <c r="I30" i="2"/>
  <c r="J30" i="2"/>
  <c r="K30" i="2"/>
  <c r="C30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3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2" i="2"/>
  <c r="Q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C27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4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0" i="2"/>
  <c r="D6" i="2"/>
  <c r="E6" i="2"/>
  <c r="F6" i="2"/>
  <c r="G6" i="2"/>
  <c r="H6" i="2"/>
  <c r="I6" i="2"/>
  <c r="J6" i="2"/>
  <c r="K6" i="2"/>
  <c r="L6" i="2"/>
  <c r="M6" i="2"/>
  <c r="N6" i="2"/>
  <c r="O6" i="2"/>
  <c r="Q6" i="2"/>
  <c r="N3" i="7"/>
  <c r="O3" i="7"/>
  <c r="P3" i="7" s="1"/>
  <c r="D3" i="7"/>
  <c r="E3" i="7"/>
  <c r="F3" i="7" s="1"/>
  <c r="G3" i="7" s="1"/>
  <c r="H3" i="7" s="1"/>
  <c r="I3" i="7" s="1"/>
  <c r="J3" i="7" s="1"/>
  <c r="K3" i="7" s="1"/>
  <c r="L3" i="7" s="1"/>
  <c r="M3" i="7" s="1"/>
  <c r="C3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C2" i="6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L65" i="2" l="1"/>
  <c r="L59" i="2" s="1"/>
  <c r="L44" i="2"/>
  <c r="M37" i="2"/>
  <c r="M71" i="2" s="1"/>
  <c r="M65" i="2" l="1"/>
  <c r="M59" i="2" s="1"/>
  <c r="L51" i="2"/>
  <c r="L57" i="2" s="1"/>
  <c r="L78" i="2" s="1"/>
  <c r="N37" i="2"/>
  <c r="N71" i="2" s="1"/>
  <c r="M44" i="2"/>
  <c r="O46" i="2"/>
  <c r="P46" i="2"/>
  <c r="N65" i="2" l="1"/>
  <c r="N59" i="2" s="1"/>
  <c r="M51" i="2"/>
  <c r="M57" i="2" s="1"/>
  <c r="O37" i="2"/>
  <c r="O71" i="2" s="1"/>
  <c r="N44" i="2"/>
  <c r="M78" i="2" l="1"/>
  <c r="M80" i="2" s="1"/>
  <c r="O65" i="2"/>
  <c r="O59" i="2" s="1"/>
  <c r="N51" i="2"/>
  <c r="N57" i="2" s="1"/>
  <c r="N78" i="2" s="1"/>
  <c r="N80" i="2" s="1"/>
  <c r="P37" i="2"/>
  <c r="P71" i="2" s="1"/>
  <c r="O44" i="2"/>
  <c r="P65" i="2" l="1"/>
  <c r="P59" i="2" s="1"/>
  <c r="O51" i="2"/>
  <c r="O57" i="2" s="1"/>
  <c r="O78" i="2" s="1"/>
  <c r="O80" i="2" s="1"/>
  <c r="Q37" i="2"/>
  <c r="Q71" i="2" s="1"/>
  <c r="P44" i="2"/>
  <c r="Q44" i="2" l="1"/>
  <c r="Q51" i="2" s="1"/>
  <c r="Q57" i="2" s="1"/>
  <c r="Q65" i="2"/>
  <c r="Q59" i="2" s="1"/>
  <c r="P51" i="2"/>
  <c r="P57" i="2" s="1"/>
  <c r="P78" i="2" s="1"/>
  <c r="P80" i="2" s="1"/>
  <c r="Q78" i="2" l="1"/>
  <c r="Q95" i="2" s="1"/>
  <c r="Q96" i="2" s="1"/>
  <c r="Q80" i="2" l="1"/>
  <c r="Q99" i="2" s="1"/>
  <c r="Q102" i="2" s="1"/>
  <c r="Q10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tc={A37EB412-08E3-4956-A494-14AEE33AC375}</author>
  </authors>
  <commentList>
    <comment ref="C32" authorId="0" shapeId="0" xr:uid="{A37EB412-08E3-4956-A494-14AEE33AC3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Privacy issues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tc={ABE01663-5AEA-443D-A38A-7C4CE143866A}</author>
    <author>tc={D4D7EF72-1E2B-4632-B285-3DA8D02A2CA4}</author>
    <author>tc={C3EE0788-6A71-4EAA-8343-D72E92539CE9}</author>
    <author>tc={96E87EDA-308D-42DA-9D39-94DDCD5B2B9E}</author>
    <author>tc={DB581F02-17BF-48DB-9F39-AB2F11803353}</author>
    <author>tc={DA7AF3BD-F552-48A4-86F2-29DA7303F0A1}</author>
    <author>tc={1F4F96E6-B977-4960-8F3B-C3C898E80326}</author>
    <author>tc={5448390B-1E7F-46FA-A1A9-03E487B00190}</author>
  </authors>
  <commentList>
    <comment ref="N6" authorId="0" shapeId="0" xr:uid="{ABE01663-5AEA-443D-A38A-7C4CE14386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what the street thinks is aggressive?
</t>
      </text>
    </comment>
    <comment ref="N10" authorId="1" shapeId="0" xr:uid="{D4D7EF72-1E2B-4632-B285-3DA8D02A2C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Historically good cash flow, growth is steady, etc
</t>
      </text>
    </comment>
    <comment ref="A26" authorId="2" shapeId="0" xr:uid="{C3EE0788-6A71-4EAA-8343-D72E92539CE9}">
      <text>
        <t>[Threaded comment]
Your version of Excel allows you to read this threaded comment; however, any edits to it will get removed if the file is opened in a newer version of Excel. Learn more: https://go.microsoft.com/fwlink/?linkid=870924
Comment:
    Capex numbers are crazy - Zuck building the metaverse ecosystem, etc?</t>
      </text>
    </comment>
    <comment ref="M40" authorId="3" shapeId="0" xr:uid="{96E87EDA-308D-42DA-9D39-94DDCD5B2B9E}">
      <text>
        <t>[Threaded comment]
Your version of Excel allows you to read this threaded comment; however, any edits to it will get removed if the file is opened in a newer version of Excel. Learn more: https://go.microsoft.com/fwlink/?linkid=870924
Comment:
    Slowdown, recession, etc?</t>
      </text>
    </comment>
    <comment ref="A68" authorId="4" shapeId="0" xr:uid="{DB581F02-17BF-48DB-9F39-AB2F1180335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you can make sense of capex growth decreasing overtime</t>
      </text>
    </comment>
    <comment ref="A71" authorId="5" shapeId="0" xr:uid="{DA7AF3BD-F552-48A4-86F2-29DA7303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Really unpredictable and look odd</t>
      </text>
    </comment>
    <comment ref="M83" authorId="6" shapeId="0" xr:uid="{1F4F96E6-B977-4960-8F3B-C3C898E803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"years" left in 2023
</t>
      </text>
    </comment>
    <comment ref="C107" authorId="7" shapeId="0" xr:uid="{5448390B-1E7F-46FA-A1A9-03E487B001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im being too conservative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tc={31B58172-34EA-4DAD-843D-87232600594E}</author>
    <author>tc={E8B7FC94-7AD8-4295-991A-A6B5A878BB64}</author>
  </authors>
  <commentList>
    <comment ref="H9" authorId="0" shapeId="0" xr:uid="{31B58172-34EA-4DAD-843D-8723260059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Super conservative, probably </t>
      </text>
    </comment>
    <comment ref="K13" authorId="1" shapeId="0" xr:uid="{E8B7FC94-7AD8-4295-991A-A6B5A878BB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Factset believes it to be 7.7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tc={F88DAA26-985F-47FB-80AA-22F76044F916}</author>
    <author>tc={718B86A2-8A34-4B5D-A4DD-DBFF06DC8571}</author>
    <author>tc={64EC2243-94A2-425A-A804-07E797D4BAC9}</author>
  </authors>
  <commentList>
    <comment ref="B9" authorId="0" shapeId="0" xr:uid="{F88DAA26-985F-47FB-80AA-22F76044F9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10-yr treasury yield
</t>
      </text>
    </comment>
    <comment ref="B11" authorId="1" shapeId="0" xr:uid="{718B86A2-8A34-4B5D-A4DD-DBFF06DC8571}">
      <text>
        <t>[Threaded comment]
Your version of Excel allows you to read this threaded comment; however, any edits to it will get removed if the file is opened in a newer version of Excel. Learn more: https://go.microsoft.com/fwlink/?linkid=870924
Comment:
    Aswath D.</t>
      </text>
    </comment>
    <comment ref="C21" authorId="2" shapeId="0" xr:uid="{64EC2243-94A2-425A-A804-07E797D4BA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Factset believes it to be 7.7
</t>
      </text>
    </comment>
  </commentList>
</comments>
</file>

<file path=xl/sharedStrings.xml><?xml version="1.0" encoding="utf-8"?>
<sst xmlns="http://schemas.openxmlformats.org/spreadsheetml/2006/main" count="211" uniqueCount="121">
  <si>
    <t>Ticker</t>
  </si>
  <si>
    <t>Date</t>
  </si>
  <si>
    <t>META</t>
  </si>
  <si>
    <t>Debt</t>
  </si>
  <si>
    <t>Assumptions</t>
  </si>
  <si>
    <t>Bull Case</t>
  </si>
  <si>
    <t>Bear Case</t>
  </si>
  <si>
    <t>2. Competition is fierce with TikTok continuing to dominate when it comes to advertising</t>
  </si>
  <si>
    <t>3. Reality Labs is burning through cash, will Metaverse and other developments pay off?</t>
  </si>
  <si>
    <t>4. Meta and Zuck have been involved in a number of lawsuits, anti-trust cases, etc</t>
  </si>
  <si>
    <t>5. Growth for Meta is over? They must pivot from original business model?</t>
  </si>
  <si>
    <t>1. Future TikTok ban opens doors for Meta's growth</t>
  </si>
  <si>
    <t>2. Metaverse payoff?  Potential to capitalize on new growth areas</t>
  </si>
  <si>
    <t xml:space="preserve">7. Decline in user activity </t>
  </si>
  <si>
    <t>8. Regulatory headwinds</t>
  </si>
  <si>
    <t xml:space="preserve">3. Acceleration in Instagram Reels </t>
  </si>
  <si>
    <t>4. Still a super strong business model with free cash flow</t>
  </si>
  <si>
    <t>6. Daily Active users - up 2% YoY</t>
  </si>
  <si>
    <t>5. Monthly Active users - 2.96 billion, September 30, 2022, an increase of 2% YoY</t>
  </si>
  <si>
    <t>Income Statement</t>
  </si>
  <si>
    <t>q</t>
  </si>
  <si>
    <t>Revenue</t>
  </si>
  <si>
    <t>% growth</t>
  </si>
  <si>
    <t>EBIT</t>
  </si>
  <si>
    <t>% of sales</t>
  </si>
  <si>
    <t>Taxes</t>
  </si>
  <si>
    <t>% of EBIT</t>
  </si>
  <si>
    <t>Cash Flow Items</t>
  </si>
  <si>
    <t xml:space="preserve"> </t>
  </si>
  <si>
    <t>D&amp;A</t>
  </si>
  <si>
    <t>% of CapEx</t>
  </si>
  <si>
    <t>Capital Expenditures</t>
  </si>
  <si>
    <t>% of Change in Sales</t>
  </si>
  <si>
    <t>DCF</t>
  </si>
  <si>
    <t>%  of growth</t>
  </si>
  <si>
    <t>Sales</t>
  </si>
  <si>
    <t>Cost of Sales</t>
  </si>
  <si>
    <t>Organic Growth</t>
  </si>
  <si>
    <t xml:space="preserve">META </t>
  </si>
  <si>
    <t>Gross income</t>
  </si>
  <si>
    <t>SG&amp;A</t>
  </si>
  <si>
    <t>Selling &amp; Marketing Expense</t>
  </si>
  <si>
    <t>General &amp; Admin Expense</t>
  </si>
  <si>
    <t>Research &amp; Development</t>
  </si>
  <si>
    <t>EBITDA</t>
  </si>
  <si>
    <t>EBITDA Non-GAAP</t>
  </si>
  <si>
    <t>EBITDA GAAP</t>
  </si>
  <si>
    <t>Interest Expense</t>
  </si>
  <si>
    <t>Operating Income</t>
  </si>
  <si>
    <t>Operating Income - Non GAAP</t>
  </si>
  <si>
    <t>Operating Income - GAAP</t>
  </si>
  <si>
    <t>Pretax Income</t>
  </si>
  <si>
    <t>Pretax Income - Non GAAP</t>
  </si>
  <si>
    <t>Pretax Income - GAAP</t>
  </si>
  <si>
    <t>Tax Expense</t>
  </si>
  <si>
    <t>Net income</t>
  </si>
  <si>
    <t>Net income - Non GAAP</t>
  </si>
  <si>
    <t>Net income - GAAP</t>
  </si>
  <si>
    <t xml:space="preserve">December </t>
  </si>
  <si>
    <t>-</t>
  </si>
  <si>
    <t>Cash Flow (M)</t>
  </si>
  <si>
    <t>Unlevered Free Cash Flow</t>
  </si>
  <si>
    <t>Cash Flow from Operations</t>
  </si>
  <si>
    <t>Cash Flow from Investing</t>
  </si>
  <si>
    <t xml:space="preserve">Cash Flow from Financing </t>
  </si>
  <si>
    <t>Share Repurchase</t>
  </si>
  <si>
    <t xml:space="preserve">Depreciation </t>
  </si>
  <si>
    <t>INCOME STATEMENT &amp; CASH FLOW PULLED FROM FACTSET</t>
  </si>
  <si>
    <t>FCF</t>
  </si>
  <si>
    <t>EBIAT</t>
  </si>
  <si>
    <t>Change in NWC</t>
  </si>
  <si>
    <t>% of change in Sales</t>
  </si>
  <si>
    <t>Unlevered FCF</t>
  </si>
  <si>
    <t xml:space="preserve">            Conservative Case</t>
  </si>
  <si>
    <t xml:space="preserve">            Base Case (Street)</t>
  </si>
  <si>
    <t xml:space="preserve">           Optimistic Case</t>
  </si>
  <si>
    <t>CapEx</t>
  </si>
  <si>
    <t>Switches</t>
  </si>
  <si>
    <t>WACC</t>
  </si>
  <si>
    <t>TGR</t>
  </si>
  <si>
    <t>Conservative</t>
  </si>
  <si>
    <t>Revenue 2023</t>
  </si>
  <si>
    <t>Revenue 2027</t>
  </si>
  <si>
    <t>EBIT 2023</t>
  </si>
  <si>
    <t>EBIT 2027</t>
  </si>
  <si>
    <t>Street / Base</t>
  </si>
  <si>
    <t xml:space="preserve">Optimistic </t>
  </si>
  <si>
    <t>Revenue 2024</t>
  </si>
  <si>
    <t>CapEx Trend</t>
  </si>
  <si>
    <t>D&amp;A Trend</t>
  </si>
  <si>
    <t>PV of UFCF</t>
  </si>
  <si>
    <t>Terminal Value</t>
  </si>
  <si>
    <t>PV of Terminal Value</t>
  </si>
  <si>
    <t>Enterprise Value</t>
  </si>
  <si>
    <t>(+) Cash</t>
  </si>
  <si>
    <t>(-) Debt</t>
  </si>
  <si>
    <t>Equity Value</t>
  </si>
  <si>
    <t>Shares Outstanding</t>
  </si>
  <si>
    <t>Implied Share Price</t>
  </si>
  <si>
    <t>MC</t>
  </si>
  <si>
    <t>% of Equity</t>
  </si>
  <si>
    <t>Cost of Equity</t>
  </si>
  <si>
    <t>Risk Free Rate</t>
  </si>
  <si>
    <t>Beta</t>
  </si>
  <si>
    <t>Market Risk Premium</t>
  </si>
  <si>
    <t>% of Debt</t>
  </si>
  <si>
    <t>Cost of Debt</t>
  </si>
  <si>
    <t>Tax Rate</t>
  </si>
  <si>
    <t xml:space="preserve">Total </t>
  </si>
  <si>
    <t>https://pages.stern.nyu.edu/~adamodar/</t>
  </si>
  <si>
    <t>Implied ERP on Jan 1, 2023 = 5.11% (Trailing 12 month, with adjusted payout); 5.94% (Trailing 12 month cash yield); 5.85% (Average CF yield last 10 years)</t>
  </si>
  <si>
    <t>5.68% (Net cash yield); 4.83% (Normalized Earnings &amp; Payout)</t>
  </si>
  <si>
    <t>wacc</t>
  </si>
  <si>
    <t>Discount Period</t>
  </si>
  <si>
    <t>Initial Discount Period</t>
  </si>
  <si>
    <t>Implied Share price</t>
  </si>
  <si>
    <t>Current Share price</t>
  </si>
  <si>
    <t>(I going look look into utility of metaverse projects more - this seems unknown as of now)</t>
  </si>
  <si>
    <t>6. Meta taking on 10B of debt in August 2022, is the cash cow dying?</t>
  </si>
  <si>
    <t xml:space="preserve">1. Free cash flow in danger with exponential increase in CapEx, what's the upside to this?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</si>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</sst>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3" fontId="0" fillId="0" borderId="0" xfId="0" applyNumberFormat="1"/>
    <xf numFmtId="9" fontId="0" fillId="0" borderId="0" xfId="1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43" fontId="0" fillId="0" borderId="0" xfId="2" applyFont="1"/>
    <xf numFmtId="0" fontId="4" fillId="0" borderId="0" xfId="0" applyFont="1"/>
    <xf numFmtId="0" fontId="7" fillId="0" borderId="0" xfId="0" applyFont="1"/>
    <xf numFmtId="3" fontId="8" fillId="0" borderId="0" xfId="0" applyNumberFormat="1" applyFont="1"/>
    <xf numFmtId="9" fontId="0" fillId="0" borderId="0" xfId="0" applyNumberFormat="1"/>
    <xf numFmtId="0" fontId="9" fillId="0" borderId="0" xfId="0" applyFont="1"/>
    <xf numFmtId="10" fontId="0" fillId="0" borderId="0" xfId="0" applyNumberFormat="1"/>
    <xf numFmtId="0" fontId="10" fillId="0" borderId="0" xfId="3"/>
    <xf numFmtId="0" fontId="11" fillId="0" borderId="0" xfId="0" applyFont="1" applyAlignment="1">
      <alignment vertical="center" wrapText="1"/>
    </xf>
    <xf numFmtId="1" fontId="0" fillId="0" borderId="0" xfId="0" applyNumberForma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4</xdr:row>
      <xdr:rowOff>94530</xdr:rowOff>
    </xdr:from>
    <xdr:to>
      <xdr:col>24</xdr:col>
      <xdr:colOff>161925</xdr:colOff>
      <xdr:row>24</xdr:row>
      <xdr:rowOff>0</xdr:rowOff>
    </xdr:to>
    <xdr:pic>
      <xdr:nvPicPr>
        <xdr:cNvPr id="2" name="Picture 1" descr="Meta Platforms Stock: There's Blood In The Streets At 14x Earnings |  Seeking Alpha">
          <a:extLst>
            <a:ext uri="{FF2B5EF4-FFF2-40B4-BE49-F238E27FC236}">
              <a16:creationId xmlns:a16="http://schemas.microsoft.com/office/drawing/2014/main" id="{502D26D8-861E-AF34-44CC-A4035379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856530"/>
          <a:ext cx="5657850" cy="3715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bdeep Gill" id="{597A27FF-6795-42E4-815C-C7F13B31191A}" userId="Prabdeep Gi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2" dT="2023-01-06T20:45:22.64" personId="{597A27FF-6795-42E4-815C-C7F13B31191A}" id="{A37EB412-08E3-4956-A494-14AEE33AC375}">
    <text xml:space="preserve">Privacy issues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6" dT="2023-01-28T16:41:08.67" personId="{597A27FF-6795-42E4-815C-C7F13B31191A}" id="{ABE01663-5AEA-443D-A38A-7C4CE143866A}">
    <text xml:space="preserve">Maybe what the street thinks is aggressive?
</text>
  </threadedComment>
  <threadedComment ref="N10" dT="2023-01-28T01:19:30.31" personId="{597A27FF-6795-42E4-815C-C7F13B31191A}" id="{D4D7EF72-1E2B-4632-B285-3DA8D02A2CA4}">
    <text xml:space="preserve">Historically good cash flow, growth is steady, etc
</text>
  </threadedComment>
  <threadedComment ref="A26" dT="2023-01-28T18:11:46.65" personId="{597A27FF-6795-42E4-815C-C7F13B31191A}" id="{C3EE0788-6A71-4EAA-8343-D72E92539CE9}">
    <text>Capex numbers are crazy - Zuck building the metaverse ecosystem, etc?</text>
  </threadedComment>
  <threadedComment ref="M40" dT="2023-01-28T16:47:09.70" personId="{597A27FF-6795-42E4-815C-C7F13B31191A}" id="{96E87EDA-308D-42DA-9D39-94DDCD5B2B9E}">
    <text>Slowdown, recession, etc?</text>
  </threadedComment>
  <threadedComment ref="A68" dT="2023-01-28T19:18:45.71" personId="{597A27FF-6795-42E4-815C-C7F13B31191A}" id="{DB581F02-17BF-48DB-9F39-AB2F11803353}">
    <text>I think you can make sense of capex growth decreasing overtime</text>
  </threadedComment>
  <threadedComment ref="A71" dT="2023-01-28T19:19:06.69" personId="{597A27FF-6795-42E4-815C-C7F13B31191A}" id="{DA7AF3BD-F552-48A4-86F2-29DA7303F0A1}">
    <text>Really unpredictable and look odd</text>
  </threadedComment>
  <threadedComment ref="M83" dT="2023-01-28T21:30:45.85" personId="{597A27FF-6795-42E4-815C-C7F13B31191A}" id="{1F4F96E6-B977-4960-8F3B-C3C898E80326}">
    <text xml:space="preserve">"years" left in 2023
</text>
  </threadedComment>
  <threadedComment ref="C107" dT="2023-01-28T22:07:16.62" personId="{597A27FF-6795-42E4-815C-C7F13B31191A}" id="{5448390B-1E7F-46FA-A1A9-03E487B00190}">
    <text xml:space="preserve">Maybe im being too conservative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9" dT="2023-01-28T17:30:14.01" personId="{597A27FF-6795-42E4-815C-C7F13B31191A}" id="{31B58172-34EA-4DAD-843D-87232600594E}">
    <text xml:space="preserve">Super conservative, probably </text>
  </threadedComment>
  <threadedComment ref="K13" dT="2023-01-28T21:22:08.27" personId="{597A27FF-6795-42E4-815C-C7F13B31191A}" id="{E8B7FC94-7AD8-4295-991A-A6B5A878BB64}">
    <text xml:space="preserve">Factset believes it to be 7.7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3-01-28T21:02:03.58" personId="{597A27FF-6795-42E4-815C-C7F13B31191A}" id="{F88DAA26-985F-47FB-80AA-22F76044F916}">
    <text xml:space="preserve">10-yr treasury yield
</text>
  </threadedComment>
  <threadedComment ref="B11" dT="2023-01-28T21:03:09.28" personId="{597A27FF-6795-42E4-815C-C7F13B31191A}" id="{718B86A2-8A34-4B5D-A4DD-DBFF06DC8571}">
    <text>Aswath D.</text>
  </threadedComment>
  <threadedComment ref="C21" dT="2023-01-28T21:22:08.27" personId="{597A27FF-6795-42E4-815C-C7F13B31191A}" id="{64EC2243-94A2-425A-A804-07E797D4BAC9}">
    <text xml:space="preserve">Factset believes it to be 7.7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pages.stern.nyu.edu/~adamodar/" TargetMode="Externa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3925-C7A0-4B82-839A-27137F7442F3}">
  <dimension ref="B3:G32"/>
  <sheetViews>
    <sheetView workbookViewId="0">
      <selection activeCell="L30" sqref="L30"/>
    </sheetView>
  </sheetViews>
  <sheetFormatPr defaultRowHeight="15" x14ac:dyDescent="0.25"/>
  <cols>
    <col min="3" max="3" width="9.7109375" bestFit="1" customWidth="1"/>
    <col min="5" max="5" width="19.28515625" customWidth="1"/>
  </cols>
  <sheetData>
    <row r="3" spans="2:7" x14ac:dyDescent="0.25">
      <c r="B3" t="s">
        <v>0</v>
      </c>
      <c r="C3" t="s">
        <v>2</v>
      </c>
      <c r="F3" t="s">
        <v>67</v>
      </c>
      <c r="G3" s="1"/>
    </row>
    <row r="4" spans="2:7" x14ac:dyDescent="0.25">
      <c r="B4" t="s">
        <v>1</v>
      </c>
      <c r="C4" s="2">
        <v>44932</v>
      </c>
    </row>
    <row r="5" spans="2:7" x14ac:dyDescent="0.25">
      <c r="F5" t="s">
        <v>117</v>
      </c>
    </row>
    <row r="11" spans="2:7" x14ac:dyDescent="0.25">
      <c r="B11" s="3" t="s">
        <v>120</v>
      </c>
    </row>
    <row r="13" spans="2:7" x14ac:dyDescent="0.25">
      <c r="B13" t="s">
        <v>5</v>
      </c>
    </row>
    <row r="14" spans="2:7" x14ac:dyDescent="0.25">
      <c r="B14" t="s">
        <v>11</v>
      </c>
    </row>
    <row r="15" spans="2:7" x14ac:dyDescent="0.25">
      <c r="B15" t="s">
        <v>12</v>
      </c>
    </row>
    <row r="16" spans="2:7" x14ac:dyDescent="0.25">
      <c r="B16" t="s">
        <v>15</v>
      </c>
    </row>
    <row r="17" spans="2:3" x14ac:dyDescent="0.25">
      <c r="B17" t="s">
        <v>16</v>
      </c>
    </row>
    <row r="18" spans="2:3" x14ac:dyDescent="0.25">
      <c r="B18" t="s">
        <v>18</v>
      </c>
    </row>
    <row r="19" spans="2:3" x14ac:dyDescent="0.25">
      <c r="B19" t="s">
        <v>17</v>
      </c>
    </row>
    <row r="24" spans="2:3" x14ac:dyDescent="0.25">
      <c r="C24" t="s">
        <v>6</v>
      </c>
    </row>
    <row r="25" spans="2:3" x14ac:dyDescent="0.25">
      <c r="C25" t="s">
        <v>119</v>
      </c>
    </row>
    <row r="26" spans="2:3" x14ac:dyDescent="0.25">
      <c r="C26" t="s">
        <v>7</v>
      </c>
    </row>
    <row r="27" spans="2:3" x14ac:dyDescent="0.25">
      <c r="C27" t="s">
        <v>8</v>
      </c>
    </row>
    <row r="28" spans="2:3" x14ac:dyDescent="0.25">
      <c r="C28" t="s">
        <v>9</v>
      </c>
    </row>
    <row r="29" spans="2:3" x14ac:dyDescent="0.25">
      <c r="C29" t="s">
        <v>10</v>
      </c>
    </row>
    <row r="30" spans="2:3" x14ac:dyDescent="0.25">
      <c r="C30" t="s">
        <v>118</v>
      </c>
    </row>
    <row r="31" spans="2:3" x14ac:dyDescent="0.25">
      <c r="C31" t="s">
        <v>13</v>
      </c>
    </row>
    <row r="32" spans="2:3" x14ac:dyDescent="0.25">
      <c r="C3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E445-5983-4E97-AF9E-03446849D0AF}">
  <dimension ref="A3:XDY110"/>
  <sheetViews>
    <sheetView workbookViewId="0">
      <selection activeCell="G15" sqref="G15"/>
    </sheetView>
  </sheetViews>
  <sheetFormatPr defaultRowHeight="15" x14ac:dyDescent="0.25"/>
  <cols>
    <col min="1" max="1" width="14" customWidth="1"/>
    <col min="2" max="2" width="15.85546875" customWidth="1"/>
    <col min="5" max="7" width="9.140625" customWidth="1"/>
    <col min="11" max="11" width="9.5703125" customWidth="1"/>
    <col min="12" max="12" width="9.85546875" customWidth="1"/>
    <col min="13" max="13" width="10.28515625" customWidth="1"/>
    <col min="14" max="14" width="10.7109375" customWidth="1"/>
    <col min="15" max="15" width="9.42578125" customWidth="1"/>
    <col min="16" max="16" width="10" customWidth="1"/>
    <col min="17" max="17" width="14.28515625" customWidth="1"/>
    <col min="26" max="26" width="13" customWidth="1"/>
  </cols>
  <sheetData>
    <row r="3" spans="1:26 16353:16353" ht="19.5" x14ac:dyDescent="0.3">
      <c r="A3" s="6" t="s">
        <v>19</v>
      </c>
      <c r="C3">
        <v>2013</v>
      </c>
      <c r="D3">
        <f t="shared" ref="D3:Q3" si="0">C3 +1</f>
        <v>2014</v>
      </c>
      <c r="E3">
        <f t="shared" si="0"/>
        <v>2015</v>
      </c>
      <c r="F3">
        <f t="shared" si="0"/>
        <v>2016</v>
      </c>
      <c r="G3">
        <f t="shared" si="0"/>
        <v>2017</v>
      </c>
      <c r="H3">
        <f t="shared" si="0"/>
        <v>2018</v>
      </c>
      <c r="I3">
        <f t="shared" si="0"/>
        <v>2019</v>
      </c>
      <c r="J3">
        <f t="shared" si="0"/>
        <v>2020</v>
      </c>
      <c r="K3">
        <f t="shared" si="0"/>
        <v>2021</v>
      </c>
      <c r="L3">
        <f t="shared" si="0"/>
        <v>2022</v>
      </c>
      <c r="M3">
        <f t="shared" si="0"/>
        <v>2023</v>
      </c>
      <c r="N3">
        <f t="shared" si="0"/>
        <v>2024</v>
      </c>
      <c r="O3">
        <f t="shared" si="0"/>
        <v>2025</v>
      </c>
      <c r="P3">
        <f t="shared" si="0"/>
        <v>2026</v>
      </c>
      <c r="Q3">
        <f t="shared" si="0"/>
        <v>2027</v>
      </c>
      <c r="XDY3" t="s">
        <v>20</v>
      </c>
    </row>
    <row r="5" spans="1:26 16353:16353" x14ac:dyDescent="0.25">
      <c r="A5" t="s">
        <v>21</v>
      </c>
      <c r="C5" s="13">
        <v>7872</v>
      </c>
      <c r="D5" s="13">
        <v>12466</v>
      </c>
      <c r="E5" s="13">
        <v>17928</v>
      </c>
      <c r="F5" s="13">
        <v>27638</v>
      </c>
      <c r="G5" s="13">
        <v>40653</v>
      </c>
      <c r="H5" s="13">
        <v>55838</v>
      </c>
      <c r="I5" s="13">
        <v>70697</v>
      </c>
      <c r="J5" s="13">
        <v>85965</v>
      </c>
      <c r="K5" s="13">
        <v>117929</v>
      </c>
      <c r="L5" s="13">
        <v>116016</v>
      </c>
      <c r="M5" s="13">
        <v>122152</v>
      </c>
      <c r="N5" s="13">
        <v>136679</v>
      </c>
      <c r="O5" s="13">
        <v>152057</v>
      </c>
      <c r="P5" s="13">
        <v>164598</v>
      </c>
      <c r="Q5" s="13">
        <v>180135</v>
      </c>
    </row>
    <row r="6" spans="1:26 16353:16353" x14ac:dyDescent="0.25">
      <c r="A6" t="s">
        <v>22</v>
      </c>
      <c r="D6" s="5">
        <f>D5/C5-1</f>
        <v>0.58358739837398366</v>
      </c>
      <c r="E6" s="5">
        <f t="shared" ref="E6:Q6" si="1">E5/D5-1</f>
        <v>0.43815177282207607</v>
      </c>
      <c r="F6" s="5">
        <f t="shared" si="1"/>
        <v>0.54161088799643009</v>
      </c>
      <c r="G6" s="5">
        <f t="shared" si="1"/>
        <v>0.47090961719371882</v>
      </c>
      <c r="H6" s="5">
        <f t="shared" si="1"/>
        <v>0.37352716896661997</v>
      </c>
      <c r="I6" s="5">
        <f t="shared" si="1"/>
        <v>0.26610910132884413</v>
      </c>
      <c r="J6" s="5">
        <f t="shared" si="1"/>
        <v>0.21596390228722573</v>
      </c>
      <c r="K6" s="5">
        <f t="shared" si="1"/>
        <v>0.37182574303495608</v>
      </c>
      <c r="L6" s="5">
        <f t="shared" si="1"/>
        <v>-1.6221624875984664E-2</v>
      </c>
      <c r="M6" s="5">
        <f t="shared" si="1"/>
        <v>5.288925665425448E-2</v>
      </c>
      <c r="N6" s="5">
        <f t="shared" si="1"/>
        <v>0.11892560089069359</v>
      </c>
      <c r="O6" s="5">
        <f t="shared" si="1"/>
        <v>0.11251179771581588</v>
      </c>
      <c r="P6" s="5">
        <f t="shared" si="1"/>
        <v>8.2475650578401449E-2</v>
      </c>
      <c r="Q6" s="5">
        <f t="shared" si="1"/>
        <v>9.4393613531148723E-2</v>
      </c>
      <c r="V6" s="4"/>
      <c r="Z6" s="4"/>
    </row>
    <row r="7" spans="1:26 16353:16353" x14ac:dyDescent="0.25">
      <c r="D7" t="s">
        <v>28</v>
      </c>
      <c r="V7" s="4"/>
      <c r="Z7" s="4"/>
    </row>
    <row r="8" spans="1:26 16353:16353" x14ac:dyDescent="0.25">
      <c r="V8" s="4"/>
      <c r="Z8" s="4"/>
    </row>
    <row r="9" spans="1:26 16353:16353" x14ac:dyDescent="0.25">
      <c r="A9" t="s">
        <v>23</v>
      </c>
      <c r="C9" s="13">
        <v>3803</v>
      </c>
      <c r="D9" s="13">
        <v>7207</v>
      </c>
      <c r="E9" s="13">
        <v>10001</v>
      </c>
      <c r="F9" s="13">
        <v>16494</v>
      </c>
      <c r="G9" s="13">
        <v>20202</v>
      </c>
      <c r="H9" s="13">
        <v>24913</v>
      </c>
      <c r="I9" s="13">
        <v>23986</v>
      </c>
      <c r="J9" s="13">
        <v>32671</v>
      </c>
      <c r="K9" s="13">
        <v>46753</v>
      </c>
      <c r="L9" s="13">
        <v>30231</v>
      </c>
      <c r="M9" s="13">
        <v>27352</v>
      </c>
      <c r="N9" s="13">
        <v>33419</v>
      </c>
      <c r="O9" s="13">
        <v>40055</v>
      </c>
      <c r="P9" s="13">
        <v>43068</v>
      </c>
      <c r="Q9" s="13">
        <v>49918</v>
      </c>
      <c r="V9" s="4"/>
      <c r="Z9" s="4"/>
    </row>
    <row r="10" spans="1:26 16353:16353" x14ac:dyDescent="0.25">
      <c r="A10" t="s">
        <v>24</v>
      </c>
      <c r="C10" s="5">
        <f>C9/C5</f>
        <v>0.48310467479674796</v>
      </c>
      <c r="D10" s="5">
        <f t="shared" ref="D10:Q10" si="2">D9/D5</f>
        <v>0.57813252045563934</v>
      </c>
      <c r="E10" s="5">
        <f t="shared" si="2"/>
        <v>0.55784248103525214</v>
      </c>
      <c r="F10" s="5">
        <f t="shared" si="2"/>
        <v>0.59678703234676889</v>
      </c>
      <c r="G10" s="5">
        <f t="shared" si="2"/>
        <v>0.49693749538779425</v>
      </c>
      <c r="H10" s="5">
        <f t="shared" si="2"/>
        <v>0.44616569361366809</v>
      </c>
      <c r="I10" s="5">
        <f t="shared" si="2"/>
        <v>0.33927889443682191</v>
      </c>
      <c r="J10" s="5">
        <f t="shared" si="2"/>
        <v>0.3800500203571221</v>
      </c>
      <c r="K10" s="5">
        <f t="shared" si="2"/>
        <v>0.39645040660058173</v>
      </c>
      <c r="L10" s="5">
        <f t="shared" si="2"/>
        <v>0.26057612743069919</v>
      </c>
      <c r="M10" s="5">
        <f t="shared" si="2"/>
        <v>0.22391774182985133</v>
      </c>
      <c r="N10" s="5">
        <f t="shared" si="2"/>
        <v>0.24450720300850898</v>
      </c>
      <c r="O10" s="5">
        <f t="shared" si="2"/>
        <v>0.26342095398436111</v>
      </c>
      <c r="P10" s="5">
        <f t="shared" si="2"/>
        <v>0.26165567017825248</v>
      </c>
      <c r="Q10" s="5">
        <f t="shared" si="2"/>
        <v>0.27711438643239794</v>
      </c>
      <c r="V10" s="4"/>
      <c r="Z10" s="4"/>
    </row>
    <row r="11" spans="1:26 16353:16353" x14ac:dyDescent="0.25">
      <c r="V11" s="4"/>
      <c r="Z11" s="4"/>
    </row>
    <row r="12" spans="1:26 16353:16353" x14ac:dyDescent="0.25">
      <c r="V12" s="4"/>
      <c r="Z12" s="4"/>
    </row>
    <row r="13" spans="1:26 16353:16353" x14ac:dyDescent="0.25">
      <c r="A13" t="s">
        <v>25</v>
      </c>
      <c r="C13" s="4">
        <v>1254</v>
      </c>
      <c r="D13" s="4">
        <v>1971</v>
      </c>
      <c r="E13" s="4">
        <v>2505</v>
      </c>
      <c r="F13" s="4">
        <v>3021</v>
      </c>
      <c r="G13" s="4">
        <v>4661</v>
      </c>
      <c r="H13" s="4">
        <v>3248</v>
      </c>
      <c r="I13" s="4">
        <v>6327</v>
      </c>
      <c r="J13" s="4">
        <v>4035</v>
      </c>
      <c r="K13" s="4">
        <v>7913</v>
      </c>
      <c r="L13" s="4">
        <v>5705</v>
      </c>
      <c r="M13" s="4">
        <v>5431</v>
      </c>
      <c r="N13" s="4">
        <v>6359</v>
      </c>
      <c r="O13" s="4">
        <v>7848</v>
      </c>
      <c r="P13" s="4">
        <v>9016</v>
      </c>
      <c r="Q13" s="4">
        <v>10488</v>
      </c>
      <c r="V13" s="4"/>
      <c r="Z13" s="4"/>
    </row>
    <row r="14" spans="1:26 16353:16353" x14ac:dyDescent="0.25">
      <c r="A14" t="s">
        <v>26</v>
      </c>
      <c r="C14" s="5">
        <f>C13/C9</f>
        <v>0.32973967920063108</v>
      </c>
      <c r="D14" s="5">
        <f t="shared" ref="D14:Q14" si="3">D13/D9</f>
        <v>0.27348411266823919</v>
      </c>
      <c r="E14" s="5">
        <f t="shared" si="3"/>
        <v>0.25047495250474955</v>
      </c>
      <c r="F14" s="5">
        <f t="shared" si="3"/>
        <v>0.18315751182248091</v>
      </c>
      <c r="G14" s="5">
        <f t="shared" si="3"/>
        <v>0.23071973071973073</v>
      </c>
      <c r="H14" s="5">
        <f t="shared" si="3"/>
        <v>0.13037370047766225</v>
      </c>
      <c r="I14" s="5">
        <f t="shared" si="3"/>
        <v>0.26377887100808806</v>
      </c>
      <c r="J14" s="5">
        <f t="shared" si="3"/>
        <v>0.12350402497627866</v>
      </c>
      <c r="K14" s="5">
        <f t="shared" si="3"/>
        <v>0.1692511710478472</v>
      </c>
      <c r="L14" s="5">
        <f t="shared" si="3"/>
        <v>0.18871357216102677</v>
      </c>
      <c r="M14" s="5">
        <f t="shared" si="3"/>
        <v>0.19855952032758117</v>
      </c>
      <c r="N14" s="5">
        <f t="shared" si="3"/>
        <v>0.19028097788683085</v>
      </c>
      <c r="O14" s="5">
        <f t="shared" si="3"/>
        <v>0.195930595431282</v>
      </c>
      <c r="P14" s="5">
        <f t="shared" si="3"/>
        <v>0.20934336398253925</v>
      </c>
      <c r="Q14" s="5">
        <f t="shared" si="3"/>
        <v>0.2101045714972555</v>
      </c>
      <c r="V14" s="4"/>
      <c r="Z14" s="4"/>
    </row>
    <row r="19" spans="1:18" ht="19.5" x14ac:dyDescent="0.3">
      <c r="A19" s="6" t="s">
        <v>27</v>
      </c>
    </row>
    <row r="21" spans="1:18" x14ac:dyDescent="0.25">
      <c r="A21" t="s">
        <v>29</v>
      </c>
      <c r="C21" s="4">
        <v>1011</v>
      </c>
      <c r="D21" s="4">
        <v>1243</v>
      </c>
      <c r="E21" s="4">
        <v>1945</v>
      </c>
      <c r="F21" s="4">
        <v>2342</v>
      </c>
      <c r="G21" s="4">
        <v>3025</v>
      </c>
      <c r="H21" s="4">
        <v>4315</v>
      </c>
      <c r="I21" s="4">
        <v>5741</v>
      </c>
      <c r="J21" s="4">
        <v>6862</v>
      </c>
      <c r="K21" s="4">
        <v>7967</v>
      </c>
      <c r="L21" s="4">
        <v>9217</v>
      </c>
      <c r="M21" s="4">
        <v>11305</v>
      </c>
      <c r="N21" s="4">
        <v>13917</v>
      </c>
      <c r="O21" s="4">
        <v>15813</v>
      </c>
      <c r="P21" s="4">
        <v>20616</v>
      </c>
      <c r="Q21" s="4">
        <v>23067</v>
      </c>
    </row>
    <row r="22" spans="1:18" x14ac:dyDescent="0.25">
      <c r="A22" t="s">
        <v>24</v>
      </c>
      <c r="C22" s="5">
        <f>C21/C5</f>
        <v>0.12842987804878048</v>
      </c>
      <c r="D22" s="5">
        <f t="shared" ref="D22:Q22" si="4">D21/D5</f>
        <v>9.9711214503449386E-2</v>
      </c>
      <c r="E22" s="5">
        <f t="shared" si="4"/>
        <v>0.10848951360999554</v>
      </c>
      <c r="F22" s="5">
        <f t="shared" si="4"/>
        <v>8.4738403647152474E-2</v>
      </c>
      <c r="G22" s="5">
        <f t="shared" si="4"/>
        <v>7.4410252625882467E-2</v>
      </c>
      <c r="H22" s="5">
        <f t="shared" si="4"/>
        <v>7.7277123106128442E-2</v>
      </c>
      <c r="I22" s="5">
        <f t="shared" si="4"/>
        <v>8.1205708870249096E-2</v>
      </c>
      <c r="J22" s="5">
        <f t="shared" si="4"/>
        <v>7.9823183853894031E-2</v>
      </c>
      <c r="K22" s="5">
        <f t="shared" si="4"/>
        <v>6.7557598215875647E-2</v>
      </c>
      <c r="L22" s="5">
        <f t="shared" si="4"/>
        <v>7.9445938491242582E-2</v>
      </c>
      <c r="M22" s="5">
        <f t="shared" si="4"/>
        <v>9.2548627938961292E-2</v>
      </c>
      <c r="N22" s="5">
        <f t="shared" si="4"/>
        <v>0.10182251845565156</v>
      </c>
      <c r="O22" s="5">
        <f t="shared" si="4"/>
        <v>0.10399389702545755</v>
      </c>
      <c r="P22" s="5">
        <f t="shared" si="4"/>
        <v>0.12525061057850034</v>
      </c>
      <c r="Q22" s="5">
        <f t="shared" si="4"/>
        <v>0.12805395953035223</v>
      </c>
      <c r="R22" s="5"/>
    </row>
    <row r="23" spans="1:18" x14ac:dyDescent="0.25">
      <c r="A23" t="s">
        <v>30</v>
      </c>
      <c r="C23" s="5">
        <f>C21/C26</f>
        <v>0.74229074889867841</v>
      </c>
      <c r="D23" s="5">
        <f t="shared" ref="D23:Q23" si="5">D21/D26</f>
        <v>0.67886400873839436</v>
      </c>
      <c r="E23" s="5">
        <f t="shared" si="5"/>
        <v>0.77090764962346414</v>
      </c>
      <c r="F23" s="5">
        <f t="shared" si="5"/>
        <v>0.52148741928301046</v>
      </c>
      <c r="G23" s="5">
        <f t="shared" si="5"/>
        <v>0.44927966731026286</v>
      </c>
      <c r="H23" s="5">
        <f t="shared" si="5"/>
        <v>0.31009701760689901</v>
      </c>
      <c r="I23" s="5">
        <f t="shared" si="5"/>
        <v>0.38014832472520194</v>
      </c>
      <c r="J23" s="5">
        <f t="shared" si="5"/>
        <v>0.45398610651670523</v>
      </c>
      <c r="K23" s="5">
        <f t="shared" si="5"/>
        <v>0.42909463025798461</v>
      </c>
      <c r="L23" s="5">
        <f t="shared" si="5"/>
        <v>0.28773452377235975</v>
      </c>
      <c r="M23" s="5">
        <f t="shared" si="5"/>
        <v>0.32383271268977371</v>
      </c>
      <c r="N23" s="5">
        <f t="shared" si="5"/>
        <v>0.41015590462998436</v>
      </c>
      <c r="O23" s="5">
        <f t="shared" si="5"/>
        <v>0.46059070255155538</v>
      </c>
      <c r="P23" s="5">
        <f t="shared" si="5"/>
        <v>0.64989597125023646</v>
      </c>
      <c r="Q23" s="5">
        <f t="shared" si="5"/>
        <v>0.72752791269791206</v>
      </c>
    </row>
    <row r="26" spans="1:18" x14ac:dyDescent="0.25">
      <c r="A26" t="s">
        <v>76</v>
      </c>
      <c r="C26" s="4">
        <v>1362</v>
      </c>
      <c r="D26" s="4">
        <v>1831</v>
      </c>
      <c r="E26" s="4">
        <v>2523</v>
      </c>
      <c r="F26" s="4">
        <v>4491</v>
      </c>
      <c r="G26" s="4">
        <v>6733</v>
      </c>
      <c r="H26" s="4">
        <v>13915</v>
      </c>
      <c r="I26" s="4">
        <v>15102</v>
      </c>
      <c r="J26" s="4">
        <v>15115</v>
      </c>
      <c r="K26" s="4">
        <v>18567</v>
      </c>
      <c r="L26" s="4">
        <v>32033</v>
      </c>
      <c r="M26" s="4">
        <v>34910</v>
      </c>
      <c r="N26" s="4">
        <v>33931</v>
      </c>
      <c r="O26" s="4">
        <v>34332</v>
      </c>
      <c r="P26" s="4">
        <v>31722</v>
      </c>
      <c r="Q26" s="4">
        <v>31706</v>
      </c>
    </row>
    <row r="27" spans="1:18" x14ac:dyDescent="0.25">
      <c r="A27" t="s">
        <v>24</v>
      </c>
      <c r="C27" s="5">
        <f>C26/C5</f>
        <v>0.17301829268292682</v>
      </c>
      <c r="D27" s="5">
        <f t="shared" ref="D27:P27" si="6">D26/D5</f>
        <v>0.14687951227338361</v>
      </c>
      <c r="E27" s="5">
        <f t="shared" si="6"/>
        <v>0.14072958500669344</v>
      </c>
      <c r="F27" s="5">
        <f t="shared" si="6"/>
        <v>0.16249366813807078</v>
      </c>
      <c r="G27" s="5">
        <f t="shared" si="6"/>
        <v>0.16562123336531129</v>
      </c>
      <c r="H27" s="5">
        <f t="shared" si="6"/>
        <v>0.24920305168523227</v>
      </c>
      <c r="I27" s="5">
        <f t="shared" si="6"/>
        <v>0.21361585357228738</v>
      </c>
      <c r="J27" s="5">
        <f t="shared" si="6"/>
        <v>0.17582737160472287</v>
      </c>
      <c r="K27" s="5">
        <f t="shared" si="6"/>
        <v>0.15744218979216307</v>
      </c>
      <c r="L27" s="5">
        <f t="shared" si="6"/>
        <v>0.27610846779754517</v>
      </c>
      <c r="M27" s="5">
        <f t="shared" si="6"/>
        <v>0.28579147291898616</v>
      </c>
      <c r="N27" s="5">
        <f t="shared" si="6"/>
        <v>0.24825320641795739</v>
      </c>
      <c r="O27" s="5">
        <f t="shared" si="6"/>
        <v>0.225783752145577</v>
      </c>
      <c r="P27" s="5">
        <f t="shared" si="6"/>
        <v>0.19272409142273902</v>
      </c>
      <c r="Q27" s="5">
        <f>Q26/Q5</f>
        <v>0.17601243511810585</v>
      </c>
    </row>
    <row r="29" spans="1:18" x14ac:dyDescent="0.25">
      <c r="A29" t="s">
        <v>70</v>
      </c>
      <c r="C29">
        <v>676</v>
      </c>
      <c r="D29">
        <v>-262</v>
      </c>
      <c r="E29">
        <v>784</v>
      </c>
      <c r="F29">
        <v>758</v>
      </c>
      <c r="G29" s="4">
        <v>1887</v>
      </c>
      <c r="H29" s="4">
        <v>-1527</v>
      </c>
      <c r="I29" s="4">
        <v>7250</v>
      </c>
      <c r="J29" s="4">
        <v>-2723</v>
      </c>
      <c r="K29" s="4">
        <v>700</v>
      </c>
    </row>
    <row r="30" spans="1:18" x14ac:dyDescent="0.25">
      <c r="A30" t="s">
        <v>24</v>
      </c>
      <c r="C30" s="5">
        <f>C29/C21</f>
        <v>0.66864490603363003</v>
      </c>
      <c r="D30" s="5">
        <f t="shared" ref="D30:K30" si="7">D29/D21</f>
        <v>-0.21078037007240547</v>
      </c>
      <c r="E30" s="5">
        <f t="shared" si="7"/>
        <v>0.40308483290488434</v>
      </c>
      <c r="F30" s="5">
        <f t="shared" si="7"/>
        <v>0.32365499573014517</v>
      </c>
      <c r="G30" s="5">
        <f t="shared" si="7"/>
        <v>0.62380165289256195</v>
      </c>
      <c r="H30" s="5">
        <f t="shared" si="7"/>
        <v>-0.35388180764774047</v>
      </c>
      <c r="I30" s="5">
        <f t="shared" si="7"/>
        <v>1.2628461940428497</v>
      </c>
      <c r="J30" s="5">
        <f t="shared" si="7"/>
        <v>-0.39682308364908192</v>
      </c>
      <c r="K30" s="5">
        <f t="shared" si="7"/>
        <v>8.7862432534203588E-2</v>
      </c>
    </row>
    <row r="31" spans="1:18" x14ac:dyDescent="0.25">
      <c r="A31" t="s">
        <v>32</v>
      </c>
      <c r="D31" s="14">
        <f>D29/(D5-C5)</f>
        <v>-5.7030909882455377E-2</v>
      </c>
      <c r="E31" s="14">
        <f t="shared" ref="E31:K31" si="8">E29/(E5-D5)</f>
        <v>0.14353716587330648</v>
      </c>
      <c r="F31" s="14">
        <f t="shared" si="8"/>
        <v>7.8063851699279097E-2</v>
      </c>
      <c r="G31" s="14">
        <f t="shared" si="8"/>
        <v>0.14498655397618132</v>
      </c>
      <c r="H31" s="14">
        <f t="shared" si="8"/>
        <v>-0.1005597629239381</v>
      </c>
      <c r="I31" s="14">
        <f t="shared" si="8"/>
        <v>0.48791977925836194</v>
      </c>
      <c r="J31" s="14">
        <f t="shared" si="8"/>
        <v>-0.17834686926905946</v>
      </c>
      <c r="K31" s="14">
        <f t="shared" si="8"/>
        <v>2.1899637091728194E-2</v>
      </c>
    </row>
    <row r="35" spans="1:17" ht="19.5" x14ac:dyDescent="0.3">
      <c r="A35" s="6" t="s">
        <v>33</v>
      </c>
    </row>
    <row r="37" spans="1:17" x14ac:dyDescent="0.25">
      <c r="A37" t="s">
        <v>21</v>
      </c>
      <c r="C37" s="4">
        <f>C5</f>
        <v>7872</v>
      </c>
      <c r="D37" s="4">
        <f t="shared" ref="D37:J37" si="9">D5</f>
        <v>12466</v>
      </c>
      <c r="E37" s="4">
        <f t="shared" si="9"/>
        <v>17928</v>
      </c>
      <c r="F37" s="4">
        <f t="shared" si="9"/>
        <v>27638</v>
      </c>
      <c r="G37" s="4">
        <f t="shared" si="9"/>
        <v>40653</v>
      </c>
      <c r="H37" s="4">
        <f t="shared" si="9"/>
        <v>55838</v>
      </c>
      <c r="I37" s="4">
        <f t="shared" si="9"/>
        <v>70697</v>
      </c>
      <c r="J37" s="4">
        <f t="shared" si="9"/>
        <v>85965</v>
      </c>
      <c r="K37" s="4">
        <f>K5</f>
        <v>117929</v>
      </c>
      <c r="L37" s="4">
        <f ca="1">K37 * (1 + L38)</f>
        <v>116016</v>
      </c>
      <c r="M37" s="4">
        <f t="shared" ref="M37:Q37" ca="1" si="10">L37 * (1 + M38)</f>
        <v>120924.79999999997</v>
      </c>
      <c r="N37" s="4">
        <f t="shared" ca="1" si="10"/>
        <v>129553.43270155214</v>
      </c>
      <c r="O37" s="4">
        <f t="shared" ca="1" si="10"/>
        <v>136276.29199276265</v>
      </c>
      <c r="P37" s="4">
        <f t="shared" ca="1" si="10"/>
        <v>140695.6993872257</v>
      </c>
      <c r="Q37" s="4">
        <f t="shared" ca="1" si="10"/>
        <v>144916.57036884248</v>
      </c>
    </row>
    <row r="38" spans="1:17" x14ac:dyDescent="0.25">
      <c r="A38" t="s">
        <v>34</v>
      </c>
      <c r="D38" s="14">
        <f>D6</f>
        <v>0.58358739837398366</v>
      </c>
      <c r="E38" s="14">
        <f t="shared" ref="E38:K38" si="11">E6</f>
        <v>0.43815177282207607</v>
      </c>
      <c r="F38" s="14">
        <f t="shared" si="11"/>
        <v>0.54161088799643009</v>
      </c>
      <c r="G38" s="14">
        <f t="shared" si="11"/>
        <v>0.47090961719371882</v>
      </c>
      <c r="H38" s="14">
        <f t="shared" si="11"/>
        <v>0.37352716896661997</v>
      </c>
      <c r="I38" s="14">
        <f t="shared" si="11"/>
        <v>0.26610910132884413</v>
      </c>
      <c r="J38" s="14">
        <f t="shared" si="11"/>
        <v>0.21596390228722573</v>
      </c>
      <c r="K38" s="14">
        <f t="shared" si="11"/>
        <v>0.37182574303495608</v>
      </c>
      <c r="L38" s="14">
        <f ca="1">OFFSET(L38,1,0)</f>
        <v>-1.6221624875984664E-2</v>
      </c>
      <c r="M38" s="14">
        <f t="shared" ref="M38:Q38" ca="1" si="12">OFFSET(M38,1,0)</f>
        <v>4.2311405323403585E-2</v>
      </c>
      <c r="N38" s="14">
        <f t="shared" ca="1" si="12"/>
        <v>7.1355360534416157E-2</v>
      </c>
      <c r="O38" s="14">
        <f t="shared" ca="1" si="12"/>
        <v>5.189256008906936E-2</v>
      </c>
      <c r="P38" s="14">
        <f t="shared" ca="1" si="12"/>
        <v>3.2429759643722564E-2</v>
      </c>
      <c r="Q38" s="14">
        <f t="shared" ca="1" si="12"/>
        <v>0.03</v>
      </c>
    </row>
    <row r="39" spans="1:17" x14ac:dyDescent="0.25">
      <c r="A39" t="s">
        <v>73</v>
      </c>
      <c r="L39" s="14">
        <f>L6</f>
        <v>-1.6221624875984664E-2</v>
      </c>
      <c r="M39" s="5">
        <f>M40*Assumptions!H8</f>
        <v>4.2311405323403585E-2</v>
      </c>
      <c r="N39" s="5">
        <f>N40*Assumptions!H9</f>
        <v>7.1355360534416157E-2</v>
      </c>
      <c r="O39" s="14">
        <f t="shared" ref="O39:P41" si="13">N39 -($N$40 - $Q$40) / ($Q$3-$O$3)</f>
        <v>5.189256008906936E-2</v>
      </c>
      <c r="P39" s="14">
        <f t="shared" si="13"/>
        <v>3.2429759643722564E-2</v>
      </c>
      <c r="Q39" s="14">
        <f>Assumptions!H10</f>
        <v>0.03</v>
      </c>
    </row>
    <row r="40" spans="1:17" x14ac:dyDescent="0.25">
      <c r="A40" t="s">
        <v>74</v>
      </c>
      <c r="L40" s="5">
        <f>2%</f>
        <v>0.02</v>
      </c>
      <c r="M40" s="14">
        <f>M6</f>
        <v>5.288925665425448E-2</v>
      </c>
      <c r="N40" s="14">
        <f>N6</f>
        <v>0.11892560089069359</v>
      </c>
      <c r="O40" s="14">
        <f t="shared" si="13"/>
        <v>9.9462800445346805E-2</v>
      </c>
      <c r="P40" s="14">
        <f t="shared" si="13"/>
        <v>8.0000000000000016E-2</v>
      </c>
      <c r="Q40" s="14">
        <v>0.08</v>
      </c>
    </row>
    <row r="41" spans="1:17" x14ac:dyDescent="0.25">
      <c r="A41" t="s">
        <v>75</v>
      </c>
      <c r="L41" s="14">
        <f>L6</f>
        <v>-1.6221624875984664E-2</v>
      </c>
      <c r="M41" s="5">
        <f>M40*Assumptions!N8</f>
        <v>5.817818231967993E-2</v>
      </c>
      <c r="N41" s="5">
        <f>N40*Assumptions!N9</f>
        <v>0.13081816097976295</v>
      </c>
      <c r="O41" s="14">
        <f t="shared" si="13"/>
        <v>0.11135536053441616</v>
      </c>
      <c r="P41" s="14">
        <f t="shared" si="13"/>
        <v>9.1892560089069375E-2</v>
      </c>
      <c r="Q41" s="5">
        <f>Assumptions!N10</f>
        <v>0.1</v>
      </c>
    </row>
    <row r="42" spans="1:17" x14ac:dyDescent="0.25">
      <c r="M42" s="5"/>
    </row>
    <row r="44" spans="1:17" x14ac:dyDescent="0.25">
      <c r="A44" t="s">
        <v>23</v>
      </c>
      <c r="C44" s="4">
        <f>C9</f>
        <v>3803</v>
      </c>
      <c r="D44" s="4">
        <f t="shared" ref="D44:K44" si="14">D9</f>
        <v>7207</v>
      </c>
      <c r="E44" s="4">
        <f t="shared" si="14"/>
        <v>10001</v>
      </c>
      <c r="F44" s="4">
        <f t="shared" si="14"/>
        <v>16494</v>
      </c>
      <c r="G44" s="4">
        <f t="shared" si="14"/>
        <v>20202</v>
      </c>
      <c r="H44" s="4">
        <f t="shared" si="14"/>
        <v>24913</v>
      </c>
      <c r="I44" s="4">
        <f t="shared" si="14"/>
        <v>23986</v>
      </c>
      <c r="J44" s="4">
        <f t="shared" si="14"/>
        <v>32671</v>
      </c>
      <c r="K44" s="4">
        <f t="shared" si="14"/>
        <v>46753</v>
      </c>
      <c r="L44" s="4">
        <f ca="1">L37*L45</f>
        <v>30230.999999999996</v>
      </c>
      <c r="M44" s="4">
        <f t="shared" ref="M44:Q44" ca="1" si="15">M37*M45</f>
        <v>24369.487332503759</v>
      </c>
      <c r="N44" s="4">
        <f t="shared" ca="1" si="15"/>
        <v>28509.072723006855</v>
      </c>
      <c r="O44" s="4">
        <f t="shared" ca="1" si="15"/>
        <v>35804.791857371572</v>
      </c>
      <c r="P44" s="4">
        <f t="shared" ca="1" si="15"/>
        <v>36717.564811682249</v>
      </c>
      <c r="Q44" s="4">
        <f t="shared" ca="1" si="15"/>
        <v>37678.308295899049</v>
      </c>
    </row>
    <row r="45" spans="1:17" x14ac:dyDescent="0.25">
      <c r="A45" t="s">
        <v>24</v>
      </c>
      <c r="C45" s="14">
        <f>C10</f>
        <v>0.48310467479674796</v>
      </c>
      <c r="D45" s="14">
        <f t="shared" ref="D45:K45" si="16">D10</f>
        <v>0.57813252045563934</v>
      </c>
      <c r="E45" s="14">
        <f t="shared" si="16"/>
        <v>0.55784248103525214</v>
      </c>
      <c r="F45" s="14">
        <f t="shared" si="16"/>
        <v>0.59678703234676889</v>
      </c>
      <c r="G45" s="14">
        <f t="shared" si="16"/>
        <v>0.49693749538779425</v>
      </c>
      <c r="H45" s="14">
        <f t="shared" si="16"/>
        <v>0.44616569361366809</v>
      </c>
      <c r="I45" s="14">
        <f t="shared" si="16"/>
        <v>0.33927889443682191</v>
      </c>
      <c r="J45" s="14">
        <f t="shared" si="16"/>
        <v>0.3800500203571221</v>
      </c>
      <c r="K45" s="14">
        <f t="shared" si="16"/>
        <v>0.39645040660058173</v>
      </c>
      <c r="L45" s="14">
        <f ca="1">OFFSET(L45,1,0)</f>
        <v>0.26057612743069919</v>
      </c>
      <c r="M45" s="14">
        <f t="shared" ref="M45:P45" ca="1" si="17">OFFSET(M45,1,0)</f>
        <v>0.2015259676468662</v>
      </c>
      <c r="N45" s="14">
        <f t="shared" ca="1" si="17"/>
        <v>0.2200564827076581</v>
      </c>
      <c r="O45" s="14">
        <f t="shared" ca="1" si="17"/>
        <v>0.2627367631874889</v>
      </c>
      <c r="P45" s="14">
        <f t="shared" ca="1" si="17"/>
        <v>0.26097147938138027</v>
      </c>
      <c r="Q45" s="14">
        <f ca="1">OFFSET(Q45,1,0)</f>
        <v>0.26</v>
      </c>
    </row>
    <row r="46" spans="1:17" x14ac:dyDescent="0.25">
      <c r="A46" t="s">
        <v>73</v>
      </c>
      <c r="L46" s="14">
        <f>L47</f>
        <v>0.26057612743069919</v>
      </c>
      <c r="M46" s="5">
        <f>M47*Assumptions!H11</f>
        <v>0.2015259676468662</v>
      </c>
      <c r="N46" s="5">
        <f>N47*Assumptions!H11</f>
        <v>0.2200564827076581</v>
      </c>
      <c r="O46" s="5">
        <f>O47 + ($Q$46-$O$47) / ($Q$3 -$L$3)</f>
        <v>0.2627367631874889</v>
      </c>
      <c r="P46" s="5">
        <f>P47 + ($Q$46-$O$47) / ($Q$3 -$L$3)</f>
        <v>0.26097147938138027</v>
      </c>
      <c r="Q46" s="5">
        <f>Assumptions!H12</f>
        <v>0.26</v>
      </c>
    </row>
    <row r="47" spans="1:17" x14ac:dyDescent="0.25">
      <c r="A47" t="s">
        <v>74</v>
      </c>
      <c r="L47" s="14">
        <f>L10</f>
        <v>0.26057612743069919</v>
      </c>
      <c r="M47" s="14">
        <f t="shared" ref="M47:Q47" si="18">M10</f>
        <v>0.22391774182985133</v>
      </c>
      <c r="N47" s="14">
        <f t="shared" si="18"/>
        <v>0.24450720300850898</v>
      </c>
      <c r="O47" s="14">
        <f t="shared" si="18"/>
        <v>0.26342095398436111</v>
      </c>
      <c r="P47" s="14">
        <f t="shared" si="18"/>
        <v>0.26165567017825248</v>
      </c>
      <c r="Q47" s="14">
        <f t="shared" si="18"/>
        <v>0.27711438643239794</v>
      </c>
    </row>
    <row r="48" spans="1:17" x14ac:dyDescent="0.25">
      <c r="A48" t="s">
        <v>75</v>
      </c>
      <c r="L48" s="14">
        <f>L47</f>
        <v>0.26057612743069919</v>
      </c>
      <c r="M48" s="5">
        <f>M47*Assumptions!N11</f>
        <v>0.26870129019582156</v>
      </c>
      <c r="N48" s="5">
        <f>N47*Assumptions!N11</f>
        <v>0.29340864361021074</v>
      </c>
      <c r="O48" s="5">
        <f>O47 + ($Q$48-$O$47) / ($Q$3 -$L$3)</f>
        <v>0.27473676318748891</v>
      </c>
      <c r="P48" s="5">
        <f>P47 + ($Q$48-$O$47) / ($Q$3 -$L$3)</f>
        <v>0.27297147938138028</v>
      </c>
      <c r="Q48" s="14">
        <f>Assumptions!N12</f>
        <v>0.32</v>
      </c>
    </row>
    <row r="51" spans="1:17" x14ac:dyDescent="0.25">
      <c r="A51" t="s">
        <v>25</v>
      </c>
      <c r="C51" s="4">
        <f>C13</f>
        <v>1254</v>
      </c>
      <c r="D51" s="4">
        <f t="shared" ref="D51:K51" si="19">D13</f>
        <v>1971</v>
      </c>
      <c r="E51" s="4">
        <f t="shared" si="19"/>
        <v>2505</v>
      </c>
      <c r="F51" s="4">
        <f t="shared" si="19"/>
        <v>3021</v>
      </c>
      <c r="G51" s="4">
        <f t="shared" si="19"/>
        <v>4661</v>
      </c>
      <c r="H51" s="4">
        <f t="shared" si="19"/>
        <v>3248</v>
      </c>
      <c r="I51" s="4">
        <f t="shared" si="19"/>
        <v>6327</v>
      </c>
      <c r="J51" s="4">
        <f t="shared" si="19"/>
        <v>4035</v>
      </c>
      <c r="K51" s="4">
        <f t="shared" si="19"/>
        <v>7913</v>
      </c>
      <c r="L51" s="4">
        <f ca="1">L44*L52</f>
        <v>5608.1937934836187</v>
      </c>
      <c r="M51" s="4">
        <f t="shared" ref="M51:Q51" ca="1" si="20">M44*M52</f>
        <v>4520.8166322161114</v>
      </c>
      <c r="N51" s="4">
        <f t="shared" ca="1" si="20"/>
        <v>5288.7567299507191</v>
      </c>
      <c r="O51" s="4">
        <f t="shared" ca="1" si="20"/>
        <v>6642.1954772082991</v>
      </c>
      <c r="P51" s="4">
        <f t="shared" ca="1" si="20"/>
        <v>6811.5252253881417</v>
      </c>
      <c r="Q51" s="4">
        <f t="shared" ca="1" si="20"/>
        <v>6989.7540516034333</v>
      </c>
    </row>
    <row r="52" spans="1:17" x14ac:dyDescent="0.25">
      <c r="A52" t="s">
        <v>26</v>
      </c>
      <c r="C52" s="14">
        <f>C14</f>
        <v>0.32973967920063108</v>
      </c>
      <c r="D52" s="14">
        <f t="shared" ref="D52:K52" si="21">D14</f>
        <v>0.27348411266823919</v>
      </c>
      <c r="E52" s="14">
        <f t="shared" si="21"/>
        <v>0.25047495250474955</v>
      </c>
      <c r="F52" s="14">
        <f t="shared" si="21"/>
        <v>0.18315751182248091</v>
      </c>
      <c r="G52" s="14">
        <f t="shared" si="21"/>
        <v>0.23071973071973073</v>
      </c>
      <c r="H52" s="14">
        <f t="shared" si="21"/>
        <v>0.13037370047766225</v>
      </c>
      <c r="I52" s="14">
        <f t="shared" si="21"/>
        <v>0.26377887100808806</v>
      </c>
      <c r="J52" s="14">
        <f t="shared" si="21"/>
        <v>0.12350402497627866</v>
      </c>
      <c r="K52" s="14">
        <f t="shared" si="21"/>
        <v>0.1692511710478472</v>
      </c>
      <c r="L52" s="14">
        <f>AVERAGE(I52:K52)</f>
        <v>0.18551135567740462</v>
      </c>
      <c r="M52" s="14">
        <f>L52</f>
        <v>0.18551135567740462</v>
      </c>
      <c r="N52" s="14">
        <f t="shared" ref="N52:P52" si="22">M52</f>
        <v>0.18551135567740462</v>
      </c>
      <c r="O52" s="14">
        <f t="shared" si="22"/>
        <v>0.18551135567740462</v>
      </c>
      <c r="P52" s="14">
        <f t="shared" si="22"/>
        <v>0.18551135567740462</v>
      </c>
      <c r="Q52" s="14">
        <f>P52</f>
        <v>0.18551135567740462</v>
      </c>
    </row>
    <row r="57" spans="1:17" x14ac:dyDescent="0.25">
      <c r="A57" t="s">
        <v>69</v>
      </c>
      <c r="L57" s="4">
        <f ca="1">L44-L51</f>
        <v>24622.806206516376</v>
      </c>
      <c r="M57" s="4">
        <f t="shared" ref="M57:Q57" ca="1" si="23">M44-M51</f>
        <v>19848.670700287646</v>
      </c>
      <c r="N57" s="4">
        <f t="shared" ca="1" si="23"/>
        <v>23220.315993056138</v>
      </c>
      <c r="O57" s="4">
        <f t="shared" ca="1" si="23"/>
        <v>29162.596380163275</v>
      </c>
      <c r="P57" s="4">
        <f t="shared" ca="1" si="23"/>
        <v>29906.039586294108</v>
      </c>
      <c r="Q57" s="4">
        <f t="shared" ca="1" si="23"/>
        <v>30688.554244295614</v>
      </c>
    </row>
    <row r="59" spans="1:17" x14ac:dyDescent="0.25">
      <c r="A59" t="s">
        <v>29</v>
      </c>
      <c r="C59" s="4">
        <f>C21</f>
        <v>1011</v>
      </c>
      <c r="D59" s="4">
        <f t="shared" ref="D59:K59" si="24">D21</f>
        <v>1243</v>
      </c>
      <c r="E59" s="4">
        <f t="shared" si="24"/>
        <v>1945</v>
      </c>
      <c r="F59" s="4">
        <f t="shared" si="24"/>
        <v>2342</v>
      </c>
      <c r="G59" s="4">
        <f t="shared" si="24"/>
        <v>3025</v>
      </c>
      <c r="H59" s="4">
        <f t="shared" si="24"/>
        <v>4315</v>
      </c>
      <c r="I59" s="4">
        <f t="shared" si="24"/>
        <v>5741</v>
      </c>
      <c r="J59" s="4">
        <f t="shared" si="24"/>
        <v>6862</v>
      </c>
      <c r="K59" s="4">
        <f t="shared" si="24"/>
        <v>7967</v>
      </c>
      <c r="L59" s="4">
        <f ca="1">L60*L65</f>
        <v>8756.1499999999978</v>
      </c>
      <c r="M59" s="4">
        <f t="shared" ref="M59:N59" ca="1" si="25">M60*M65</f>
        <v>10631.853107603638</v>
      </c>
      <c r="N59" s="4">
        <f t="shared" ca="1" si="25"/>
        <v>12531.883952634464</v>
      </c>
      <c r="O59" s="4">
        <f ca="1">O60*O65</f>
        <v>13463.307542681219</v>
      </c>
      <c r="P59" s="4">
        <f t="shared" ref="P59" ca="1" si="26">P60*P65</f>
        <v>16741.111141318197</v>
      </c>
      <c r="Q59" s="4">
        <f t="shared" ref="Q59" ca="1" si="27">Q60*Q65</f>
        <v>17629.283605424735</v>
      </c>
    </row>
    <row r="60" spans="1:17" x14ac:dyDescent="0.25">
      <c r="A60" t="s">
        <v>30</v>
      </c>
      <c r="C60" s="14">
        <f>C23</f>
        <v>0.74229074889867841</v>
      </c>
      <c r="D60" s="14">
        <f t="shared" ref="D60:J60" si="28">D23</f>
        <v>0.67886400873839436</v>
      </c>
      <c r="E60" s="14">
        <f t="shared" si="28"/>
        <v>0.77090764962346414</v>
      </c>
      <c r="F60" s="14">
        <f t="shared" si="28"/>
        <v>0.52148741928301046</v>
      </c>
      <c r="G60" s="14">
        <f t="shared" si="28"/>
        <v>0.44927966731026286</v>
      </c>
      <c r="H60" s="14">
        <f t="shared" si="28"/>
        <v>0.31009701760689901</v>
      </c>
      <c r="I60" s="14">
        <f t="shared" si="28"/>
        <v>0.38014832472520194</v>
      </c>
      <c r="J60" s="14">
        <f t="shared" si="28"/>
        <v>0.45398610651670523</v>
      </c>
      <c r="K60" s="14">
        <f>K23</f>
        <v>0.42909463025798461</v>
      </c>
      <c r="L60" s="14">
        <f ca="1">OFFSET(L60,1,0)</f>
        <v>0.27334779758374173</v>
      </c>
      <c r="M60" s="14">
        <f t="shared" ref="M60:Q60" ca="1" si="29">OFFSET(M60,1,0)</f>
        <v>0.30764107705528498</v>
      </c>
      <c r="N60" s="14">
        <f t="shared" ca="1" si="29"/>
        <v>0.3896481093984851</v>
      </c>
      <c r="O60" s="14">
        <f t="shared" ca="1" si="29"/>
        <v>0.4375611674239776</v>
      </c>
      <c r="P60" s="14">
        <f t="shared" ca="1" si="29"/>
        <v>0.61740117268772465</v>
      </c>
      <c r="Q60" s="14">
        <f t="shared" ca="1" si="29"/>
        <v>0.69115151706301647</v>
      </c>
    </row>
    <row r="61" spans="1:17" x14ac:dyDescent="0.25">
      <c r="A61" t="s">
        <v>73</v>
      </c>
      <c r="L61" s="14">
        <f>L62*Assumptions!H14</f>
        <v>0.27334779758374173</v>
      </c>
      <c r="M61" s="14">
        <f>M62*Assumptions!H14</f>
        <v>0.30764107705528498</v>
      </c>
      <c r="N61" s="14">
        <f>N62*Assumptions!H14</f>
        <v>0.3896481093984851</v>
      </c>
      <c r="O61" s="14">
        <f>O62*Assumptions!H14</f>
        <v>0.4375611674239776</v>
      </c>
      <c r="P61" s="14">
        <f>P62*Assumptions!H14</f>
        <v>0.61740117268772465</v>
      </c>
      <c r="Q61" s="14">
        <f>Q62*Assumptions!H14</f>
        <v>0.69115151706301647</v>
      </c>
    </row>
    <row r="62" spans="1:17" x14ac:dyDescent="0.25">
      <c r="A62" t="s">
        <v>74</v>
      </c>
      <c r="L62" s="14">
        <f>L23</f>
        <v>0.28773452377235975</v>
      </c>
      <c r="M62" s="14">
        <f t="shared" ref="M62:Q62" si="30">M23</f>
        <v>0.32383271268977371</v>
      </c>
      <c r="N62" s="14">
        <f t="shared" si="30"/>
        <v>0.41015590462998436</v>
      </c>
      <c r="O62" s="14">
        <f t="shared" si="30"/>
        <v>0.46059070255155538</v>
      </c>
      <c r="P62" s="14">
        <f t="shared" si="30"/>
        <v>0.64989597125023646</v>
      </c>
      <c r="Q62" s="14">
        <f t="shared" si="30"/>
        <v>0.72752791269791206</v>
      </c>
    </row>
    <row r="63" spans="1:17" x14ac:dyDescent="0.25">
      <c r="A63" t="s">
        <v>75</v>
      </c>
      <c r="L63" s="5">
        <f>L62*Assumptions!N14</f>
        <v>0.31650797614959575</v>
      </c>
      <c r="M63" s="5">
        <f>M62*Assumptions!N14</f>
        <v>0.35621598395875109</v>
      </c>
      <c r="N63" s="5">
        <f>N62*Assumptions!N14</f>
        <v>0.45117149509298282</v>
      </c>
      <c r="O63" s="5">
        <f>O62*Assumptions!N14</f>
        <v>0.50664977280671097</v>
      </c>
      <c r="P63" s="5">
        <f>P62*Assumptions!N14</f>
        <v>0.71488556837526018</v>
      </c>
      <c r="Q63" s="5">
        <f>Q62*Assumptions!N14</f>
        <v>0.80028070396770334</v>
      </c>
    </row>
    <row r="65" spans="1:17" x14ac:dyDescent="0.25">
      <c r="A65" t="s">
        <v>76</v>
      </c>
      <c r="C65" s="4">
        <f>C26</f>
        <v>1362</v>
      </c>
      <c r="D65" s="4">
        <f t="shared" ref="D65:K65" si="31">D26</f>
        <v>1831</v>
      </c>
      <c r="E65" s="4">
        <f t="shared" si="31"/>
        <v>2523</v>
      </c>
      <c r="F65" s="4">
        <f t="shared" si="31"/>
        <v>4491</v>
      </c>
      <c r="G65" s="4">
        <f t="shared" si="31"/>
        <v>6733</v>
      </c>
      <c r="H65" s="4">
        <f t="shared" si="31"/>
        <v>13915</v>
      </c>
      <c r="I65" s="4">
        <f t="shared" si="31"/>
        <v>15102</v>
      </c>
      <c r="J65" s="4">
        <f t="shared" si="31"/>
        <v>15115</v>
      </c>
      <c r="K65" s="4">
        <f t="shared" si="31"/>
        <v>18567</v>
      </c>
      <c r="L65" s="4">
        <f ca="1">L37*L66</f>
        <v>32033</v>
      </c>
      <c r="M65" s="4">
        <f t="shared" ref="M65:Q65" ca="1" si="32">M37*M66</f>
        <v>34559.276704433811</v>
      </c>
      <c r="N65" s="4">
        <f t="shared" ca="1" si="32"/>
        <v>32162.055070613376</v>
      </c>
      <c r="O65" s="4">
        <f t="shared" ca="1" si="32"/>
        <v>30768.972534612203</v>
      </c>
      <c r="P65" s="4">
        <f t="shared" ca="1" si="32"/>
        <v>27115.450831489892</v>
      </c>
      <c r="Q65" s="4">
        <f t="shared" ca="1" si="32"/>
        <v>25507.118439584308</v>
      </c>
    </row>
    <row r="66" spans="1:17" x14ac:dyDescent="0.25">
      <c r="A66" t="s">
        <v>24</v>
      </c>
      <c r="C66" s="5">
        <f>C65/C5</f>
        <v>0.17301829268292682</v>
      </c>
      <c r="D66" s="5">
        <f t="shared" ref="D66:K66" si="33">D65/D5</f>
        <v>0.14687951227338361</v>
      </c>
      <c r="E66" s="5">
        <f t="shared" si="33"/>
        <v>0.14072958500669344</v>
      </c>
      <c r="F66" s="5">
        <f t="shared" si="33"/>
        <v>0.16249366813807078</v>
      </c>
      <c r="G66" s="5">
        <f t="shared" si="33"/>
        <v>0.16562123336531129</v>
      </c>
      <c r="H66" s="5">
        <f t="shared" si="33"/>
        <v>0.24920305168523227</v>
      </c>
      <c r="I66" s="5">
        <f t="shared" si="33"/>
        <v>0.21361585357228738</v>
      </c>
      <c r="J66" s="5">
        <f t="shared" si="33"/>
        <v>0.17582737160472287</v>
      </c>
      <c r="K66" s="5">
        <f t="shared" si="33"/>
        <v>0.15744218979216307</v>
      </c>
      <c r="L66" s="5">
        <f ca="1">OFFSET(L67,1,0)</f>
        <v>0.27610846779754517</v>
      </c>
      <c r="M66" s="5">
        <f t="shared" ref="M66:Q66" ca="1" si="34">OFFSET(M67,1,0)</f>
        <v>0.28579147291898616</v>
      </c>
      <c r="N66" s="5">
        <f t="shared" ca="1" si="34"/>
        <v>0.24825320641795739</v>
      </c>
      <c r="O66" s="5">
        <f t="shared" ca="1" si="34"/>
        <v>0.225783752145577</v>
      </c>
      <c r="P66" s="5">
        <f t="shared" ca="1" si="34"/>
        <v>0.19272409142273902</v>
      </c>
      <c r="Q66" s="5">
        <f t="shared" ca="1" si="34"/>
        <v>0.17601243511810585</v>
      </c>
    </row>
    <row r="67" spans="1:17" x14ac:dyDescent="0.25">
      <c r="A67" t="s">
        <v>73</v>
      </c>
      <c r="L67" s="14">
        <f>L68</f>
        <v>0.27610846779754517</v>
      </c>
      <c r="M67" s="5">
        <f>M68*Assumptions!H13</f>
        <v>0.30008104656493545</v>
      </c>
      <c r="N67" s="5">
        <f>N68*Assumptions!H13</f>
        <v>0.26066586673885528</v>
      </c>
      <c r="O67" s="5">
        <f>O68*Assumptions!H13</f>
        <v>0.23707293975285587</v>
      </c>
      <c r="P67" s="5">
        <f>P68*Assumptions!H13</f>
        <v>0.20236029599387598</v>
      </c>
      <c r="Q67" s="14">
        <f>Q68*Assumptions!H13</f>
        <v>0.18481305687401114</v>
      </c>
    </row>
    <row r="68" spans="1:17" x14ac:dyDescent="0.25">
      <c r="A68" t="s">
        <v>74</v>
      </c>
      <c r="L68" s="5">
        <f>L26/L5</f>
        <v>0.27610846779754517</v>
      </c>
      <c r="M68" s="5">
        <f t="shared" ref="M68:Q68" si="35">M26/M5</f>
        <v>0.28579147291898616</v>
      </c>
      <c r="N68" s="5">
        <f t="shared" si="35"/>
        <v>0.24825320641795739</v>
      </c>
      <c r="O68" s="5">
        <f t="shared" si="35"/>
        <v>0.225783752145577</v>
      </c>
      <c r="P68" s="5">
        <f t="shared" si="35"/>
        <v>0.19272409142273902</v>
      </c>
      <c r="Q68" s="5">
        <f t="shared" si="35"/>
        <v>0.17601243511810585</v>
      </c>
    </row>
    <row r="69" spans="1:17" x14ac:dyDescent="0.25">
      <c r="A69" t="s">
        <v>75</v>
      </c>
      <c r="L69" s="14">
        <f>L68</f>
        <v>0.27610846779754517</v>
      </c>
      <c r="M69" s="5">
        <f>M68*Assumptions!N13</f>
        <v>0.24292275198113822</v>
      </c>
      <c r="N69" s="5">
        <f>N68*Assumptions!N13</f>
        <v>0.21101522545526377</v>
      </c>
      <c r="O69" s="5">
        <f>O68*Assumptions!N13</f>
        <v>0.19191618932374044</v>
      </c>
      <c r="P69" s="5">
        <f>P68*Assumptions!N13</f>
        <v>0.16381547770932817</v>
      </c>
      <c r="Q69" s="5">
        <f>Q68*Assumptions!N13</f>
        <v>0.14961056985038998</v>
      </c>
    </row>
    <row r="71" spans="1:17" x14ac:dyDescent="0.25">
      <c r="A71" t="s">
        <v>70</v>
      </c>
      <c r="C71">
        <f>C29</f>
        <v>676</v>
      </c>
      <c r="D71">
        <f t="shared" ref="D71:K71" si="36">D29</f>
        <v>-262</v>
      </c>
      <c r="E71">
        <f t="shared" si="36"/>
        <v>784</v>
      </c>
      <c r="F71">
        <f t="shared" si="36"/>
        <v>758</v>
      </c>
      <c r="G71">
        <f t="shared" si="36"/>
        <v>1887</v>
      </c>
      <c r="H71">
        <f t="shared" si="36"/>
        <v>-1527</v>
      </c>
      <c r="I71">
        <f t="shared" si="36"/>
        <v>7250</v>
      </c>
      <c r="J71">
        <f t="shared" si="36"/>
        <v>-2723</v>
      </c>
      <c r="K71">
        <f t="shared" si="36"/>
        <v>700</v>
      </c>
      <c r="L71" s="1">
        <f ca="1">L72*(L37-K37)</f>
        <v>-129.2397562325215</v>
      </c>
      <c r="M71" s="1">
        <f t="shared" ref="M71:Q71" ca="1" si="37">M72*(M37-L37)</f>
        <v>331.63205195723896</v>
      </c>
      <c r="N71" s="1">
        <f t="shared" ca="1" si="37"/>
        <v>582.93904180270022</v>
      </c>
      <c r="O71" s="1">
        <f t="shared" ca="1" si="37"/>
        <v>454.18750443365832</v>
      </c>
      <c r="P71" s="1">
        <f t="shared" ca="1" si="37"/>
        <v>298.56933316916241</v>
      </c>
      <c r="Q71" s="1">
        <f t="shared" ca="1" si="37"/>
        <v>285.15647504081375</v>
      </c>
    </row>
    <row r="72" spans="1:17" x14ac:dyDescent="0.25">
      <c r="A72" t="s">
        <v>71</v>
      </c>
      <c r="D72" s="14">
        <f>D31</f>
        <v>-5.7030909882455377E-2</v>
      </c>
      <c r="E72" s="14">
        <f t="shared" ref="E72:K72" si="38">E31</f>
        <v>0.14353716587330648</v>
      </c>
      <c r="F72" s="14">
        <f t="shared" si="38"/>
        <v>7.8063851699279097E-2</v>
      </c>
      <c r="G72" s="14">
        <f t="shared" si="38"/>
        <v>0.14498655397618132</v>
      </c>
      <c r="H72" s="14">
        <f t="shared" si="38"/>
        <v>-0.1005597629239381</v>
      </c>
      <c r="I72" s="14">
        <f t="shared" si="38"/>
        <v>0.48791977925836194</v>
      </c>
      <c r="J72" s="14">
        <f t="shared" si="38"/>
        <v>-0.17834686926905946</v>
      </c>
      <c r="K72" s="14">
        <f t="shared" si="38"/>
        <v>2.1899637091728194E-2</v>
      </c>
      <c r="L72" s="14">
        <f>AVERAGE(D72:K72)</f>
        <v>6.7558680727925507E-2</v>
      </c>
      <c r="M72" s="14">
        <f>L72</f>
        <v>6.7558680727925507E-2</v>
      </c>
      <c r="N72" s="14">
        <f t="shared" ref="N72:Q72" si="39">M72</f>
        <v>6.7558680727925507E-2</v>
      </c>
      <c r="O72" s="14">
        <f t="shared" si="39"/>
        <v>6.7558680727925507E-2</v>
      </c>
      <c r="P72" s="14">
        <f t="shared" si="39"/>
        <v>6.7558680727925507E-2</v>
      </c>
      <c r="Q72" s="14">
        <f t="shared" si="39"/>
        <v>6.7558680727925507E-2</v>
      </c>
    </row>
    <row r="78" spans="1:17" x14ac:dyDescent="0.25">
      <c r="A78" s="3" t="s">
        <v>72</v>
      </c>
      <c r="L78" s="4">
        <f ca="1">L57+L59-L65-L71</f>
        <v>1475.1959627488989</v>
      </c>
      <c r="M78" s="4">
        <f t="shared" ref="M78:Q78" ca="1" si="40">M57+M59-M65-M71</f>
        <v>-4410.3849484997654</v>
      </c>
      <c r="N78" s="4">
        <f t="shared" ca="1" si="40"/>
        <v>3007.2058332745287</v>
      </c>
      <c r="O78" s="4">
        <f t="shared" ca="1" si="40"/>
        <v>11402.743883798636</v>
      </c>
      <c r="P78" s="4">
        <f t="shared" ca="1" si="40"/>
        <v>19233.130562953247</v>
      </c>
      <c r="Q78" s="4">
        <f t="shared" ca="1" si="40"/>
        <v>22525.562935095229</v>
      </c>
    </row>
    <row r="80" spans="1:17" x14ac:dyDescent="0.25">
      <c r="A80" t="s">
        <v>90</v>
      </c>
      <c r="M80" s="19">
        <f ca="1">M78/(1+8%)^M84*M83</f>
        <v>-3929.9195781833459</v>
      </c>
      <c r="N80" s="19">
        <f ca="1">N78/(1+8%)^N84</f>
        <v>2695.2033391145706</v>
      </c>
      <c r="O80" s="19">
        <f ca="1">O78/(1+8%)^O84</f>
        <v>9462.6765443248132</v>
      </c>
      <c r="P80" s="19">
        <f ca="1">P78/(1 + 8%)^P84</f>
        <v>14778.516802838314</v>
      </c>
      <c r="Q80" s="19">
        <f ca="1">Q78/(1+8%)^Q84</f>
        <v>16026.281530777485</v>
      </c>
    </row>
    <row r="82" spans="1:17" ht="24.75" x14ac:dyDescent="0.4">
      <c r="A82" s="15"/>
    </row>
    <row r="83" spans="1:17" x14ac:dyDescent="0.25">
      <c r="A83" t="s">
        <v>114</v>
      </c>
      <c r="M83">
        <f xml:space="preserve"> 337/365</f>
        <v>0.92328767123287669</v>
      </c>
    </row>
    <row r="84" spans="1:17" x14ac:dyDescent="0.25">
      <c r="A84" t="s">
        <v>113</v>
      </c>
      <c r="M84" s="1">
        <f xml:space="preserve"> M83 / 2</f>
        <v>0.46164383561643835</v>
      </c>
      <c r="N84" s="1">
        <f>M83 + 0.5</f>
        <v>1.4232876712328766</v>
      </c>
      <c r="O84" s="1">
        <f>N84 +1</f>
        <v>2.4232876712328766</v>
      </c>
      <c r="P84" s="1">
        <f t="shared" ref="P84:Q84" si="41">O84 +1</f>
        <v>3.4232876712328766</v>
      </c>
      <c r="Q84" s="1">
        <f t="shared" si="41"/>
        <v>4.4232876712328766</v>
      </c>
    </row>
    <row r="95" spans="1:17" x14ac:dyDescent="0.25">
      <c r="A95" t="s">
        <v>91</v>
      </c>
      <c r="Q95" s="19">
        <f ca="1">(Q78*(1+2%))/(8%-2%)</f>
        <v>382934.56989661895</v>
      </c>
    </row>
    <row r="96" spans="1:17" x14ac:dyDescent="0.25">
      <c r="A96" t="s">
        <v>92</v>
      </c>
      <c r="Q96" s="19">
        <f ca="1">Q95/(1+8%)^Q84</f>
        <v>272446.78602321725</v>
      </c>
    </row>
    <row r="99" spans="1:17" x14ac:dyDescent="0.25">
      <c r="A99" t="s">
        <v>93</v>
      </c>
      <c r="Q99" s="19">
        <f ca="1">SUM(M80:Q80,Q96)</f>
        <v>311479.54466208909</v>
      </c>
    </row>
    <row r="100" spans="1:17" x14ac:dyDescent="0.25">
      <c r="A100" t="s">
        <v>94</v>
      </c>
      <c r="Q100" s="4">
        <v>41780</v>
      </c>
    </row>
    <row r="101" spans="1:17" x14ac:dyDescent="0.25">
      <c r="A101" t="s">
        <v>95</v>
      </c>
      <c r="Q101" s="4">
        <v>26480</v>
      </c>
    </row>
    <row r="102" spans="1:17" x14ac:dyDescent="0.25">
      <c r="A102" t="s">
        <v>96</v>
      </c>
      <c r="Q102" s="19">
        <f ca="1">Q99+Q100-Q101</f>
        <v>326779.54466208909</v>
      </c>
    </row>
    <row r="103" spans="1:17" x14ac:dyDescent="0.25">
      <c r="A103" t="s">
        <v>97</v>
      </c>
      <c r="Q103">
        <v>2682</v>
      </c>
    </row>
    <row r="104" spans="1:17" x14ac:dyDescent="0.25">
      <c r="A104" t="s">
        <v>98</v>
      </c>
      <c r="Q104">
        <f ca="1">Q102/Q103</f>
        <v>121.84173924760965</v>
      </c>
    </row>
    <row r="107" spans="1:17" x14ac:dyDescent="0.25">
      <c r="A107" t="s">
        <v>115</v>
      </c>
      <c r="C107">
        <v>121.84</v>
      </c>
    </row>
    <row r="108" spans="1:17" x14ac:dyDescent="0.25">
      <c r="A108" t="s">
        <v>116</v>
      </c>
      <c r="C108">
        <v>151.74</v>
      </c>
    </row>
    <row r="110" spans="1:17" ht="15.7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8C79-3A74-4AB9-B55C-F649481CBDAE}">
  <dimension ref="B4:N16"/>
  <sheetViews>
    <sheetView workbookViewId="0">
      <selection activeCell="G24" sqref="G24"/>
    </sheetView>
  </sheetViews>
  <sheetFormatPr defaultRowHeight="15" x14ac:dyDescent="0.25"/>
  <cols>
    <col min="5" max="5" width="13" customWidth="1"/>
    <col min="7" max="7" width="19" customWidth="1"/>
    <col min="8" max="9" width="12.28515625" customWidth="1"/>
    <col min="10" max="10" width="19" customWidth="1"/>
    <col min="12" max="12" width="14.28515625" customWidth="1"/>
    <col min="13" max="13" width="15.42578125" customWidth="1"/>
  </cols>
  <sheetData>
    <row r="4" spans="2:14" ht="24.75" x14ac:dyDescent="0.4">
      <c r="C4" s="15" t="s">
        <v>4</v>
      </c>
    </row>
    <row r="6" spans="2:14" x14ac:dyDescent="0.25">
      <c r="D6" t="s">
        <v>77</v>
      </c>
      <c r="G6" s="3" t="s">
        <v>80</v>
      </c>
      <c r="J6" s="3" t="s">
        <v>85</v>
      </c>
      <c r="M6" s="3" t="s">
        <v>86</v>
      </c>
    </row>
    <row r="8" spans="2:14" x14ac:dyDescent="0.25">
      <c r="B8" t="s">
        <v>112</v>
      </c>
      <c r="C8">
        <v>1</v>
      </c>
      <c r="D8" t="s">
        <v>21</v>
      </c>
      <c r="E8">
        <v>1</v>
      </c>
      <c r="G8" t="s">
        <v>81</v>
      </c>
      <c r="H8" s="14">
        <v>0.8</v>
      </c>
      <c r="J8" t="s">
        <v>82</v>
      </c>
      <c r="K8" s="14">
        <v>0.08</v>
      </c>
      <c r="M8" t="s">
        <v>81</v>
      </c>
      <c r="N8" s="14">
        <v>1.1000000000000001</v>
      </c>
    </row>
    <row r="9" spans="2:14" x14ac:dyDescent="0.25">
      <c r="D9" t="s">
        <v>23</v>
      </c>
      <c r="E9">
        <v>1</v>
      </c>
      <c r="G9" t="s">
        <v>87</v>
      </c>
      <c r="H9" s="14">
        <v>0.6</v>
      </c>
      <c r="M9" t="s">
        <v>87</v>
      </c>
      <c r="N9" s="14">
        <v>1.1000000000000001</v>
      </c>
    </row>
    <row r="10" spans="2:14" x14ac:dyDescent="0.25">
      <c r="D10" t="s">
        <v>29</v>
      </c>
      <c r="E10">
        <v>1</v>
      </c>
      <c r="G10" t="s">
        <v>82</v>
      </c>
      <c r="H10" s="14">
        <v>0.03</v>
      </c>
      <c r="J10" t="s">
        <v>84</v>
      </c>
      <c r="K10" s="14">
        <v>0.28000000000000003</v>
      </c>
      <c r="M10" t="s">
        <v>82</v>
      </c>
      <c r="N10" s="14">
        <v>0.1</v>
      </c>
    </row>
    <row r="11" spans="2:14" x14ac:dyDescent="0.25">
      <c r="D11" t="s">
        <v>76</v>
      </c>
      <c r="E11">
        <v>1</v>
      </c>
      <c r="G11" t="s">
        <v>83</v>
      </c>
      <c r="H11" s="14">
        <v>0.9</v>
      </c>
      <c r="M11" t="s">
        <v>83</v>
      </c>
      <c r="N11" s="14">
        <v>1.2</v>
      </c>
    </row>
    <row r="12" spans="2:14" x14ac:dyDescent="0.25">
      <c r="G12" t="s">
        <v>84</v>
      </c>
      <c r="H12" s="14">
        <v>0.26</v>
      </c>
      <c r="M12" t="s">
        <v>84</v>
      </c>
      <c r="N12" s="14">
        <v>0.32</v>
      </c>
    </row>
    <row r="13" spans="2:14" x14ac:dyDescent="0.25">
      <c r="D13" t="s">
        <v>78</v>
      </c>
      <c r="E13" s="5">
        <f>CHOOSE(C8,H15,K13,N15)</f>
        <v>8.2000000000000003E-2</v>
      </c>
      <c r="G13" t="s">
        <v>88</v>
      </c>
      <c r="H13" s="14">
        <v>1.05</v>
      </c>
      <c r="J13" t="s">
        <v>78</v>
      </c>
      <c r="K13" s="5">
        <f>WACC!C21</f>
        <v>7.7495977283042083E-2</v>
      </c>
      <c r="M13" t="s">
        <v>88</v>
      </c>
      <c r="N13" s="14">
        <v>0.85</v>
      </c>
    </row>
    <row r="14" spans="2:14" x14ac:dyDescent="0.25">
      <c r="D14" t="s">
        <v>79</v>
      </c>
      <c r="E14" s="5">
        <f>CHOOSE(C8, H16,K14,N16)</f>
        <v>0.02</v>
      </c>
      <c r="G14" t="s">
        <v>89</v>
      </c>
      <c r="H14" s="14">
        <v>0.95</v>
      </c>
      <c r="J14" t="s">
        <v>79</v>
      </c>
      <c r="K14" s="16">
        <v>2.5000000000000001E-2</v>
      </c>
      <c r="M14" t="s">
        <v>89</v>
      </c>
      <c r="N14" s="14">
        <v>1.1000000000000001</v>
      </c>
    </row>
    <row r="15" spans="2:14" x14ac:dyDescent="0.25">
      <c r="G15" t="s">
        <v>78</v>
      </c>
      <c r="H15" s="16">
        <v>8.2000000000000003E-2</v>
      </c>
      <c r="M15" t="s">
        <v>78</v>
      </c>
      <c r="N15" s="16">
        <v>7.1999999999999995E-2</v>
      </c>
    </row>
    <row r="16" spans="2:14" x14ac:dyDescent="0.25">
      <c r="G16" t="s">
        <v>79</v>
      </c>
      <c r="H16" s="14">
        <v>0.02</v>
      </c>
      <c r="M16" t="s">
        <v>79</v>
      </c>
      <c r="N16" s="14">
        <v>0.03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1CF7-ACE1-46B8-8576-15933FB65D7C}">
  <dimension ref="A1:P26"/>
  <sheetViews>
    <sheetView workbookViewId="0">
      <selection activeCell="E28" sqref="E28"/>
    </sheetView>
  </sheetViews>
  <sheetFormatPr defaultRowHeight="15" x14ac:dyDescent="0.25"/>
  <cols>
    <col min="1" max="1" width="29.85546875" customWidth="1"/>
    <col min="2" max="2" width="10" customWidth="1"/>
  </cols>
  <sheetData>
    <row r="1" spans="1:16" ht="26.25" x14ac:dyDescent="0.4">
      <c r="A1" s="7" t="s">
        <v>38</v>
      </c>
    </row>
    <row r="2" spans="1:16" ht="17.25" x14ac:dyDescent="0.3">
      <c r="A2" s="9" t="s">
        <v>58</v>
      </c>
      <c r="B2">
        <v>13</v>
      </c>
      <c r="C2">
        <f>B2+1</f>
        <v>14</v>
      </c>
      <c r="D2">
        <f t="shared" ref="D2:P2" si="0">C2+1</f>
        <v>15</v>
      </c>
      <c r="E2">
        <f t="shared" si="0"/>
        <v>16</v>
      </c>
      <c r="F2">
        <f t="shared" si="0"/>
        <v>17</v>
      </c>
      <c r="G2">
        <f t="shared" si="0"/>
        <v>18</v>
      </c>
      <c r="H2">
        <f t="shared" si="0"/>
        <v>19</v>
      </c>
      <c r="I2">
        <f t="shared" si="0"/>
        <v>20</v>
      </c>
      <c r="J2">
        <f t="shared" si="0"/>
        <v>21</v>
      </c>
      <c r="K2">
        <f t="shared" si="0"/>
        <v>22</v>
      </c>
      <c r="L2">
        <f t="shared" si="0"/>
        <v>23</v>
      </c>
      <c r="M2">
        <f t="shared" si="0"/>
        <v>24</v>
      </c>
      <c r="N2">
        <f t="shared" si="0"/>
        <v>25</v>
      </c>
      <c r="O2">
        <f t="shared" si="0"/>
        <v>26</v>
      </c>
      <c r="P2">
        <f t="shared" si="0"/>
        <v>27</v>
      </c>
    </row>
    <row r="3" spans="1:16" x14ac:dyDescent="0.25">
      <c r="A3" t="s">
        <v>35</v>
      </c>
      <c r="B3" s="4">
        <v>7872</v>
      </c>
      <c r="C3" s="4">
        <v>12466</v>
      </c>
      <c r="D3" s="4">
        <v>17928</v>
      </c>
      <c r="E3" s="4">
        <v>27638</v>
      </c>
      <c r="F3" s="4">
        <v>40653</v>
      </c>
      <c r="G3" s="4">
        <v>55838</v>
      </c>
      <c r="H3" s="4">
        <v>70697</v>
      </c>
      <c r="I3" s="4">
        <v>85965</v>
      </c>
      <c r="J3" s="4">
        <v>117929</v>
      </c>
      <c r="K3" s="4">
        <v>116016</v>
      </c>
      <c r="L3" s="4">
        <v>122152</v>
      </c>
      <c r="M3" s="4">
        <v>136679</v>
      </c>
      <c r="N3" s="4">
        <v>152057</v>
      </c>
      <c r="O3" s="4">
        <v>164598</v>
      </c>
      <c r="P3" s="4">
        <v>180135</v>
      </c>
    </row>
    <row r="4" spans="1:16" x14ac:dyDescent="0.25">
      <c r="A4" t="s">
        <v>36</v>
      </c>
      <c r="B4" t="s">
        <v>59</v>
      </c>
      <c r="C4" t="s">
        <v>59</v>
      </c>
      <c r="D4" s="4">
        <v>2595</v>
      </c>
      <c r="E4" s="4">
        <v>3672</v>
      </c>
      <c r="F4" s="4">
        <v>5455</v>
      </c>
      <c r="G4" s="4">
        <v>9355</v>
      </c>
      <c r="H4" s="4">
        <v>12770</v>
      </c>
      <c r="I4" s="4">
        <v>16692</v>
      </c>
      <c r="J4" s="4">
        <v>22649</v>
      </c>
      <c r="K4" s="4">
        <v>23162</v>
      </c>
      <c r="L4" s="4">
        <v>27301</v>
      </c>
      <c r="M4" s="4">
        <v>30252</v>
      </c>
      <c r="N4" s="4">
        <v>33415</v>
      </c>
      <c r="O4" s="4">
        <v>37798</v>
      </c>
      <c r="P4" s="4">
        <v>40296</v>
      </c>
    </row>
    <row r="5" spans="1:16" x14ac:dyDescent="0.25">
      <c r="A5" t="s">
        <v>37</v>
      </c>
      <c r="B5" t="s">
        <v>59</v>
      </c>
      <c r="C5" s="1">
        <v>59</v>
      </c>
      <c r="D5" s="10">
        <v>53</v>
      </c>
      <c r="E5">
        <v>56</v>
      </c>
      <c r="F5" t="s">
        <v>59</v>
      </c>
      <c r="G5">
        <v>37.4</v>
      </c>
      <c r="H5">
        <v>26.6</v>
      </c>
      <c r="I5">
        <v>21.6</v>
      </c>
      <c r="J5" s="12">
        <v>37.200000000000003</v>
      </c>
      <c r="K5" s="11">
        <v>-0.9</v>
      </c>
      <c r="L5">
        <v>14.1</v>
      </c>
      <c r="M5">
        <v>8</v>
      </c>
      <c r="N5" t="s">
        <v>59</v>
      </c>
      <c r="O5" t="s">
        <v>59</v>
      </c>
      <c r="P5" t="s">
        <v>59</v>
      </c>
    </row>
    <row r="6" spans="1:16" x14ac:dyDescent="0.25">
      <c r="A6" s="8" t="s">
        <v>39</v>
      </c>
      <c r="B6" s="4">
        <v>6039</v>
      </c>
      <c r="C6" s="4">
        <v>10446</v>
      </c>
      <c r="D6" s="4">
        <v>15332</v>
      </c>
      <c r="E6" s="4">
        <v>24070</v>
      </c>
      <c r="F6" s="4">
        <v>35198</v>
      </c>
      <c r="G6" s="4">
        <v>46483</v>
      </c>
      <c r="H6" s="4">
        <v>57927</v>
      </c>
      <c r="I6" s="4">
        <v>69274</v>
      </c>
      <c r="J6" s="4">
        <v>95280</v>
      </c>
      <c r="K6" s="4">
        <v>92738</v>
      </c>
      <c r="L6" s="4">
        <v>94620</v>
      </c>
      <c r="M6" s="4">
        <v>104365</v>
      </c>
      <c r="N6" s="4">
        <v>121496</v>
      </c>
      <c r="O6" s="4">
        <v>127372</v>
      </c>
      <c r="P6" s="4">
        <v>141264</v>
      </c>
    </row>
    <row r="7" spans="1:16" x14ac:dyDescent="0.25">
      <c r="A7" s="8" t="s">
        <v>40</v>
      </c>
      <c r="B7" t="s">
        <v>59</v>
      </c>
      <c r="C7" s="4">
        <v>2653</v>
      </c>
      <c r="D7" s="4">
        <v>4020</v>
      </c>
      <c r="E7" s="4">
        <v>5355</v>
      </c>
      <c r="F7" s="4">
        <v>7242</v>
      </c>
      <c r="G7" s="4">
        <v>10451</v>
      </c>
      <c r="H7" s="4">
        <v>19371</v>
      </c>
      <c r="I7" s="4">
        <v>26794</v>
      </c>
      <c r="J7" s="4">
        <v>35460</v>
      </c>
      <c r="K7" s="4">
        <v>44288</v>
      </c>
      <c r="L7" s="4">
        <v>49037</v>
      </c>
      <c r="M7" s="4">
        <v>51681</v>
      </c>
      <c r="N7" t="s">
        <v>59</v>
      </c>
      <c r="O7" t="s">
        <v>59</v>
      </c>
      <c r="P7" t="s">
        <v>59</v>
      </c>
    </row>
    <row r="8" spans="1:16" x14ac:dyDescent="0.25">
      <c r="A8" s="8" t="s">
        <v>41</v>
      </c>
      <c r="B8">
        <v>856</v>
      </c>
      <c r="C8" s="4">
        <v>1318</v>
      </c>
      <c r="D8" s="4">
        <v>1985</v>
      </c>
      <c r="E8" s="4">
        <v>2971</v>
      </c>
      <c r="F8" s="4">
        <v>4725</v>
      </c>
      <c r="G8" s="4">
        <v>7845</v>
      </c>
      <c r="H8" s="4">
        <v>9876</v>
      </c>
      <c r="I8" s="4">
        <v>11590</v>
      </c>
      <c r="J8" s="4">
        <v>14043</v>
      </c>
      <c r="K8" s="4">
        <v>14992</v>
      </c>
      <c r="L8" s="4">
        <v>15791</v>
      </c>
      <c r="M8" s="4">
        <v>17202</v>
      </c>
      <c r="N8" s="4">
        <v>18866</v>
      </c>
      <c r="O8" s="4">
        <v>20158</v>
      </c>
      <c r="P8" s="4">
        <v>21773</v>
      </c>
    </row>
    <row r="9" spans="1:16" x14ac:dyDescent="0.25">
      <c r="A9" s="8" t="s">
        <v>42</v>
      </c>
      <c r="B9">
        <v>600</v>
      </c>
      <c r="C9" s="4">
        <v>717</v>
      </c>
      <c r="D9" s="4">
        <v>974</v>
      </c>
      <c r="E9" s="4">
        <v>1387</v>
      </c>
      <c r="F9" s="4">
        <v>2517</v>
      </c>
      <c r="G9" s="4">
        <v>3452</v>
      </c>
      <c r="H9" s="4">
        <v>10465</v>
      </c>
      <c r="I9" s="4">
        <v>6565</v>
      </c>
      <c r="J9" s="4">
        <v>9829</v>
      </c>
      <c r="K9" s="4">
        <v>12025</v>
      </c>
      <c r="L9" s="4">
        <v>13466</v>
      </c>
      <c r="M9" s="4">
        <v>13862</v>
      </c>
      <c r="N9" s="4">
        <v>14984</v>
      </c>
      <c r="O9" s="4">
        <v>16189</v>
      </c>
      <c r="P9" s="4">
        <v>16974</v>
      </c>
    </row>
    <row r="10" spans="1:16" x14ac:dyDescent="0.25">
      <c r="A10" s="8" t="s">
        <v>43</v>
      </c>
      <c r="B10">
        <v>780</v>
      </c>
      <c r="C10" s="4">
        <v>1286</v>
      </c>
      <c r="D10" s="4">
        <v>2372</v>
      </c>
      <c r="E10" s="4">
        <v>3322</v>
      </c>
      <c r="F10" s="4">
        <v>7754</v>
      </c>
      <c r="G10" s="4">
        <v>10273</v>
      </c>
      <c r="H10" s="4">
        <v>13600</v>
      </c>
      <c r="I10" s="4">
        <v>18488</v>
      </c>
      <c r="J10" s="4">
        <v>24655</v>
      </c>
      <c r="K10" s="4">
        <v>31896</v>
      </c>
      <c r="L10" s="4">
        <v>35100</v>
      </c>
      <c r="M10" s="4">
        <v>37362</v>
      </c>
      <c r="N10" s="4">
        <v>41801</v>
      </c>
      <c r="O10" s="4">
        <v>47386</v>
      </c>
      <c r="P10" s="4">
        <v>51173</v>
      </c>
    </row>
    <row r="11" spans="1:16" x14ac:dyDescent="0.25">
      <c r="A11" s="8" t="s">
        <v>44</v>
      </c>
      <c r="B11" s="4">
        <v>4822</v>
      </c>
      <c r="C11" s="4">
        <v>8207</v>
      </c>
      <c r="D11" s="4">
        <v>11216</v>
      </c>
      <c r="E11" s="4">
        <v>18085</v>
      </c>
      <c r="F11" s="4">
        <v>26950</v>
      </c>
      <c r="G11" s="4">
        <v>33380</v>
      </c>
      <c r="H11" s="4">
        <v>39691</v>
      </c>
      <c r="I11" s="4">
        <v>46069</v>
      </c>
      <c r="J11" s="4">
        <v>63882</v>
      </c>
      <c r="K11" s="4">
        <v>50684</v>
      </c>
      <c r="L11" s="4">
        <v>49948</v>
      </c>
      <c r="M11" s="4">
        <v>57095</v>
      </c>
      <c r="N11" s="4">
        <v>67318</v>
      </c>
      <c r="O11" s="4">
        <v>76740</v>
      </c>
      <c r="P11" s="4">
        <v>86548</v>
      </c>
    </row>
    <row r="12" spans="1:16" x14ac:dyDescent="0.25">
      <c r="A12" s="8" t="s">
        <v>45</v>
      </c>
      <c r="B12" s="4">
        <v>4822</v>
      </c>
      <c r="C12" s="4">
        <v>8312</v>
      </c>
      <c r="D12" s="4">
        <v>11216</v>
      </c>
      <c r="E12" s="4">
        <v>18085</v>
      </c>
      <c r="F12" s="4">
        <v>26950</v>
      </c>
      <c r="G12" s="4">
        <v>33380</v>
      </c>
      <c r="H12" s="4">
        <v>39692</v>
      </c>
      <c r="I12" s="4">
        <v>46069</v>
      </c>
      <c r="J12" s="4">
        <v>63882</v>
      </c>
      <c r="K12" s="4">
        <v>51071</v>
      </c>
      <c r="L12" s="4">
        <v>49818</v>
      </c>
      <c r="M12" s="4">
        <v>58833</v>
      </c>
      <c r="N12" s="4">
        <v>67304</v>
      </c>
      <c r="O12" s="4">
        <v>76740</v>
      </c>
      <c r="P12" s="4">
        <v>86548</v>
      </c>
    </row>
    <row r="13" spans="1:16" x14ac:dyDescent="0.25">
      <c r="A13" s="8" t="s">
        <v>46</v>
      </c>
      <c r="B13" s="4">
        <v>3823</v>
      </c>
      <c r="C13" s="4">
        <v>6397</v>
      </c>
      <c r="D13" s="4">
        <v>8170</v>
      </c>
      <c r="E13" s="4">
        <v>15234</v>
      </c>
      <c r="F13" s="4">
        <v>23227</v>
      </c>
      <c r="G13" s="4">
        <v>29228</v>
      </c>
      <c r="H13" s="4">
        <v>29728</v>
      </c>
      <c r="I13" s="4">
        <v>39533</v>
      </c>
      <c r="J13" s="4">
        <v>54719</v>
      </c>
      <c r="K13" s="4">
        <v>39007</v>
      </c>
      <c r="L13" s="4">
        <v>31888</v>
      </c>
      <c r="M13" s="4">
        <v>36469</v>
      </c>
      <c r="N13" s="4">
        <v>50576</v>
      </c>
      <c r="O13" t="s">
        <v>59</v>
      </c>
      <c r="P13" t="s">
        <v>59</v>
      </c>
    </row>
    <row r="14" spans="1:16" x14ac:dyDescent="0.25">
      <c r="A14" s="8" t="s">
        <v>29</v>
      </c>
      <c r="B14" s="4">
        <v>1019</v>
      </c>
      <c r="C14" s="4">
        <v>1243</v>
      </c>
      <c r="D14" s="4">
        <v>1945</v>
      </c>
      <c r="E14" s="4">
        <v>2342</v>
      </c>
      <c r="F14" s="4">
        <v>3025</v>
      </c>
      <c r="G14" s="4">
        <v>4315</v>
      </c>
      <c r="H14" s="4">
        <v>5741</v>
      </c>
      <c r="I14" s="4">
        <v>6892</v>
      </c>
      <c r="J14" s="4">
        <v>7966</v>
      </c>
      <c r="K14" s="4">
        <v>9217</v>
      </c>
      <c r="L14" s="4">
        <v>11305</v>
      </c>
      <c r="M14" s="4">
        <v>13917</v>
      </c>
      <c r="N14" s="4">
        <v>15814</v>
      </c>
      <c r="O14" s="4">
        <v>20616</v>
      </c>
      <c r="P14" s="4">
        <v>23067</v>
      </c>
    </row>
    <row r="15" spans="1:16" x14ac:dyDescent="0.25">
      <c r="A15" s="8" t="s">
        <v>48</v>
      </c>
      <c r="B15" s="4">
        <v>3803</v>
      </c>
      <c r="C15" s="4">
        <v>7207</v>
      </c>
      <c r="D15" s="4">
        <v>10001</v>
      </c>
      <c r="E15" s="4">
        <v>16494</v>
      </c>
      <c r="F15" s="4">
        <v>20202</v>
      </c>
      <c r="G15" s="4">
        <v>24913</v>
      </c>
      <c r="H15" s="4">
        <v>23986</v>
      </c>
      <c r="I15" s="4">
        <v>32671</v>
      </c>
      <c r="J15" s="4">
        <v>46753</v>
      </c>
      <c r="K15" s="4">
        <v>30231</v>
      </c>
      <c r="L15" s="4">
        <v>27352</v>
      </c>
      <c r="M15" s="4">
        <v>33419</v>
      </c>
      <c r="N15" s="4">
        <v>40055</v>
      </c>
      <c r="O15" s="4">
        <v>43068</v>
      </c>
      <c r="P15" s="4">
        <v>49918</v>
      </c>
    </row>
    <row r="16" spans="1:16" x14ac:dyDescent="0.25">
      <c r="A16" s="8" t="s">
        <v>44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s="4">
        <v>30254</v>
      </c>
      <c r="H16" s="4">
        <v>35318</v>
      </c>
      <c r="I16" s="4">
        <v>41041</v>
      </c>
      <c r="J16" s="4">
        <v>58436</v>
      </c>
      <c r="K16" s="4">
        <v>44357</v>
      </c>
      <c r="L16" s="4">
        <v>37161</v>
      </c>
      <c r="M16" s="4" t="s">
        <v>59</v>
      </c>
      <c r="N16" t="s">
        <v>59</v>
      </c>
      <c r="O16" s="4" t="s">
        <v>59</v>
      </c>
      <c r="P16" s="4" t="s">
        <v>59</v>
      </c>
    </row>
    <row r="17" spans="1:16" x14ac:dyDescent="0.25">
      <c r="A17" s="8" t="s">
        <v>49</v>
      </c>
      <c r="B17" s="4">
        <v>3803</v>
      </c>
      <c r="C17" s="4">
        <v>7207</v>
      </c>
      <c r="D17" s="4">
        <v>10001</v>
      </c>
      <c r="E17" s="4">
        <v>16494</v>
      </c>
      <c r="F17" s="4">
        <v>24657</v>
      </c>
      <c r="G17" s="4">
        <v>29717</v>
      </c>
      <c r="H17" s="4">
        <v>33821</v>
      </c>
      <c r="I17" s="4">
        <v>39210</v>
      </c>
      <c r="J17" s="4">
        <v>55916</v>
      </c>
      <c r="K17" s="4">
        <v>38731</v>
      </c>
      <c r="L17" s="4">
        <v>35842</v>
      </c>
      <c r="M17" s="4">
        <v>41477</v>
      </c>
      <c r="N17" s="4">
        <v>49509</v>
      </c>
      <c r="O17" s="4">
        <v>45214</v>
      </c>
      <c r="P17" s="4">
        <v>50675</v>
      </c>
    </row>
    <row r="18" spans="1:16" x14ac:dyDescent="0.25">
      <c r="A18" s="8" t="s">
        <v>50</v>
      </c>
      <c r="B18" s="4">
        <v>2804</v>
      </c>
      <c r="C18" s="4">
        <v>4995</v>
      </c>
      <c r="D18" s="4">
        <v>6225</v>
      </c>
      <c r="E18" s="4">
        <v>12427</v>
      </c>
      <c r="F18" s="4">
        <v>20202</v>
      </c>
      <c r="G18" s="4">
        <v>24913</v>
      </c>
      <c r="H18" s="4">
        <v>23986</v>
      </c>
      <c r="I18" s="4">
        <v>32671</v>
      </c>
      <c r="J18" s="4">
        <v>46753</v>
      </c>
      <c r="K18" s="4">
        <v>30231</v>
      </c>
      <c r="L18" s="4">
        <v>26745</v>
      </c>
      <c r="M18" s="4">
        <v>33005</v>
      </c>
      <c r="N18" s="4">
        <v>40055</v>
      </c>
      <c r="O18" s="4">
        <v>43068</v>
      </c>
      <c r="P18" s="4">
        <v>49918</v>
      </c>
    </row>
    <row r="19" spans="1:16" x14ac:dyDescent="0.25">
      <c r="A19" s="8" t="s">
        <v>47</v>
      </c>
      <c r="B19" s="4">
        <v>57</v>
      </c>
      <c r="C19" s="4">
        <v>84</v>
      </c>
      <c r="D19" s="4">
        <v>31</v>
      </c>
      <c r="E19" s="4">
        <v>70</v>
      </c>
      <c r="F19" s="4">
        <v>392</v>
      </c>
      <c r="G19" s="4">
        <v>448</v>
      </c>
      <c r="H19" s="4">
        <v>826</v>
      </c>
      <c r="I19" s="4">
        <v>509</v>
      </c>
      <c r="J19" t="s">
        <v>59</v>
      </c>
      <c r="K19" s="4">
        <v>326</v>
      </c>
      <c r="L19" s="4">
        <v>452</v>
      </c>
      <c r="M19" s="4">
        <v>404</v>
      </c>
      <c r="N19" t="s">
        <v>59</v>
      </c>
      <c r="O19" t="s">
        <v>59</v>
      </c>
      <c r="P19" t="s">
        <v>59</v>
      </c>
    </row>
    <row r="20" spans="1:16" x14ac:dyDescent="0.25">
      <c r="A20" s="8" t="s">
        <v>51</v>
      </c>
      <c r="B20" s="4">
        <v>3753</v>
      </c>
      <c r="C20" s="4">
        <v>7123</v>
      </c>
      <c r="D20" s="4">
        <v>9970</v>
      </c>
      <c r="E20" s="4">
        <v>12533</v>
      </c>
      <c r="F20" s="4">
        <v>20594</v>
      </c>
      <c r="G20" s="4">
        <v>25361</v>
      </c>
      <c r="H20" s="4">
        <v>24812</v>
      </c>
      <c r="I20" s="4">
        <v>33180</v>
      </c>
      <c r="J20" s="4">
        <v>47283</v>
      </c>
      <c r="K20" s="4">
        <v>30488</v>
      </c>
      <c r="L20" s="4">
        <v>27180</v>
      </c>
      <c r="M20" s="4">
        <v>32444</v>
      </c>
      <c r="N20" s="4">
        <v>38378</v>
      </c>
      <c r="O20" s="4">
        <v>43160</v>
      </c>
      <c r="P20" s="4">
        <v>50241</v>
      </c>
    </row>
    <row r="21" spans="1:16" x14ac:dyDescent="0.25">
      <c r="A21" s="8" t="s">
        <v>52</v>
      </c>
      <c r="B21" s="4">
        <v>3753</v>
      </c>
      <c r="C21" s="4">
        <v>7123</v>
      </c>
      <c r="D21" s="4">
        <v>9970</v>
      </c>
      <c r="E21" s="4">
        <v>16584</v>
      </c>
      <c r="F21" s="4">
        <v>25063</v>
      </c>
      <c r="G21" s="4">
        <v>29583</v>
      </c>
      <c r="H21" s="4">
        <v>34922</v>
      </c>
      <c r="I21" s="4">
        <v>40253</v>
      </c>
      <c r="J21" s="4">
        <v>57593</v>
      </c>
      <c r="K21" s="4">
        <v>40636</v>
      </c>
      <c r="L21" s="4">
        <v>36138</v>
      </c>
      <c r="M21" s="4">
        <v>42302</v>
      </c>
      <c r="N21" s="4">
        <v>55928</v>
      </c>
      <c r="O21" t="s">
        <v>59</v>
      </c>
      <c r="P21" t="s">
        <v>59</v>
      </c>
    </row>
    <row r="22" spans="1:16" x14ac:dyDescent="0.25">
      <c r="A22" s="8" t="s">
        <v>53</v>
      </c>
      <c r="B22" s="4">
        <v>2754</v>
      </c>
      <c r="C22" s="4">
        <v>4911</v>
      </c>
      <c r="D22" s="4">
        <v>6194</v>
      </c>
      <c r="E22" s="4">
        <v>12518</v>
      </c>
      <c r="F22" s="4">
        <v>20594</v>
      </c>
      <c r="G22" s="4">
        <v>25361</v>
      </c>
      <c r="H22" s="4">
        <v>24812</v>
      </c>
      <c r="I22" s="4">
        <v>33180</v>
      </c>
      <c r="J22" s="4">
        <v>47283</v>
      </c>
      <c r="K22" s="4">
        <v>30488</v>
      </c>
      <c r="L22" s="4">
        <v>27180</v>
      </c>
      <c r="M22" s="4">
        <v>32444</v>
      </c>
      <c r="N22" s="4">
        <v>38378</v>
      </c>
      <c r="O22" s="4">
        <v>43160</v>
      </c>
      <c r="P22" s="4">
        <v>50241</v>
      </c>
    </row>
    <row r="23" spans="1:16" x14ac:dyDescent="0.25">
      <c r="A23" s="8" t="s">
        <v>54</v>
      </c>
      <c r="B23" s="4">
        <v>1254</v>
      </c>
      <c r="C23" s="4">
        <v>1971</v>
      </c>
      <c r="D23" s="4">
        <v>2505</v>
      </c>
      <c r="E23" s="4">
        <v>3021</v>
      </c>
      <c r="F23" s="4">
        <v>4661</v>
      </c>
      <c r="G23" s="4">
        <v>3248</v>
      </c>
      <c r="H23" s="4">
        <v>6327</v>
      </c>
      <c r="I23" s="4">
        <v>4035</v>
      </c>
      <c r="J23" s="4">
        <v>7913</v>
      </c>
      <c r="K23" s="4">
        <v>5705</v>
      </c>
      <c r="L23" s="4">
        <v>5431</v>
      </c>
      <c r="M23" s="4">
        <v>6359</v>
      </c>
      <c r="N23" s="4">
        <v>7848</v>
      </c>
      <c r="O23" s="4">
        <v>9016</v>
      </c>
      <c r="P23" s="4">
        <v>10488</v>
      </c>
    </row>
    <row r="24" spans="1:16" x14ac:dyDescent="0.25">
      <c r="A24" s="8" t="s">
        <v>55</v>
      </c>
      <c r="B24" s="4">
        <v>2202</v>
      </c>
      <c r="C24" s="4">
        <v>4713</v>
      </c>
      <c r="D24" s="4">
        <v>6518</v>
      </c>
      <c r="E24" s="4">
        <v>12368</v>
      </c>
      <c r="F24" s="4">
        <v>15920</v>
      </c>
      <c r="G24" s="4">
        <v>22111</v>
      </c>
      <c r="H24" s="4">
        <v>18485</v>
      </c>
      <c r="I24" s="4">
        <v>29146</v>
      </c>
      <c r="J24" s="4">
        <v>39370</v>
      </c>
      <c r="K24" s="4">
        <v>24828</v>
      </c>
      <c r="L24" s="4">
        <v>21860</v>
      </c>
      <c r="M24" s="4">
        <v>26779</v>
      </c>
      <c r="N24" s="4">
        <v>30557</v>
      </c>
      <c r="O24" s="4">
        <v>34144</v>
      </c>
      <c r="P24" s="4">
        <v>39753</v>
      </c>
    </row>
    <row r="25" spans="1:16" x14ac:dyDescent="0.25">
      <c r="A25" s="8" t="s">
        <v>56</v>
      </c>
      <c r="B25" s="4">
        <v>2202</v>
      </c>
      <c r="C25" s="4">
        <v>4713</v>
      </c>
      <c r="D25" s="4">
        <v>6518</v>
      </c>
      <c r="E25" s="4">
        <v>12368</v>
      </c>
      <c r="F25" s="4">
        <v>18481</v>
      </c>
      <c r="G25" s="4">
        <v>22590</v>
      </c>
      <c r="H25" s="4">
        <v>23560</v>
      </c>
      <c r="I25" s="4">
        <v>29146</v>
      </c>
      <c r="J25" s="4">
        <v>47016</v>
      </c>
      <c r="K25" s="4">
        <v>30413</v>
      </c>
      <c r="L25" s="4">
        <v>27786</v>
      </c>
      <c r="M25" s="4">
        <v>31731</v>
      </c>
      <c r="N25" s="4">
        <v>30434</v>
      </c>
      <c r="O25" t="s">
        <v>59</v>
      </c>
      <c r="P25" t="s">
        <v>59</v>
      </c>
    </row>
    <row r="26" spans="1:16" x14ac:dyDescent="0.25">
      <c r="A26" s="8" t="s">
        <v>57</v>
      </c>
      <c r="B26" s="4">
        <v>1500</v>
      </c>
      <c r="C26" s="4">
        <v>2940</v>
      </c>
      <c r="D26" s="4">
        <v>3688</v>
      </c>
      <c r="E26" s="4">
        <v>10217</v>
      </c>
      <c r="F26" s="4">
        <v>15920</v>
      </c>
      <c r="G26" s="4">
        <v>22111</v>
      </c>
      <c r="H26" s="4">
        <v>18485</v>
      </c>
      <c r="I26" s="4">
        <v>29146</v>
      </c>
      <c r="J26" s="4">
        <v>39370</v>
      </c>
      <c r="K26" s="4">
        <v>24828</v>
      </c>
      <c r="L26" s="4">
        <v>21860</v>
      </c>
      <c r="M26" s="4">
        <v>26377</v>
      </c>
      <c r="N26" s="4">
        <v>30557</v>
      </c>
      <c r="O26" s="4">
        <v>34144</v>
      </c>
      <c r="P26" s="4">
        <v>39753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881F-0B0B-432C-B9BF-F1A8E58287DD}">
  <dimension ref="A1:P15"/>
  <sheetViews>
    <sheetView workbookViewId="0">
      <selection activeCell="E22" sqref="E22"/>
    </sheetView>
  </sheetViews>
  <sheetFormatPr defaultRowHeight="15" x14ac:dyDescent="0.25"/>
  <cols>
    <col min="1" max="1" width="29.7109375" customWidth="1"/>
  </cols>
  <sheetData>
    <row r="1" spans="1:16" ht="19.5" x14ac:dyDescent="0.3">
      <c r="A1" s="6" t="s">
        <v>2</v>
      </c>
    </row>
    <row r="3" spans="1:16" x14ac:dyDescent="0.25">
      <c r="A3" t="s">
        <v>60</v>
      </c>
      <c r="B3">
        <v>2013</v>
      </c>
      <c r="C3">
        <f>B3+1</f>
        <v>2014</v>
      </c>
      <c r="D3">
        <f t="shared" ref="D3:P3" si="0">C3+1</f>
        <v>2015</v>
      </c>
      <c r="E3">
        <f t="shared" si="0"/>
        <v>2016</v>
      </c>
      <c r="F3">
        <f t="shared" si="0"/>
        <v>2017</v>
      </c>
      <c r="G3">
        <f t="shared" si="0"/>
        <v>2018</v>
      </c>
      <c r="H3">
        <f t="shared" si="0"/>
        <v>2019</v>
      </c>
      <c r="I3">
        <f t="shared" si="0"/>
        <v>2020</v>
      </c>
      <c r="J3">
        <f t="shared" si="0"/>
        <v>2021</v>
      </c>
      <c r="K3">
        <f t="shared" si="0"/>
        <v>2022</v>
      </c>
      <c r="L3">
        <f t="shared" si="0"/>
        <v>2023</v>
      </c>
      <c r="M3">
        <f t="shared" si="0"/>
        <v>2024</v>
      </c>
      <c r="N3">
        <f>M3+1</f>
        <v>2025</v>
      </c>
      <c r="O3">
        <f t="shared" si="0"/>
        <v>2026</v>
      </c>
      <c r="P3">
        <f t="shared" si="0"/>
        <v>2027</v>
      </c>
    </row>
    <row r="6" spans="1:16" x14ac:dyDescent="0.25">
      <c r="A6" t="s">
        <v>31</v>
      </c>
      <c r="B6" s="4">
        <v>1362</v>
      </c>
      <c r="C6" s="4">
        <v>1831</v>
      </c>
      <c r="D6" s="4">
        <v>2523</v>
      </c>
      <c r="E6" s="4">
        <v>4491</v>
      </c>
      <c r="F6" s="4">
        <v>6733</v>
      </c>
      <c r="G6" s="4">
        <v>13915</v>
      </c>
      <c r="H6" s="4">
        <v>15102</v>
      </c>
      <c r="I6" s="4">
        <v>15115</v>
      </c>
      <c r="J6" s="4">
        <v>18567</v>
      </c>
      <c r="K6" s="4">
        <v>32033</v>
      </c>
      <c r="L6" s="4">
        <v>34910</v>
      </c>
      <c r="M6" s="4">
        <v>33931</v>
      </c>
      <c r="N6" s="4">
        <v>34332</v>
      </c>
      <c r="O6" s="4">
        <v>31722</v>
      </c>
      <c r="P6" s="4">
        <v>31706</v>
      </c>
    </row>
    <row r="7" spans="1:16" x14ac:dyDescent="0.25">
      <c r="A7" t="s">
        <v>68</v>
      </c>
      <c r="B7" s="4">
        <v>2860</v>
      </c>
      <c r="C7" s="4">
        <v>3626</v>
      </c>
      <c r="D7" s="4">
        <v>6076</v>
      </c>
      <c r="E7" s="4">
        <v>11268</v>
      </c>
      <c r="F7" s="4">
        <v>17484</v>
      </c>
      <c r="G7" s="4">
        <v>15359</v>
      </c>
      <c r="H7" s="4">
        <v>21211</v>
      </c>
      <c r="I7" s="4">
        <v>23632</v>
      </c>
      <c r="J7" s="4">
        <v>39116</v>
      </c>
      <c r="K7" s="4">
        <v>14096</v>
      </c>
      <c r="L7" s="4">
        <v>10604</v>
      </c>
      <c r="M7" s="4">
        <v>17343</v>
      </c>
      <c r="N7" s="4">
        <v>27677</v>
      </c>
      <c r="O7" s="4">
        <v>33363</v>
      </c>
      <c r="P7" s="4">
        <v>42596</v>
      </c>
    </row>
    <row r="8" spans="1:16" x14ac:dyDescent="0.25">
      <c r="A8" t="s">
        <v>61</v>
      </c>
      <c r="B8" t="s">
        <v>59</v>
      </c>
      <c r="C8" t="s">
        <v>59</v>
      </c>
      <c r="D8" t="s">
        <v>59</v>
      </c>
      <c r="E8" s="4">
        <v>11527</v>
      </c>
      <c r="F8" s="4">
        <v>17092</v>
      </c>
      <c r="G8" s="4">
        <v>14911</v>
      </c>
      <c r="H8" s="4" t="s">
        <v>59</v>
      </c>
      <c r="I8" t="s">
        <v>59</v>
      </c>
      <c r="J8" t="s">
        <v>59</v>
      </c>
      <c r="K8" s="4" t="s">
        <v>59</v>
      </c>
      <c r="L8" s="4" t="s">
        <v>59</v>
      </c>
      <c r="M8" s="4" t="s">
        <v>59</v>
      </c>
      <c r="N8" s="4" t="s">
        <v>59</v>
      </c>
      <c r="O8" s="4" t="s">
        <v>59</v>
      </c>
      <c r="P8" s="4" t="s">
        <v>59</v>
      </c>
    </row>
    <row r="9" spans="1:16" x14ac:dyDescent="0.25">
      <c r="A9" t="s">
        <v>62</v>
      </c>
      <c r="B9" s="4">
        <v>4222</v>
      </c>
      <c r="C9" s="4">
        <v>5457</v>
      </c>
      <c r="D9" s="4">
        <v>8599</v>
      </c>
      <c r="E9" s="4">
        <v>15098</v>
      </c>
      <c r="F9" s="4">
        <v>24216</v>
      </c>
      <c r="G9" s="4">
        <v>29339</v>
      </c>
      <c r="H9" s="4">
        <v>36313</v>
      </c>
      <c r="I9" s="4">
        <v>38747</v>
      </c>
      <c r="J9" s="4">
        <v>57683</v>
      </c>
      <c r="K9" s="4">
        <v>48165</v>
      </c>
      <c r="L9" s="4">
        <v>47857</v>
      </c>
      <c r="M9" s="4">
        <v>51787</v>
      </c>
      <c r="N9" s="4">
        <v>57085</v>
      </c>
      <c r="O9" s="4">
        <v>71710</v>
      </c>
      <c r="P9" s="4">
        <v>80652</v>
      </c>
    </row>
    <row r="10" spans="1:16" x14ac:dyDescent="0.25">
      <c r="A10" t="s">
        <v>63</v>
      </c>
      <c r="B10" s="4">
        <v>-2624</v>
      </c>
      <c r="C10" s="4">
        <v>-5913</v>
      </c>
      <c r="D10" s="4">
        <v>-9434</v>
      </c>
      <c r="E10" s="4">
        <v>-11739</v>
      </c>
      <c r="F10" s="4">
        <v>-20038</v>
      </c>
      <c r="G10" s="4">
        <v>-11667</v>
      </c>
      <c r="H10" s="4">
        <v>-19864</v>
      </c>
      <c r="I10" s="4">
        <v>-30058</v>
      </c>
      <c r="J10" s="4">
        <v>-7570</v>
      </c>
      <c r="K10" s="4">
        <v>-30387</v>
      </c>
      <c r="L10" s="4">
        <v>-32286</v>
      </c>
      <c r="M10" s="4">
        <v>-32002</v>
      </c>
      <c r="N10" s="4">
        <v>-30169</v>
      </c>
      <c r="O10" s="4">
        <v>-30472</v>
      </c>
      <c r="P10" s="4">
        <v>-30456</v>
      </c>
    </row>
    <row r="11" spans="1:16" x14ac:dyDescent="0.25">
      <c r="A11" t="s">
        <v>64</v>
      </c>
      <c r="B11" s="4">
        <v>-677</v>
      </c>
      <c r="C11" s="4">
        <v>1571</v>
      </c>
      <c r="D11" s="4">
        <v>1582</v>
      </c>
      <c r="E11" s="4">
        <v>1110</v>
      </c>
      <c r="F11" s="4">
        <v>-5235</v>
      </c>
      <c r="G11" s="4">
        <v>-15574</v>
      </c>
      <c r="H11" s="4">
        <v>-7297</v>
      </c>
      <c r="I11" s="4">
        <v>-10292</v>
      </c>
      <c r="J11" s="4">
        <v>-50728</v>
      </c>
      <c r="K11" s="4">
        <v>-19707</v>
      </c>
      <c r="L11" s="4">
        <v>-15279</v>
      </c>
      <c r="M11" s="4">
        <v>-13710</v>
      </c>
      <c r="N11" s="4">
        <v>-11706</v>
      </c>
      <c r="O11" s="4">
        <v>-15202</v>
      </c>
      <c r="P11" s="4">
        <v>-18833</v>
      </c>
    </row>
    <row r="12" spans="1:16" x14ac:dyDescent="0.25">
      <c r="A12" t="s">
        <v>65</v>
      </c>
      <c r="B12" t="s">
        <v>59</v>
      </c>
      <c r="C12" t="s">
        <v>59</v>
      </c>
      <c r="E12" t="s">
        <v>59</v>
      </c>
      <c r="F12" s="4">
        <v>1976</v>
      </c>
      <c r="G12" s="4">
        <v>12879</v>
      </c>
      <c r="H12" s="4">
        <v>4202</v>
      </c>
      <c r="I12" s="4">
        <v>6272</v>
      </c>
      <c r="J12" s="4">
        <v>44538</v>
      </c>
      <c r="K12" s="4">
        <v>25421</v>
      </c>
      <c r="L12" s="4">
        <v>19128</v>
      </c>
      <c r="M12" s="4">
        <v>19980</v>
      </c>
      <c r="N12" s="4">
        <v>21988</v>
      </c>
      <c r="O12" s="4">
        <v>16682</v>
      </c>
      <c r="P12" s="4">
        <v>21298</v>
      </c>
    </row>
    <row r="15" spans="1:16" x14ac:dyDescent="0.25">
      <c r="A15" t="s">
        <v>66</v>
      </c>
      <c r="K15" s="4">
        <v>9217</v>
      </c>
      <c r="L15">
        <v>11305</v>
      </c>
      <c r="M15">
        <v>13917</v>
      </c>
      <c r="N15">
        <v>15813</v>
      </c>
      <c r="O15">
        <v>20616</v>
      </c>
      <c r="P15">
        <v>23067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2A0D-BF1B-4595-94A2-FBD3963C9C48}">
  <dimension ref="B3:L21"/>
  <sheetViews>
    <sheetView tabSelected="1" workbookViewId="0">
      <selection activeCell="I16" sqref="I16"/>
    </sheetView>
  </sheetViews>
  <sheetFormatPr defaultRowHeight="15" x14ac:dyDescent="0.25"/>
  <cols>
    <col min="2" max="2" width="22.7109375" customWidth="1"/>
    <col min="3" max="3" width="14.85546875" customWidth="1"/>
  </cols>
  <sheetData>
    <row r="3" spans="2:12" x14ac:dyDescent="0.25">
      <c r="B3" s="3" t="s">
        <v>78</v>
      </c>
      <c r="H3" s="17" t="s">
        <v>109</v>
      </c>
    </row>
    <row r="6" spans="2:12" ht="32.25" customHeight="1" x14ac:dyDescent="0.25">
      <c r="B6" t="s">
        <v>99</v>
      </c>
      <c r="C6">
        <v>397.89</v>
      </c>
      <c r="L6" s="18"/>
    </row>
    <row r="7" spans="2:12" x14ac:dyDescent="0.25">
      <c r="B7" t="s">
        <v>100</v>
      </c>
      <c r="C7" s="14">
        <v>0.96760000000000002</v>
      </c>
      <c r="L7" t="s">
        <v>110</v>
      </c>
    </row>
    <row r="8" spans="2:12" x14ac:dyDescent="0.25">
      <c r="B8" t="s">
        <v>101</v>
      </c>
      <c r="C8" s="16">
        <v>7.9000000000000001E-2</v>
      </c>
      <c r="L8" t="s">
        <v>111</v>
      </c>
    </row>
    <row r="9" spans="2:12" x14ac:dyDescent="0.25">
      <c r="B9" t="s">
        <v>102</v>
      </c>
      <c r="C9" s="16">
        <v>3.5069999999999997E-2</v>
      </c>
    </row>
    <row r="10" spans="2:12" x14ac:dyDescent="0.25">
      <c r="B10" t="s">
        <v>103</v>
      </c>
      <c r="C10">
        <v>1.1599999999999999</v>
      </c>
    </row>
    <row r="11" spans="2:12" x14ac:dyDescent="0.25">
      <c r="B11" t="s">
        <v>104</v>
      </c>
      <c r="C11" s="16">
        <v>5.11E-2</v>
      </c>
    </row>
    <row r="14" spans="2:12" x14ac:dyDescent="0.25">
      <c r="B14" t="s">
        <v>3</v>
      </c>
      <c r="C14">
        <v>9.9220000000000006</v>
      </c>
    </row>
    <row r="15" spans="2:12" x14ac:dyDescent="0.25">
      <c r="B15" t="s">
        <v>105</v>
      </c>
      <c r="C15" s="16">
        <v>3.2399999999999998E-2</v>
      </c>
    </row>
    <row r="16" spans="2:12" x14ac:dyDescent="0.25">
      <c r="B16" t="s">
        <v>106</v>
      </c>
      <c r="C16" s="14">
        <v>0.04</v>
      </c>
    </row>
    <row r="17" spans="2:3" x14ac:dyDescent="0.25">
      <c r="B17" t="s">
        <v>107</v>
      </c>
      <c r="C17" s="14">
        <f>DCF!L52</f>
        <v>0.18551135567740462</v>
      </c>
    </row>
    <row r="19" spans="2:3" x14ac:dyDescent="0.25">
      <c r="B19" t="s">
        <v>108</v>
      </c>
    </row>
    <row r="21" spans="2:3" x14ac:dyDescent="0.25">
      <c r="B21" t="s">
        <v>78</v>
      </c>
      <c r="C21" s="5">
        <f>(C7*C8) + (C15*C16*(1-C17))</f>
        <v>7.7495977283042083E-2</v>
      </c>
    </row>
  </sheetData>
  <hyperlinks>
    <hyperlink ref="H3" r:id="rId1" xr:uid="{75C34BCF-6FB4-4C1F-8101-B7B316B51E9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 </vt:lpstr>
      <vt:lpstr>DCF</vt:lpstr>
      <vt:lpstr>Assumptions</vt:lpstr>
      <vt:lpstr>Income Statement</vt:lpstr>
      <vt:lpstr>Cash Flow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prabd</dc:creator>
  <cp:lastModifiedBy>prabd</cp:lastModifiedBy>
  <dcterms:created xsi:type="dcterms:W3CDTF">2023-01-06T20:02:08Z</dcterms:created>
  <dcterms:modified xsi:type="dcterms:W3CDTF">2023-02-10T04:22:33Z</dcterms:modified>
</cp:coreProperties>
</file>