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88747f93bb6c7eaf/Documents/Postdoc UBC/Interactions paper/meta-analysis/"/>
    </mc:Choice>
  </mc:AlternateContent>
  <xr:revisionPtr revIDLastSave="2604" documentId="13_ncr:1_{3BF83E3E-61C9-45E5-BF17-F43AA12D13D5}" xr6:coauthVersionLast="47" xr6:coauthVersionMax="47" xr10:uidLastSave="{2824BD6D-77DA-4DCB-9094-DDCD6C595661}"/>
  <bookViews>
    <workbookView xWindow="-110" yWindow="-110" windowWidth="19420" windowHeight="11500" xr2:uid="{22809DD5-28F5-466E-A34A-A41D36053B95}"/>
  </bookViews>
  <sheets>
    <sheet name="Hedges" sheetId="1" r:id="rId1"/>
  </sheets>
  <definedNames>
    <definedName name="_xlnm._FilterDatabase" localSheetId="0" hidden="1">Hedges!$A$1:$AA$93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60" i="1" l="1"/>
  <c r="L60" i="1"/>
  <c r="Q20" i="1"/>
  <c r="R20" i="1"/>
  <c r="M58" i="1"/>
  <c r="L58" i="1"/>
  <c r="M55" i="1"/>
  <c r="L55" i="1"/>
  <c r="M52" i="1"/>
  <c r="L52" i="1"/>
  <c r="M48" i="1"/>
  <c r="L48" i="1"/>
  <c r="M45" i="1"/>
  <c r="M41" i="1"/>
  <c r="L41" i="1"/>
  <c r="M37" i="1"/>
  <c r="L37" i="1"/>
  <c r="M35" i="1"/>
  <c r="L35" i="1"/>
  <c r="M33" i="1"/>
  <c r="L33" i="1"/>
  <c r="M32" i="1"/>
  <c r="L32" i="1"/>
  <c r="M30" i="1"/>
  <c r="L30" i="1"/>
  <c r="M25" i="1"/>
  <c r="L25" i="1"/>
  <c r="M23" i="1"/>
  <c r="L23" i="1"/>
  <c r="M22" i="1"/>
  <c r="L22" i="1"/>
  <c r="M19" i="1"/>
  <c r="L19" i="1"/>
  <c r="R61" i="1"/>
  <c r="Q61" i="1" s="1"/>
  <c r="R62" i="1"/>
  <c r="Q62" i="1" s="1"/>
  <c r="R57" i="1"/>
  <c r="Q57" i="1" s="1"/>
  <c r="O56" i="1"/>
  <c r="N56" i="1"/>
  <c r="R55" i="1"/>
  <c r="Q55" i="1" s="1"/>
  <c r="O54" i="1"/>
  <c r="N54" i="1"/>
  <c r="O53" i="1"/>
  <c r="N53" i="1"/>
  <c r="O52" i="1"/>
  <c r="N52" i="1"/>
  <c r="O50" i="1"/>
  <c r="N50" i="1"/>
  <c r="O49" i="1"/>
  <c r="N49" i="1"/>
  <c r="O48" i="1"/>
  <c r="N48" i="1"/>
  <c r="O47" i="1"/>
  <c r="N47" i="1"/>
  <c r="O46" i="1"/>
  <c r="N46" i="1"/>
  <c r="R44" i="1"/>
  <c r="Q44" i="1" s="1"/>
  <c r="O41" i="1"/>
  <c r="N41" i="1"/>
  <c r="O40" i="1"/>
  <c r="N40" i="1"/>
  <c r="R38" i="1"/>
  <c r="Q38" i="1" s="1"/>
  <c r="O37" i="1"/>
  <c r="N37" i="1"/>
  <c r="N25" i="1"/>
  <c r="Q8" i="1"/>
  <c r="R8" i="1"/>
  <c r="R36" i="1"/>
  <c r="Q36" i="1" s="1"/>
  <c r="O35" i="1"/>
  <c r="N35" i="1"/>
  <c r="O34" i="1"/>
  <c r="N34" i="1"/>
  <c r="N32" i="1"/>
  <c r="O32" i="1"/>
  <c r="O31" i="1"/>
  <c r="N31" i="1"/>
  <c r="O33" i="1"/>
  <c r="N33" i="1"/>
  <c r="N58" i="1"/>
  <c r="O58" i="1"/>
  <c r="O30" i="1"/>
  <c r="N30" i="1"/>
  <c r="R26" i="1"/>
  <c r="Q26" i="1" s="1"/>
  <c r="P18" i="1"/>
  <c r="Q18" i="1" s="1"/>
  <c r="R25" i="1"/>
  <c r="Q25" i="1" s="1"/>
  <c r="O24" i="1"/>
  <c r="N24" i="1"/>
  <c r="N22" i="1"/>
  <c r="O22" i="1"/>
  <c r="O23" i="1"/>
  <c r="N23" i="1"/>
  <c r="P17" i="1"/>
  <c r="Q17" i="1" s="1"/>
  <c r="N15" i="1"/>
  <c r="O15" i="1"/>
  <c r="N16" i="1"/>
  <c r="O16" i="1"/>
  <c r="O7" i="1"/>
  <c r="N7" i="1"/>
  <c r="N10" i="1"/>
  <c r="O9" i="1"/>
  <c r="Q10" i="1"/>
  <c r="O10" i="1" s="1"/>
  <c r="N9" i="1"/>
  <c r="N5" i="1"/>
  <c r="O5" i="1"/>
  <c r="Q6" i="1"/>
  <c r="O6" i="1" s="1"/>
  <c r="P6" i="1"/>
  <c r="N6" i="1" s="1"/>
  <c r="O4" i="1"/>
  <c r="N4" i="1"/>
  <c r="O3" i="1"/>
  <c r="N3" i="1"/>
</calcChain>
</file>

<file path=xl/sharedStrings.xml><?xml version="1.0" encoding="utf-8"?>
<sst xmlns="http://schemas.openxmlformats.org/spreadsheetml/2006/main" count="1073" uniqueCount="375">
  <si>
    <t>Description</t>
  </si>
  <si>
    <t>Interaction</t>
  </si>
  <si>
    <t>Type of study</t>
  </si>
  <si>
    <t>Organism</t>
  </si>
  <si>
    <t>Response</t>
  </si>
  <si>
    <t>Temperature</t>
  </si>
  <si>
    <t>Deleterious effects of high temperature are reduced by high contents of DO</t>
  </si>
  <si>
    <t>Antagonism</t>
  </si>
  <si>
    <t>Rainbow trout (Oncorhynchus mykiss)</t>
  </si>
  <si>
    <t>Jiang et al. 2021</t>
  </si>
  <si>
    <t>Critical thermal maximum decreased with hypoxia</t>
  </si>
  <si>
    <t>Synergistic</t>
  </si>
  <si>
    <t>Atlantic salmon (Salmo salar)</t>
  </si>
  <si>
    <t>Anttila et al. 2015</t>
  </si>
  <si>
    <t>Arctic char (Salvelinus alpinus)</t>
  </si>
  <si>
    <t>Hypoxia tolerance is enhanced in warm-acclimated fish</t>
  </si>
  <si>
    <t>Effects of temperature (&gt;15°C) are worsened with lower flow</t>
  </si>
  <si>
    <t>Field</t>
  </si>
  <si>
    <t>Sockeye salmon (Oncorhynchus nerka)</t>
  </si>
  <si>
    <t>Atlas et al. 2021</t>
  </si>
  <si>
    <t>Lab</t>
  </si>
  <si>
    <t>Chinook salmon (Oncorhynchus tshawytscha)</t>
  </si>
  <si>
    <t>Additive</t>
  </si>
  <si>
    <t>Projection</t>
  </si>
  <si>
    <t>Population decline</t>
  </si>
  <si>
    <t>Crozier et al. 2021</t>
  </si>
  <si>
    <t>High temperatures and hypoxia had a negative effect</t>
  </si>
  <si>
    <t>Gamperl et al.  2020</t>
  </si>
  <si>
    <t>Elevated temperatures increase the toxicity of pesticide mixtures</t>
  </si>
  <si>
    <t>Coho salmon (Oncorhynchus kisutch)</t>
  </si>
  <si>
    <t>Neuronal functions inhibition</t>
  </si>
  <si>
    <t>Laetz et al. 2014</t>
  </si>
  <si>
    <t>Opinion et al. 2020</t>
  </si>
  <si>
    <t>Mortality</t>
  </si>
  <si>
    <t>Howe et al. 1994</t>
  </si>
  <si>
    <t>Pesticides</t>
  </si>
  <si>
    <t>Additive effects of pesticides</t>
  </si>
  <si>
    <t>Scholz et al. 2006</t>
  </si>
  <si>
    <t>Laetz et al. 2009</t>
  </si>
  <si>
    <t>Moore and Lower 2001</t>
  </si>
  <si>
    <t>Malathion at the elevated temperature increased mortality</t>
  </si>
  <si>
    <t>Increased disease susceptibility / mortality</t>
  </si>
  <si>
    <t>Dietrich et al. 2014</t>
  </si>
  <si>
    <t>Mortality of embrios</t>
  </si>
  <si>
    <t>Kazlauskienė and Vosylienė 2008</t>
  </si>
  <si>
    <t>Ortiz et al. 1993</t>
  </si>
  <si>
    <t>Loge et al. 2005</t>
  </si>
  <si>
    <t>Neural-physiological effects</t>
  </si>
  <si>
    <t>Patra et al. 2007</t>
  </si>
  <si>
    <t>High temperature enhances toxicity of chemicals</t>
  </si>
  <si>
    <t>Patra et al. 2015</t>
  </si>
  <si>
    <t>Bawardi et al. 2007</t>
  </si>
  <si>
    <t>Enhanced toxicity of pesticides under hypersaline conditions</t>
  </si>
  <si>
    <t>Lavado et al. 2009</t>
  </si>
  <si>
    <t>Enhanced toxicity of phorate under hypersaline conditions</t>
  </si>
  <si>
    <t>Lavado et al. 2011</t>
  </si>
  <si>
    <t>Larval deformities</t>
  </si>
  <si>
    <t>Mahrosh et al. 2014</t>
  </si>
  <si>
    <t>The mixed exposure (road salt and Cu) induced negative effects that were more pronounced than observed in corresponding road salt exposure experiments</t>
  </si>
  <si>
    <t>Alevin survival</t>
  </si>
  <si>
    <t>Mahrosh et al. 2018</t>
  </si>
  <si>
    <t>Wang et al. 2001</t>
  </si>
  <si>
    <t>Swim-up</t>
  </si>
  <si>
    <t>Stressor A</t>
  </si>
  <si>
    <t>Stressor B</t>
  </si>
  <si>
    <t>Weight and length</t>
  </si>
  <si>
    <t>Shrimpton et al. 2007</t>
  </si>
  <si>
    <t>Oscillation in temperature and increased suspended sediment slowed down growth and weight gain rate.</t>
  </si>
  <si>
    <t>Hamilton and Buhl 1990</t>
  </si>
  <si>
    <t>Buhl and Hamilton 1990</t>
  </si>
  <si>
    <t>Metal</t>
  </si>
  <si>
    <t>Chemical</t>
  </si>
  <si>
    <t>Salinity</t>
  </si>
  <si>
    <t>Interaction effect size (Hedges d)</t>
  </si>
  <si>
    <t>Treatment replication</t>
  </si>
  <si>
    <t>Sample size</t>
  </si>
  <si>
    <t>pH</t>
  </si>
  <si>
    <t>µ2</t>
  </si>
  <si>
    <t>Year</t>
  </si>
  <si>
    <t xml:space="preserve">Temperature and other covariates had a negative effect on survival. T°C is the main effect. </t>
  </si>
  <si>
    <t>Crozier et al. 2010</t>
  </si>
  <si>
    <t>Growth reduced</t>
  </si>
  <si>
    <r>
      <rPr>
        <b/>
        <sz val="11"/>
        <color theme="1"/>
        <rFont val="Calibri"/>
        <family val="2"/>
      </rPr>
      <t>µ</t>
    </r>
    <r>
      <rPr>
        <b/>
        <sz val="11"/>
        <color theme="1"/>
        <rFont val="Calibri"/>
        <family val="2"/>
        <scheme val="minor"/>
      </rPr>
      <t>1</t>
    </r>
  </si>
  <si>
    <t>Effects on Hematology</t>
  </si>
  <si>
    <t>Rodgers et al. 2021</t>
  </si>
  <si>
    <t>Nitrate</t>
  </si>
  <si>
    <t>Reduction on tolerance to hypoxia</t>
  </si>
  <si>
    <t>Rodgers and Gomez Isaza 2022</t>
  </si>
  <si>
    <t>Amiri et al. 2018</t>
  </si>
  <si>
    <t xml:space="preserve">Dockray et al. 1996 </t>
  </si>
  <si>
    <t>Metabolism / growth</t>
  </si>
  <si>
    <t xml:space="preserve">Temperature </t>
  </si>
  <si>
    <t>Jokinen et al. 2011</t>
  </si>
  <si>
    <t>Kuehne et al. 2012</t>
  </si>
  <si>
    <t>Change in physological parametres</t>
  </si>
  <si>
    <t>Linton et al. 1997</t>
  </si>
  <si>
    <t>Stimulatory effects of low-amonia dissapears due to greater energy demands when fish are forced to cope with additional stress</t>
  </si>
  <si>
    <t>Metabolic cost and growth</t>
  </si>
  <si>
    <t>Linton et al. 1998</t>
  </si>
  <si>
    <t>Morgan et al. 1998</t>
  </si>
  <si>
    <t>Appetite, growth, and protein turnover (synthesis, growth and degradation)</t>
  </si>
  <si>
    <t>Peuranen et al. 2003</t>
  </si>
  <si>
    <t>Mortality / gill damage</t>
  </si>
  <si>
    <t>Protein degradation / turnover</t>
  </si>
  <si>
    <t>Steelhead trout (Salmo gairdneri)</t>
  </si>
  <si>
    <t>DO</t>
  </si>
  <si>
    <t>WF</t>
  </si>
  <si>
    <t>AE</t>
  </si>
  <si>
    <t>NL</t>
  </si>
  <si>
    <t>Chemicals and physical stressors (non-chemical NCh) contribute equally to a cumulative incidence of delayed disease-induced mortalities</t>
  </si>
  <si>
    <t>European grayling (Thymallus thymallus)</t>
  </si>
  <si>
    <t>Higher aerobic scope</t>
  </si>
  <si>
    <t>Dockray et al. 1998</t>
  </si>
  <si>
    <t>Ammonia</t>
  </si>
  <si>
    <t>Wagner et al. 1997</t>
  </si>
  <si>
    <t>Wagner EJ, Bosakowski T, Intelmann S. 1997. Combined effects of temperature and high pH on mortality and the stress response of rainbow trout after stocking. Trans Am Fish Soc 126:985-998</t>
  </si>
  <si>
    <t>Cutthroat trout (Salmo clarki henshawi)</t>
  </si>
  <si>
    <t>Thermal tolerance / mortality</t>
  </si>
  <si>
    <t>Vigg SC, Koch DL. 1980. Upper lethal temperature range of Lahontan cutthroat trout in water of different ionic concentration. Trans Am Fish Soc 109:336-339.</t>
  </si>
  <si>
    <t>References</t>
  </si>
  <si>
    <t>Servizi and Martens 1991</t>
  </si>
  <si>
    <t>Fry</t>
  </si>
  <si>
    <t>SS</t>
  </si>
  <si>
    <t>Oxydative stress</t>
  </si>
  <si>
    <t>Kopp et al. 2018</t>
  </si>
  <si>
    <t>Not specified</t>
  </si>
  <si>
    <t>Kopp R, Palíková M, Papežíková I, Mareš J, Navrátil S, Pikula J, Pohanka M. Oxidative stress response of rainbow trout (Oncorhynchus mykiss) to multiple stressors. Acta Veterinaria Brno. 2018 Apr 12;87(1):55-64. https://doi.org/10.2754/avb201887010055</t>
  </si>
  <si>
    <t>Combined</t>
  </si>
  <si>
    <t>Stressor-stressor</t>
  </si>
  <si>
    <t>Effect</t>
  </si>
  <si>
    <t>Alexander et al. 1935 in Cairns et al. 1975</t>
  </si>
  <si>
    <t>Smolt</t>
  </si>
  <si>
    <t>Lloyd 1960</t>
  </si>
  <si>
    <t xml:space="preserve">Lloyd, R. (1960). The toxicity of zinc sulphate to rainbow trout. The Annals of Applied Biology, 48(1), 84–94. https://doi.org/10.1111/j.1744-7348.1960.tb03507.x
</t>
  </si>
  <si>
    <t>Cyanobacteria</t>
  </si>
  <si>
    <t>Temperature influences the time of survival only, and the threshold  concentration of zinc (ZnSO₄) appears to be similar for all temperatures tested</t>
  </si>
  <si>
    <t>Juvenile</t>
  </si>
  <si>
    <t>Increased Toxicity of Ammonia to Rainbow Trout (Salmo gairdneri) Resulting from Reduced Concentrations of Dissolved Oxygen</t>
  </si>
  <si>
    <t>Thurston, R. V., Phillips, G. R., Russo, R. C., &amp; Hinkins, S. M. (1981). Increased toxicity of ammonia to rainbow trout (salmo gairdneri) resulting from reduced concentrations of dissolved oxygen. Canadian Journal of Fisheries and Aquatic Sciences, 38(8), 983-988. https://doi.org/10.1139/f81-133</t>
  </si>
  <si>
    <t>Thurston et al. 1981</t>
  </si>
  <si>
    <t>Brown 1968</t>
  </si>
  <si>
    <t>Stage</t>
  </si>
  <si>
    <t>Wicks et al. 2002</t>
  </si>
  <si>
    <t>The sum of proportions for the mixture is 1.19 48hr LC50,  since the value is greater than 1.0 more than half should die in this time. (Ammonia, phenol, cupper, cyanide, zinc)</t>
  </si>
  <si>
    <t>Mothersill et al. 2007</t>
  </si>
  <si>
    <t>Radiation</t>
  </si>
  <si>
    <t>The effects of metals in combination with radiation (Al+Cd+gamma) are clearly synergistic in gills</t>
  </si>
  <si>
    <t>Gill's cells damage</t>
  </si>
  <si>
    <t>Fin´s cell damage</t>
  </si>
  <si>
    <t>There is no synergistic interaction for fin tissue between radiation and metal exposure; results suggested an additive effect</t>
  </si>
  <si>
    <t xml:space="preserve">Blanar , C. A., Curtis , M. A. &amp; Chan , H. M. ( 2005 ). Growth, nutritional composition, and hematology of Arctic charr (Salvelinus alpinus ) exposed to toxaphene and tapeworm (Diphyllobothrium dendriticum) larvae . Archives of Environmental Contamination and Toxicology , 48 , 397 – 404 </t>
  </si>
  <si>
    <t>Growth and physiology</t>
  </si>
  <si>
    <t xml:space="preserve">Salmon smolts and rainbow trout exposed to 3 ppm CN (Cyanide) died twice as fast as 19° C as they did at 6 °C (Species' name not specified but should be Salmo salar and Oncorhynchus mykiss) </t>
  </si>
  <si>
    <t xml:space="preserve"> </t>
  </si>
  <si>
    <t>Cairns, J., Heath, A.G. &amp; Parker, B.C. The effects of temperature upon the toxicity of chemicals to aquatic organisms. Hydrobiologia 47, 135–171 (1975). https://doi.org/10.1007/BF00036747      Alexander, W. B., Southgate, B. A., and Bassindale, R. 1935. Survey of the River Tees. Part II. The estuary – chemical and biological. Department of Scientific and Industrial Research. Water Pollution Research. Technical Paper No. 5. HMSO, London. 171 pp</t>
  </si>
  <si>
    <t>Dockray, J.J., Morgan, I.J., Reid, S.D. and Wood, C.M. (1998), Responses of juvenile rainbow trout, under food limitation, to chronic low pH and elevated summer temperatures, alone and in combination. Journal of Fish Biology, 52: 62-82. https://doi.org/10.1111/j.1095-8649.1998.tb01553.x</t>
  </si>
  <si>
    <t>Brown, V.M. (1968). The calculation of the acute toxicity of mixtures of poisons to rainbow trout. Water Research, 2, 723-733.</t>
  </si>
  <si>
    <t>Survival</t>
  </si>
  <si>
    <t>The survival probability of rainbow trout exposed simultaneously to un-ionized ammonia and low dissolved oxygen was found to be lower than the predicted survival probability derived from the addition of individual effects of both ammonia and hypoxia.</t>
  </si>
  <si>
    <t>Shrimpton, J. M., Zydlewski, J. D., &amp; Heath, J. W. (2007). Effect of daily oscillation in temperature and increased suspended sediment on growth and smolting in juvenile chinook salmon, Oncorhynchus tshawytscha. Aquaculture (Amsterdam, Netherlands), 273(2–3), 269–276. https://doi.org/10.1016/j.aquaculture.2007.10.009</t>
  </si>
  <si>
    <t>Wicks, B. J., Joensen, R., Tang, Q., &amp; Randall, D. J. (2002). Swimming and ammonia toxicity in salmonids: the effect of sub lethal ammonia exposure on the swimming performance of coho salmon and the acute toxicity of ammonia in swimming and resting rainbow trout. Aquatic toxicology (Amsterdam, Netherlands), 59(1-2), 55–69. https://doi.org/10.1016/s0166-445x(01)00236-3</t>
  </si>
  <si>
    <t xml:space="preserve">Opinion, A. G. R., De Boeck, G., &amp; Rodgers, E. M. (2020). Synergism between elevated temperature and nitrate: Impact on aerobic capacity of European grayling, Thymallus thymallus in warm, eutrophic waters. Aquatic Toxicology (Amsterdam, Netherlands), 226(105563), 105563. https://doi.org/10.1016/j.aquatox.2020.105563
</t>
  </si>
  <si>
    <t>Person-Le Ruyet , J. , Labbe , L. , Le Bayon , N. , et al . ( 2008 ). Combined effects of water quality and stocking density on welfare and growth of rainbow trout ( Oncorhynchus mykiss ). Aquatic Living Resources, 21 , 185 – 195.</t>
  </si>
  <si>
    <t>Morgan, I., D-Cruz, L., Dockray, J. et al. The effects of elevated winter temperature and sub-lethal pollutants (low pH, elevated ammonia) on protein turnover in the gill and liver of rainbow trout (Oncorhynchus mykiss). Fish Physiology and Biochemistry 19, 377–389 (1998). https://doi.org/10.1023/A:1007748213387</t>
  </si>
  <si>
    <t>Bowen et al. 2006</t>
  </si>
  <si>
    <t>Bowen , L. , Werner , I. &amp; Johnson , M. L. ( 2006 ). Physiological and behavioral effects of zinc and temperature on coho salmon ( Oncorhynchus kisutch ) . Hydrobiologia , 559 , 161 – 168</t>
  </si>
  <si>
    <t xml:space="preserve">Metal </t>
  </si>
  <si>
    <t xml:space="preserve">The increase due to zinc in the diet was significant and the increase due to temperature was highly significant. No temperature–zinc interaction was present in either analysis. </t>
  </si>
  <si>
    <t>Jokinen , I. E. , Salo , H. M. , Markkula , E. , et al . ( 2011 ). Additive effects of enhanced ambient ultraviolet B radiation and increased temperature on immune function, growth and physiological condition of juvenile (parr) Atlantic Salmon, Salmo salar . Fish &amp; Shellfi sh Immunology , 30 , 102 – 108 .</t>
  </si>
  <si>
    <t>Physiological variables and behavioural responses</t>
  </si>
  <si>
    <t>Person-Le Ruyet et al. 2008</t>
  </si>
  <si>
    <t>Reese and Harvey 2002</t>
  </si>
  <si>
    <t>InvSp</t>
  </si>
  <si>
    <t>Growth</t>
  </si>
  <si>
    <t xml:space="preserve">Reese, C. D., &amp; Harvey, B. C. (2002). Temperature-dependent interactions between juvenile Steelhead and Sacramento pikeminnow in laboratory streams. Transactions of the American Fisheries Society, 131(4), 599–606. https://doi.org/10.1577/1548-8659(2002)131&lt;0599:tdibjs&gt;2.0.co;2
</t>
  </si>
  <si>
    <t>Adult</t>
  </si>
  <si>
    <t>Blanar et al. 2005</t>
  </si>
  <si>
    <t>Jones et al. 2007</t>
  </si>
  <si>
    <t>Bull trout (Salvelinus confluentus)</t>
  </si>
  <si>
    <t>Disease</t>
  </si>
  <si>
    <t xml:space="preserve">Additive </t>
  </si>
  <si>
    <t>Jones , D. T. , Moffi tt , C. M. &amp; Peters , K. K. ( 2007 ). Temperature-mediated differences in bacterial kidney  disease expression and survival in Renibacterium salmoninarum -challenged bull trout and other salmonids. North American Journal of Fisheries Management , 27 , 695 – 706.</t>
  </si>
  <si>
    <t>Brown trout (Salmo trutta)</t>
  </si>
  <si>
    <t>UVB</t>
  </si>
  <si>
    <t>Immune suppression</t>
  </si>
  <si>
    <t>Lahnsteiner , F. , Haunschmid , R. &amp; Mansour , N. ( 2011 ). Possible reasons for late summer brown trout ( Salmo trutta Linnaeus 1758) mortality in Austrian prealpine river systems . Journal of Applied Ichthyology , 27 , 83 – 93</t>
  </si>
  <si>
    <t>Lahnsteiner et al. 2011</t>
  </si>
  <si>
    <t>Peuranen , S. , Keinanen , M. , Tigerstedt , C. &amp; Vuorinen , P. J. ( 2003 ). Effects of temperature on the recovery of juvenile grayling ( Thymallus thymallus ) from exposure to Al+Fe . Aquatic Toxicology, 65 , 73 – 84 .</t>
  </si>
  <si>
    <t>Kocan et al. 2009</t>
  </si>
  <si>
    <t>Kocan , R. , Hershberger , P. , Sanders , G. &amp; Winton , J. ( 2009 ). Effects of temperature on disease progression and swimming stamina in Ichthyophonus -infected rainbow trout, Oncorhynchus mykiss (Walbaum ). Journal of Fish Diseases , 32 , 835 – 843 .</t>
  </si>
  <si>
    <t>Heier et al. 2013</t>
  </si>
  <si>
    <t>Heier , L. S. , Teien , H. C. , Oughton , D. , et al . ( 2013 ). Sublethal effects in Atlantic salmon ( Salmo salar ) exposed to mixtures of copper, aluminium and gamma radiation . Journal of Environmental Radioactivity , 121 , 33 – 42 .</t>
  </si>
  <si>
    <t>A larger depletion of hepatic GSH (Reduced glutathion) was observed in fish exposed to a mixture of Al and Cu than fish exposed to the metals alone, potentially suggesting that the two metals were acting in an additive manner.</t>
  </si>
  <si>
    <t>Physiological variables</t>
  </si>
  <si>
    <t>Performance between infected (Ichthyophonus; protist) and uninfected fish became significant at 15 degrees C (P = 0.02) and highly significant at 20 degrees C (P = 0.005).</t>
  </si>
  <si>
    <t>In coho exposed to SS (suspended sediment), the net effect of temperature increase from 7 to 18°C is a 67% reduction in tolerance to SS</t>
  </si>
  <si>
    <t>SD Reid, JJ Dockray, TK Linton, DG McDonald, and CM Wood, Effects of chronic environmental acidification and a summer global warming scenario: Protein synthesis in juvenile rainbow trout (Oncorhynchus mykiss): Canadian Journal of Fisheries and Aquatic Sciences [Can. J. Fish. Aquat. Sci.], vol. 54, no. 9, pp. 2014-2024, Sep 1997</t>
  </si>
  <si>
    <t>Reid et al. 1997</t>
  </si>
  <si>
    <t>Temperature variation is  an important
factor influencing the toxicity of mercury</t>
  </si>
  <si>
    <t>Parr</t>
  </si>
  <si>
    <t xml:space="preserve">MacLeod, J. C., &amp; Pessah, E. (1973). Temperature effects on mercury accumulation, toxicity, and metabolic rate in rainbow trout (Salmo gairdneri). Journal of the Fisheries Research Board of Canada, 30(4), 485–492. https://doi.org/10.1139/f73-086
</t>
  </si>
  <si>
    <t>Anttila, K., Lewis, M., Prokkola, J. M., Kanerva, M., Seppänen, E., Kolari, I., &amp; Nikinmaa, M. (2015). Warm acclimation and oxygen depletion induce species-specific responses in salmonids. The Journal of Experimental Biology, 218(Pt 10), 1471–1477. https://doi.org/10.1242/jeb.119115</t>
  </si>
  <si>
    <t>Atlas WI, Seitz KM, Jorgenson JWN, Millard-Martin B, Housty WG, Ramos-Espinoza D, Burnett NJ, Reid M, and Moore JW. 2021. Thermal sensitivity and flow-mediated migratory delays drive climate risk for coastal sockeye salmon. FACETS 6: 71–89. doi:10.1139/
facets-2020-0027</t>
  </si>
  <si>
    <r>
      <t xml:space="preserve">Crozier, L. G., Burke, B. J., Chasco, B. E., Widener, D. L., &amp; Zabel, R. W. (2021). Climate change threatens Chinook salmon throughout their life cycle. </t>
    </r>
    <r>
      <rPr>
        <i/>
        <sz val="11"/>
        <color theme="1"/>
        <rFont val="Calibri"/>
        <family val="2"/>
        <scheme val="minor"/>
      </rPr>
      <t>Communications Biology</t>
    </r>
    <r>
      <rPr>
        <sz val="11"/>
        <color theme="1"/>
        <rFont val="Calibri"/>
        <family val="2"/>
        <scheme val="minor"/>
      </rPr>
      <t xml:space="preserve">, </t>
    </r>
    <r>
      <rPr>
        <i/>
        <sz val="11"/>
        <color theme="1"/>
        <rFont val="Calibri"/>
        <family val="2"/>
        <scheme val="minor"/>
      </rPr>
      <t>4</t>
    </r>
    <r>
      <rPr>
        <sz val="11"/>
        <color theme="1"/>
        <rFont val="Calibri"/>
        <family val="2"/>
        <scheme val="minor"/>
      </rPr>
      <t>(1), 222. https://doi.org/10.1038/s42003-021-01734-w</t>
    </r>
  </si>
  <si>
    <r>
      <t xml:space="preserve">Gamperl, A. K., Ajiboye, O. O., Zanuzzo, F. S., Sandrelli, R. M., Peroni, E. de F. C., &amp; Beemelmanns, A. (2020). The impacts of increasing temperature and moderate hypoxia on the production characteristics, cardiac morphology and haematology of Atlantic Salmon (Salmo salar). </t>
    </r>
    <r>
      <rPr>
        <i/>
        <sz val="11"/>
        <color theme="1"/>
        <rFont val="Calibri"/>
        <family val="2"/>
        <scheme val="minor"/>
      </rPr>
      <t>Aquaculture (Amsterdam, Netherlands)</t>
    </r>
    <r>
      <rPr>
        <sz val="11"/>
        <color theme="1"/>
        <rFont val="Calibri"/>
        <family val="2"/>
        <scheme val="minor"/>
      </rPr>
      <t xml:space="preserve">, </t>
    </r>
    <r>
      <rPr>
        <i/>
        <sz val="11"/>
        <color theme="1"/>
        <rFont val="Calibri"/>
        <family val="2"/>
        <scheme val="minor"/>
      </rPr>
      <t>519</t>
    </r>
    <r>
      <rPr>
        <sz val="11"/>
        <color theme="1"/>
        <rFont val="Calibri"/>
        <family val="2"/>
        <scheme val="minor"/>
      </rPr>
      <t>(734874), 734874. https://doi.org/10.1016/j.aquaculture.2019.734874</t>
    </r>
  </si>
  <si>
    <t>Growth and decreased feed intake</t>
  </si>
  <si>
    <r>
      <t xml:space="preserve">Jiang, X., Dong, S., Liu, R., Huang, M., Dong, K., Ge, J., Gao, Q., &amp; Zhou, Y. (2021). Effects of temperature, dissolved oxygen, and their interaction on the growth performance and condition of rainbow trout (Oncorhynchus mykiss). </t>
    </r>
    <r>
      <rPr>
        <i/>
        <sz val="11"/>
        <color theme="1"/>
        <rFont val="Calibri"/>
        <family val="2"/>
        <scheme val="minor"/>
      </rPr>
      <t>Journal of Thermal Biology</t>
    </r>
    <r>
      <rPr>
        <sz val="11"/>
        <color theme="1"/>
        <rFont val="Calibri"/>
        <family val="2"/>
        <scheme val="minor"/>
      </rPr>
      <t xml:space="preserve">, </t>
    </r>
    <r>
      <rPr>
        <i/>
        <sz val="11"/>
        <color theme="1"/>
        <rFont val="Calibri"/>
        <family val="2"/>
        <scheme val="minor"/>
      </rPr>
      <t>98</t>
    </r>
    <r>
      <rPr>
        <sz val="11"/>
        <color theme="1"/>
        <rFont val="Calibri"/>
        <family val="2"/>
        <scheme val="minor"/>
      </rPr>
      <t>(102928), 102928. https://doi.org/10.1016/j.jtherbio.2021.102928</t>
    </r>
  </si>
  <si>
    <t xml:space="preserve">Laetz, C. A., Baldwin, D. H., Hebert, V. R., Stark, J. D., &amp; Scholz, N. L. (2014). Elevated temperatures increase the toxicity of pesticide mixtures to juvenile coho salmon. Aquatic Toxicology (Amsterdam, Netherlands), 146, 38–44. https://doi.org/10.1016/j.aquatox.2013.10.022
</t>
  </si>
  <si>
    <t>pH significantly affects toxicity of chemicals at certain temperatures</t>
  </si>
  <si>
    <t>Eggs/alevines</t>
  </si>
  <si>
    <t>Temperature increased toxicity of used pesticides</t>
  </si>
  <si>
    <t>Sokolova IM,  Lannig G. Interactive effects of metal pollution and temperature on metabolism in aquatic ectotherms: implications of global climate change, Clim Res, 2008, vol. 37 (pg. 181-201)</t>
  </si>
  <si>
    <t>Exposure to Ni leds to a reduction in CTmax and the upper lethal temperature limit</t>
  </si>
  <si>
    <r>
      <t xml:space="preserve">Dietrich, J. P., Van Gaest, A. L., Strickland, S. A., &amp; Arkoosh, M. R. (2014). The impact of temperature stress and pesticide exposure on mortality and disease susceptibility of endangered Pacific salmon. </t>
    </r>
    <r>
      <rPr>
        <i/>
        <sz val="11"/>
        <color theme="1"/>
        <rFont val="Calibri"/>
        <family val="2"/>
        <scheme val="minor"/>
      </rPr>
      <t>Chemosphere</t>
    </r>
    <r>
      <rPr>
        <sz val="11"/>
        <color theme="1"/>
        <rFont val="Calibri"/>
        <family val="2"/>
        <scheme val="minor"/>
      </rPr>
      <t xml:space="preserve">, </t>
    </r>
    <r>
      <rPr>
        <i/>
        <sz val="11"/>
        <color theme="1"/>
        <rFont val="Calibri"/>
        <family val="2"/>
        <scheme val="minor"/>
      </rPr>
      <t>108</t>
    </r>
    <r>
      <rPr>
        <sz val="11"/>
        <color theme="1"/>
        <rFont val="Calibri"/>
        <family val="2"/>
        <scheme val="minor"/>
      </rPr>
      <t>, 353–359. https://doi.org/10.1016/j.chemosphere.2014.01.079</t>
    </r>
  </si>
  <si>
    <t>Becker CD, Wolford MG (1980) Thermal resistance of juvenile salmonids sublethally exposed to nickel, determined by the critical thermal maximum method. Environ Pollut 21:181–189</t>
  </si>
  <si>
    <r>
      <t xml:space="preserve">Patra, R. W., Chapman, J. C., Lim, R. P., &amp; Gehrke, P. C. (2007). The effects of three organic chemicals on the upper thermal tolerances of four freshwater fishes. </t>
    </r>
    <r>
      <rPr>
        <i/>
        <sz val="11"/>
        <color theme="1"/>
        <rFont val="Calibri"/>
        <family val="2"/>
        <scheme val="minor"/>
      </rPr>
      <t>Environmental toxicology and chemistry</t>
    </r>
    <r>
      <rPr>
        <sz val="11"/>
        <color theme="1"/>
        <rFont val="Calibri"/>
        <family val="2"/>
        <scheme val="minor"/>
      </rPr>
      <t xml:space="preserve">, </t>
    </r>
    <r>
      <rPr>
        <i/>
        <sz val="11"/>
        <color theme="1"/>
        <rFont val="Calibri"/>
        <family val="2"/>
        <scheme val="minor"/>
      </rPr>
      <t>26</t>
    </r>
    <r>
      <rPr>
        <sz val="11"/>
        <color theme="1"/>
        <rFont val="Calibri"/>
        <family val="2"/>
        <scheme val="minor"/>
      </rPr>
      <t>(7), 1454–1459. https://doi.org/10.1897/06-156r1.1</t>
    </r>
  </si>
  <si>
    <r>
      <t xml:space="preserve">Laetz, C. A., Baldwin, D. H., Hebert, V. R., Stark, J. D., &amp; Scholz, N. L. (2014). Elevated temperatures increase the toxicity of pesticide mixtures to juvenile coho salmon. </t>
    </r>
    <r>
      <rPr>
        <i/>
        <sz val="11"/>
        <color theme="1"/>
        <rFont val="Calibri"/>
        <family val="2"/>
        <scheme val="minor"/>
      </rPr>
      <t>Aquatic Toxicology (Amsterdam, Netherlands)</t>
    </r>
    <r>
      <rPr>
        <sz val="11"/>
        <color theme="1"/>
        <rFont val="Calibri"/>
        <family val="2"/>
        <scheme val="minor"/>
      </rPr>
      <t xml:space="preserve">, </t>
    </r>
    <r>
      <rPr>
        <i/>
        <sz val="11"/>
        <color theme="1"/>
        <rFont val="Calibri"/>
        <family val="2"/>
        <scheme val="minor"/>
      </rPr>
      <t>146</t>
    </r>
    <r>
      <rPr>
        <sz val="11"/>
        <color theme="1"/>
        <rFont val="Calibri"/>
        <family val="2"/>
        <scheme val="minor"/>
      </rPr>
      <t>, 38–44. https://doi.org/10.1016/j.aquatox.2013.10.022</t>
    </r>
  </si>
  <si>
    <r>
      <t xml:space="preserve">Patra, R. W., Chapman, J. C., Lim, R. P., Gehrke, P. C., &amp; Sunderam, R. M. (2015). Interactions between water temperature and contaminant toxicity to freshwater fish. </t>
    </r>
    <r>
      <rPr>
        <i/>
        <sz val="11"/>
        <color theme="1"/>
        <rFont val="Calibri"/>
        <family val="2"/>
        <scheme val="minor"/>
      </rPr>
      <t>Environmental toxicology and chemistry</t>
    </r>
    <r>
      <rPr>
        <sz val="11"/>
        <color theme="1"/>
        <rFont val="Calibri"/>
        <family val="2"/>
        <scheme val="minor"/>
      </rPr>
      <t xml:space="preserve">, </t>
    </r>
    <r>
      <rPr>
        <i/>
        <sz val="11"/>
        <color theme="1"/>
        <rFont val="Calibri"/>
        <family val="2"/>
        <scheme val="minor"/>
      </rPr>
      <t>34</t>
    </r>
    <r>
      <rPr>
        <sz val="11"/>
        <color theme="1"/>
        <rFont val="Calibri"/>
        <family val="2"/>
        <scheme val="minor"/>
      </rPr>
      <t>(8), 1809–1817. https://doi.org/10.1002/etc.2990</t>
    </r>
  </si>
  <si>
    <r>
      <t xml:space="preserve">Crozier, L. G., Zabel, R. W., Hockersmith, E. E., &amp; Achord, S. (2010). Interacting effects of density and temperature on body size in multiple populations of Chinook salmon. </t>
    </r>
    <r>
      <rPr>
        <i/>
        <sz val="11"/>
        <color theme="1"/>
        <rFont val="Calibri"/>
        <family val="2"/>
        <scheme val="minor"/>
      </rPr>
      <t>The Journal of Animal Ecology</t>
    </r>
    <r>
      <rPr>
        <sz val="11"/>
        <color theme="1"/>
        <rFont val="Calibri"/>
        <family val="2"/>
        <scheme val="minor"/>
      </rPr>
      <t xml:space="preserve">, </t>
    </r>
    <r>
      <rPr>
        <i/>
        <sz val="11"/>
        <color theme="1"/>
        <rFont val="Calibri"/>
        <family val="2"/>
        <scheme val="minor"/>
      </rPr>
      <t>79</t>
    </r>
    <r>
      <rPr>
        <sz val="11"/>
        <color theme="1"/>
        <rFont val="Calibri"/>
        <family val="2"/>
        <scheme val="minor"/>
      </rPr>
      <t>(2), 342–349. https://doi.org/10.1111/j.1365-2656.2009.01641.x</t>
    </r>
  </si>
  <si>
    <r>
      <t xml:space="preserve">Scholz, N. L., Truelove, N. K., Labenia, J. S., Baldwin, D. H., &amp; Collier, T. K. (2006). Dose-additive inhibition of chinook salmon acetylcholinesterase activity by mixtures of organophosphate and carbamate insecticides. </t>
    </r>
    <r>
      <rPr>
        <i/>
        <sz val="11"/>
        <color theme="1"/>
        <rFont val="Calibri"/>
        <family val="2"/>
        <scheme val="minor"/>
      </rPr>
      <t>Environmental Toxicology and Chemistry</t>
    </r>
    <r>
      <rPr>
        <sz val="11"/>
        <color theme="1"/>
        <rFont val="Calibri"/>
        <family val="2"/>
        <scheme val="minor"/>
      </rPr>
      <t xml:space="preserve">, </t>
    </r>
    <r>
      <rPr>
        <i/>
        <sz val="11"/>
        <color theme="1"/>
        <rFont val="Calibri"/>
        <family val="2"/>
        <scheme val="minor"/>
      </rPr>
      <t>25</t>
    </r>
    <r>
      <rPr>
        <sz val="11"/>
        <color theme="1"/>
        <rFont val="Calibri"/>
        <family val="2"/>
        <scheme val="minor"/>
      </rPr>
      <t>(5), 1200–1207. https://doi.org/10.1897/05-030r1.1</t>
    </r>
  </si>
  <si>
    <r>
      <t xml:space="preserve">Laetz, C. A., Baldwin, D. H., Collier, T. K., Hebert, V., Stark, J. D., &amp; Scholz, N. L. (2009). The synergistic toxicity of pesticide mixtures: implications for risk assessment and the conservation of endangered Pacific salmon. </t>
    </r>
    <r>
      <rPr>
        <i/>
        <sz val="11"/>
        <color theme="1"/>
        <rFont val="Calibri"/>
        <family val="2"/>
        <scheme val="minor"/>
      </rPr>
      <t>Environmental Health Perspectives</t>
    </r>
    <r>
      <rPr>
        <sz val="11"/>
        <color theme="1"/>
        <rFont val="Calibri"/>
        <family val="2"/>
        <scheme val="minor"/>
      </rPr>
      <t xml:space="preserve">, </t>
    </r>
    <r>
      <rPr>
        <i/>
        <sz val="11"/>
        <color theme="1"/>
        <rFont val="Calibri"/>
        <family val="2"/>
        <scheme val="minor"/>
      </rPr>
      <t>117</t>
    </r>
    <r>
      <rPr>
        <sz val="11"/>
        <color theme="1"/>
        <rFont val="Calibri"/>
        <family val="2"/>
        <scheme val="minor"/>
      </rPr>
      <t>(3), 348–353. https://doi.org/10.1289/ehp.0800096</t>
    </r>
  </si>
  <si>
    <r>
      <t xml:space="preserve">Moore, A., &amp; Lower, N. (2001). The impact of two pesticides on olfactory-mediated endocrine function in mature male Atlantic salmon (Salmo salar L.) parr. </t>
    </r>
    <r>
      <rPr>
        <i/>
        <sz val="11"/>
        <color theme="1"/>
        <rFont val="Calibri"/>
        <family val="2"/>
        <scheme val="minor"/>
      </rPr>
      <t>Comparative Biochemistry and Physiology. Part B, Biochemistry &amp; Molecular Biology</t>
    </r>
    <r>
      <rPr>
        <sz val="11"/>
        <color theme="1"/>
        <rFont val="Calibri"/>
        <family val="2"/>
        <scheme val="minor"/>
      </rPr>
      <t xml:space="preserve">, </t>
    </r>
    <r>
      <rPr>
        <i/>
        <sz val="11"/>
        <color theme="1"/>
        <rFont val="Calibri"/>
        <family val="2"/>
        <scheme val="minor"/>
      </rPr>
      <t>129</t>
    </r>
    <r>
      <rPr>
        <sz val="11"/>
        <color theme="1"/>
        <rFont val="Calibri"/>
        <family val="2"/>
        <scheme val="minor"/>
      </rPr>
      <t>(2–3), 269–276. https://doi.org/10.1016/s1096-4959(01)00321-9</t>
    </r>
  </si>
  <si>
    <r>
      <t xml:space="preserve">Kazlauskienė and Vosylienė 2008 Characteristic Features of the Effect of Cu and Zn Mixtures on Rainbow Trout </t>
    </r>
    <r>
      <rPr>
        <i/>
        <sz val="11"/>
        <color theme="1"/>
        <rFont val="Calibri"/>
        <family val="2"/>
        <scheme val="minor"/>
      </rPr>
      <t>Oncorhynchusmykiss</t>
    </r>
    <r>
      <rPr>
        <sz val="11"/>
        <color theme="1"/>
        <rFont val="Calibri"/>
        <family val="2"/>
        <scheme val="minor"/>
      </rPr>
      <t xml:space="preserve"> in Ontogenesis. </t>
    </r>
    <r>
      <rPr>
        <i/>
        <sz val="11"/>
        <color theme="1"/>
        <rFont val="Calibri"/>
        <family val="2"/>
        <scheme val="minor"/>
      </rPr>
      <t>Polish Journal of Environmental Studies</t>
    </r>
    <r>
      <rPr>
        <sz val="11"/>
        <color theme="1"/>
        <rFont val="Calibri"/>
        <family val="2"/>
        <scheme val="minor"/>
      </rPr>
      <t>. 2008;17(2):291-293.</t>
    </r>
  </si>
  <si>
    <t xml:space="preserve">Buhl, K. J., &amp; Hamilton, S. J. (1990). Comparative toxicity of inorganic contaminants released by placer mining to early life stages of salmonids. Ecotoxicology and Environmental Safety, 20(3), 325–342. https://doi.org/10.1016/0147-6513(90)90010-3
</t>
  </si>
  <si>
    <t>Finlayson and Verrue 1982</t>
  </si>
  <si>
    <t>Lloyd 1961</t>
  </si>
  <si>
    <r>
      <t xml:space="preserve">Lloyd, R. (1961). The toxicity of mixtures of zinc and copper sulphates to rainbow trout (Salmo gairdnerii Richardson). </t>
    </r>
    <r>
      <rPr>
        <i/>
        <sz val="11"/>
        <color theme="1"/>
        <rFont val="Calibri"/>
        <family val="2"/>
        <scheme val="minor"/>
      </rPr>
      <t>The Annals of Applied Biology</t>
    </r>
    <r>
      <rPr>
        <sz val="11"/>
        <color theme="1"/>
        <rFont val="Calibri"/>
        <family val="2"/>
        <scheme val="minor"/>
      </rPr>
      <t xml:space="preserve">, </t>
    </r>
    <r>
      <rPr>
        <i/>
        <sz val="11"/>
        <color theme="1"/>
        <rFont val="Calibri"/>
        <family val="2"/>
        <scheme val="minor"/>
      </rPr>
      <t>49</t>
    </r>
    <r>
      <rPr>
        <sz val="11"/>
        <color theme="1"/>
        <rFont val="Calibri"/>
        <family val="2"/>
        <scheme val="minor"/>
      </rPr>
      <t>(3), 535–538. https://doi.org/10.1111/j.1744-7348.1961.tb03647.x</t>
    </r>
  </si>
  <si>
    <t>These results indicate that the toxicity of a mixture containing relatively low concentrations of zinc and copper in either hard or soft water can be calculated from the toxicities of the individual metals by assuming that they exert a similar joint action.</t>
  </si>
  <si>
    <t>Finlayson, B.J. and Verrue, K.M. (1982), Toxicities of Copper, Zinc, and Cadmium Mixtures to Juvenile Chinook Salmon. Transactions of the American Fisheries Society, 111: 645-650. https://doi.org/10.1577/1548-8659(1982)111&lt;645:TOCZAC&gt;2.0.CO;2</t>
  </si>
  <si>
    <t>The combination of sulfides and low pH led to 100% mortality after 8 hours of exposure, even for sulfide concentrations lower than those reported for the fish farm, while single exposures to sulfides or
pH gave mortalities below 50%.</t>
  </si>
  <si>
    <r>
      <t xml:space="preserve">Ortiz, J.A., Rueda, A., Carbonell, G. </t>
    </r>
    <r>
      <rPr>
        <i/>
        <sz val="11"/>
        <color theme="1"/>
        <rFont val="Calibri"/>
        <family val="2"/>
        <scheme val="minor"/>
      </rPr>
      <t>et al.</t>
    </r>
    <r>
      <rPr>
        <sz val="11"/>
        <color theme="1"/>
        <rFont val="Calibri"/>
        <family val="2"/>
        <scheme val="minor"/>
      </rPr>
      <t xml:space="preserve"> (1993) Acute toxicity of sulfide and lower ph in cultured rainbow trout, Atlantic salmon, and coho salmon. </t>
    </r>
    <r>
      <rPr>
        <i/>
        <sz val="11"/>
        <color theme="1"/>
        <rFont val="Calibri"/>
        <family val="2"/>
        <scheme val="minor"/>
      </rPr>
      <t>Bull. Environ. Contam. Toxicol.</t>
    </r>
    <r>
      <rPr>
        <sz val="11"/>
        <color theme="1"/>
        <rFont val="Calibri"/>
        <family val="2"/>
        <scheme val="minor"/>
      </rPr>
      <t xml:space="preserve"> </t>
    </r>
    <r>
      <rPr>
        <b/>
        <sz val="11"/>
        <color theme="1"/>
        <rFont val="Calibri"/>
        <family val="2"/>
        <scheme val="minor"/>
      </rPr>
      <t xml:space="preserve">50, </t>
    </r>
    <r>
      <rPr>
        <sz val="11"/>
        <color theme="1"/>
        <rFont val="Calibri"/>
        <family val="2"/>
        <scheme val="minor"/>
      </rPr>
      <t>164–170. https://doi.org/10.1007/BF00196556</t>
    </r>
  </si>
  <si>
    <t xml:space="preserve">Loge, F. J., Arkoosh, M. R., Ginn, T. R., Johnson, L. L., &amp; Collier, T. K. (2005). Impact of environmental stressors on the dynamics of disease transmission. Environmental Science &amp; Technology, 39(18), 7329–7336. https://doi.org/10.1021/es0481934
</t>
  </si>
  <si>
    <r>
      <t xml:space="preserve">Hamilton, S.J., Buhl, K.J. Acute toxicity of boron, molybdenum, and selenium to fry of chinook salmon and coho salmon. </t>
    </r>
    <r>
      <rPr>
        <i/>
        <sz val="11"/>
        <color theme="1"/>
        <rFont val="Calibri"/>
        <family val="2"/>
        <scheme val="minor"/>
      </rPr>
      <t>Arch. Environ. Contam. Toxicol.</t>
    </r>
    <r>
      <rPr>
        <sz val="11"/>
        <color theme="1"/>
        <rFont val="Calibri"/>
        <family val="2"/>
        <scheme val="minor"/>
      </rPr>
      <t xml:space="preserve"> </t>
    </r>
    <r>
      <rPr>
        <b/>
        <sz val="11"/>
        <color theme="1"/>
        <rFont val="Calibri"/>
        <family val="2"/>
        <scheme val="minor"/>
      </rPr>
      <t xml:space="preserve">19, </t>
    </r>
    <r>
      <rPr>
        <sz val="11"/>
        <color theme="1"/>
        <rFont val="Calibri"/>
        <family val="2"/>
        <scheme val="minor"/>
      </rPr>
      <t>366–373 (1990). https://doi.org/10.1007/BF01054980</t>
    </r>
  </si>
  <si>
    <r>
      <t xml:space="preserve">Bawardi, O., Rimoldi, J., &amp; Schlenk, D. (2007). Impacts of hypersaline water on the biotransformation and toxicity of fenthion on rainbow trout (Oncorhynchus mykiss), striped bass (Morone saxatilis X Morone chrysops) and tilapia (Oreochromis mossambicus). </t>
    </r>
    <r>
      <rPr>
        <i/>
        <sz val="11"/>
        <color theme="1"/>
        <rFont val="Calibri"/>
        <family val="2"/>
        <scheme val="minor"/>
      </rPr>
      <t>Pesticide Biochemistry and Physiology</t>
    </r>
    <r>
      <rPr>
        <sz val="11"/>
        <color theme="1"/>
        <rFont val="Calibri"/>
        <family val="2"/>
        <scheme val="minor"/>
      </rPr>
      <t xml:space="preserve">, </t>
    </r>
    <r>
      <rPr>
        <i/>
        <sz val="11"/>
        <color theme="1"/>
        <rFont val="Calibri"/>
        <family val="2"/>
        <scheme val="minor"/>
      </rPr>
      <t>88</t>
    </r>
    <r>
      <rPr>
        <sz val="11"/>
        <color theme="1"/>
        <rFont val="Calibri"/>
        <family val="2"/>
        <scheme val="minor"/>
      </rPr>
      <t>(3), 321–327. https://doi.org/10.1016/j.pestbp.2007.01.008</t>
    </r>
  </si>
  <si>
    <r>
      <t xml:space="preserve">Wang, J., Grisle, S., &amp; Schlenk, D. (2001). Effects of salinity on aldicarb toxicity in juvenile rainbow trout (Oncorhynchus mykiss) and striped bass (Morone saxatilis x chrysops). </t>
    </r>
    <r>
      <rPr>
        <i/>
        <sz val="11"/>
        <color theme="1"/>
        <rFont val="Calibri"/>
        <family val="2"/>
        <scheme val="minor"/>
      </rPr>
      <t>Toxicological Sciences: An Official Journal of the Society of Toxicology</t>
    </r>
    <r>
      <rPr>
        <sz val="11"/>
        <color theme="1"/>
        <rFont val="Calibri"/>
        <family val="2"/>
        <scheme val="minor"/>
      </rPr>
      <t xml:space="preserve">, </t>
    </r>
    <r>
      <rPr>
        <i/>
        <sz val="11"/>
        <color theme="1"/>
        <rFont val="Calibri"/>
        <family val="2"/>
        <scheme val="minor"/>
      </rPr>
      <t>64</t>
    </r>
    <r>
      <rPr>
        <sz val="11"/>
        <color theme="1"/>
        <rFont val="Calibri"/>
        <family val="2"/>
        <scheme val="minor"/>
      </rPr>
      <t>(2), 200–207. https://doi.org/10.1093/toxsci/64.2.200</t>
    </r>
  </si>
  <si>
    <t>Lavado R, Rimoldi JM, Schlenk D (2009) Mechanisms of fenthion activation in rainbow trout (Oncorhynchus mykiss) acclimated to hypersaline environments. Toxicol Appl Pharmacol 235:143–152</t>
  </si>
  <si>
    <r>
      <t xml:space="preserve">Lavado, R., Maryoung, L. A., &amp; Schlenk, D. (2011). Hypersalinity acclimation increases the toxicity of the insecticide phorate in coho salmon (Oncorhynchus kisutch). </t>
    </r>
    <r>
      <rPr>
        <i/>
        <sz val="11"/>
        <color theme="1"/>
        <rFont val="Calibri"/>
        <family val="2"/>
        <scheme val="minor"/>
      </rPr>
      <t>Environmental Science &amp; Technology</t>
    </r>
    <r>
      <rPr>
        <sz val="11"/>
        <color theme="1"/>
        <rFont val="Calibri"/>
        <family val="2"/>
        <scheme val="minor"/>
      </rPr>
      <t xml:space="preserve">, </t>
    </r>
    <r>
      <rPr>
        <i/>
        <sz val="11"/>
        <color theme="1"/>
        <rFont val="Calibri"/>
        <family val="2"/>
        <scheme val="minor"/>
      </rPr>
      <t>45</t>
    </r>
    <r>
      <rPr>
        <sz val="11"/>
        <color theme="1"/>
        <rFont val="Calibri"/>
        <family val="2"/>
        <scheme val="minor"/>
      </rPr>
      <t>(10), 4623–4629. https://doi.org/10.1021/es200451j</t>
    </r>
  </si>
  <si>
    <r>
      <t xml:space="preserve">Mahrosh, U., Kleiven, M., Meland, S., Rosseland, B. O., Salbu, B., &amp; Teien, H.-C. (2014). Toxicity of road deicing salt (NaCl) and copper (Cu) to fertilization and early developmental stages of Atlantic salmon (Salmo salar). </t>
    </r>
    <r>
      <rPr>
        <i/>
        <sz val="11"/>
        <color theme="1"/>
        <rFont val="Calibri"/>
        <family val="2"/>
        <scheme val="minor"/>
      </rPr>
      <t>Journal of Hazardous Materials</t>
    </r>
    <r>
      <rPr>
        <sz val="11"/>
        <color theme="1"/>
        <rFont val="Calibri"/>
        <family val="2"/>
        <scheme val="minor"/>
      </rPr>
      <t xml:space="preserve">, </t>
    </r>
    <r>
      <rPr>
        <i/>
        <sz val="11"/>
        <color theme="1"/>
        <rFont val="Calibri"/>
        <family val="2"/>
        <scheme val="minor"/>
      </rPr>
      <t>280</t>
    </r>
    <r>
      <rPr>
        <sz val="11"/>
        <color theme="1"/>
        <rFont val="Calibri"/>
        <family val="2"/>
        <scheme val="minor"/>
      </rPr>
      <t>, 331–339. https://doi.org/10.1016/j.jhazmat.2014.07.076</t>
    </r>
  </si>
  <si>
    <r>
      <t xml:space="preserve">Mahrosh, U., Rosseland, B. O., Salbu, B., &amp; Teien, H.-C. (2018). Single and multiple stressor effect of road deicers and Cu on Atlantic salmon ( Salmo salar ) alevins from hatching till swim-up. </t>
    </r>
    <r>
      <rPr>
        <i/>
        <sz val="11"/>
        <color theme="1"/>
        <rFont val="Calibri"/>
        <family val="2"/>
        <scheme val="minor"/>
      </rPr>
      <t>Journal of Environmental Sciences (China)</t>
    </r>
    <r>
      <rPr>
        <sz val="11"/>
        <color theme="1"/>
        <rFont val="Calibri"/>
        <family val="2"/>
        <scheme val="minor"/>
      </rPr>
      <t xml:space="preserve">, </t>
    </r>
    <r>
      <rPr>
        <i/>
        <sz val="11"/>
        <color theme="1"/>
        <rFont val="Calibri"/>
        <family val="2"/>
        <scheme val="minor"/>
      </rPr>
      <t>66</t>
    </r>
    <r>
      <rPr>
        <sz val="11"/>
        <color theme="1"/>
        <rFont val="Calibri"/>
        <family val="2"/>
        <scheme val="minor"/>
      </rPr>
      <t>, 368–378. https://doi.org/10.1016/j.jes.2016.10.021</t>
    </r>
  </si>
  <si>
    <t>Eder KJ, Köhler H-R, Werner I. Pesticide and pathogen: heat shock protein expression and acetylcholinesterase inhibition in juvenile Chinook salmon in response to multiple stressors. Environ Toxicol Chem 2007;26:1233–42.</t>
  </si>
  <si>
    <t>Clifford MA, Eder KJ, Werner I, Hedrick RP. 2005. Synergistic effects of esfenvalerate and infectious hematopoietic necrosis virus on juvenile Chinook salmon mortality. Environ Toxicol Chem 24:1766–1772</t>
  </si>
  <si>
    <t>Significantly higher mortality with fewer days to death in EV/IHNV-treated six-week-old Chinook salmon than in groups exposed to either one of the two stressors</t>
  </si>
  <si>
    <t>Landman MJ, van den Heuvel MR, Finley M, Bannon HJ, Ling N. (2206) Combined effects of pulp and paper effluent, dehydroabietic acid, and hypoxia on swimming performance, metabolism, and hematology of rainbow trout. Ecotox Environ Saf; 65:314–22.</t>
  </si>
  <si>
    <t xml:space="preserve">Rodgers, E. M., &amp; Gomez Isaza, D. F. (2022). Stress history affects heat tolerance in an aquatic ectotherm (Chinook salmon, Oncorhynchus tshawytscha). Journal of Thermal Biology, 106(103252), 103252. https://doi.org/10.1016/j.jtherbio.2022.103252
</t>
  </si>
  <si>
    <t xml:space="preserve">Rodgers, E. M., Opinion, A. G. R., Gomez Isaza, D. F., Rašković, B., Poleksić, V., &amp; De Boeck, G. (2021). Double whammy: Nitrate pollution heightens susceptibility to both hypoxia and heat in a freshwater salmonid. The Science of the Total Environment, 765(142777), 142777. https://doi.org/10.1016/j.scitotenv.2020.142777
</t>
  </si>
  <si>
    <t xml:space="preserve">Amiri, B. M., Xu, E. G., Kupsco, A., Giroux, M., Hoseinzadeh, M., &amp; Schlenk, D. (2018). The effect of chlorpyrifos on salinity acclimation of juvenile rainbow trout (Oncorhynchus mykiss). Aquatic Toxicology (Amsterdam, Netherlands), 195, 97–102. https://doi.org/10.1016/j.aquatox.2017.12.011
</t>
  </si>
  <si>
    <t xml:space="preserve">Dockray, J. J., Reid, S. D., &amp; Wood, C. M. (1996). Effects of elevated summer temperatures and reduced pH on metabolism and growth of juvenile rainbow trout (Oncorhynchus mykiss) on unlimited ration. Canadian Journal of Fisheries and Aquatic Sciences, 53(12), 2752–2763. https://doi.org/10.1139/f96-232
</t>
  </si>
  <si>
    <t xml:space="preserve">Linton, T. K., Reid, S. D., &amp; Wood, C. M. (1997). The metabolic costs and physiological consequences to juvenile rainbow trout of a simulated summer warming scenario in the presence and absence of sublethal ammonia. Transactions of the American Fisheries Society, 126(2), 259–272. https://doi.org/10.1577/1548-8659(1997)126&lt;0259:tmcapc&gt;2.3.co;2
</t>
  </si>
  <si>
    <t xml:space="preserve">Linton, T. K., Morgan, I. J., Walsh, P. J., &amp; Wood, C. M. (1998). Chronic exposure of rainbow trout (Oncorhynchus mykiss) to simulated climate warming and sublethal ammonia: a year-long study of their appetite, growth, and metabolism. Canadian Journal of Fisheries and Aquatic Sciences, 55(3), 576–586. https://doi.org/10.1139/f97-302
</t>
  </si>
  <si>
    <t>Kuehne, L. M., Olden, J. D., &amp; Duda, J. J. (2012). Costs of living for juvenile Chinook salmon (Oncorhynchus tshawytscha) in an increasingly warming and invaded world. Canadian Journal of Fisheries and Aquatic Sciences, 69(10), 1621–1630. https://doi.org/10.1139/f2012-094</t>
  </si>
  <si>
    <t xml:space="preserve">Servizi, J. A., &amp; Martens, D. W. (1991). Effect of temperature, season, and fish size on acute lethality of suspended sediments to coho salmon (Oncorhynchus kisutch). Canadian Journal of Fisheries and Aquatic Sciences, 48(3), 493–497. https://doi.org/10.1139/f91-063
</t>
  </si>
  <si>
    <t xml:space="preserve">Mothersill, C., Salbu, B., Heier, L. S., Teien, H. C., Denbeigh, J., Oughton, D., Rosseland, B. O., &amp; Seymour, C. B. (2007). Multiple stressor effects of radiation and metals in salmon (Salmo salar). Journal of Environmental Radioactivity, 96(1–3), 20–31. https://doi.org/10.1016/j.jenvrad.2007.01.025
</t>
  </si>
  <si>
    <r>
      <t xml:space="preserve">Howe, G. E., Marking, L. L., Bills, T. D., Rach, J. J., &amp; Mayer, F. L., Jr. (1994). Effects of water temperature and pH on toxicity of terbufos, trichlorfon, 4-nitrophenol and 2,4-dinitrophenol to the amphipod Gammarus pseudolimnaeus and rainbow trout (Oncorhynchus mykiss). </t>
    </r>
    <r>
      <rPr>
        <i/>
        <sz val="11"/>
        <color theme="1"/>
        <rFont val="Calibri"/>
        <family val="2"/>
        <scheme val="minor"/>
      </rPr>
      <t>Environmental Toxicology and Chemistry</t>
    </r>
    <r>
      <rPr>
        <sz val="11"/>
        <color theme="1"/>
        <rFont val="Calibri"/>
        <family val="2"/>
        <scheme val="minor"/>
      </rPr>
      <t xml:space="preserve">, </t>
    </r>
    <r>
      <rPr>
        <i/>
        <sz val="11"/>
        <color theme="1"/>
        <rFont val="Calibri"/>
        <family val="2"/>
        <scheme val="minor"/>
      </rPr>
      <t>13</t>
    </r>
    <r>
      <rPr>
        <sz val="11"/>
        <color theme="1"/>
        <rFont val="Calibri"/>
        <family val="2"/>
        <scheme val="minor"/>
      </rPr>
      <t>(1), 51–66. https://doi.org/10.1002/etc.5620130109</t>
    </r>
  </si>
  <si>
    <t>Skov et al. 2011</t>
  </si>
  <si>
    <t>Density</t>
  </si>
  <si>
    <t>Biomass and physiology</t>
  </si>
  <si>
    <t>Soumalainen et al. 2005</t>
  </si>
  <si>
    <t>D'Cruz et al. 1998</t>
  </si>
  <si>
    <t>D'Cruz, Leela M., Dockray, Jacqueline J., Morgan, Ian J., &amp; Wood, Chris M. (1998) Physiological Effects of Sublethal Acid Exposure in Juvenile Rainbow Trout on a Limited or Unlimited Ration during a Simulated Global Warming Scenario. Physiological Zoology 71, 359-376. https://doi.org/10.1086/515421</t>
  </si>
  <si>
    <t>Skov, P. V., Larsen, B. K., Frisk, M., &amp; Jokumsen, A. (2011) Effects of rearing density and water current on the respiratory physiology and haematology in rainbow trout, Oncorhynchus mykiss at high temperature. Aquaculture 319, 446-452. https://doi.org/10.1016/j.aquaculture.2011.07.008</t>
  </si>
  <si>
    <t>Suomalainen, L. R., Tiirola, M. A., &amp; Valtonen, E. T. (2005) Influence of rearing conditions on Flavobacterium columnare infection of rainbow trout, Oncorhynchus mykiss (Walbaum). Journal of Fish Diseases 28, 271-277. https://doi.org/10.1111/j.1365-2761.2005.00631.x</t>
  </si>
  <si>
    <t>Wilson et al. 1994</t>
  </si>
  <si>
    <t>Wilson, R.W., H.L. Bergman, and C.M. Wood. 1994. Metabolic costs and physiological consequences of acclimation to aluminum in juvenile rainbow trout (Oncorhynchus mykiss). 2: Gill morphology, swimming performance, and aerobic scope. Can. J. Fish. Aquat. Sci. 51: 536-544.</t>
  </si>
  <si>
    <t>Metabolic cost and physiology</t>
  </si>
  <si>
    <t>Butler et al. 1992</t>
  </si>
  <si>
    <t>Butler ,P.J., N. Day, and K. Namba. 1992. Interaction of seasonal temperature and low pH on resting oxygen uptake and swimming performance of adult brown trout, Salmo trutta. 9. Exp. Biol. 165: 195-222</t>
  </si>
  <si>
    <t xml:space="preserve">Waiwood, K., &amp; Beamish, F. (1978). Effects of copper, pH and hardness on the critical swimming performance of rainbow trout (Salmo gairdneri Richardson). Water Research, 12(8), 611–619. https://doi.org/10.1016/0043-1354(78)90141-0
</t>
  </si>
  <si>
    <t>Waiwood and Beamish 1978</t>
  </si>
  <si>
    <t>Hardness</t>
  </si>
  <si>
    <t xml:space="preserve">pH and hardness can modify the toxicity of copper as measured by critical swimming performance and Cu lethality LC20. LC20 values were higher at higher hardness despite cuper concentrations an pH values </t>
  </si>
  <si>
    <t xml:space="preserve">Terzi, E., &amp; Verep, B. (2012). Effects of water hardness and temperature on the acute toxicity of mercuric chloride on rainbow trout (Oncorhynchus mykiss). Toxicology and Industrial Health, 28(6), 499–504. https://doi.org/10.1177/0748233711416943
</t>
  </si>
  <si>
    <t xml:space="preserve">Mortality rate descreased with increased total hardness.  In general, toxicity of metals decreases in hard water </t>
  </si>
  <si>
    <t xml:space="preserve">Mortality rate (due to metal expossure) increased with increasing test temperatures and decreasing total hardness of water. </t>
  </si>
  <si>
    <t>Changes in physological parametres</t>
  </si>
  <si>
    <t>Supress of physiological mechanisms in response for combined stressors. The chronic increases in temperature may not increase direct predation, but can result in significant sublethal costs with negative implications for long-term development, disease resistance, and subsequent size-selective mortality of Pacific salmon</t>
  </si>
  <si>
    <t>SD1</t>
  </si>
  <si>
    <t>SD2</t>
  </si>
  <si>
    <t>NA</t>
  </si>
  <si>
    <t>Neuronal functions inhibition (AChE activity)</t>
  </si>
  <si>
    <t>High temperature and high nitrate develop in cross-tolerance (they reported as a synergism)</t>
  </si>
  <si>
    <t>Reported (Hedges d) Jackson et al. 2015</t>
  </si>
  <si>
    <t>Reported Interaction  (Jackson et al. 2015)</t>
  </si>
  <si>
    <t>Reported (Hedges d) Matthaei and Lange 2015</t>
  </si>
  <si>
    <t>Reported Interaction  (Matthaei and Lange)</t>
  </si>
  <si>
    <t>High temperatures interplays with population density (nutrien limitation = NL) and results in a reduction growth.</t>
  </si>
  <si>
    <t>Mixtures of chemicals had negative effects. The joint acute toxic action of selenate and selenite, combined in various ratios, was additive to both species.</t>
  </si>
  <si>
    <t>Olsvik et al. 2010</t>
  </si>
  <si>
    <t>Protein expression</t>
  </si>
  <si>
    <t>Genetic expression</t>
  </si>
  <si>
    <t>Salbu, B., Denbeigh, J., Smith, R.W., Heier, L.S., Teien, H.C., Rosseland, B.O., Oughton, D., Seymour, C.B., Mothersill, C., 2008. Environmentally relevant mixed exposures to radiation and heavy metals induce measurable stress responses in Atlantic salmon. Environmental Science &amp; Technology 42, 3441e3446.</t>
  </si>
  <si>
    <t>Olsvik, P.A., Heier, L.S., Rosseland, B.O., Teien, H.C., Salbu, B., 2010. Effects of combined g-irradiation and metal (Al + Cd) exposures in Atlantic salmon (Salmo salar L.). Journal of Environmental Radioactivity 101, 230e236</t>
  </si>
  <si>
    <t>Nilsen, T. O., Ebbesson, L. O. E., Handeland, S. O., Kroglund, F., Finstad, B., Angotzi, A. R., &amp; Stefansson, S. O. (2013). Atlantic salmon (salmo salar L.) smolts require more than two weeks to recover from acidic water and aluminium exposure. Aquatic Toxicology, 142-143, 33-44. https://doi.org/10.1016/j.aquatox.2013.07.016</t>
  </si>
  <si>
    <t>Tmax is reduced when exposed to two diff. pesticides (separate analysis; data from Chrolpyrifos).</t>
  </si>
  <si>
    <t>Sample size ctrl</t>
  </si>
  <si>
    <t>Negative effects of pesticides. The high ethoprop–malathion tank mixture yield a significant inhibition of juvenile coho brain AChE activity at any temperature.</t>
  </si>
  <si>
    <t>olfactory response to the female priming pheromone. Data of plasma testosterone (ng ml-1).</t>
  </si>
  <si>
    <t>Cu + Zn mixture significatively affected embryos mortality compared to controls. Similar results when metals acted alone.</t>
  </si>
  <si>
    <t>Arsenate, Cupper, lead and Zinc mixture with Cu has higher LC50 than Cu alone.</t>
  </si>
  <si>
    <t>Field/model</t>
  </si>
  <si>
    <t>Mortality (LC50) due to pesticide exposure was enhanced by hypersaline conditions. Trouts of 3 Months old.</t>
  </si>
  <si>
    <t>Change in physological parametres (biotransformation of fenthion in liver)</t>
  </si>
  <si>
    <t>SEM1 or CI</t>
  </si>
  <si>
    <t>SEM2 or CI</t>
  </si>
  <si>
    <t xml:space="preserve"> It appears that the sensitivity of early developmental stages of Atlantic salmon increased when exposed to Cu and road salt. Road salt application during spawning can pose threat to Atlantic salmon in water bodies receiving road runoff.</t>
  </si>
  <si>
    <t>Salinity on Aldicarb Toxicity increased mortality (values in % of mortality, thus are inverted for the analysis)</t>
  </si>
  <si>
    <t>Insecticides caused additive effects when each compound was applied in combination with the infectious hematopoietic necrosis virus (IHNV). (Esfenvalerate from fig 5)</t>
  </si>
  <si>
    <t>Insecticides caused additive effects when each compound was applied in combination with the infectious hematopoietic necrosis virus (IHNV). organophosphate chlorpyrifos from figure 5</t>
  </si>
  <si>
    <t>hsp70 expression</t>
  </si>
  <si>
    <t>Reported (significantly) interactive effects of pulp and paper effluent (ppe) and low DO on the hematology (table 3)</t>
  </si>
  <si>
    <t>Reduction on CTmax due to nitrate</t>
  </si>
  <si>
    <t>Exposure to nitrate reduced Ctmax showing cross susceptibility but only in fish acclimated at 18°C (vs 22°C; which showed cross tolerance). Figure 2 and description of results</t>
  </si>
  <si>
    <t>Heat tolerance improved when exposed to salinity of 10 ppm.</t>
  </si>
  <si>
    <t>Heat tolerance improved when exposed to aerial expossure of 5 min (figure 3)</t>
  </si>
  <si>
    <t>Hypersaline acclimation reduces mortality in subsequent exposure to chlorpyrifos. Figure 2</t>
  </si>
  <si>
    <t>Trout exposed to both low pH and increased temperature generally expended more metabolic energy. As such a greater cost of living than those exposed to the control thermal regime (no SD or SE)</t>
  </si>
  <si>
    <t>Juvenile rainbow trout that have either an unlimited or a limited food ration, the combination of warmer temperature (+2°C) and sublethal low pH appeared to have a slightly higher metabolic cost than either stressor alone (no SD or SE)</t>
  </si>
  <si>
    <t>Negative effects of each stressor on several parameters. Data comes from a reduction in plasma total protein at 19°C</t>
  </si>
  <si>
    <t>Change in physological parametres. Data from plasma protein.</t>
  </si>
  <si>
    <r>
      <t>Change in plasma cortisol concentration (in ng ml</t>
    </r>
    <r>
      <rPr>
        <vertAlign val="superscript"/>
        <sz val="11"/>
        <color theme="1"/>
        <rFont val="Calibri"/>
        <family val="2"/>
        <scheme val="minor"/>
      </rPr>
      <t>-1</t>
    </r>
    <r>
      <rPr>
        <sz val="11"/>
        <color theme="1"/>
        <rFont val="Calibri"/>
        <family val="2"/>
        <scheme val="minor"/>
      </rPr>
      <t>)</t>
    </r>
  </si>
  <si>
    <t>Pickering, A. D., &amp; Pottinger, T. G. (1987). Poor water quality suppresses the cortisol response of salmonid fish to handling and confinement. Journal of Fish Biology, 30(3), 363–374. https://doi.org/10.1111/j.1095-8649.1987.tb05761.x</t>
  </si>
  <si>
    <t>Antagonistic</t>
  </si>
  <si>
    <t>A chronic small temperature increase, together with low-level ammonia pollution, substantially alters protein dynamics, and hence growth, in juvenile freshwater fishes.</t>
  </si>
  <si>
    <r>
      <t>Reduced pH combined with elevated NH</t>
    </r>
    <r>
      <rPr>
        <vertAlign val="subscript"/>
        <sz val="11"/>
        <color theme="1"/>
        <rFont val="Calibri"/>
        <family val="2"/>
        <scheme val="minor"/>
      </rPr>
      <t>3</t>
    </r>
    <r>
      <rPr>
        <sz val="11"/>
        <color theme="1"/>
        <rFont val="Calibri"/>
        <family val="2"/>
        <scheme val="minor"/>
      </rPr>
      <t>N caused a highly significant (P&lt; 0.001) increase in plasma cortisol levels in response to confinement [I20 ng ml-' cf. 75 ng ml-', Fig. 3(h)]. NOT CLEAR</t>
    </r>
  </si>
  <si>
    <t>Low pH inhibited protein growth in the liver of softwater-acclimated fish at day 90 under a +2°C temperature regime. Data from Kd (proteing degradation)</t>
  </si>
  <si>
    <t xml:space="preserve">Fifty percent of the fish died under metal  (Al and Fe) exposure at high (13°C), but none at low (3 °C). Data comes from Hct. Since none fish died the toxicity it was concluded that toxicity was dependent on temperature. </t>
  </si>
  <si>
    <t>Exposure of fish to low pH at the raised (+2°C) temperature profile resulted in a significant 77% reduction in the liver protein degradation rate ()Kd.</t>
  </si>
  <si>
    <t>MacLeod and Pessah 1973</t>
  </si>
  <si>
    <t>Tinv</t>
  </si>
  <si>
    <t>Exposure to nitrate reduced hypoxia tolerance suggesting cross-susceptibility. Figure 1 and description of results</t>
  </si>
  <si>
    <t>Plasma cortisol</t>
  </si>
  <si>
    <t xml:space="preserve">Plasma cortisol and glucosa levels were often significative lower than the high pH group when high pH and high T°C were combined. * Unstressed fish have lower plasma cortisol levels. https://doi.org/10.1007/BF00004714 </t>
  </si>
  <si>
    <t>Calcium reduces toxicity of ammonia in Fry rainbow trout; increased calcium protects fry exposed to elevated ammonia at pH of both 7.8 and 9.0.</t>
  </si>
  <si>
    <t>Clifford et al. 2005</t>
  </si>
  <si>
    <t>Survival, growth rate, weight  and physiological
variables</t>
  </si>
  <si>
    <t>WQ</t>
  </si>
  <si>
    <t>Weight gain was affected by stocking density and low water quality WQ (high amonia low oxygen) Data from fig 2</t>
  </si>
  <si>
    <t>The effect of juvenile Sacramento pikeminnow  affects similarly the growth of dominant juvenile steelhead at 20–23°C comapred to the effect of additional juvenile steelhead. However, the weight is affected if compared between temperatures and the prescence of an inv. species.</t>
  </si>
  <si>
    <t>The laboratory experiments in combination with field experiments indicate that temperature variations and natural solar UV might be potential stressors responsible for the described immune suppression of brown trout during summer. Data from Lymphocytes on table 2</t>
  </si>
  <si>
    <t>The lethal dose of bacterial cells (Renibacterium salmoninarum) necessary to induce 50% mortality (LD50) was 10-fold lower at the 15°C challenge than at the 9°C challenge. Data from table 2</t>
  </si>
  <si>
    <t>Terzi and Verep 2012</t>
  </si>
  <si>
    <t>Magaud , H. , Migeon , B. , Morfi n , P. , Garric , J. &amp; Vindimian , E. ( 1997 ). Modelling fi sh mortality due to urban storm run-off: interacting effects of hypoxia and un-ionized ammonia . Water Research, 31 , 211 – 218 .</t>
  </si>
  <si>
    <t>Rearing rainbow trout in a current caused a decrease in the amount of energy required for maintenance.  The study emphasises the beneficial effects of rearing in a current, producing fish with a greater physiological quality. Data from table 2</t>
  </si>
  <si>
    <t>A reduction of fish density could be used in prevention of columnaris disease especially if water temperature is high.</t>
  </si>
  <si>
    <t>A slight temperature increase and sublethal pH increased mortalities in fish maintained on a limited ration of food. Data of HTC from table 2</t>
  </si>
  <si>
    <t>Physiology and mortality</t>
  </si>
  <si>
    <t>Sublethal Al combined with acid (low pH) caused thickening of the respiratory epithelium, hyperplasia of the filamental epithelium, a proliferation of mucous cells, and reduction in aerobic scope. Data from fig 5</t>
  </si>
  <si>
    <t>Wilon and Wood 1992</t>
  </si>
  <si>
    <t>Metabolic cost, physiology and mortality</t>
  </si>
  <si>
    <t>Wilson, R.W., Wood, C.M. Swimming performance, whole body ions, and gill Al accumulation during acclimation to sublethal aluminium in juvenile rainbow trout (Oncorhynchus mykiss). Fish Physiol Biochem 10, 149–159 (1992). https://doi.org/10.1007/BF00004526</t>
  </si>
  <si>
    <t>Brown trout can survive, for 4 days at least, at a lower pH (by 0.5 units) at 5°C in winter than they can at 15°C in summer. Also, some of the physiological responses to exposure to sublethal pH and to swimming in water at sublethal pH are different at the lower temperature. Data of Hb in Figure 2.</t>
  </si>
  <si>
    <t>Salbu et al. 2008</t>
  </si>
  <si>
    <t>The levels of pollutants used in these experiments did not substantially affect protein turnover in the liver and gills of rainbow trout during winter. However, at day 90 the capacity for protein synthesis was significantly greater in the gills of fish in the base+2°C+Am group. Data from protein synthesis Cs in Table 2</t>
  </si>
  <si>
    <t>Al + Cd may work antagonistic to and counteract the early molecular responses to intermediate doses of g-irradiation by reducing the transcriptional effects of the g-irradiation in fish exposed to a combination of metals and radiation. Data from Glutathion reductasa in fig. 1</t>
  </si>
  <si>
    <t>Nilse et al. 2013</t>
  </si>
  <si>
    <t>Sustained elevated plasma glucose levels post transfer to good water quality implies that smolts were stressed for days and weeks after experiencing acid/Al episodes, which may lead to depletion of readily available energy required for coping successfully with physiological and ecological challenges during the early marine phase</t>
  </si>
  <si>
    <t>Lahontan cutthroat trout were less tolerant of high temperature in alkaline water of high pH than in fresh water of low pH. Data from table 3</t>
  </si>
  <si>
    <t>Synergism is seen at higher exposure concentrations, at lower concentrations additive effects are seen but with a trend to synergisms. Data from fig 3.</t>
  </si>
  <si>
    <t>Mixture of two pesticides had additive effects on olfatory response to female priming.</t>
  </si>
  <si>
    <t>Pickering and Pottinger 1987</t>
  </si>
  <si>
    <t>To be confirmed 42.9857998775582</t>
  </si>
  <si>
    <t>To be confirmed 21.1535383607984</t>
  </si>
  <si>
    <t>To be confirmed 1.47007361169313</t>
  </si>
  <si>
    <t>To be confirmed 1.23271797647184</t>
  </si>
  <si>
    <t>Two- and three-metal combinations had additive or antagonistic toxic effects. A combination of Cd and Cu increased the toxicity of metals when acting alone. (Data from LC50) It is not clear how the CI are reported.</t>
  </si>
  <si>
    <t>Two- and three-metal combinations had additive or antagonistic toxic effects. A combination of Zn and Cu decreased the toxicity of the metals when acting alone. (Data from LC50) It is not clear how the CI are reported.</t>
  </si>
  <si>
    <t>Author</t>
  </si>
  <si>
    <t>Becker and Wolford 1980</t>
  </si>
  <si>
    <t>Eder et al., 2007</t>
  </si>
  <si>
    <t>Landman et al. 2006</t>
  </si>
  <si>
    <t>Vigg and Koch 1980</t>
  </si>
  <si>
    <t>Magaud et al., 1997</t>
  </si>
  <si>
    <t>Exposure to toxaphene and D. dendriticum decreased fish growth and condition as well muscle lipid and protein content. However, toxaphene did not increase the susceptibility of Arctic charr to parasite infection. Data from table 3</t>
  </si>
  <si>
    <t>The influence of toxic cyanobacterial biomass and a chemical agent, represented by arsenic,  enhanced their harmful effects on rainbow trout when combined. Data from ferric reducing antioxidant power (FRAP). Data sent by author</t>
  </si>
  <si>
    <t>LT50 values were lower in fish exposed to AL and low pH. Data from fig 1</t>
  </si>
  <si>
    <t>The effects vary among different organs and are not consistently additive or synergistic for a given treatment although gill cells do show high degrees of synergism between radiation and metal exposure. Data from fig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</si>
</sst>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theme="1"/>
      <name val="Calibri"/>
      <family val="2"/>
    </font>
    <font>
      <i/>
      <sz val="11"/>
      <color theme="1"/>
      <name val="Calibri"/>
      <family val="2"/>
      <scheme val="minor"/>
    </font>
    <font>
      <vertAlign val="subscript"/>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49">
    <xf numFmtId="0" fontId="0" fillId="0" borderId="0" xfId="0"/>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Alignment="1">
      <alignment wrapText="1"/>
    </xf>
    <xf numFmtId="0" fontId="0" fillId="0" borderId="0" xfId="0" applyAlignment="1">
      <alignment vertical="top"/>
    </xf>
    <xf numFmtId="0" fontId="0" fillId="0" borderId="0" xfId="0" applyAlignment="1">
      <alignment horizontal="left" vertical="top" wrapText="1"/>
    </xf>
    <xf numFmtId="0" fontId="0" fillId="0" borderId="0" xfId="0" applyAlignment="1">
      <alignment vertical="top" wrapText="1"/>
    </xf>
    <xf numFmtId="0" fontId="1" fillId="0" borderId="0" xfId="0" applyFont="1" applyAlignment="1">
      <alignment horizontal="center" vertical="top" wrapText="1"/>
    </xf>
    <xf numFmtId="0" fontId="0" fillId="0" borderId="0" xfId="0" applyAlignment="1">
      <alignment horizontal="left" wrapText="1"/>
    </xf>
    <xf numFmtId="0" fontId="1" fillId="0" borderId="0" xfId="0" applyFont="1" applyAlignment="1">
      <alignment horizontal="center" vertical="center"/>
    </xf>
    <xf numFmtId="0" fontId="0" fillId="0" borderId="0" xfId="0" applyAlignment="1">
      <alignment horizontal="left" vertical="center" wrapText="1"/>
    </xf>
    <xf numFmtId="0" fontId="0" fillId="2" borderId="0" xfId="0" applyFill="1" applyAlignment="1">
      <alignment horizontal="center" vertical="center"/>
    </xf>
    <xf numFmtId="0" fontId="0" fillId="2" borderId="0" xfId="0" applyFill="1" applyAlignment="1">
      <alignment horizontal="center" vertical="center" wrapText="1"/>
    </xf>
    <xf numFmtId="0" fontId="0" fillId="2" borderId="0" xfId="0" applyFill="1" applyAlignment="1">
      <alignment wrapText="1"/>
    </xf>
    <xf numFmtId="0" fontId="0" fillId="2" borderId="0" xfId="0" applyFill="1"/>
    <xf numFmtId="0" fontId="0" fillId="2" borderId="0" xfId="0" applyFill="1" applyAlignment="1">
      <alignment vertical="top" wrapText="1"/>
    </xf>
    <xf numFmtId="0" fontId="0" fillId="2" borderId="0" xfId="0" applyFill="1" applyAlignment="1">
      <alignment horizontal="left" vertical="top" wrapText="1"/>
    </xf>
    <xf numFmtId="0" fontId="0" fillId="2" borderId="0" xfId="0" applyFill="1" applyAlignment="1">
      <alignment vertical="center" wrapText="1"/>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vertical="top" wrapText="1"/>
    </xf>
    <xf numFmtId="0" fontId="0" fillId="3" borderId="0" xfId="0" applyFill="1" applyAlignment="1">
      <alignment wrapText="1"/>
    </xf>
    <xf numFmtId="0" fontId="0" fillId="4" borderId="0" xfId="0" applyFill="1" applyAlignment="1">
      <alignment horizontal="center" vertical="center"/>
    </xf>
    <xf numFmtId="0" fontId="0" fillId="4" borderId="0" xfId="0" applyFill="1" applyAlignment="1">
      <alignment horizontal="center" vertical="center" wrapText="1"/>
    </xf>
    <xf numFmtId="0" fontId="0" fillId="4" borderId="0" xfId="0" applyFill="1"/>
    <xf numFmtId="0" fontId="0" fillId="4" borderId="0" xfId="0" applyFill="1" applyAlignment="1">
      <alignment horizontal="left" vertical="top" wrapText="1"/>
    </xf>
    <xf numFmtId="0" fontId="0" fillId="3" borderId="0" xfId="0" applyFill="1" applyAlignment="1">
      <alignment vertical="top" wrapText="1"/>
    </xf>
    <xf numFmtId="0" fontId="0" fillId="5" borderId="0" xfId="0" applyFill="1" applyAlignment="1">
      <alignment horizontal="center" vertical="center"/>
    </xf>
    <xf numFmtId="0" fontId="0" fillId="5" borderId="0" xfId="0" applyFill="1" applyAlignment="1">
      <alignment horizontal="center" vertical="center" wrapText="1"/>
    </xf>
    <xf numFmtId="0" fontId="0" fillId="5" borderId="0" xfId="0" applyFill="1"/>
    <xf numFmtId="0" fontId="0" fillId="6" borderId="0" xfId="0" applyFill="1" applyAlignment="1">
      <alignment horizontal="center" vertical="center"/>
    </xf>
    <xf numFmtId="0" fontId="0" fillId="6" borderId="0" xfId="0" applyFill="1" applyAlignment="1">
      <alignment horizontal="center" vertical="center" wrapText="1"/>
    </xf>
    <xf numFmtId="0" fontId="0" fillId="6" borderId="0" xfId="0" applyFill="1"/>
    <xf numFmtId="0" fontId="0" fillId="6" borderId="0" xfId="0" applyFill="1" applyAlignment="1">
      <alignment vertical="top" wrapText="1"/>
    </xf>
    <xf numFmtId="0" fontId="0" fillId="5" borderId="0" xfId="0" applyFill="1" applyAlignment="1">
      <alignment vertical="top" wrapText="1"/>
    </xf>
    <xf numFmtId="0" fontId="0" fillId="3" borderId="0" xfId="0" applyFill="1" applyAlignment="1">
      <alignment vertical="center" wrapText="1"/>
    </xf>
    <xf numFmtId="0" fontId="0" fillId="4" borderId="0" xfId="0" applyFill="1" applyAlignment="1">
      <alignment vertical="top" wrapText="1"/>
    </xf>
    <xf numFmtId="0" fontId="0" fillId="5" borderId="0" xfId="0" applyFill="1" applyAlignment="1">
      <alignment horizontal="left" vertical="top" wrapText="1"/>
    </xf>
    <xf numFmtId="0" fontId="0" fillId="2" borderId="0" xfId="0" applyFill="1" applyAlignment="1">
      <alignment vertical="center"/>
    </xf>
    <xf numFmtId="0" fontId="0" fillId="2" borderId="0" xfId="0" applyFill="1" applyAlignment="1">
      <alignment vertical="top"/>
    </xf>
    <xf numFmtId="0" fontId="0" fillId="3" borderId="0" xfId="0" applyFill="1" applyAlignment="1">
      <alignment horizontal="left" vertical="center" wrapText="1"/>
    </xf>
    <xf numFmtId="0" fontId="0" fillId="6" borderId="0" xfId="0" applyFill="1" applyAlignment="1">
      <alignment vertical="center" wrapText="1"/>
    </xf>
    <xf numFmtId="0" fontId="0" fillId="5" borderId="0" xfId="0" applyFill="1" applyAlignment="1">
      <alignment vertical="center" wrapText="1"/>
    </xf>
    <xf numFmtId="0" fontId="0" fillId="2" borderId="0" xfId="0" applyFill="1" applyAlignment="1">
      <alignment horizontal="left" vertical="center" wrapText="1"/>
    </xf>
    <xf numFmtId="0" fontId="0" fillId="4" borderId="0" xfId="0" applyFill="1" applyAlignment="1">
      <alignment vertical="center" wrapText="1"/>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C84BB-F2CC-42C6-A1BF-21ED272783EE}">
  <dimension ref="A1:AA93"/>
  <sheetViews>
    <sheetView tabSelected="1" zoomScale="70" zoomScaleNormal="70" workbookViewId="0">
      <pane ySplit="1" topLeftCell="A2" activePane="bottomLeft" state="frozen"/>
      <selection pane="bottomLeft"/>
    </sheetView>
  </sheetViews>
  <sheetFormatPr defaultRowHeight="14.5" x14ac:dyDescent="0.35"/>
  <cols>
    <col min="1" max="1" width="9.1796875" style="1"/>
    <col min="2" max="2" width="16" customWidth="1"/>
    <col min="3" max="3" width="15.81640625" customWidth="1"/>
    <col min="4" max="4" width="14.81640625" customWidth="1"/>
    <col min="5" max="5" width="16.81640625" style="1" bestFit="1" customWidth="1"/>
    <col min="6" max="6" width="15.26953125" customWidth="1"/>
    <col min="7" max="7" width="18.54296875" style="3" customWidth="1"/>
    <col min="8" max="8" width="17.453125" style="3" customWidth="1"/>
    <col min="9" max="10" width="14.1796875" customWidth="1"/>
    <col min="11" max="11" width="27.1796875" style="48" customWidth="1"/>
    <col min="14" max="15" width="11.54296875" bestFit="1" customWidth="1"/>
    <col min="16" max="17" width="11.1796875" customWidth="1"/>
    <col min="18" max="18" width="11.54296875" bestFit="1" customWidth="1"/>
    <col min="19" max="19" width="11.54296875" customWidth="1"/>
    <col min="21" max="21" width="10.1796875" customWidth="1"/>
    <col min="22" max="24" width="11.1796875" customWidth="1"/>
    <col min="25" max="25" width="15.1796875" customWidth="1"/>
    <col min="26" max="26" width="13.453125" customWidth="1"/>
    <col min="27" max="27" width="162" style="8" bestFit="1" customWidth="1"/>
  </cols>
  <sheetData>
    <row r="1" spans="1:27" ht="58" x14ac:dyDescent="0.35">
      <c r="A1" s="11" t="s">
        <v>78</v>
      </c>
      <c r="B1" s="4" t="s">
        <v>365</v>
      </c>
      <c r="C1" s="4" t="s">
        <v>3</v>
      </c>
      <c r="D1" s="4" t="s">
        <v>63</v>
      </c>
      <c r="E1" s="4" t="s">
        <v>64</v>
      </c>
      <c r="F1" s="4" t="s">
        <v>1</v>
      </c>
      <c r="G1" s="4" t="s">
        <v>4</v>
      </c>
      <c r="H1" s="4" t="s">
        <v>129</v>
      </c>
      <c r="I1" s="4" t="s">
        <v>2</v>
      </c>
      <c r="J1" s="4" t="s">
        <v>141</v>
      </c>
      <c r="K1" s="4" t="s">
        <v>0</v>
      </c>
      <c r="L1" s="4" t="s">
        <v>82</v>
      </c>
      <c r="M1" s="4" t="s">
        <v>77</v>
      </c>
      <c r="N1" s="4" t="s">
        <v>275</v>
      </c>
      <c r="O1" s="4" t="s">
        <v>276</v>
      </c>
      <c r="P1" s="4" t="s">
        <v>301</v>
      </c>
      <c r="Q1" s="4" t="s">
        <v>302</v>
      </c>
      <c r="R1" s="4" t="s">
        <v>327</v>
      </c>
      <c r="S1" s="4" t="s">
        <v>293</v>
      </c>
      <c r="T1" s="4" t="s">
        <v>75</v>
      </c>
      <c r="U1" s="4" t="s">
        <v>74</v>
      </c>
      <c r="V1" s="4" t="s">
        <v>73</v>
      </c>
      <c r="W1" s="4" t="s">
        <v>280</v>
      </c>
      <c r="X1" s="4" t="s">
        <v>281</v>
      </c>
      <c r="Y1" s="4" t="s">
        <v>282</v>
      </c>
      <c r="Z1" s="4" t="s">
        <v>283</v>
      </c>
      <c r="AA1" s="9" t="s">
        <v>119</v>
      </c>
    </row>
    <row r="2" spans="1:27" ht="43.5" x14ac:dyDescent="0.35">
      <c r="A2" s="1">
        <v>2021</v>
      </c>
      <c r="B2" s="3" t="s">
        <v>9</v>
      </c>
      <c r="C2" s="3" t="s">
        <v>8</v>
      </c>
      <c r="D2" s="3" t="s">
        <v>105</v>
      </c>
      <c r="E2" s="3" t="s">
        <v>5</v>
      </c>
      <c r="F2" s="3" t="s">
        <v>320</v>
      </c>
      <c r="G2" s="3" t="s">
        <v>157</v>
      </c>
      <c r="H2" s="3" t="s">
        <v>128</v>
      </c>
      <c r="I2" s="3" t="s">
        <v>20</v>
      </c>
      <c r="J2" s="3" t="s">
        <v>136</v>
      </c>
      <c r="K2" s="3" t="s">
        <v>6</v>
      </c>
      <c r="L2" s="5">
        <v>70</v>
      </c>
      <c r="M2" s="5">
        <v>90</v>
      </c>
      <c r="N2" s="5">
        <v>8.16</v>
      </c>
      <c r="O2" s="5">
        <v>8.16</v>
      </c>
      <c r="P2" s="5" t="s">
        <v>277</v>
      </c>
      <c r="Q2" s="5" t="s">
        <v>277</v>
      </c>
      <c r="R2" s="5"/>
      <c r="S2" s="5">
        <v>20</v>
      </c>
      <c r="T2" s="5">
        <v>20</v>
      </c>
      <c r="U2" s="5">
        <v>3</v>
      </c>
      <c r="V2" t="s">
        <v>153</v>
      </c>
      <c r="AA2" s="7" t="s">
        <v>206</v>
      </c>
    </row>
    <row r="3" spans="1:27" ht="29" x14ac:dyDescent="0.35">
      <c r="A3" s="1">
        <v>2015</v>
      </c>
      <c r="B3" s="3" t="s">
        <v>13</v>
      </c>
      <c r="C3" s="3" t="s">
        <v>12</v>
      </c>
      <c r="D3" s="3" t="s">
        <v>105</v>
      </c>
      <c r="E3" s="3" t="s">
        <v>5</v>
      </c>
      <c r="F3" s="3" t="s">
        <v>11</v>
      </c>
      <c r="G3" s="3" t="s">
        <v>193</v>
      </c>
      <c r="H3" s="3" t="s">
        <v>128</v>
      </c>
      <c r="I3" s="3" t="s">
        <v>20</v>
      </c>
      <c r="J3" s="3" t="s">
        <v>136</v>
      </c>
      <c r="K3" s="3" t="s">
        <v>10</v>
      </c>
      <c r="L3">
        <v>29.75</v>
      </c>
      <c r="M3">
        <v>29.35</v>
      </c>
      <c r="N3" s="5">
        <f>(P3*(SQRT(T3)))</f>
        <v>0.1936491673103736</v>
      </c>
      <c r="O3" s="5">
        <f>(Q3*(SQRT(T3)))</f>
        <v>0.23237900077244006</v>
      </c>
      <c r="P3" s="5">
        <v>5.0000000000000711E-2</v>
      </c>
      <c r="Q3" s="5">
        <v>5.9999999999998721E-2</v>
      </c>
      <c r="R3" s="5"/>
      <c r="S3">
        <v>15</v>
      </c>
      <c r="T3">
        <v>15</v>
      </c>
      <c r="AA3" s="8" t="s">
        <v>201</v>
      </c>
    </row>
    <row r="4" spans="1:27" ht="43.5" x14ac:dyDescent="0.35">
      <c r="A4" s="1">
        <v>2015</v>
      </c>
      <c r="B4" s="3" t="s">
        <v>13</v>
      </c>
      <c r="C4" s="3" t="s">
        <v>14</v>
      </c>
      <c r="D4" s="3" t="s">
        <v>105</v>
      </c>
      <c r="E4" s="3" t="s">
        <v>5</v>
      </c>
      <c r="F4" s="3" t="s">
        <v>11</v>
      </c>
      <c r="G4" s="3" t="s">
        <v>193</v>
      </c>
      <c r="H4" s="3" t="s">
        <v>128</v>
      </c>
      <c r="I4" s="3" t="s">
        <v>20</v>
      </c>
      <c r="J4" s="3" t="s">
        <v>136</v>
      </c>
      <c r="K4" s="3" t="s">
        <v>10</v>
      </c>
      <c r="L4" s="5">
        <v>28</v>
      </c>
      <c r="M4" s="5">
        <v>27.82</v>
      </c>
      <c r="N4" s="5">
        <f>(P4*(SQRT(T4)))</f>
        <v>0.30983866769658674</v>
      </c>
      <c r="O4" s="5">
        <f>(Q4*(SQRT(T4)))</f>
        <v>0.27110883423452031</v>
      </c>
      <c r="P4" s="5">
        <v>7.9999999999998295E-2</v>
      </c>
      <c r="Q4" s="5">
        <v>7.0000000000000284E-2</v>
      </c>
      <c r="R4" s="5"/>
      <c r="S4">
        <v>15</v>
      </c>
      <c r="T4">
        <v>15</v>
      </c>
      <c r="AA4" s="8" t="s">
        <v>201</v>
      </c>
    </row>
    <row r="5" spans="1:27" ht="29" x14ac:dyDescent="0.35">
      <c r="A5" s="1">
        <v>2015</v>
      </c>
      <c r="B5" s="3" t="s">
        <v>13</v>
      </c>
      <c r="C5" s="3" t="s">
        <v>12</v>
      </c>
      <c r="D5" s="3" t="s">
        <v>5</v>
      </c>
      <c r="E5" s="3" t="s">
        <v>105</v>
      </c>
      <c r="F5" s="3" t="s">
        <v>320</v>
      </c>
      <c r="G5" s="3" t="s">
        <v>193</v>
      </c>
      <c r="H5" s="3" t="s">
        <v>128</v>
      </c>
      <c r="I5" s="3" t="s">
        <v>20</v>
      </c>
      <c r="J5" s="3" t="s">
        <v>136</v>
      </c>
      <c r="K5" s="3" t="s">
        <v>15</v>
      </c>
      <c r="L5" s="5">
        <v>27.3</v>
      </c>
      <c r="M5" s="5">
        <v>29.34</v>
      </c>
      <c r="N5" s="5">
        <f>(P5*(SQRT(T5)))</f>
        <v>0.23237900077244006</v>
      </c>
      <c r="O5" s="5">
        <f>(Q5*(SQRT(T5)))</f>
        <v>0.27110883423452031</v>
      </c>
      <c r="P5" s="5">
        <v>5.9999999999998721E-2</v>
      </c>
      <c r="Q5" s="5">
        <v>7.0000000000000284E-2</v>
      </c>
      <c r="R5" s="5"/>
      <c r="S5">
        <v>15</v>
      </c>
      <c r="T5">
        <v>15</v>
      </c>
      <c r="AA5" s="8" t="s">
        <v>201</v>
      </c>
    </row>
    <row r="6" spans="1:27" ht="43.5" x14ac:dyDescent="0.35">
      <c r="A6" s="1">
        <v>2021</v>
      </c>
      <c r="B6" s="3" t="s">
        <v>13</v>
      </c>
      <c r="C6" s="3" t="s">
        <v>14</v>
      </c>
      <c r="D6" s="3" t="s">
        <v>5</v>
      </c>
      <c r="E6" s="3" t="s">
        <v>105</v>
      </c>
      <c r="F6" s="3" t="s">
        <v>320</v>
      </c>
      <c r="G6" s="3" t="s">
        <v>193</v>
      </c>
      <c r="H6" s="3" t="s">
        <v>128</v>
      </c>
      <c r="I6" s="3" t="s">
        <v>20</v>
      </c>
      <c r="J6" s="3" t="s">
        <v>136</v>
      </c>
      <c r="K6" s="3" t="s">
        <v>15</v>
      </c>
      <c r="L6" s="5">
        <v>26.57</v>
      </c>
      <c r="M6" s="5">
        <v>27.81</v>
      </c>
      <c r="N6" s="5">
        <f>(P6*(SQRT(T6)))</f>
        <v>0.30983866769658674</v>
      </c>
      <c r="O6" s="5">
        <f>(Q6*(SQRT(T6)))</f>
        <v>0.30983866769660051</v>
      </c>
      <c r="P6" s="5">
        <f>26.65-L6</f>
        <v>7.9999999999998295E-2</v>
      </c>
      <c r="Q6" s="5">
        <f>27.89-M6</f>
        <v>8.0000000000001847E-2</v>
      </c>
      <c r="R6" s="5"/>
      <c r="S6">
        <v>15</v>
      </c>
      <c r="T6">
        <v>15</v>
      </c>
      <c r="AA6" s="8" t="s">
        <v>201</v>
      </c>
    </row>
    <row r="7" spans="1:27" ht="58" x14ac:dyDescent="0.35">
      <c r="A7" s="1">
        <v>2007</v>
      </c>
      <c r="B7" s="3" t="s">
        <v>66</v>
      </c>
      <c r="C7" s="3" t="s">
        <v>21</v>
      </c>
      <c r="D7" s="3" t="s">
        <v>5</v>
      </c>
      <c r="E7" s="3" t="s">
        <v>122</v>
      </c>
      <c r="F7" s="3" t="s">
        <v>22</v>
      </c>
      <c r="G7" s="3" t="s">
        <v>65</v>
      </c>
      <c r="H7" s="3" t="s">
        <v>127</v>
      </c>
      <c r="I7" s="3" t="s">
        <v>20</v>
      </c>
      <c r="J7" s="3" t="s">
        <v>136</v>
      </c>
      <c r="K7" s="3" t="s">
        <v>67</v>
      </c>
      <c r="L7" s="5">
        <v>5.79</v>
      </c>
      <c r="M7" s="5">
        <v>5.12</v>
      </c>
      <c r="N7" s="5">
        <f>(P7*(SQRT(T7)))</f>
        <v>0.9353074360871938</v>
      </c>
      <c r="O7" s="5">
        <f>(Q7*(SQRT(T7)))</f>
        <v>0.62353829072479572</v>
      </c>
      <c r="P7" s="5">
        <v>0.27</v>
      </c>
      <c r="Q7" s="5">
        <v>0.18</v>
      </c>
      <c r="R7" s="5"/>
      <c r="S7">
        <v>12</v>
      </c>
      <c r="T7">
        <v>12</v>
      </c>
      <c r="U7" s="5">
        <v>6</v>
      </c>
      <c r="W7" s="5">
        <v>-0.08</v>
      </c>
      <c r="X7" t="s">
        <v>22</v>
      </c>
      <c r="Y7" s="5">
        <v>-0.55000000000000004</v>
      </c>
      <c r="Z7" t="s">
        <v>22</v>
      </c>
      <c r="AA7" s="7" t="s">
        <v>159</v>
      </c>
    </row>
    <row r="8" spans="1:27" ht="87" x14ac:dyDescent="0.35">
      <c r="A8" s="1">
        <v>2009</v>
      </c>
      <c r="B8" s="3" t="s">
        <v>38</v>
      </c>
      <c r="C8" s="3" t="s">
        <v>29</v>
      </c>
      <c r="D8" s="3" t="s">
        <v>35</v>
      </c>
      <c r="E8" s="1" t="s">
        <v>35</v>
      </c>
      <c r="F8" s="3" t="s">
        <v>11</v>
      </c>
      <c r="G8" s="3" t="s">
        <v>30</v>
      </c>
      <c r="H8" s="3" t="s">
        <v>127</v>
      </c>
      <c r="I8" s="3" t="s">
        <v>20</v>
      </c>
      <c r="J8" s="3" t="s">
        <v>136</v>
      </c>
      <c r="K8" s="3" t="s">
        <v>356</v>
      </c>
      <c r="L8">
        <v>14.7</v>
      </c>
      <c r="M8" s="5">
        <v>9.98</v>
      </c>
      <c r="N8">
        <v>1.6</v>
      </c>
      <c r="O8">
        <v>1.1064316407259731</v>
      </c>
      <c r="Q8">
        <f>2.36462425159278*2</f>
        <v>4.72924850318556</v>
      </c>
      <c r="R8">
        <f>TINV(1-0.95,8-1)</f>
        <v>2.3646242515927849</v>
      </c>
      <c r="S8">
        <v>8</v>
      </c>
      <c r="T8">
        <v>8</v>
      </c>
      <c r="AA8" s="7" t="s">
        <v>220</v>
      </c>
    </row>
    <row r="9" spans="1:27" ht="43.5" x14ac:dyDescent="0.35">
      <c r="A9" s="1">
        <v>2020</v>
      </c>
      <c r="B9" s="3" t="s">
        <v>27</v>
      </c>
      <c r="C9" s="3" t="s">
        <v>12</v>
      </c>
      <c r="D9" s="3" t="s">
        <v>5</v>
      </c>
      <c r="E9" s="3" t="s">
        <v>105</v>
      </c>
      <c r="F9" s="3" t="s">
        <v>22</v>
      </c>
      <c r="G9" s="3" t="s">
        <v>205</v>
      </c>
      <c r="H9" s="3" t="s">
        <v>127</v>
      </c>
      <c r="I9" s="3" t="s">
        <v>20</v>
      </c>
      <c r="J9" s="3" t="s">
        <v>131</v>
      </c>
      <c r="K9" s="3" t="s">
        <v>26</v>
      </c>
      <c r="L9" s="5">
        <v>420</v>
      </c>
      <c r="M9" s="5">
        <v>320.39999999999998</v>
      </c>
      <c r="N9" s="5">
        <f>(P9*(SQRT(T9)))</f>
        <v>81.332650270355757</v>
      </c>
      <c r="O9" s="5">
        <f>(Q9*(SQRT(T9)))</f>
        <v>60.418540200835707</v>
      </c>
      <c r="P9" s="5">
        <v>10.5</v>
      </c>
      <c r="Q9" s="5">
        <v>7.8</v>
      </c>
      <c r="R9" s="5"/>
      <c r="S9">
        <v>60</v>
      </c>
      <c r="T9">
        <v>60</v>
      </c>
      <c r="U9" s="5">
        <v>2</v>
      </c>
      <c r="AA9" s="10" t="s">
        <v>204</v>
      </c>
    </row>
    <row r="10" spans="1:27" ht="58" x14ac:dyDescent="0.35">
      <c r="A10" s="1">
        <v>2014</v>
      </c>
      <c r="B10" s="3" t="s">
        <v>31</v>
      </c>
      <c r="C10" s="3" t="s">
        <v>29</v>
      </c>
      <c r="D10" s="3" t="s">
        <v>5</v>
      </c>
      <c r="E10" s="3" t="s">
        <v>35</v>
      </c>
      <c r="F10" s="3" t="s">
        <v>11</v>
      </c>
      <c r="G10" s="3" t="s">
        <v>278</v>
      </c>
      <c r="H10" s="3" t="s">
        <v>128</v>
      </c>
      <c r="I10" s="3" t="s">
        <v>20</v>
      </c>
      <c r="J10" s="3" t="s">
        <v>136</v>
      </c>
      <c r="K10" s="3" t="s">
        <v>28</v>
      </c>
      <c r="L10" s="5">
        <v>98.2</v>
      </c>
      <c r="M10" s="5">
        <v>35</v>
      </c>
      <c r="N10" s="5">
        <f>(P10*(SQRT(T10)))</f>
        <v>9.5317994103946617</v>
      </c>
      <c r="O10" s="5">
        <f>(Q10*(SQRT(T10)))</f>
        <v>8.3438600180012692</v>
      </c>
      <c r="P10" s="5">
        <v>3.37</v>
      </c>
      <c r="Q10" s="5">
        <f>M10-32.05</f>
        <v>2.9500000000000028</v>
      </c>
      <c r="R10" s="5"/>
      <c r="S10">
        <v>8</v>
      </c>
      <c r="T10">
        <v>8</v>
      </c>
      <c r="U10">
        <v>3</v>
      </c>
      <c r="AA10" s="8" t="s">
        <v>207</v>
      </c>
    </row>
    <row r="11" spans="1:27" ht="58" x14ac:dyDescent="0.35">
      <c r="A11" s="1">
        <v>2020</v>
      </c>
      <c r="B11" s="3" t="s">
        <v>32</v>
      </c>
      <c r="C11" s="3" t="s">
        <v>110</v>
      </c>
      <c r="D11" s="3" t="s">
        <v>5</v>
      </c>
      <c r="E11" s="3" t="s">
        <v>85</v>
      </c>
      <c r="F11" s="3" t="s">
        <v>320</v>
      </c>
      <c r="G11" s="3" t="s">
        <v>111</v>
      </c>
      <c r="H11" s="3" t="s">
        <v>127</v>
      </c>
      <c r="I11" s="3" t="s">
        <v>20</v>
      </c>
      <c r="J11" s="3" t="s">
        <v>136</v>
      </c>
      <c r="K11" s="3" t="s">
        <v>279</v>
      </c>
      <c r="L11" s="5">
        <v>1148</v>
      </c>
      <c r="M11" s="5">
        <v>1641</v>
      </c>
      <c r="N11" s="5">
        <v>313.85000000000002</v>
      </c>
      <c r="O11" s="5">
        <v>163.6</v>
      </c>
      <c r="P11" s="5"/>
      <c r="Q11" s="5"/>
      <c r="R11" s="5"/>
      <c r="S11">
        <v>8</v>
      </c>
      <c r="T11">
        <v>8</v>
      </c>
      <c r="U11">
        <v>3</v>
      </c>
      <c r="AA11" s="8" t="s">
        <v>161</v>
      </c>
    </row>
    <row r="12" spans="1:27" ht="43.5" x14ac:dyDescent="0.35">
      <c r="A12" s="1">
        <v>1980</v>
      </c>
      <c r="B12" s="3" t="s">
        <v>366</v>
      </c>
      <c r="C12" s="3" t="s">
        <v>29</v>
      </c>
      <c r="D12" s="3" t="s">
        <v>70</v>
      </c>
      <c r="E12" s="3" t="s">
        <v>5</v>
      </c>
      <c r="F12" s="3" t="s">
        <v>11</v>
      </c>
      <c r="G12" s="3" t="s">
        <v>33</v>
      </c>
      <c r="H12" s="3" t="s">
        <v>128</v>
      </c>
      <c r="I12" s="3" t="s">
        <v>20</v>
      </c>
      <c r="J12" s="3" t="s">
        <v>136</v>
      </c>
      <c r="K12" s="3" t="s">
        <v>212</v>
      </c>
      <c r="L12" s="5">
        <v>143.5</v>
      </c>
      <c r="M12" s="5">
        <v>130.6</v>
      </c>
      <c r="N12" s="5">
        <v>2.6</v>
      </c>
      <c r="O12" s="5">
        <v>9.2100000000000009</v>
      </c>
      <c r="P12" s="5"/>
      <c r="Q12" s="5"/>
      <c r="R12" s="5"/>
      <c r="S12">
        <v>5</v>
      </c>
      <c r="T12">
        <v>5</v>
      </c>
      <c r="U12">
        <v>4</v>
      </c>
      <c r="AA12" s="8" t="s">
        <v>211</v>
      </c>
    </row>
    <row r="13" spans="1:27" ht="43.5" x14ac:dyDescent="0.35">
      <c r="A13" s="1">
        <v>1980</v>
      </c>
      <c r="B13" s="3" t="s">
        <v>366</v>
      </c>
      <c r="C13" s="3" t="s">
        <v>104</v>
      </c>
      <c r="D13" s="3" t="s">
        <v>70</v>
      </c>
      <c r="E13" s="3" t="s">
        <v>5</v>
      </c>
      <c r="F13" s="3" t="s">
        <v>11</v>
      </c>
      <c r="G13" s="3" t="s">
        <v>33</v>
      </c>
      <c r="H13" s="3" t="s">
        <v>128</v>
      </c>
      <c r="I13" s="3" t="s">
        <v>20</v>
      </c>
      <c r="J13" s="3" t="s">
        <v>136</v>
      </c>
      <c r="K13" s="3" t="s">
        <v>212</v>
      </c>
      <c r="L13" s="5">
        <v>193.82</v>
      </c>
      <c r="M13" s="5">
        <v>161.25</v>
      </c>
      <c r="N13" s="5">
        <v>7.4</v>
      </c>
      <c r="O13" s="5">
        <v>20.93</v>
      </c>
      <c r="P13" s="5"/>
      <c r="Q13" s="5"/>
      <c r="R13" s="5"/>
      <c r="S13">
        <v>8</v>
      </c>
      <c r="T13">
        <v>8</v>
      </c>
      <c r="U13">
        <v>7</v>
      </c>
      <c r="AA13" s="7" t="s">
        <v>214</v>
      </c>
    </row>
    <row r="14" spans="1:27" ht="58" x14ac:dyDescent="0.35">
      <c r="A14" s="1">
        <v>2007</v>
      </c>
      <c r="B14" s="3" t="s">
        <v>48</v>
      </c>
      <c r="C14" s="3" t="s">
        <v>8</v>
      </c>
      <c r="D14" s="3" t="s">
        <v>35</v>
      </c>
      <c r="E14" s="3" t="s">
        <v>5</v>
      </c>
      <c r="F14" s="3" t="s">
        <v>11</v>
      </c>
      <c r="G14" s="3" t="s">
        <v>47</v>
      </c>
      <c r="H14" s="3" t="s">
        <v>128</v>
      </c>
      <c r="I14" s="3" t="s">
        <v>20</v>
      </c>
      <c r="J14" s="3" t="s">
        <v>136</v>
      </c>
      <c r="K14" s="3" t="s">
        <v>292</v>
      </c>
      <c r="L14" s="5">
        <v>30.67</v>
      </c>
      <c r="M14" s="5">
        <v>24.8</v>
      </c>
      <c r="N14">
        <v>0.44</v>
      </c>
      <c r="O14">
        <v>1.22</v>
      </c>
      <c r="S14">
        <v>50</v>
      </c>
      <c r="T14">
        <v>50</v>
      </c>
      <c r="U14">
        <v>2</v>
      </c>
      <c r="AA14" s="7" t="s">
        <v>215</v>
      </c>
    </row>
    <row r="15" spans="1:27" ht="87" x14ac:dyDescent="0.35">
      <c r="A15" s="1">
        <v>2014</v>
      </c>
      <c r="B15" s="3" t="s">
        <v>31</v>
      </c>
      <c r="C15" s="3" t="s">
        <v>29</v>
      </c>
      <c r="D15" s="3" t="s">
        <v>35</v>
      </c>
      <c r="E15" s="1" t="s">
        <v>35</v>
      </c>
      <c r="F15" s="3" t="s">
        <v>11</v>
      </c>
      <c r="G15" s="3" t="s">
        <v>30</v>
      </c>
      <c r="H15" s="3" t="s">
        <v>127</v>
      </c>
      <c r="I15" s="3" t="s">
        <v>20</v>
      </c>
      <c r="J15" s="3" t="s">
        <v>136</v>
      </c>
      <c r="K15" s="3" t="s">
        <v>294</v>
      </c>
      <c r="L15">
        <v>96.36</v>
      </c>
      <c r="M15">
        <v>51.9</v>
      </c>
      <c r="N15" s="5">
        <f>(P15*(SQRT(S15)))</f>
        <v>7.4104790668350189</v>
      </c>
      <c r="O15" s="5">
        <f>(Q15*(SQRT(T15)))</f>
        <v>9.8994949366116654</v>
      </c>
      <c r="P15">
        <v>2.62</v>
      </c>
      <c r="Q15">
        <v>3.5</v>
      </c>
      <c r="S15">
        <v>8</v>
      </c>
      <c r="T15">
        <v>8</v>
      </c>
      <c r="U15">
        <v>3</v>
      </c>
      <c r="AA15" s="7" t="s">
        <v>216</v>
      </c>
    </row>
    <row r="16" spans="1:27" ht="87" x14ac:dyDescent="0.35">
      <c r="A16" s="1">
        <v>2001</v>
      </c>
      <c r="B16" s="3" t="s">
        <v>39</v>
      </c>
      <c r="C16" s="3" t="s">
        <v>12</v>
      </c>
      <c r="D16" s="3" t="s">
        <v>35</v>
      </c>
      <c r="E16" s="1" t="s">
        <v>35</v>
      </c>
      <c r="F16" s="3" t="s">
        <v>22</v>
      </c>
      <c r="G16" s="3" t="s">
        <v>295</v>
      </c>
      <c r="H16" s="3" t="s">
        <v>127</v>
      </c>
      <c r="I16" s="3" t="s">
        <v>20</v>
      </c>
      <c r="J16" s="3" t="s">
        <v>199</v>
      </c>
      <c r="K16" s="3" t="s">
        <v>357</v>
      </c>
      <c r="L16">
        <v>10.35</v>
      </c>
      <c r="M16">
        <v>22.47</v>
      </c>
      <c r="N16" s="5">
        <f>(P16*(SQRT(S16)))</f>
        <v>6.1381430416698501</v>
      </c>
      <c r="O16" s="5">
        <f>(Q16*(SQRT(T16)))</f>
        <v>16.932808390813381</v>
      </c>
      <c r="P16">
        <v>2.3199999999999998</v>
      </c>
      <c r="Q16">
        <v>6.4</v>
      </c>
      <c r="S16">
        <v>7</v>
      </c>
      <c r="T16">
        <v>7</v>
      </c>
      <c r="AA16" s="7" t="s">
        <v>221</v>
      </c>
    </row>
    <row r="17" spans="1:27" ht="43.5" x14ac:dyDescent="0.35">
      <c r="A17" s="1">
        <v>1990</v>
      </c>
      <c r="B17" s="3" t="s">
        <v>69</v>
      </c>
      <c r="C17" s="3" t="s">
        <v>29</v>
      </c>
      <c r="D17" s="3" t="s">
        <v>70</v>
      </c>
      <c r="E17" s="1" t="s">
        <v>70</v>
      </c>
      <c r="F17" s="3" t="s">
        <v>320</v>
      </c>
      <c r="G17" s="3" t="s">
        <v>33</v>
      </c>
      <c r="H17" s="3" t="s">
        <v>127</v>
      </c>
      <c r="I17" s="3" t="s">
        <v>20</v>
      </c>
      <c r="J17" s="3" t="s">
        <v>136</v>
      </c>
      <c r="K17" s="3" t="s">
        <v>297</v>
      </c>
      <c r="L17">
        <v>31.9</v>
      </c>
      <c r="M17">
        <v>42.4</v>
      </c>
      <c r="N17">
        <v>8.0379457470922873</v>
      </c>
      <c r="O17">
        <v>10.624067422243717</v>
      </c>
      <c r="P17">
        <f>TINV(1-0.95,10-1)*2</f>
        <v>4.5243143255964098</v>
      </c>
      <c r="Q17">
        <f>SQRT(T17)*(38.2-26.7)/P17</f>
        <v>8.0379457470922873</v>
      </c>
      <c r="S17">
        <v>10</v>
      </c>
      <c r="T17">
        <v>10</v>
      </c>
      <c r="AA17" s="8" t="s">
        <v>223</v>
      </c>
    </row>
    <row r="18" spans="1:27" ht="75.75" customHeight="1" x14ac:dyDescent="0.35">
      <c r="A18" s="1">
        <v>2007</v>
      </c>
      <c r="B18" s="3" t="s">
        <v>51</v>
      </c>
      <c r="C18" s="3" t="s">
        <v>8</v>
      </c>
      <c r="D18" s="3" t="s">
        <v>72</v>
      </c>
      <c r="E18" s="1" t="s">
        <v>35</v>
      </c>
      <c r="F18" s="3" t="s">
        <v>11</v>
      </c>
      <c r="G18" s="3" t="s">
        <v>33</v>
      </c>
      <c r="H18" s="3" t="s">
        <v>128</v>
      </c>
      <c r="I18" s="3" t="s">
        <v>20</v>
      </c>
      <c r="J18" s="3" t="s">
        <v>136</v>
      </c>
      <c r="K18" s="3" t="s">
        <v>299</v>
      </c>
      <c r="L18">
        <v>1.1200000000000001</v>
      </c>
      <c r="M18">
        <v>0.18</v>
      </c>
      <c r="N18">
        <v>0.48076223547269065</v>
      </c>
      <c r="O18">
        <v>4.7133552497322609E-2</v>
      </c>
      <c r="P18">
        <f>TINV(1-0.95,4-1)*2</f>
        <v>6.3648926105674155</v>
      </c>
      <c r="Q18">
        <f>SQRT(T18)*(2.12-0.59)/P18</f>
        <v>0.48076223547269065</v>
      </c>
      <c r="S18">
        <v>4</v>
      </c>
      <c r="T18">
        <v>4</v>
      </c>
      <c r="U18">
        <v>2</v>
      </c>
      <c r="AA18" s="7" t="s">
        <v>233</v>
      </c>
    </row>
    <row r="19" spans="1:27" s="22" customFormat="1" ht="72.5" x14ac:dyDescent="0.35">
      <c r="A19" s="20">
        <v>2009</v>
      </c>
      <c r="B19" s="21" t="s">
        <v>53</v>
      </c>
      <c r="C19" s="21" t="s">
        <v>8</v>
      </c>
      <c r="D19" s="21" t="s">
        <v>72</v>
      </c>
      <c r="E19" s="20" t="s">
        <v>35</v>
      </c>
      <c r="F19" s="21" t="s">
        <v>11</v>
      </c>
      <c r="G19" s="21" t="s">
        <v>300</v>
      </c>
      <c r="H19" s="21" t="s">
        <v>128</v>
      </c>
      <c r="I19" s="21" t="s">
        <v>20</v>
      </c>
      <c r="J19" s="21" t="s">
        <v>136</v>
      </c>
      <c r="K19" s="21" t="s">
        <v>52</v>
      </c>
      <c r="L19" s="22">
        <f>5.2*-1</f>
        <v>-5.2</v>
      </c>
      <c r="M19" s="22">
        <f>9.2*-1</f>
        <v>-9.1999999999999993</v>
      </c>
      <c r="N19" s="22">
        <v>1.1000000000000001</v>
      </c>
      <c r="O19" s="22">
        <v>0.3</v>
      </c>
      <c r="S19" s="22">
        <v>8</v>
      </c>
      <c r="T19" s="22">
        <v>8</v>
      </c>
      <c r="AA19" s="23" t="s">
        <v>235</v>
      </c>
    </row>
    <row r="20" spans="1:27" ht="60.75" customHeight="1" x14ac:dyDescent="0.35">
      <c r="A20" s="1">
        <v>2011</v>
      </c>
      <c r="B20" s="3" t="s">
        <v>55</v>
      </c>
      <c r="C20" s="3" t="s">
        <v>29</v>
      </c>
      <c r="D20" s="3" t="s">
        <v>72</v>
      </c>
      <c r="E20" s="1" t="s">
        <v>35</v>
      </c>
      <c r="F20" s="3" t="s">
        <v>11</v>
      </c>
      <c r="G20" s="3" t="s">
        <v>33</v>
      </c>
      <c r="H20" s="3" t="s">
        <v>128</v>
      </c>
      <c r="I20" s="3" t="s">
        <v>20</v>
      </c>
      <c r="J20" s="3" t="s">
        <v>136</v>
      </c>
      <c r="K20" s="3" t="s">
        <v>54</v>
      </c>
      <c r="L20">
        <v>67.3</v>
      </c>
      <c r="M20">
        <v>2.1</v>
      </c>
      <c r="N20">
        <v>16.626378168747024</v>
      </c>
      <c r="O20">
        <v>1.1961423142983469</v>
      </c>
      <c r="Q20">
        <f>SQRT(T20)*(3.1-1.1)/R20</f>
        <v>1.1961423142983469</v>
      </c>
      <c r="R20">
        <f>TINV(1-0.95,8-1)*2</f>
        <v>4.7292485031855698</v>
      </c>
      <c r="S20">
        <v>8</v>
      </c>
      <c r="T20">
        <v>8</v>
      </c>
      <c r="U20">
        <v>3</v>
      </c>
      <c r="AA20" s="7" t="s">
        <v>236</v>
      </c>
    </row>
    <row r="21" spans="1:27" ht="58" x14ac:dyDescent="0.35">
      <c r="A21" s="1">
        <v>2001</v>
      </c>
      <c r="B21" s="3" t="s">
        <v>61</v>
      </c>
      <c r="C21" s="3" t="s">
        <v>8</v>
      </c>
      <c r="D21" s="3" t="s">
        <v>72</v>
      </c>
      <c r="E21" s="1" t="s">
        <v>35</v>
      </c>
      <c r="F21" s="3" t="s">
        <v>11</v>
      </c>
      <c r="G21" s="3" t="s">
        <v>33</v>
      </c>
      <c r="H21" s="3" t="s">
        <v>128</v>
      </c>
      <c r="I21" s="3" t="s">
        <v>20</v>
      </c>
      <c r="J21" s="3" t="s">
        <v>136</v>
      </c>
      <c r="K21" s="3" t="s">
        <v>304</v>
      </c>
      <c r="L21">
        <v>69.91</v>
      </c>
      <c r="M21">
        <v>35.99</v>
      </c>
      <c r="N21">
        <v>11.94</v>
      </c>
      <c r="O21">
        <v>3.11</v>
      </c>
      <c r="S21">
        <v>10</v>
      </c>
      <c r="T21">
        <v>10</v>
      </c>
      <c r="U21">
        <v>3</v>
      </c>
      <c r="AA21" s="7" t="s">
        <v>234</v>
      </c>
    </row>
    <row r="22" spans="1:27" s="22" customFormat="1" ht="101.5" x14ac:dyDescent="0.35">
      <c r="A22" s="20">
        <v>2007</v>
      </c>
      <c r="B22" s="21" t="s">
        <v>367</v>
      </c>
      <c r="C22" s="21" t="s">
        <v>21</v>
      </c>
      <c r="D22" s="21" t="s">
        <v>5</v>
      </c>
      <c r="E22" s="21" t="s">
        <v>35</v>
      </c>
      <c r="F22" s="21" t="s">
        <v>22</v>
      </c>
      <c r="G22" s="21" t="s">
        <v>307</v>
      </c>
      <c r="H22" s="21" t="s">
        <v>127</v>
      </c>
      <c r="I22" s="21" t="s">
        <v>20</v>
      </c>
      <c r="J22" s="21" t="s">
        <v>136</v>
      </c>
      <c r="K22" s="38" t="s">
        <v>305</v>
      </c>
      <c r="L22" s="22">
        <f>1.71*-1</f>
        <v>-1.71</v>
      </c>
      <c r="M22" s="22">
        <f>2.45*-1</f>
        <v>-2.4500000000000002</v>
      </c>
      <c r="N22" s="24">
        <f t="shared" ref="N22:O24" si="0">(P22*(SQRT(S22)))</f>
        <v>0.29393876913398131</v>
      </c>
      <c r="O22" s="24">
        <f t="shared" si="0"/>
        <v>0.44090815370097203</v>
      </c>
      <c r="P22" s="22">
        <v>0.12</v>
      </c>
      <c r="Q22" s="22">
        <v>0.18</v>
      </c>
      <c r="S22" s="22">
        <v>6</v>
      </c>
      <c r="T22" s="22">
        <v>6</v>
      </c>
      <c r="U22" s="22">
        <v>3</v>
      </c>
      <c r="AA22" s="23" t="s">
        <v>239</v>
      </c>
    </row>
    <row r="23" spans="1:27" s="22" customFormat="1" ht="101.5" x14ac:dyDescent="0.35">
      <c r="A23" s="20">
        <v>2007</v>
      </c>
      <c r="B23" s="21" t="s">
        <v>367</v>
      </c>
      <c r="C23" s="21" t="s">
        <v>21</v>
      </c>
      <c r="D23" s="21" t="s">
        <v>5</v>
      </c>
      <c r="E23" s="21" t="s">
        <v>35</v>
      </c>
      <c r="F23" s="21" t="s">
        <v>22</v>
      </c>
      <c r="G23" s="21" t="s">
        <v>307</v>
      </c>
      <c r="H23" s="21" t="s">
        <v>127</v>
      </c>
      <c r="I23" s="21" t="s">
        <v>20</v>
      </c>
      <c r="J23" s="21" t="s">
        <v>136</v>
      </c>
      <c r="K23" s="38" t="s">
        <v>306</v>
      </c>
      <c r="L23" s="22">
        <f>1.82*-1</f>
        <v>-1.82</v>
      </c>
      <c r="M23" s="22">
        <f>2.79*-1</f>
        <v>-2.79</v>
      </c>
      <c r="N23" s="24">
        <f t="shared" si="0"/>
        <v>0.36742346141747667</v>
      </c>
      <c r="O23" s="24">
        <f t="shared" si="0"/>
        <v>1.0532805893967665</v>
      </c>
      <c r="P23" s="22">
        <v>0.15</v>
      </c>
      <c r="Q23" s="22">
        <v>0.43</v>
      </c>
      <c r="S23" s="22">
        <v>6</v>
      </c>
      <c r="T23" s="22">
        <v>6</v>
      </c>
      <c r="U23" s="22">
        <v>3</v>
      </c>
      <c r="AA23" s="23" t="s">
        <v>239</v>
      </c>
    </row>
    <row r="24" spans="1:27" ht="72.5" x14ac:dyDescent="0.35">
      <c r="A24" s="1">
        <v>2006</v>
      </c>
      <c r="B24" s="3" t="s">
        <v>368</v>
      </c>
      <c r="C24" s="3" t="s">
        <v>8</v>
      </c>
      <c r="D24" s="3" t="s">
        <v>105</v>
      </c>
      <c r="E24" s="3" t="s">
        <v>71</v>
      </c>
      <c r="F24" s="3" t="s">
        <v>22</v>
      </c>
      <c r="G24" s="3" t="s">
        <v>83</v>
      </c>
      <c r="H24" s="3" t="s">
        <v>127</v>
      </c>
      <c r="I24" s="3" t="s">
        <v>20</v>
      </c>
      <c r="J24" s="3" t="s">
        <v>136</v>
      </c>
      <c r="K24" s="12" t="s">
        <v>308</v>
      </c>
      <c r="L24">
        <v>30.7</v>
      </c>
      <c r="M24">
        <v>25.6</v>
      </c>
      <c r="N24" s="5">
        <f t="shared" si="0"/>
        <v>4.0249223594996222</v>
      </c>
      <c r="O24" s="5">
        <f t="shared" si="0"/>
        <v>6.2609903369994111</v>
      </c>
      <c r="P24">
        <v>1.8</v>
      </c>
      <c r="Q24">
        <v>2.8</v>
      </c>
      <c r="S24">
        <v>5</v>
      </c>
      <c r="T24">
        <v>5</v>
      </c>
      <c r="AA24" s="8" t="s">
        <v>242</v>
      </c>
    </row>
    <row r="25" spans="1:27" s="22" customFormat="1" ht="58" x14ac:dyDescent="0.35">
      <c r="A25" s="20">
        <v>2021</v>
      </c>
      <c r="B25" s="21" t="s">
        <v>84</v>
      </c>
      <c r="C25" s="21" t="s">
        <v>110</v>
      </c>
      <c r="D25" s="21" t="s">
        <v>85</v>
      </c>
      <c r="E25" s="20" t="s">
        <v>105</v>
      </c>
      <c r="F25" s="21" t="s">
        <v>11</v>
      </c>
      <c r="G25" s="21" t="s">
        <v>86</v>
      </c>
      <c r="H25" s="21" t="s">
        <v>128</v>
      </c>
      <c r="I25" s="21" t="s">
        <v>20</v>
      </c>
      <c r="J25" s="21" t="s">
        <v>136</v>
      </c>
      <c r="K25" s="21" t="s">
        <v>328</v>
      </c>
      <c r="L25" s="22">
        <f>2.33*-1</f>
        <v>-2.33</v>
      </c>
      <c r="M25" s="22">
        <f>3.13*-1</f>
        <v>-3.13</v>
      </c>
      <c r="N25" s="24">
        <f>(P25*(SQRT(S25)))</f>
        <v>0.31843366656181316</v>
      </c>
      <c r="O25" s="24">
        <v>0.44331717018285627</v>
      </c>
      <c r="P25" s="22">
        <v>0.13</v>
      </c>
      <c r="Q25" s="22">
        <f>SQRT(T25)*(1.22-0.4)/R25</f>
        <v>0.44331717018285627</v>
      </c>
      <c r="R25" s="22">
        <f>TINV(1-0.95,7-1)*2</f>
        <v>4.8938237022899376</v>
      </c>
      <c r="S25" s="22">
        <v>6</v>
      </c>
      <c r="T25" s="22">
        <v>7</v>
      </c>
      <c r="U25" s="22">
        <v>4</v>
      </c>
      <c r="AA25" s="29" t="s">
        <v>244</v>
      </c>
    </row>
    <row r="26" spans="1:27" ht="101.5" x14ac:dyDescent="0.35">
      <c r="A26" s="1">
        <v>2021</v>
      </c>
      <c r="B26" s="3" t="s">
        <v>84</v>
      </c>
      <c r="C26" s="3" t="s">
        <v>110</v>
      </c>
      <c r="D26" s="3" t="s">
        <v>85</v>
      </c>
      <c r="E26" s="1" t="s">
        <v>5</v>
      </c>
      <c r="F26" s="3" t="s">
        <v>11</v>
      </c>
      <c r="G26" s="3" t="s">
        <v>309</v>
      </c>
      <c r="H26" s="3" t="s">
        <v>128</v>
      </c>
      <c r="I26" s="3" t="s">
        <v>20</v>
      </c>
      <c r="J26" s="3" t="s">
        <v>136</v>
      </c>
      <c r="K26" s="3" t="s">
        <v>310</v>
      </c>
      <c r="L26">
        <v>29.23</v>
      </c>
      <c r="M26">
        <v>28.23</v>
      </c>
      <c r="N26">
        <v>0.74</v>
      </c>
      <c r="O26">
        <v>0.97571377503223433</v>
      </c>
      <c r="Q26">
        <f>SQRT(T26)*(28.93-27.43)/R26</f>
        <v>0.97571377503223433</v>
      </c>
      <c r="R26">
        <f>TINV(1-0.95,9-1)*2</f>
        <v>4.6120082704083325</v>
      </c>
      <c r="S26">
        <v>9</v>
      </c>
      <c r="T26">
        <v>9</v>
      </c>
      <c r="U26">
        <v>4</v>
      </c>
      <c r="AA26" s="8" t="s">
        <v>244</v>
      </c>
    </row>
    <row r="27" spans="1:27" ht="43.5" x14ac:dyDescent="0.35">
      <c r="A27" s="1">
        <v>2022</v>
      </c>
      <c r="B27" s="3" t="s">
        <v>87</v>
      </c>
      <c r="C27" s="3" t="s">
        <v>21</v>
      </c>
      <c r="D27" s="3" t="s">
        <v>72</v>
      </c>
      <c r="E27" s="3" t="s">
        <v>5</v>
      </c>
      <c r="F27" s="3" t="s">
        <v>320</v>
      </c>
      <c r="G27" s="3" t="s">
        <v>94</v>
      </c>
      <c r="H27" s="3" t="s">
        <v>128</v>
      </c>
      <c r="I27" s="3" t="s">
        <v>20</v>
      </c>
      <c r="J27" s="3" t="s">
        <v>136</v>
      </c>
      <c r="K27" s="3" t="s">
        <v>311</v>
      </c>
      <c r="L27">
        <v>28.1</v>
      </c>
      <c r="M27">
        <v>28.7</v>
      </c>
      <c r="N27">
        <v>0.47</v>
      </c>
      <c r="O27">
        <v>0.19</v>
      </c>
      <c r="S27">
        <v>10</v>
      </c>
      <c r="T27">
        <v>9</v>
      </c>
      <c r="AA27" s="8" t="s">
        <v>243</v>
      </c>
    </row>
    <row r="28" spans="1:27" ht="43.5" x14ac:dyDescent="0.35">
      <c r="A28" s="1">
        <v>2022</v>
      </c>
      <c r="B28" s="3" t="s">
        <v>87</v>
      </c>
      <c r="C28" s="3" t="s">
        <v>21</v>
      </c>
      <c r="D28" s="3" t="s">
        <v>107</v>
      </c>
      <c r="E28" s="1" t="s">
        <v>5</v>
      </c>
      <c r="F28" s="3" t="s">
        <v>320</v>
      </c>
      <c r="G28" s="3" t="s">
        <v>94</v>
      </c>
      <c r="H28" s="3" t="s">
        <v>128</v>
      </c>
      <c r="I28" s="3" t="s">
        <v>20</v>
      </c>
      <c r="J28" s="3" t="s">
        <v>136</v>
      </c>
      <c r="K28" s="3" t="s">
        <v>312</v>
      </c>
      <c r="L28">
        <v>28.08</v>
      </c>
      <c r="M28">
        <v>28.64</v>
      </c>
      <c r="N28">
        <v>0.28000000000000003</v>
      </c>
      <c r="O28">
        <v>0.19</v>
      </c>
      <c r="S28">
        <v>9</v>
      </c>
      <c r="T28">
        <v>10</v>
      </c>
      <c r="AA28" s="8" t="s">
        <v>243</v>
      </c>
    </row>
    <row r="29" spans="1:27" ht="58" x14ac:dyDescent="0.35">
      <c r="A29" s="1">
        <v>2018</v>
      </c>
      <c r="B29" s="3" t="s">
        <v>88</v>
      </c>
      <c r="C29" s="3" t="s">
        <v>8</v>
      </c>
      <c r="D29" s="3" t="s">
        <v>72</v>
      </c>
      <c r="E29" s="3" t="s">
        <v>35</v>
      </c>
      <c r="F29" s="3" t="s">
        <v>320</v>
      </c>
      <c r="G29" s="3" t="s">
        <v>33</v>
      </c>
      <c r="H29" s="3" t="s">
        <v>128</v>
      </c>
      <c r="I29" s="3" t="s">
        <v>20</v>
      </c>
      <c r="J29" s="3" t="s">
        <v>136</v>
      </c>
      <c r="K29" s="3" t="s">
        <v>313</v>
      </c>
      <c r="L29">
        <v>53.99</v>
      </c>
      <c r="M29">
        <v>100</v>
      </c>
      <c r="N29" s="5">
        <v>18.5</v>
      </c>
      <c r="O29" s="5">
        <v>0</v>
      </c>
      <c r="P29">
        <v>11.53</v>
      </c>
      <c r="Q29">
        <v>0</v>
      </c>
      <c r="S29">
        <v>5</v>
      </c>
      <c r="T29">
        <v>5</v>
      </c>
      <c r="U29">
        <v>4</v>
      </c>
      <c r="AA29" s="8" t="s">
        <v>245</v>
      </c>
    </row>
    <row r="30" spans="1:27" s="22" customFormat="1" ht="72.5" x14ac:dyDescent="0.35">
      <c r="A30" s="20">
        <v>2011</v>
      </c>
      <c r="B30" s="21" t="s">
        <v>92</v>
      </c>
      <c r="C30" s="21" t="s">
        <v>12</v>
      </c>
      <c r="D30" s="21" t="s">
        <v>91</v>
      </c>
      <c r="E30" s="20" t="s">
        <v>183</v>
      </c>
      <c r="F30" s="21" t="s">
        <v>22</v>
      </c>
      <c r="G30" s="21" t="s">
        <v>317</v>
      </c>
      <c r="H30" s="21" t="s">
        <v>127</v>
      </c>
      <c r="I30" s="21" t="s">
        <v>20</v>
      </c>
      <c r="J30" s="21" t="s">
        <v>136</v>
      </c>
      <c r="K30" s="43" t="s">
        <v>316</v>
      </c>
      <c r="L30" s="22">
        <f>46.04*-1</f>
        <v>-46.04</v>
      </c>
      <c r="M30" s="22">
        <f>44.42*-1</f>
        <v>-44.42</v>
      </c>
      <c r="N30" s="24">
        <f t="shared" ref="N30:O33" si="1">(P30*(SQRT(S30)))</f>
        <v>7.1</v>
      </c>
      <c r="O30" s="24">
        <f t="shared" si="1"/>
        <v>5.8</v>
      </c>
      <c r="P30" s="22">
        <v>0.71</v>
      </c>
      <c r="Q30" s="22">
        <v>0.57999999999999996</v>
      </c>
      <c r="S30" s="22">
        <v>100</v>
      </c>
      <c r="T30" s="22">
        <v>100</v>
      </c>
      <c r="U30" s="22">
        <v>3</v>
      </c>
      <c r="W30" s="22">
        <v>-0.14000000000000001</v>
      </c>
      <c r="X30" s="22" t="s">
        <v>7</v>
      </c>
      <c r="Y30" s="22">
        <v>-0.44</v>
      </c>
      <c r="Z30" s="22" t="s">
        <v>22</v>
      </c>
      <c r="AA30" s="29" t="s">
        <v>168</v>
      </c>
    </row>
    <row r="31" spans="1:27" ht="72.5" x14ac:dyDescent="0.35">
      <c r="A31" s="1">
        <v>1997</v>
      </c>
      <c r="B31" s="3" t="s">
        <v>95</v>
      </c>
      <c r="C31" s="3" t="s">
        <v>8</v>
      </c>
      <c r="D31" s="3" t="s">
        <v>5</v>
      </c>
      <c r="E31" s="1" t="s">
        <v>113</v>
      </c>
      <c r="F31" s="3" t="s">
        <v>320</v>
      </c>
      <c r="G31" s="3" t="s">
        <v>97</v>
      </c>
      <c r="H31" s="3" t="s">
        <v>128</v>
      </c>
      <c r="I31" s="3" t="s">
        <v>20</v>
      </c>
      <c r="J31" s="3" t="s">
        <v>136</v>
      </c>
      <c r="K31" s="2" t="s">
        <v>96</v>
      </c>
      <c r="L31">
        <v>37.64</v>
      </c>
      <c r="M31">
        <v>47.52</v>
      </c>
      <c r="N31" s="5">
        <f t="shared" si="1"/>
        <v>7.2812086908699438</v>
      </c>
      <c r="O31" s="5">
        <f t="shared" si="1"/>
        <v>13.632901378650107</v>
      </c>
      <c r="P31">
        <v>0.94</v>
      </c>
      <c r="Q31">
        <v>1.76</v>
      </c>
      <c r="S31">
        <v>60</v>
      </c>
      <c r="T31">
        <v>60</v>
      </c>
      <c r="U31">
        <v>3</v>
      </c>
      <c r="W31">
        <v>-0.69</v>
      </c>
      <c r="X31" t="s">
        <v>7</v>
      </c>
      <c r="Y31">
        <v>-1.46</v>
      </c>
      <c r="Z31" t="s">
        <v>22</v>
      </c>
      <c r="AA31" s="8" t="s">
        <v>247</v>
      </c>
    </row>
    <row r="32" spans="1:27" s="22" customFormat="1" ht="87" x14ac:dyDescent="0.35">
      <c r="A32" s="20">
        <v>1998</v>
      </c>
      <c r="B32" s="21" t="s">
        <v>98</v>
      </c>
      <c r="C32" s="21" t="s">
        <v>8</v>
      </c>
      <c r="D32" s="21" t="s">
        <v>5</v>
      </c>
      <c r="E32" s="20" t="s">
        <v>113</v>
      </c>
      <c r="F32" s="21" t="s">
        <v>11</v>
      </c>
      <c r="G32" s="21" t="s">
        <v>97</v>
      </c>
      <c r="H32" s="21" t="s">
        <v>127</v>
      </c>
      <c r="I32" s="21" t="s">
        <v>20</v>
      </c>
      <c r="J32" s="21" t="s">
        <v>136</v>
      </c>
      <c r="K32" s="38" t="s">
        <v>321</v>
      </c>
      <c r="L32" s="22">
        <f>281.2*-1</f>
        <v>-281.2</v>
      </c>
      <c r="M32" s="22">
        <f>338.3*-1</f>
        <v>-338.3</v>
      </c>
      <c r="N32" s="24">
        <f t="shared" si="1"/>
        <v>99.728631796490632</v>
      </c>
      <c r="O32" s="24">
        <f t="shared" si="1"/>
        <v>69.318107302493488</v>
      </c>
      <c r="P32" s="22">
        <v>22.3</v>
      </c>
      <c r="Q32" s="22">
        <v>15.5</v>
      </c>
      <c r="S32" s="22">
        <v>20</v>
      </c>
      <c r="T32" s="22">
        <v>20</v>
      </c>
      <c r="U32" s="22">
        <v>3</v>
      </c>
      <c r="W32" s="22">
        <v>0.36</v>
      </c>
      <c r="X32" s="22" t="s">
        <v>11</v>
      </c>
      <c r="AA32" s="29" t="s">
        <v>248</v>
      </c>
    </row>
    <row r="33" spans="1:27" s="22" customFormat="1" ht="87" x14ac:dyDescent="0.35">
      <c r="A33" s="20">
        <v>1998</v>
      </c>
      <c r="B33" s="21" t="s">
        <v>99</v>
      </c>
      <c r="C33" s="21" t="s">
        <v>8</v>
      </c>
      <c r="D33" s="21" t="s">
        <v>91</v>
      </c>
      <c r="E33" s="20" t="s">
        <v>76</v>
      </c>
      <c r="F33" s="21" t="s">
        <v>11</v>
      </c>
      <c r="G33" s="21" t="s">
        <v>100</v>
      </c>
      <c r="H33" s="21" t="s">
        <v>128</v>
      </c>
      <c r="I33" s="21" t="s">
        <v>20</v>
      </c>
      <c r="J33" s="21" t="s">
        <v>136</v>
      </c>
      <c r="K33" s="38" t="s">
        <v>323</v>
      </c>
      <c r="L33" s="22">
        <f>3.45*-1</f>
        <v>-3.45</v>
      </c>
      <c r="M33" s="22">
        <f>8.35*-1</f>
        <v>-8.35</v>
      </c>
      <c r="N33" s="24">
        <f t="shared" si="1"/>
        <v>2.4890158697766473</v>
      </c>
      <c r="O33" s="24">
        <f t="shared" si="1"/>
        <v>2.9698484809835</v>
      </c>
      <c r="P33" s="22">
        <v>0.88</v>
      </c>
      <c r="Q33" s="22">
        <v>1.05</v>
      </c>
      <c r="S33" s="22">
        <v>8</v>
      </c>
      <c r="T33" s="22">
        <v>8</v>
      </c>
      <c r="U33" s="22">
        <v>5</v>
      </c>
      <c r="W33" s="22">
        <v>0.98</v>
      </c>
      <c r="X33" s="22" t="s">
        <v>11</v>
      </c>
      <c r="Y33" s="22">
        <v>1.69</v>
      </c>
      <c r="Z33" s="22" t="s">
        <v>22</v>
      </c>
      <c r="AA33" s="29" t="s">
        <v>163</v>
      </c>
    </row>
    <row r="34" spans="1:27" ht="116" x14ac:dyDescent="0.35">
      <c r="A34" s="1">
        <v>2003</v>
      </c>
      <c r="B34" s="3" t="s">
        <v>101</v>
      </c>
      <c r="C34" s="3" t="s">
        <v>110</v>
      </c>
      <c r="D34" s="3" t="s">
        <v>91</v>
      </c>
      <c r="E34" s="1" t="s">
        <v>70</v>
      </c>
      <c r="F34" s="3" t="s">
        <v>320</v>
      </c>
      <c r="G34" s="3" t="s">
        <v>102</v>
      </c>
      <c r="H34" s="3" t="s">
        <v>128</v>
      </c>
      <c r="I34" s="3" t="s">
        <v>20</v>
      </c>
      <c r="J34" s="3" t="s">
        <v>136</v>
      </c>
      <c r="K34" s="2" t="s">
        <v>324</v>
      </c>
      <c r="L34">
        <v>42.71</v>
      </c>
      <c r="M34">
        <v>51.48</v>
      </c>
      <c r="N34" s="5">
        <f t="shared" ref="N34:O34" si="2">(P34*(SQRT(S34)))</f>
        <v>2.7189336144893277</v>
      </c>
      <c r="O34" s="5">
        <f t="shared" si="2"/>
        <v>3.0128723836233089</v>
      </c>
      <c r="P34">
        <v>1.1100000000000001</v>
      </c>
      <c r="Q34">
        <v>1.23</v>
      </c>
      <c r="S34">
        <v>6</v>
      </c>
      <c r="T34">
        <v>6</v>
      </c>
      <c r="U34">
        <v>3</v>
      </c>
      <c r="W34">
        <v>-2.87</v>
      </c>
      <c r="X34" t="s">
        <v>7</v>
      </c>
      <c r="Y34">
        <v>-2.21</v>
      </c>
      <c r="Z34" t="s">
        <v>7</v>
      </c>
      <c r="AA34" s="8" t="s">
        <v>187</v>
      </c>
    </row>
    <row r="35" spans="1:27" s="22" customFormat="1" ht="72.5" x14ac:dyDescent="0.35">
      <c r="A35" s="20">
        <v>1997</v>
      </c>
      <c r="B35" s="21" t="s">
        <v>197</v>
      </c>
      <c r="C35" s="21" t="s">
        <v>8</v>
      </c>
      <c r="D35" s="21" t="s">
        <v>5</v>
      </c>
      <c r="E35" s="20" t="s">
        <v>76</v>
      </c>
      <c r="F35" s="21" t="s">
        <v>320</v>
      </c>
      <c r="G35" s="21" t="s">
        <v>103</v>
      </c>
      <c r="H35" s="21" t="s">
        <v>127</v>
      </c>
      <c r="I35" s="21" t="s">
        <v>20</v>
      </c>
      <c r="J35" s="21" t="s">
        <v>136</v>
      </c>
      <c r="K35" s="38" t="s">
        <v>325</v>
      </c>
      <c r="L35" s="22">
        <f>78.08*-1</f>
        <v>-78.08</v>
      </c>
      <c r="M35" s="22">
        <f>17.29*-1</f>
        <v>-17.29</v>
      </c>
      <c r="N35" s="24">
        <f t="shared" ref="N35:O35" si="3">(P35*(SQRT(S35)))</f>
        <v>16.696826045689043</v>
      </c>
      <c r="O35" s="24">
        <f t="shared" si="3"/>
        <v>3.6366193091936361</v>
      </c>
      <c r="P35" s="22">
        <v>5.28</v>
      </c>
      <c r="Q35" s="22">
        <v>1.1499999999999999</v>
      </c>
      <c r="S35" s="22">
        <v>10</v>
      </c>
      <c r="T35" s="22">
        <v>10</v>
      </c>
      <c r="U35" s="22">
        <v>3</v>
      </c>
      <c r="W35" s="22">
        <v>-0.16</v>
      </c>
      <c r="X35" s="22" t="s">
        <v>7</v>
      </c>
      <c r="AA35" s="29" t="s">
        <v>196</v>
      </c>
    </row>
    <row r="36" spans="1:27" ht="58" x14ac:dyDescent="0.35">
      <c r="A36" s="1">
        <v>1973</v>
      </c>
      <c r="B36" s="3" t="s">
        <v>326</v>
      </c>
      <c r="C36" s="3" t="s">
        <v>8</v>
      </c>
      <c r="D36" s="3" t="s">
        <v>5</v>
      </c>
      <c r="E36" s="1" t="s">
        <v>70</v>
      </c>
      <c r="F36" s="3" t="s">
        <v>11</v>
      </c>
      <c r="G36" s="3" t="s">
        <v>33</v>
      </c>
      <c r="H36" s="3" t="s">
        <v>128</v>
      </c>
      <c r="I36" s="3" t="s">
        <v>20</v>
      </c>
      <c r="J36" s="3" t="s">
        <v>199</v>
      </c>
      <c r="K36" s="2" t="s">
        <v>198</v>
      </c>
      <c r="L36">
        <v>77.5</v>
      </c>
      <c r="M36">
        <v>23.3</v>
      </c>
      <c r="N36">
        <v>9.0739989566014003</v>
      </c>
      <c r="O36">
        <v>9.8414258889876844</v>
      </c>
      <c r="Q36">
        <f>SQRT(T36)*(29.4-18.5)/R36</f>
        <v>9.8414258889876844</v>
      </c>
      <c r="R36">
        <f>TINV(1-0.95,15-1)*2</f>
        <v>4.2895733758356069</v>
      </c>
      <c r="S36">
        <v>10</v>
      </c>
      <c r="T36">
        <v>15</v>
      </c>
      <c r="AA36" s="8" t="s">
        <v>200</v>
      </c>
    </row>
    <row r="37" spans="1:27" s="22" customFormat="1" ht="130.5" x14ac:dyDescent="0.35">
      <c r="A37" s="20">
        <v>1997</v>
      </c>
      <c r="B37" s="21" t="s">
        <v>114</v>
      </c>
      <c r="C37" s="21" t="s">
        <v>8</v>
      </c>
      <c r="D37" s="21" t="s">
        <v>5</v>
      </c>
      <c r="E37" s="20" t="s">
        <v>76</v>
      </c>
      <c r="F37" s="21" t="s">
        <v>320</v>
      </c>
      <c r="G37" s="21" t="s">
        <v>329</v>
      </c>
      <c r="H37" s="21" t="s">
        <v>127</v>
      </c>
      <c r="I37" s="21" t="s">
        <v>20</v>
      </c>
      <c r="J37" s="21" t="s">
        <v>175</v>
      </c>
      <c r="K37" s="38" t="s">
        <v>330</v>
      </c>
      <c r="L37" s="22">
        <f>177.85*-1</f>
        <v>-177.85</v>
      </c>
      <c r="M37" s="22">
        <f>137.78*-1</f>
        <v>-137.78</v>
      </c>
      <c r="N37" s="24">
        <f t="shared" ref="N37" si="4">(P37*(SQRT(S37)))</f>
        <v>50.222086774645284</v>
      </c>
      <c r="O37" s="24">
        <f>(Q37*(SQRT(T37)))</f>
        <v>45.884114898295685</v>
      </c>
      <c r="P37" s="22">
        <v>11.23</v>
      </c>
      <c r="Q37" s="22">
        <v>10.26</v>
      </c>
      <c r="S37" s="22">
        <v>20</v>
      </c>
      <c r="T37" s="22">
        <v>20</v>
      </c>
      <c r="U37" s="22">
        <v>3</v>
      </c>
      <c r="W37" s="22">
        <v>-0.74</v>
      </c>
      <c r="X37" s="22" t="s">
        <v>7</v>
      </c>
      <c r="Y37" s="22">
        <v>-0.74</v>
      </c>
      <c r="Z37" s="22" t="s">
        <v>22</v>
      </c>
      <c r="AA37" s="29" t="s">
        <v>115</v>
      </c>
    </row>
    <row r="38" spans="1:27" ht="72.5" x14ac:dyDescent="0.35">
      <c r="A38" s="1">
        <v>2002</v>
      </c>
      <c r="B38" s="3" t="s">
        <v>142</v>
      </c>
      <c r="C38" s="3" t="s">
        <v>8</v>
      </c>
      <c r="D38" s="3" t="s">
        <v>71</v>
      </c>
      <c r="E38" s="1" t="s">
        <v>113</v>
      </c>
      <c r="F38" s="3" t="s">
        <v>320</v>
      </c>
      <c r="G38" s="3" t="s">
        <v>33</v>
      </c>
      <c r="H38" s="3" t="s">
        <v>128</v>
      </c>
      <c r="I38" s="3" t="s">
        <v>17</v>
      </c>
      <c r="J38" s="3" t="s">
        <v>121</v>
      </c>
      <c r="K38" s="2" t="s">
        <v>331</v>
      </c>
      <c r="L38">
        <v>17.25</v>
      </c>
      <c r="M38">
        <v>38.020000000000003</v>
      </c>
      <c r="N38">
        <v>1.5321240372342109</v>
      </c>
      <c r="O38">
        <v>6.7651152100340699</v>
      </c>
      <c r="Q38">
        <f>SQRT(T38)*(46.41-29.61)/R38</f>
        <v>6.7651152100340699</v>
      </c>
      <c r="R38">
        <f>TINV(1-0.95,5-1)*2</f>
        <v>5.5528902103955859</v>
      </c>
      <c r="S38">
        <v>10</v>
      </c>
      <c r="T38">
        <v>5</v>
      </c>
      <c r="U38">
        <v>3</v>
      </c>
      <c r="AA38" s="8" t="s">
        <v>160</v>
      </c>
    </row>
    <row r="39" spans="1:27" ht="130.5" x14ac:dyDescent="0.35">
      <c r="A39" s="1">
        <v>2005</v>
      </c>
      <c r="B39" s="3" t="s">
        <v>176</v>
      </c>
      <c r="C39" s="3" t="s">
        <v>14</v>
      </c>
      <c r="D39" s="3" t="s">
        <v>35</v>
      </c>
      <c r="E39" s="1" t="s">
        <v>179</v>
      </c>
      <c r="F39" s="3" t="s">
        <v>22</v>
      </c>
      <c r="G39" s="3" t="s">
        <v>151</v>
      </c>
      <c r="H39" s="3" t="s">
        <v>127</v>
      </c>
      <c r="I39" s="3" t="s">
        <v>20</v>
      </c>
      <c r="J39" s="3" t="s">
        <v>136</v>
      </c>
      <c r="K39" s="2" t="s">
        <v>371</v>
      </c>
      <c r="L39">
        <v>66.400000000000006</v>
      </c>
      <c r="M39">
        <v>25.2</v>
      </c>
      <c r="N39">
        <v>42.9</v>
      </c>
      <c r="O39">
        <v>29.8</v>
      </c>
      <c r="S39">
        <v>16</v>
      </c>
      <c r="T39">
        <v>12</v>
      </c>
      <c r="U39">
        <v>2</v>
      </c>
      <c r="AA39" s="8" t="s">
        <v>150</v>
      </c>
    </row>
    <row r="40" spans="1:27" ht="58" x14ac:dyDescent="0.35">
      <c r="A40" s="1">
        <v>2008</v>
      </c>
      <c r="B40" s="3" t="s">
        <v>170</v>
      </c>
      <c r="C40" s="3" t="s">
        <v>8</v>
      </c>
      <c r="D40" s="3" t="s">
        <v>254</v>
      </c>
      <c r="E40" s="1" t="s">
        <v>334</v>
      </c>
      <c r="F40" s="3" t="s">
        <v>11</v>
      </c>
      <c r="G40" s="3" t="s">
        <v>333</v>
      </c>
      <c r="H40" s="3" t="s">
        <v>127</v>
      </c>
      <c r="I40" s="3" t="s">
        <v>20</v>
      </c>
      <c r="J40" s="3" t="s">
        <v>136</v>
      </c>
      <c r="K40" s="2" t="s">
        <v>335</v>
      </c>
      <c r="L40">
        <v>465.01</v>
      </c>
      <c r="M40">
        <v>249.85</v>
      </c>
      <c r="N40" s="5">
        <f>(P40*(SQRT(S40)))</f>
        <v>85.825310951956368</v>
      </c>
      <c r="O40" s="5">
        <f>(Q40*(SQRT(T40)))</f>
        <v>45.158985816778483</v>
      </c>
      <c r="P40">
        <v>11.08</v>
      </c>
      <c r="Q40">
        <v>5.83</v>
      </c>
      <c r="S40">
        <v>60</v>
      </c>
      <c r="T40">
        <v>60</v>
      </c>
      <c r="U40">
        <v>2</v>
      </c>
      <c r="Y40">
        <v>2.08</v>
      </c>
      <c r="Z40" t="s">
        <v>7</v>
      </c>
      <c r="AA40" s="8" t="s">
        <v>162</v>
      </c>
    </row>
    <row r="41" spans="1:27" s="22" customFormat="1" ht="145" x14ac:dyDescent="0.35">
      <c r="A41" s="20">
        <v>2002</v>
      </c>
      <c r="B41" s="21" t="s">
        <v>171</v>
      </c>
      <c r="C41" s="21" t="s">
        <v>8</v>
      </c>
      <c r="D41" s="21" t="s">
        <v>5</v>
      </c>
      <c r="E41" s="20" t="s">
        <v>172</v>
      </c>
      <c r="F41" s="21" t="s">
        <v>22</v>
      </c>
      <c r="G41" s="21" t="s">
        <v>173</v>
      </c>
      <c r="H41" s="21" t="s">
        <v>127</v>
      </c>
      <c r="I41" s="21" t="s">
        <v>20</v>
      </c>
      <c r="J41" s="21" t="s">
        <v>136</v>
      </c>
      <c r="K41" s="38" t="s">
        <v>336</v>
      </c>
      <c r="L41" s="22">
        <f>12.08*-1</f>
        <v>-12.08</v>
      </c>
      <c r="M41" s="22">
        <f>11.3*-1</f>
        <v>-11.3</v>
      </c>
      <c r="N41" s="24">
        <f>(P41*(SQRT(S41)))</f>
        <v>6.8447936418857802</v>
      </c>
      <c r="O41" s="24">
        <f>(Q41*(SQRT(T41)))</f>
        <v>5.0628845532956808</v>
      </c>
      <c r="P41" s="22">
        <v>2.42</v>
      </c>
      <c r="Q41" s="22">
        <v>1.79</v>
      </c>
      <c r="S41" s="22">
        <v>8</v>
      </c>
      <c r="T41" s="22">
        <v>8</v>
      </c>
      <c r="U41" s="22">
        <v>3</v>
      </c>
      <c r="W41" s="22">
        <v>-0.78</v>
      </c>
      <c r="X41" s="22" t="s">
        <v>7</v>
      </c>
      <c r="Y41" s="22">
        <v>-0.9</v>
      </c>
      <c r="Z41" s="22" t="s">
        <v>22</v>
      </c>
      <c r="AA41" s="29" t="s">
        <v>174</v>
      </c>
    </row>
    <row r="42" spans="1:27" ht="145" x14ac:dyDescent="0.35">
      <c r="A42" s="1">
        <v>2011</v>
      </c>
      <c r="B42" s="3" t="s">
        <v>186</v>
      </c>
      <c r="C42" s="3" t="s">
        <v>182</v>
      </c>
      <c r="D42" s="3" t="s">
        <v>5</v>
      </c>
      <c r="E42" s="1" t="s">
        <v>183</v>
      </c>
      <c r="F42" s="3" t="s">
        <v>22</v>
      </c>
      <c r="G42" s="3" t="s">
        <v>184</v>
      </c>
      <c r="H42" s="3" t="s">
        <v>127</v>
      </c>
      <c r="I42" s="3" t="s">
        <v>20</v>
      </c>
      <c r="J42" s="3" t="s">
        <v>175</v>
      </c>
      <c r="K42" s="2" t="s">
        <v>337</v>
      </c>
      <c r="L42">
        <v>42.7</v>
      </c>
      <c r="M42">
        <v>8.1</v>
      </c>
      <c r="N42">
        <v>26</v>
      </c>
      <c r="O42">
        <v>5.2</v>
      </c>
      <c r="S42">
        <v>10</v>
      </c>
      <c r="T42">
        <v>5</v>
      </c>
      <c r="U42">
        <v>3</v>
      </c>
      <c r="W42">
        <v>-0.5</v>
      </c>
      <c r="X42" t="s">
        <v>7</v>
      </c>
      <c r="Y42">
        <v>0.49</v>
      </c>
      <c r="Z42" t="s">
        <v>22</v>
      </c>
      <c r="AA42" s="8" t="s">
        <v>185</v>
      </c>
    </row>
    <row r="43" spans="1:27" ht="87" x14ac:dyDescent="0.35">
      <c r="A43" s="1">
        <v>2009</v>
      </c>
      <c r="B43" s="3" t="s">
        <v>188</v>
      </c>
      <c r="C43" s="3" t="s">
        <v>8</v>
      </c>
      <c r="D43" s="3" t="s">
        <v>91</v>
      </c>
      <c r="E43" s="1" t="s">
        <v>179</v>
      </c>
      <c r="F43" s="3" t="s">
        <v>11</v>
      </c>
      <c r="G43" s="3" t="s">
        <v>157</v>
      </c>
      <c r="H43" s="3" t="s">
        <v>128</v>
      </c>
      <c r="I43" s="3" t="s">
        <v>20</v>
      </c>
      <c r="J43" s="3" t="s">
        <v>136</v>
      </c>
      <c r="K43" s="2" t="s">
        <v>194</v>
      </c>
      <c r="L43">
        <v>19.04</v>
      </c>
      <c r="M43">
        <v>6.79</v>
      </c>
      <c r="N43">
        <v>12.53</v>
      </c>
      <c r="O43">
        <v>6.29</v>
      </c>
      <c r="S43">
        <v>10</v>
      </c>
      <c r="T43">
        <v>10</v>
      </c>
      <c r="AA43" s="8" t="s">
        <v>189</v>
      </c>
    </row>
    <row r="44" spans="1:27" ht="101.5" x14ac:dyDescent="0.35">
      <c r="A44" s="1">
        <v>2007</v>
      </c>
      <c r="B44" s="1" t="s">
        <v>177</v>
      </c>
      <c r="C44" s="3" t="s">
        <v>178</v>
      </c>
      <c r="D44" s="3" t="s">
        <v>91</v>
      </c>
      <c r="E44" s="1" t="s">
        <v>179</v>
      </c>
      <c r="F44" s="3" t="s">
        <v>180</v>
      </c>
      <c r="G44" s="3" t="s">
        <v>33</v>
      </c>
      <c r="H44" s="3" t="s">
        <v>127</v>
      </c>
      <c r="I44" s="3" t="s">
        <v>20</v>
      </c>
      <c r="J44" s="3" t="s">
        <v>136</v>
      </c>
      <c r="K44" s="2" t="s">
        <v>338</v>
      </c>
      <c r="L44">
        <v>11.6</v>
      </c>
      <c r="M44">
        <v>7.8</v>
      </c>
      <c r="N44">
        <v>9.0863734532347564</v>
      </c>
      <c r="O44">
        <v>5.3819288915313566</v>
      </c>
      <c r="Q44">
        <f>SQRT(T44)*(13.7-6)/R44</f>
        <v>5.3819288915313566</v>
      </c>
      <c r="R44">
        <f>TINV(1-0.95,10-1)*2</f>
        <v>4.5243143255964098</v>
      </c>
      <c r="S44">
        <v>10</v>
      </c>
      <c r="T44">
        <v>10</v>
      </c>
      <c r="U44">
        <v>2</v>
      </c>
      <c r="Y44">
        <v>-0.2</v>
      </c>
      <c r="Z44" t="s">
        <v>22</v>
      </c>
      <c r="AA44" s="8" t="s">
        <v>181</v>
      </c>
    </row>
    <row r="45" spans="1:27" s="22" customFormat="1" ht="87" x14ac:dyDescent="0.35">
      <c r="A45" s="20">
        <v>2005</v>
      </c>
      <c r="B45" s="21" t="s">
        <v>332</v>
      </c>
      <c r="C45" s="21" t="s">
        <v>21</v>
      </c>
      <c r="D45" s="21" t="s">
        <v>35</v>
      </c>
      <c r="E45" s="20" t="s">
        <v>179</v>
      </c>
      <c r="F45" s="21" t="s">
        <v>11</v>
      </c>
      <c r="G45" s="21" t="s">
        <v>33</v>
      </c>
      <c r="H45" s="21" t="s">
        <v>128</v>
      </c>
      <c r="I45" s="21" t="s">
        <v>20</v>
      </c>
      <c r="J45" s="21" t="s">
        <v>136</v>
      </c>
      <c r="K45" s="38" t="s">
        <v>241</v>
      </c>
      <c r="L45" s="22">
        <v>0</v>
      </c>
      <c r="M45" s="22">
        <f>21.46*-1</f>
        <v>-21.46</v>
      </c>
      <c r="N45" s="22">
        <v>0</v>
      </c>
      <c r="O45" s="22">
        <v>7</v>
      </c>
      <c r="S45" s="22">
        <v>30</v>
      </c>
      <c r="T45" s="22">
        <v>30</v>
      </c>
      <c r="U45" s="22">
        <v>2</v>
      </c>
      <c r="AA45" s="29" t="s">
        <v>240</v>
      </c>
    </row>
    <row r="46" spans="1:27" ht="130.5" x14ac:dyDescent="0.35">
      <c r="A46" s="1">
        <v>2011</v>
      </c>
      <c r="B46" s="3" t="s">
        <v>253</v>
      </c>
      <c r="C46" s="3" t="s">
        <v>8</v>
      </c>
      <c r="D46" s="3" t="s">
        <v>254</v>
      </c>
      <c r="E46" s="1" t="s">
        <v>106</v>
      </c>
      <c r="F46" s="3" t="s">
        <v>22</v>
      </c>
      <c r="G46" s="3" t="s">
        <v>255</v>
      </c>
      <c r="H46" s="3" t="s">
        <v>127</v>
      </c>
      <c r="I46" s="3" t="s">
        <v>20</v>
      </c>
      <c r="J46" s="3" t="s">
        <v>136</v>
      </c>
      <c r="K46" s="2" t="s">
        <v>341</v>
      </c>
      <c r="L46">
        <v>0.95</v>
      </c>
      <c r="M46">
        <v>0.81</v>
      </c>
      <c r="N46" s="5">
        <f t="shared" ref="N46:O46" si="5">(P46*(SQRT(S46)))</f>
        <v>0.22627416997969524</v>
      </c>
      <c r="O46" s="5">
        <f t="shared" si="5"/>
        <v>0.14142135623730953</v>
      </c>
      <c r="P46">
        <v>0.08</v>
      </c>
      <c r="Q46">
        <v>0.05</v>
      </c>
      <c r="S46">
        <v>8</v>
      </c>
      <c r="T46">
        <v>8</v>
      </c>
      <c r="U46">
        <v>3</v>
      </c>
      <c r="Y46">
        <v>0.48</v>
      </c>
      <c r="Z46" t="s">
        <v>22</v>
      </c>
      <c r="AA46" s="8" t="s">
        <v>259</v>
      </c>
    </row>
    <row r="47" spans="1:27" ht="58" x14ac:dyDescent="0.35">
      <c r="A47" s="1">
        <v>2005</v>
      </c>
      <c r="B47" s="3" t="s">
        <v>256</v>
      </c>
      <c r="C47" s="3" t="s">
        <v>8</v>
      </c>
      <c r="D47" s="3" t="s">
        <v>5</v>
      </c>
      <c r="E47" s="1" t="s">
        <v>254</v>
      </c>
      <c r="F47" s="3" t="s">
        <v>320</v>
      </c>
      <c r="G47" s="3" t="s">
        <v>157</v>
      </c>
      <c r="H47" s="3" t="s">
        <v>127</v>
      </c>
      <c r="I47" s="3" t="s">
        <v>20</v>
      </c>
      <c r="J47" s="3" t="s">
        <v>136</v>
      </c>
      <c r="K47" s="2" t="s">
        <v>342</v>
      </c>
      <c r="L47">
        <v>14.61</v>
      </c>
      <c r="M47">
        <v>24.12</v>
      </c>
      <c r="N47" s="5">
        <f t="shared" ref="N47:O50" si="6">(P47*(SQRT(S47)))</f>
        <v>19.118381207623205</v>
      </c>
      <c r="O47" s="5">
        <f t="shared" si="6"/>
        <v>13.684736022298713</v>
      </c>
      <c r="P47">
        <v>8.5500000000000007</v>
      </c>
      <c r="Q47">
        <v>6.12</v>
      </c>
      <c r="S47">
        <v>5</v>
      </c>
      <c r="T47">
        <v>5</v>
      </c>
      <c r="U47">
        <v>3</v>
      </c>
      <c r="Y47">
        <v>-0.41</v>
      </c>
      <c r="Z47" t="s">
        <v>22</v>
      </c>
      <c r="AA47" s="8" t="s">
        <v>260</v>
      </c>
    </row>
    <row r="48" spans="1:27" s="22" customFormat="1" ht="72.5" x14ac:dyDescent="0.35">
      <c r="A48" s="20">
        <v>1998</v>
      </c>
      <c r="B48" s="21" t="s">
        <v>257</v>
      </c>
      <c r="C48" s="21" t="s">
        <v>8</v>
      </c>
      <c r="D48" s="21" t="s">
        <v>5</v>
      </c>
      <c r="E48" s="20" t="s">
        <v>76</v>
      </c>
      <c r="F48" s="21" t="s">
        <v>11</v>
      </c>
      <c r="G48" s="21" t="s">
        <v>344</v>
      </c>
      <c r="H48" s="21" t="s">
        <v>127</v>
      </c>
      <c r="I48" s="21" t="s">
        <v>20</v>
      </c>
      <c r="J48" s="21" t="s">
        <v>136</v>
      </c>
      <c r="K48" s="38" t="s">
        <v>343</v>
      </c>
      <c r="L48" s="22">
        <f>30.7*-1</f>
        <v>-30.7</v>
      </c>
      <c r="M48" s="22">
        <f>40.7*-1</f>
        <v>-40.700000000000003</v>
      </c>
      <c r="N48" s="24">
        <f t="shared" si="6"/>
        <v>6.7082039324993694</v>
      </c>
      <c r="O48" s="24">
        <f t="shared" si="6"/>
        <v>8.4970583144992009</v>
      </c>
      <c r="P48" s="22">
        <v>1.5</v>
      </c>
      <c r="Q48" s="22">
        <v>1.9</v>
      </c>
      <c r="S48" s="22">
        <v>20</v>
      </c>
      <c r="T48" s="22">
        <v>20</v>
      </c>
      <c r="U48" s="22">
        <v>5</v>
      </c>
      <c r="W48" s="22">
        <v>0.95</v>
      </c>
      <c r="X48" s="22" t="s">
        <v>11</v>
      </c>
      <c r="AA48" s="29" t="s">
        <v>258</v>
      </c>
    </row>
    <row r="49" spans="1:27" ht="116" x14ac:dyDescent="0.35">
      <c r="A49" s="1">
        <v>1994</v>
      </c>
      <c r="B49" s="3" t="s">
        <v>261</v>
      </c>
      <c r="C49" s="3" t="s">
        <v>8</v>
      </c>
      <c r="D49" s="3" t="s">
        <v>76</v>
      </c>
      <c r="E49" s="1" t="s">
        <v>70</v>
      </c>
      <c r="F49" s="3" t="s">
        <v>22</v>
      </c>
      <c r="G49" s="3" t="s">
        <v>263</v>
      </c>
      <c r="H49" s="3" t="s">
        <v>127</v>
      </c>
      <c r="I49" s="3" t="s">
        <v>20</v>
      </c>
      <c r="J49" s="3" t="s">
        <v>136</v>
      </c>
      <c r="K49" s="2" t="s">
        <v>345</v>
      </c>
      <c r="L49">
        <v>19.05</v>
      </c>
      <c r="M49">
        <v>12.05</v>
      </c>
      <c r="N49" s="5">
        <f t="shared" si="6"/>
        <v>7.4670476093299429</v>
      </c>
      <c r="O49" s="5">
        <f t="shared" si="6"/>
        <v>6.0811183182043091</v>
      </c>
      <c r="P49">
        <v>2.64</v>
      </c>
      <c r="Q49">
        <v>2.15</v>
      </c>
      <c r="S49">
        <v>8</v>
      </c>
      <c r="T49">
        <v>8</v>
      </c>
      <c r="AA49" s="8" t="s">
        <v>262</v>
      </c>
    </row>
    <row r="50" spans="1:27" ht="43.5" x14ac:dyDescent="0.35">
      <c r="A50" s="1">
        <v>1992</v>
      </c>
      <c r="B50" s="3" t="s">
        <v>346</v>
      </c>
      <c r="C50" s="3" t="s">
        <v>8</v>
      </c>
      <c r="D50" s="3" t="s">
        <v>76</v>
      </c>
      <c r="E50" s="1" t="s">
        <v>70</v>
      </c>
      <c r="F50" s="3" t="s">
        <v>11</v>
      </c>
      <c r="G50" s="3" t="s">
        <v>347</v>
      </c>
      <c r="H50" s="3" t="s">
        <v>127</v>
      </c>
      <c r="I50" s="3" t="s">
        <v>20</v>
      </c>
      <c r="J50" s="3" t="s">
        <v>136</v>
      </c>
      <c r="K50" s="3" t="s">
        <v>373</v>
      </c>
      <c r="L50">
        <v>29.44</v>
      </c>
      <c r="M50">
        <v>15.16</v>
      </c>
      <c r="N50" s="5">
        <f t="shared" si="6"/>
        <v>15.641201999846434</v>
      </c>
      <c r="O50" s="5">
        <f t="shared" si="6"/>
        <v>3.5355339059327378</v>
      </c>
      <c r="P50">
        <v>5.53</v>
      </c>
      <c r="Q50">
        <v>1.25</v>
      </c>
      <c r="S50">
        <v>8</v>
      </c>
      <c r="T50">
        <v>8</v>
      </c>
      <c r="AA50" s="8" t="s">
        <v>348</v>
      </c>
    </row>
    <row r="51" spans="1:27" ht="130.5" x14ac:dyDescent="0.35">
      <c r="A51" s="1">
        <v>2018</v>
      </c>
      <c r="B51" s="3" t="s">
        <v>124</v>
      </c>
      <c r="C51" s="3" t="s">
        <v>8</v>
      </c>
      <c r="D51" s="3" t="s">
        <v>71</v>
      </c>
      <c r="E51" s="1" t="s">
        <v>134</v>
      </c>
      <c r="F51" s="3" t="s">
        <v>11</v>
      </c>
      <c r="G51" s="3" t="s">
        <v>123</v>
      </c>
      <c r="H51" s="3" t="s">
        <v>127</v>
      </c>
      <c r="I51" s="3" t="s">
        <v>20</v>
      </c>
      <c r="J51" s="3" t="s">
        <v>125</v>
      </c>
      <c r="K51" s="2" t="s">
        <v>372</v>
      </c>
      <c r="L51">
        <v>471.35659760087231</v>
      </c>
      <c r="M51">
        <v>201.72464558342421</v>
      </c>
      <c r="N51">
        <v>106.99870850466866</v>
      </c>
      <c r="O51">
        <v>31.113054492942087</v>
      </c>
      <c r="S51">
        <v>7</v>
      </c>
      <c r="T51">
        <v>7</v>
      </c>
      <c r="AA51" s="8" t="s">
        <v>126</v>
      </c>
    </row>
    <row r="52" spans="1:27" s="22" customFormat="1" ht="159.5" x14ac:dyDescent="0.35">
      <c r="A52" s="20">
        <v>1992</v>
      </c>
      <c r="B52" s="21" t="s">
        <v>264</v>
      </c>
      <c r="C52" s="21" t="s">
        <v>182</v>
      </c>
      <c r="D52" s="21" t="s">
        <v>76</v>
      </c>
      <c r="E52" s="20" t="s">
        <v>5</v>
      </c>
      <c r="F52" s="21" t="s">
        <v>22</v>
      </c>
      <c r="G52" s="21" t="s">
        <v>263</v>
      </c>
      <c r="H52" s="21" t="s">
        <v>127</v>
      </c>
      <c r="I52" s="21" t="s">
        <v>20</v>
      </c>
      <c r="J52" s="21" t="s">
        <v>175</v>
      </c>
      <c r="K52" s="38" t="s">
        <v>349</v>
      </c>
      <c r="L52" s="22">
        <f>5.96*-1</f>
        <v>-5.96</v>
      </c>
      <c r="M52" s="22">
        <f>9.05*-1</f>
        <v>-9.0500000000000007</v>
      </c>
      <c r="N52" s="24">
        <f t="shared" ref="N52:O54" si="7">(P52*(SQRT(S52)))</f>
        <v>1.2347469376354008</v>
      </c>
      <c r="O52" s="24">
        <f t="shared" si="7"/>
        <v>1.1973303637676613</v>
      </c>
      <c r="P52" s="22">
        <v>0.33</v>
      </c>
      <c r="Q52" s="22">
        <v>0.32</v>
      </c>
      <c r="S52" s="22">
        <v>14</v>
      </c>
      <c r="T52" s="22">
        <v>14</v>
      </c>
      <c r="AA52" s="29" t="s">
        <v>265</v>
      </c>
    </row>
    <row r="53" spans="1:27" ht="130.5" x14ac:dyDescent="0.35">
      <c r="A53" s="1">
        <v>2008</v>
      </c>
      <c r="B53" s="3" t="s">
        <v>350</v>
      </c>
      <c r="C53" s="3" t="s">
        <v>12</v>
      </c>
      <c r="D53" s="3" t="s">
        <v>145</v>
      </c>
      <c r="E53" s="1" t="s">
        <v>70</v>
      </c>
      <c r="F53" s="3" t="s">
        <v>22</v>
      </c>
      <c r="G53" s="3" t="s">
        <v>287</v>
      </c>
      <c r="H53" s="3" t="s">
        <v>127</v>
      </c>
      <c r="I53" s="3" t="s">
        <v>20</v>
      </c>
      <c r="J53" s="3" t="s">
        <v>136</v>
      </c>
      <c r="K53" s="2" t="s">
        <v>374</v>
      </c>
      <c r="L53">
        <v>76.89</v>
      </c>
      <c r="M53">
        <v>61</v>
      </c>
      <c r="N53" s="5">
        <f t="shared" si="7"/>
        <v>18.291036055948279</v>
      </c>
      <c r="O53" s="5">
        <f t="shared" si="7"/>
        <v>27.168225926622448</v>
      </c>
      <c r="P53">
        <v>8.18</v>
      </c>
      <c r="Q53">
        <v>12.15</v>
      </c>
      <c r="S53">
        <v>5</v>
      </c>
      <c r="T53">
        <v>5</v>
      </c>
      <c r="AA53" s="8" t="s">
        <v>289</v>
      </c>
    </row>
    <row r="54" spans="1:27" ht="195.75" customHeight="1" x14ac:dyDescent="0.35">
      <c r="A54" s="1">
        <v>1998</v>
      </c>
      <c r="B54" s="3" t="s">
        <v>99</v>
      </c>
      <c r="C54" s="3" t="s">
        <v>8</v>
      </c>
      <c r="D54" s="3" t="s">
        <v>91</v>
      </c>
      <c r="E54" s="1" t="s">
        <v>113</v>
      </c>
      <c r="F54" s="3" t="s">
        <v>320</v>
      </c>
      <c r="G54" s="3" t="s">
        <v>100</v>
      </c>
      <c r="H54" s="3" t="s">
        <v>127</v>
      </c>
      <c r="I54" s="3" t="s">
        <v>20</v>
      </c>
      <c r="J54" s="3" t="s">
        <v>136</v>
      </c>
      <c r="K54" s="7" t="s">
        <v>351</v>
      </c>
      <c r="L54">
        <v>44.5</v>
      </c>
      <c r="M54">
        <v>49.7</v>
      </c>
      <c r="N54" s="5">
        <f t="shared" si="7"/>
        <v>3.1112698372208096</v>
      </c>
      <c r="O54" s="5">
        <f t="shared" si="7"/>
        <v>4.8083261120685235</v>
      </c>
      <c r="P54">
        <v>1.1000000000000001</v>
      </c>
      <c r="Q54">
        <v>1.7</v>
      </c>
      <c r="S54">
        <v>8</v>
      </c>
      <c r="T54">
        <v>8</v>
      </c>
      <c r="U54">
        <v>4</v>
      </c>
      <c r="W54">
        <v>-0.42</v>
      </c>
      <c r="X54" t="s">
        <v>7</v>
      </c>
      <c r="Y54">
        <v>-0.36</v>
      </c>
      <c r="Z54" t="s">
        <v>22</v>
      </c>
      <c r="AA54" s="8" t="s">
        <v>163</v>
      </c>
    </row>
    <row r="55" spans="1:27" s="22" customFormat="1" ht="184.5" customHeight="1" x14ac:dyDescent="0.35">
      <c r="A55" s="20">
        <v>2010</v>
      </c>
      <c r="B55" s="21" t="s">
        <v>286</v>
      </c>
      <c r="C55" s="21" t="s">
        <v>12</v>
      </c>
      <c r="D55" s="21" t="s">
        <v>145</v>
      </c>
      <c r="E55" s="20" t="s">
        <v>70</v>
      </c>
      <c r="F55" s="21" t="s">
        <v>320</v>
      </c>
      <c r="G55" s="21" t="s">
        <v>288</v>
      </c>
      <c r="H55" s="21" t="s">
        <v>127</v>
      </c>
      <c r="I55" s="21" t="s">
        <v>20</v>
      </c>
      <c r="J55" s="21" t="s">
        <v>136</v>
      </c>
      <c r="K55" s="38" t="s">
        <v>352</v>
      </c>
      <c r="L55" s="22">
        <f>0.635*-1</f>
        <v>-0.63500000000000001</v>
      </c>
      <c r="M55" s="22">
        <f>0.305*-1</f>
        <v>-0.30499999999999999</v>
      </c>
      <c r="N55" s="22">
        <v>0.16675629580995099</v>
      </c>
      <c r="O55" s="22">
        <v>0.19057862378280113</v>
      </c>
      <c r="Q55" s="22">
        <f>SQRT(T55)*(0.5-0.1)/R55</f>
        <v>0.19057862378280113</v>
      </c>
      <c r="R55" s="22">
        <f>TINV(1-0.95,6-1)*2</f>
        <v>5.1411636712726301</v>
      </c>
      <c r="S55" s="22">
        <v>6</v>
      </c>
      <c r="T55" s="22">
        <v>6</v>
      </c>
      <c r="U55" s="22">
        <v>3</v>
      </c>
      <c r="AA55" s="29" t="s">
        <v>290</v>
      </c>
    </row>
    <row r="56" spans="1:27" ht="213" customHeight="1" x14ac:dyDescent="0.35">
      <c r="A56" s="1">
        <v>2013</v>
      </c>
      <c r="B56" s="3" t="s">
        <v>353</v>
      </c>
      <c r="C56" s="3" t="s">
        <v>12</v>
      </c>
      <c r="D56" s="3" t="s">
        <v>76</v>
      </c>
      <c r="E56" s="1" t="s">
        <v>70</v>
      </c>
      <c r="F56" s="3" t="s">
        <v>22</v>
      </c>
      <c r="G56" s="3" t="s">
        <v>193</v>
      </c>
      <c r="H56" s="3" t="s">
        <v>127</v>
      </c>
      <c r="I56" s="3" t="s">
        <v>20</v>
      </c>
      <c r="J56" s="3" t="s">
        <v>131</v>
      </c>
      <c r="K56" s="2" t="s">
        <v>354</v>
      </c>
      <c r="L56">
        <v>5.45</v>
      </c>
      <c r="M56">
        <v>10.45</v>
      </c>
      <c r="N56" s="5">
        <f t="shared" ref="N56" si="8">(P56*(SQRT(S56)))</f>
        <v>1.62</v>
      </c>
      <c r="O56" s="5">
        <f t="shared" ref="O56" si="9">(Q56*(SQRT(T56)))</f>
        <v>7.7099999999999991</v>
      </c>
      <c r="P56">
        <v>0.54</v>
      </c>
      <c r="Q56">
        <v>2.57</v>
      </c>
      <c r="S56">
        <v>9</v>
      </c>
      <c r="T56">
        <v>9</v>
      </c>
      <c r="AA56" s="8" t="s">
        <v>291</v>
      </c>
    </row>
    <row r="57" spans="1:27" ht="72.5" x14ac:dyDescent="0.35">
      <c r="A57" s="1">
        <v>1980</v>
      </c>
      <c r="B57" s="3" t="s">
        <v>369</v>
      </c>
      <c r="C57" s="3" t="s">
        <v>116</v>
      </c>
      <c r="D57" s="3" t="s">
        <v>76</v>
      </c>
      <c r="E57" s="1" t="s">
        <v>5</v>
      </c>
      <c r="F57" s="3" t="s">
        <v>11</v>
      </c>
      <c r="G57" s="3" t="s">
        <v>117</v>
      </c>
      <c r="H57" s="3" t="s">
        <v>128</v>
      </c>
      <c r="I57" s="3" t="s">
        <v>20</v>
      </c>
      <c r="J57" s="3" t="s">
        <v>136</v>
      </c>
      <c r="K57" s="2" t="s">
        <v>355</v>
      </c>
      <c r="L57">
        <v>22.45</v>
      </c>
      <c r="M57">
        <v>19.649999999999999</v>
      </c>
      <c r="N57">
        <v>0.48926626286648645</v>
      </c>
      <c r="O57">
        <v>0.62905662368548221</v>
      </c>
      <c r="Q57">
        <f>SQRT(T57)*(22.9-22.2)/R57</f>
        <v>0.48926626286648645</v>
      </c>
      <c r="R57">
        <f>TINV(1-0.95,10-1)*2</f>
        <v>4.5243143255964098</v>
      </c>
      <c r="S57">
        <v>10</v>
      </c>
      <c r="T57">
        <v>10</v>
      </c>
      <c r="U57">
        <v>3</v>
      </c>
      <c r="AA57" s="6" t="s">
        <v>118</v>
      </c>
    </row>
    <row r="58" spans="1:27" s="22" customFormat="1" ht="103.5" x14ac:dyDescent="0.35">
      <c r="A58" s="20">
        <v>1987</v>
      </c>
      <c r="B58" s="21" t="s">
        <v>358</v>
      </c>
      <c r="C58" s="21" t="s">
        <v>182</v>
      </c>
      <c r="D58" s="20" t="s">
        <v>254</v>
      </c>
      <c r="E58" s="20" t="s">
        <v>334</v>
      </c>
      <c r="F58" s="20" t="s">
        <v>11</v>
      </c>
      <c r="G58" s="21" t="s">
        <v>318</v>
      </c>
      <c r="H58" s="21" t="s">
        <v>127</v>
      </c>
      <c r="I58" s="20" t="s">
        <v>20</v>
      </c>
      <c r="J58" s="20" t="s">
        <v>175</v>
      </c>
      <c r="K58" s="38" t="s">
        <v>322</v>
      </c>
      <c r="L58" s="22">
        <f>77.25*-1</f>
        <v>-77.25</v>
      </c>
      <c r="M58" s="22">
        <f>117.55*-1</f>
        <v>-117.55</v>
      </c>
      <c r="N58" s="24">
        <f>(P58*(SQRT(S58)))</f>
        <v>37.085274705737312</v>
      </c>
      <c r="O58" s="24">
        <f>(Q58*(SQRT(T58)))</f>
        <v>33.851948245263522</v>
      </c>
      <c r="P58" s="22">
        <v>7.57</v>
      </c>
      <c r="Q58" s="22">
        <v>6.91</v>
      </c>
      <c r="S58" s="22">
        <v>24</v>
      </c>
      <c r="T58" s="22">
        <v>24</v>
      </c>
      <c r="U58" s="22">
        <v>2</v>
      </c>
      <c r="AA58" s="29" t="s">
        <v>319</v>
      </c>
    </row>
    <row r="59" spans="1:27" s="32" customFormat="1" ht="130.5" x14ac:dyDescent="0.35">
      <c r="A59" s="30">
        <v>1998</v>
      </c>
      <c r="B59" s="31" t="s">
        <v>112</v>
      </c>
      <c r="C59" s="31" t="s">
        <v>8</v>
      </c>
      <c r="D59" s="31" t="s">
        <v>5</v>
      </c>
      <c r="E59" s="30" t="s">
        <v>76</v>
      </c>
      <c r="F59" s="31" t="s">
        <v>22</v>
      </c>
      <c r="G59" s="31" t="s">
        <v>90</v>
      </c>
      <c r="H59" s="31" t="s">
        <v>127</v>
      </c>
      <c r="I59" s="31" t="s">
        <v>20</v>
      </c>
      <c r="J59" s="31" t="s">
        <v>136</v>
      </c>
      <c r="K59" s="31" t="s">
        <v>315</v>
      </c>
      <c r="W59" s="32">
        <v>-0.1</v>
      </c>
      <c r="X59" s="32" t="s">
        <v>22</v>
      </c>
      <c r="AA59" s="40" t="s">
        <v>155</v>
      </c>
    </row>
    <row r="60" spans="1:27" s="32" customFormat="1" ht="174" x14ac:dyDescent="0.35">
      <c r="A60" s="30">
        <v>2012</v>
      </c>
      <c r="B60" s="31" t="s">
        <v>93</v>
      </c>
      <c r="C60" s="31" t="s">
        <v>21</v>
      </c>
      <c r="D60" s="31" t="s">
        <v>5</v>
      </c>
      <c r="E60" s="31" t="s">
        <v>172</v>
      </c>
      <c r="F60" s="31" t="s">
        <v>22</v>
      </c>
      <c r="G60" s="31" t="s">
        <v>273</v>
      </c>
      <c r="H60" s="31" t="s">
        <v>128</v>
      </c>
      <c r="I60" s="31" t="s">
        <v>20</v>
      </c>
      <c r="J60" s="31" t="s">
        <v>136</v>
      </c>
      <c r="K60" s="45" t="s">
        <v>274</v>
      </c>
      <c r="L60">
        <f>67.85995013*-1</f>
        <v>-67.859950130000001</v>
      </c>
      <c r="M60">
        <f>24.04064908*-1</f>
        <v>-24.040649080000001</v>
      </c>
      <c r="N60">
        <v>86.879081420000006</v>
      </c>
      <c r="O60">
        <v>34.964740970000001</v>
      </c>
      <c r="T60" s="32">
        <v>20</v>
      </c>
      <c r="W60" s="32">
        <v>-0.43</v>
      </c>
      <c r="X60" s="32" t="s">
        <v>7</v>
      </c>
      <c r="AA60" s="37" t="s">
        <v>249</v>
      </c>
    </row>
    <row r="61" spans="1:27" s="35" customFormat="1" ht="116" x14ac:dyDescent="0.35">
      <c r="A61" s="33">
        <v>1982</v>
      </c>
      <c r="B61" s="34" t="s">
        <v>224</v>
      </c>
      <c r="C61" s="34" t="s">
        <v>21</v>
      </c>
      <c r="D61" s="34" t="s">
        <v>70</v>
      </c>
      <c r="E61" s="33" t="s">
        <v>70</v>
      </c>
      <c r="F61" s="34" t="s">
        <v>320</v>
      </c>
      <c r="G61" s="34" t="s">
        <v>33</v>
      </c>
      <c r="H61" s="34" t="s">
        <v>127</v>
      </c>
      <c r="I61" s="34" t="s">
        <v>20</v>
      </c>
      <c r="J61" s="34" t="s">
        <v>136</v>
      </c>
      <c r="K61" s="44" t="s">
        <v>364</v>
      </c>
      <c r="L61" s="35">
        <v>84</v>
      </c>
      <c r="M61" s="35">
        <v>102</v>
      </c>
      <c r="N61" s="35" t="s">
        <v>359</v>
      </c>
      <c r="O61" s="35" t="s">
        <v>360</v>
      </c>
      <c r="Q61" s="35">
        <f>SQRT(T61)*(135.66-68.34)/R61</f>
        <v>21.153538360798382</v>
      </c>
      <c r="R61" s="35">
        <f>TINV(1-0.95,4-1)*2</f>
        <v>6.3648926105674155</v>
      </c>
      <c r="S61" s="35">
        <v>4</v>
      </c>
      <c r="T61" s="35">
        <v>4</v>
      </c>
      <c r="AA61" s="36" t="s">
        <v>228</v>
      </c>
    </row>
    <row r="62" spans="1:27" s="35" customFormat="1" ht="116" x14ac:dyDescent="0.35">
      <c r="A62" s="33">
        <v>1982</v>
      </c>
      <c r="B62" s="34" t="s">
        <v>224</v>
      </c>
      <c r="C62" s="34" t="s">
        <v>21</v>
      </c>
      <c r="D62" s="34" t="s">
        <v>70</v>
      </c>
      <c r="E62" s="33" t="s">
        <v>70</v>
      </c>
      <c r="F62" s="34" t="s">
        <v>22</v>
      </c>
      <c r="G62" s="34" t="s">
        <v>33</v>
      </c>
      <c r="H62" s="34" t="s">
        <v>127</v>
      </c>
      <c r="I62" s="34" t="s">
        <v>20</v>
      </c>
      <c r="J62" s="34" t="s">
        <v>136</v>
      </c>
      <c r="K62" s="44" t="s">
        <v>363</v>
      </c>
      <c r="L62" s="35">
        <v>32</v>
      </c>
      <c r="M62" s="35">
        <v>23</v>
      </c>
      <c r="N62" s="35" t="s">
        <v>361</v>
      </c>
      <c r="O62" s="35" t="s">
        <v>362</v>
      </c>
      <c r="Q62" s="35">
        <f>SQRT(T62)*(24.61-21.39)/R62</f>
        <v>1.2327179764718441</v>
      </c>
      <c r="R62" s="35">
        <f>TINV(1-0.95,10-1)*2</f>
        <v>4.5243143255964098</v>
      </c>
      <c r="S62" s="35">
        <v>4</v>
      </c>
      <c r="T62" s="35">
        <v>3</v>
      </c>
      <c r="AA62" s="36" t="s">
        <v>228</v>
      </c>
    </row>
    <row r="63" spans="1:27" s="16" customFormat="1" ht="43.5" x14ac:dyDescent="0.35">
      <c r="A63" s="13">
        <v>2021</v>
      </c>
      <c r="B63" s="14" t="s">
        <v>19</v>
      </c>
      <c r="C63" s="14" t="s">
        <v>18</v>
      </c>
      <c r="D63" s="14" t="s">
        <v>106</v>
      </c>
      <c r="E63" s="14" t="s">
        <v>5</v>
      </c>
      <c r="F63" s="14" t="s">
        <v>11</v>
      </c>
      <c r="G63" s="14" t="s">
        <v>157</v>
      </c>
      <c r="H63" s="14" t="s">
        <v>128</v>
      </c>
      <c r="I63" s="14" t="s">
        <v>17</v>
      </c>
      <c r="J63" s="14" t="s">
        <v>175</v>
      </c>
      <c r="K63" s="14" t="s">
        <v>16</v>
      </c>
      <c r="L63" s="15"/>
      <c r="M63" s="15"/>
      <c r="N63" s="15"/>
      <c r="O63" s="15"/>
      <c r="P63" s="15"/>
      <c r="Q63" s="15"/>
      <c r="R63" s="15"/>
      <c r="S63" s="15"/>
      <c r="T63" s="15"/>
      <c r="U63" s="15"/>
      <c r="V63" s="15"/>
      <c r="W63" s="15"/>
      <c r="X63" s="15"/>
      <c r="Y63" s="15"/>
      <c r="Z63" s="15"/>
      <c r="AA63" s="17" t="s">
        <v>202</v>
      </c>
    </row>
    <row r="64" spans="1:27" s="16" customFormat="1" ht="58" x14ac:dyDescent="0.35">
      <c r="A64" s="13">
        <v>2021</v>
      </c>
      <c r="B64" s="14" t="s">
        <v>25</v>
      </c>
      <c r="C64" s="14" t="s">
        <v>21</v>
      </c>
      <c r="D64" s="14" t="s">
        <v>5</v>
      </c>
      <c r="E64" s="14" t="s">
        <v>106</v>
      </c>
      <c r="F64" s="14" t="s">
        <v>22</v>
      </c>
      <c r="G64" s="14" t="s">
        <v>24</v>
      </c>
      <c r="H64" s="14" t="s">
        <v>127</v>
      </c>
      <c r="I64" s="14" t="s">
        <v>23</v>
      </c>
      <c r="J64" s="14" t="s">
        <v>125</v>
      </c>
      <c r="K64" s="14" t="s">
        <v>79</v>
      </c>
      <c r="L64" s="15"/>
      <c r="M64" s="15"/>
      <c r="N64" s="15"/>
      <c r="O64" s="15"/>
      <c r="P64" s="15"/>
      <c r="Q64" s="15"/>
      <c r="R64" s="15"/>
      <c r="S64" s="15"/>
      <c r="T64" s="15"/>
      <c r="U64" s="15"/>
      <c r="V64" s="15"/>
      <c r="W64" s="15"/>
      <c r="X64" s="15"/>
      <c r="Y64" s="15"/>
      <c r="Z64" s="15"/>
      <c r="AA64" s="18" t="s">
        <v>203</v>
      </c>
    </row>
    <row r="65" spans="1:27" s="16" customFormat="1" ht="43.5" x14ac:dyDescent="0.35">
      <c r="A65" s="13">
        <v>1994</v>
      </c>
      <c r="B65" s="14" t="s">
        <v>34</v>
      </c>
      <c r="C65" s="14" t="s">
        <v>8</v>
      </c>
      <c r="D65" s="14" t="s">
        <v>5</v>
      </c>
      <c r="E65" s="14" t="s">
        <v>35</v>
      </c>
      <c r="F65" s="14" t="s">
        <v>11</v>
      </c>
      <c r="G65" s="14" t="s">
        <v>33</v>
      </c>
      <c r="H65" s="14" t="s">
        <v>128</v>
      </c>
      <c r="I65" s="14" t="s">
        <v>20</v>
      </c>
      <c r="J65" s="14" t="s">
        <v>209</v>
      </c>
      <c r="K65" s="14" t="s">
        <v>210</v>
      </c>
      <c r="L65" s="15">
        <v>6.7</v>
      </c>
      <c r="M65" s="15">
        <v>16.8</v>
      </c>
      <c r="N65" s="15"/>
      <c r="O65" s="15"/>
      <c r="P65" s="15"/>
      <c r="Q65" s="15"/>
      <c r="R65" s="15"/>
      <c r="AA65" s="17" t="s">
        <v>252</v>
      </c>
    </row>
    <row r="66" spans="1:27" s="16" customFormat="1" ht="43.5" x14ac:dyDescent="0.35">
      <c r="A66" s="13">
        <v>1994</v>
      </c>
      <c r="B66" s="14" t="s">
        <v>34</v>
      </c>
      <c r="C66" s="14" t="s">
        <v>8</v>
      </c>
      <c r="D66" s="14" t="s">
        <v>76</v>
      </c>
      <c r="E66" s="14" t="s">
        <v>35</v>
      </c>
      <c r="F66" s="14" t="s">
        <v>11</v>
      </c>
      <c r="G66" s="14" t="s">
        <v>33</v>
      </c>
      <c r="H66" s="14" t="s">
        <v>128</v>
      </c>
      <c r="I66" s="14" t="s">
        <v>20</v>
      </c>
      <c r="J66" s="14" t="s">
        <v>209</v>
      </c>
      <c r="K66" s="14" t="s">
        <v>208</v>
      </c>
      <c r="L66" s="15">
        <v>6.7</v>
      </c>
      <c r="M66" s="15">
        <v>16.8</v>
      </c>
      <c r="N66" s="15"/>
      <c r="O66" s="15"/>
      <c r="P66" s="15"/>
      <c r="Q66" s="15"/>
      <c r="R66" s="15"/>
      <c r="AA66" s="17" t="s">
        <v>252</v>
      </c>
    </row>
    <row r="67" spans="1:27" s="16" customFormat="1" ht="43.5" x14ac:dyDescent="0.35">
      <c r="A67" s="13">
        <v>2014</v>
      </c>
      <c r="B67" s="14" t="s">
        <v>42</v>
      </c>
      <c r="C67" s="14" t="s">
        <v>21</v>
      </c>
      <c r="D67" s="14" t="s">
        <v>5</v>
      </c>
      <c r="E67" s="14" t="s">
        <v>35</v>
      </c>
      <c r="F67" s="14" t="s">
        <v>11</v>
      </c>
      <c r="G67" s="14" t="s">
        <v>41</v>
      </c>
      <c r="H67" s="14" t="s">
        <v>128</v>
      </c>
      <c r="I67" s="14" t="s">
        <v>20</v>
      </c>
      <c r="J67" s="14" t="s">
        <v>136</v>
      </c>
      <c r="K67" s="14" t="s">
        <v>40</v>
      </c>
      <c r="AA67" s="18" t="s">
        <v>213</v>
      </c>
    </row>
    <row r="68" spans="1:27" s="16" customFormat="1" ht="43.5" x14ac:dyDescent="0.35">
      <c r="A68" s="13">
        <v>2015</v>
      </c>
      <c r="B68" s="14" t="s">
        <v>50</v>
      </c>
      <c r="C68" s="14" t="s">
        <v>8</v>
      </c>
      <c r="D68" s="14" t="s">
        <v>5</v>
      </c>
      <c r="E68" s="14" t="s">
        <v>35</v>
      </c>
      <c r="F68" s="14" t="s">
        <v>11</v>
      </c>
      <c r="G68" s="14" t="s">
        <v>47</v>
      </c>
      <c r="H68" s="14" t="s">
        <v>128</v>
      </c>
      <c r="I68" s="14" t="s">
        <v>20</v>
      </c>
      <c r="J68" s="14" t="s">
        <v>136</v>
      </c>
      <c r="K68" s="14" t="s">
        <v>49</v>
      </c>
      <c r="AA68" s="18" t="s">
        <v>217</v>
      </c>
    </row>
    <row r="69" spans="1:27" s="16" customFormat="1" ht="58" x14ac:dyDescent="0.35">
      <c r="A69" s="13">
        <v>2010</v>
      </c>
      <c r="B69" s="14" t="s">
        <v>80</v>
      </c>
      <c r="C69" s="14" t="s">
        <v>21</v>
      </c>
      <c r="D69" s="14" t="s">
        <v>5</v>
      </c>
      <c r="E69" s="14" t="s">
        <v>108</v>
      </c>
      <c r="F69" s="14" t="s">
        <v>22</v>
      </c>
      <c r="G69" s="14" t="s">
        <v>81</v>
      </c>
      <c r="H69" s="14" t="s">
        <v>127</v>
      </c>
      <c r="I69" s="14" t="s">
        <v>17</v>
      </c>
      <c r="J69" s="14" t="s">
        <v>136</v>
      </c>
      <c r="K69" s="14" t="s">
        <v>284</v>
      </c>
      <c r="AA69" s="18" t="s">
        <v>218</v>
      </c>
    </row>
    <row r="70" spans="1:27" s="16" customFormat="1" ht="43.5" x14ac:dyDescent="0.35">
      <c r="A70" s="13">
        <v>2006</v>
      </c>
      <c r="B70" s="19" t="s">
        <v>37</v>
      </c>
      <c r="C70" s="14" t="s">
        <v>21</v>
      </c>
      <c r="D70" s="14" t="s">
        <v>35</v>
      </c>
      <c r="E70" s="13" t="s">
        <v>35</v>
      </c>
      <c r="F70" s="14" t="s">
        <v>22</v>
      </c>
      <c r="G70" s="14" t="s">
        <v>30</v>
      </c>
      <c r="H70" s="14" t="s">
        <v>127</v>
      </c>
      <c r="I70" s="14" t="s">
        <v>20</v>
      </c>
      <c r="J70" s="14" t="s">
        <v>175</v>
      </c>
      <c r="K70" s="14" t="s">
        <v>36</v>
      </c>
      <c r="T70" s="16">
        <v>68</v>
      </c>
      <c r="AA70" s="18" t="s">
        <v>219</v>
      </c>
    </row>
    <row r="71" spans="1:27" s="16" customFormat="1" ht="72.5" x14ac:dyDescent="0.35">
      <c r="A71" s="13">
        <v>2008</v>
      </c>
      <c r="B71" s="14" t="s">
        <v>44</v>
      </c>
      <c r="C71" s="14" t="s">
        <v>8</v>
      </c>
      <c r="D71" s="14" t="s">
        <v>70</v>
      </c>
      <c r="E71" s="13" t="s">
        <v>70</v>
      </c>
      <c r="F71" s="14" t="s">
        <v>22</v>
      </c>
      <c r="G71" s="14" t="s">
        <v>43</v>
      </c>
      <c r="H71" s="14" t="s">
        <v>127</v>
      </c>
      <c r="I71" s="14" t="s">
        <v>20</v>
      </c>
      <c r="J71" s="14" t="s">
        <v>209</v>
      </c>
      <c r="K71" s="14" t="s">
        <v>296</v>
      </c>
      <c r="AA71" s="18" t="s">
        <v>222</v>
      </c>
    </row>
    <row r="72" spans="1:27" s="16" customFormat="1" ht="130.5" x14ac:dyDescent="0.35">
      <c r="A72" s="13">
        <v>1993</v>
      </c>
      <c r="B72" s="14" t="s">
        <v>45</v>
      </c>
      <c r="C72" s="14" t="s">
        <v>8</v>
      </c>
      <c r="D72" s="14" t="s">
        <v>71</v>
      </c>
      <c r="E72" s="13" t="s">
        <v>76</v>
      </c>
      <c r="F72" s="14" t="s">
        <v>11</v>
      </c>
      <c r="G72" s="14" t="s">
        <v>33</v>
      </c>
      <c r="H72" s="14" t="s">
        <v>127</v>
      </c>
      <c r="I72" s="14" t="s">
        <v>17</v>
      </c>
      <c r="J72" s="14" t="s">
        <v>125</v>
      </c>
      <c r="K72" s="46" t="s">
        <v>229</v>
      </c>
      <c r="AA72" s="18" t="s">
        <v>230</v>
      </c>
    </row>
    <row r="73" spans="1:27" s="16" customFormat="1" ht="87" x14ac:dyDescent="0.35">
      <c r="A73" s="13">
        <v>2005</v>
      </c>
      <c r="B73" s="14" t="s">
        <v>46</v>
      </c>
      <c r="C73" s="14" t="s">
        <v>21</v>
      </c>
      <c r="D73" s="14" t="s">
        <v>71</v>
      </c>
      <c r="E73" s="13" t="s">
        <v>179</v>
      </c>
      <c r="F73" s="14" t="s">
        <v>22</v>
      </c>
      <c r="G73" s="14" t="s">
        <v>33</v>
      </c>
      <c r="H73" s="14" t="s">
        <v>127</v>
      </c>
      <c r="I73" s="14" t="s">
        <v>298</v>
      </c>
      <c r="J73" s="14" t="s">
        <v>136</v>
      </c>
      <c r="K73" s="14" t="s">
        <v>109</v>
      </c>
      <c r="AA73" s="17" t="s">
        <v>231</v>
      </c>
    </row>
    <row r="74" spans="1:27" s="16" customFormat="1" ht="87" x14ac:dyDescent="0.35">
      <c r="A74" s="13">
        <v>1990</v>
      </c>
      <c r="B74" s="14" t="s">
        <v>68</v>
      </c>
      <c r="C74" s="14" t="s">
        <v>21</v>
      </c>
      <c r="D74" s="14" t="s">
        <v>71</v>
      </c>
      <c r="E74" s="13" t="s">
        <v>71</v>
      </c>
      <c r="F74" s="14" t="s">
        <v>22</v>
      </c>
      <c r="G74" s="14" t="s">
        <v>62</v>
      </c>
      <c r="H74" s="14" t="s">
        <v>127</v>
      </c>
      <c r="I74" s="14" t="s">
        <v>20</v>
      </c>
      <c r="J74" s="14" t="s">
        <v>121</v>
      </c>
      <c r="K74" s="14" t="s">
        <v>285</v>
      </c>
      <c r="S74" s="16">
        <v>10</v>
      </c>
      <c r="T74" s="16">
        <v>10</v>
      </c>
      <c r="AA74" s="18" t="s">
        <v>232</v>
      </c>
    </row>
    <row r="75" spans="1:27" s="16" customFormat="1" ht="87" x14ac:dyDescent="0.35">
      <c r="A75" s="13">
        <v>1990</v>
      </c>
      <c r="B75" s="14" t="s">
        <v>68</v>
      </c>
      <c r="C75" s="14" t="s">
        <v>29</v>
      </c>
      <c r="D75" s="14" t="s">
        <v>71</v>
      </c>
      <c r="E75" s="13" t="s">
        <v>71</v>
      </c>
      <c r="F75" s="14" t="s">
        <v>22</v>
      </c>
      <c r="G75" s="14" t="s">
        <v>62</v>
      </c>
      <c r="H75" s="14" t="s">
        <v>127</v>
      </c>
      <c r="I75" s="14" t="s">
        <v>20</v>
      </c>
      <c r="J75" s="14" t="s">
        <v>121</v>
      </c>
      <c r="K75" s="14" t="s">
        <v>285</v>
      </c>
      <c r="S75" s="16">
        <v>10</v>
      </c>
      <c r="T75" s="16">
        <v>10</v>
      </c>
      <c r="AA75" s="18" t="s">
        <v>232</v>
      </c>
    </row>
    <row r="76" spans="1:27" s="16" customFormat="1" ht="130.5" x14ac:dyDescent="0.35">
      <c r="A76" s="13">
        <v>1997</v>
      </c>
      <c r="B76" s="14" t="s">
        <v>370</v>
      </c>
      <c r="C76" s="14" t="s">
        <v>8</v>
      </c>
      <c r="D76" s="14" t="s">
        <v>105</v>
      </c>
      <c r="E76" s="13" t="s">
        <v>113</v>
      </c>
      <c r="F76" s="14" t="s">
        <v>11</v>
      </c>
      <c r="G76" s="14" t="s">
        <v>157</v>
      </c>
      <c r="H76" s="14" t="s">
        <v>127</v>
      </c>
      <c r="I76" s="14" t="s">
        <v>20</v>
      </c>
      <c r="J76" s="14" t="s">
        <v>136</v>
      </c>
      <c r="K76" s="46" t="s">
        <v>158</v>
      </c>
      <c r="AA76" s="17" t="s">
        <v>340</v>
      </c>
    </row>
    <row r="77" spans="1:27" s="16" customFormat="1" ht="101.5" x14ac:dyDescent="0.35">
      <c r="A77" s="13">
        <v>1996</v>
      </c>
      <c r="B77" s="14" t="s">
        <v>89</v>
      </c>
      <c r="C77" s="14" t="s">
        <v>8</v>
      </c>
      <c r="D77" s="14" t="s">
        <v>5</v>
      </c>
      <c r="E77" s="13" t="s">
        <v>76</v>
      </c>
      <c r="F77" s="14" t="s">
        <v>11</v>
      </c>
      <c r="G77" s="14" t="s">
        <v>90</v>
      </c>
      <c r="H77" s="14" t="s">
        <v>127</v>
      </c>
      <c r="I77" s="14" t="s">
        <v>20</v>
      </c>
      <c r="J77" s="14" t="s">
        <v>136</v>
      </c>
      <c r="K77" s="46" t="s">
        <v>314</v>
      </c>
      <c r="AA77" s="17" t="s">
        <v>246</v>
      </c>
    </row>
    <row r="78" spans="1:27" s="16" customFormat="1" ht="72.5" x14ac:dyDescent="0.35">
      <c r="A78" s="13">
        <v>1991</v>
      </c>
      <c r="B78" s="14" t="s">
        <v>120</v>
      </c>
      <c r="C78" s="14" t="s">
        <v>29</v>
      </c>
      <c r="D78" s="14" t="s">
        <v>5</v>
      </c>
      <c r="E78" s="13" t="s">
        <v>122</v>
      </c>
      <c r="F78" s="14" t="s">
        <v>22</v>
      </c>
      <c r="G78" s="14" t="s">
        <v>117</v>
      </c>
      <c r="H78" s="14" t="s">
        <v>128</v>
      </c>
      <c r="I78" s="14" t="s">
        <v>20</v>
      </c>
      <c r="J78" s="14" t="s">
        <v>121</v>
      </c>
      <c r="K78" s="19" t="s">
        <v>195</v>
      </c>
      <c r="AA78" s="17" t="s">
        <v>250</v>
      </c>
    </row>
    <row r="79" spans="1:27" s="16" customFormat="1" ht="101.5" x14ac:dyDescent="0.35">
      <c r="A79" s="13">
        <v>1935</v>
      </c>
      <c r="B79" s="14" t="s">
        <v>130</v>
      </c>
      <c r="C79" s="14" t="s">
        <v>8</v>
      </c>
      <c r="D79" s="14" t="s">
        <v>5</v>
      </c>
      <c r="E79" s="13" t="s">
        <v>71</v>
      </c>
      <c r="F79" s="14" t="s">
        <v>11</v>
      </c>
      <c r="G79" s="14" t="s">
        <v>33</v>
      </c>
      <c r="H79" s="14" t="s">
        <v>128</v>
      </c>
      <c r="I79" s="14" t="s">
        <v>17</v>
      </c>
      <c r="J79" s="14" t="s">
        <v>131</v>
      </c>
      <c r="K79" s="46" t="s">
        <v>152</v>
      </c>
      <c r="AA79" s="17" t="s">
        <v>154</v>
      </c>
    </row>
    <row r="80" spans="1:27" s="16" customFormat="1" ht="101.5" x14ac:dyDescent="0.35">
      <c r="A80" s="13">
        <v>1935</v>
      </c>
      <c r="B80" s="14" t="s">
        <v>130</v>
      </c>
      <c r="C80" s="14" t="s">
        <v>12</v>
      </c>
      <c r="D80" s="14" t="s">
        <v>5</v>
      </c>
      <c r="E80" s="13" t="s">
        <v>71</v>
      </c>
      <c r="F80" s="14" t="s">
        <v>11</v>
      </c>
      <c r="G80" s="14" t="s">
        <v>33</v>
      </c>
      <c r="H80" s="14" t="s">
        <v>128</v>
      </c>
      <c r="I80" s="14" t="s">
        <v>17</v>
      </c>
      <c r="J80" s="14" t="s">
        <v>131</v>
      </c>
      <c r="K80" s="46" t="s">
        <v>152</v>
      </c>
      <c r="AA80" s="17" t="s">
        <v>154</v>
      </c>
    </row>
    <row r="81" spans="1:27" s="16" customFormat="1" ht="87" x14ac:dyDescent="0.35">
      <c r="A81" s="13">
        <v>1960</v>
      </c>
      <c r="B81" s="14" t="s">
        <v>132</v>
      </c>
      <c r="C81" s="14" t="s">
        <v>104</v>
      </c>
      <c r="D81" s="14" t="s">
        <v>5</v>
      </c>
      <c r="E81" s="13" t="s">
        <v>70</v>
      </c>
      <c r="F81" s="14" t="s">
        <v>22</v>
      </c>
      <c r="G81" s="14" t="s">
        <v>33</v>
      </c>
      <c r="H81" s="14" t="s">
        <v>127</v>
      </c>
      <c r="I81" s="14" t="s">
        <v>20</v>
      </c>
      <c r="J81" s="13" t="s">
        <v>136</v>
      </c>
      <c r="K81" s="19" t="s">
        <v>135</v>
      </c>
      <c r="AA81" s="17" t="s">
        <v>133</v>
      </c>
    </row>
    <row r="82" spans="1:27" s="16" customFormat="1" ht="130.5" x14ac:dyDescent="0.35">
      <c r="A82" s="13">
        <v>1961</v>
      </c>
      <c r="B82" s="14" t="s">
        <v>225</v>
      </c>
      <c r="C82" s="14" t="s">
        <v>104</v>
      </c>
      <c r="D82" s="14" t="s">
        <v>166</v>
      </c>
      <c r="E82" s="13" t="s">
        <v>70</v>
      </c>
      <c r="F82" s="14" t="s">
        <v>22</v>
      </c>
      <c r="G82" s="14" t="s">
        <v>33</v>
      </c>
      <c r="H82" s="14" t="s">
        <v>127</v>
      </c>
      <c r="I82" s="14" t="s">
        <v>20</v>
      </c>
      <c r="J82" s="41" t="s">
        <v>125</v>
      </c>
      <c r="K82" s="46" t="s">
        <v>227</v>
      </c>
      <c r="AA82" s="18" t="s">
        <v>226</v>
      </c>
    </row>
    <row r="83" spans="1:27" s="16" customFormat="1" ht="72.5" x14ac:dyDescent="0.35">
      <c r="A83" s="13">
        <v>1981</v>
      </c>
      <c r="B83" s="14" t="s">
        <v>139</v>
      </c>
      <c r="C83" s="14" t="s">
        <v>104</v>
      </c>
      <c r="D83" s="13" t="s">
        <v>113</v>
      </c>
      <c r="E83" s="14" t="s">
        <v>105</v>
      </c>
      <c r="F83" s="14" t="s">
        <v>22</v>
      </c>
      <c r="G83" s="14" t="s">
        <v>33</v>
      </c>
      <c r="H83" s="14" t="s">
        <v>127</v>
      </c>
      <c r="I83" s="14" t="s">
        <v>20</v>
      </c>
      <c r="J83" s="14" t="s">
        <v>125</v>
      </c>
      <c r="K83" s="19" t="s">
        <v>137</v>
      </c>
      <c r="AA83" s="17" t="s">
        <v>138</v>
      </c>
    </row>
    <row r="84" spans="1:27" s="16" customFormat="1" ht="87" x14ac:dyDescent="0.35">
      <c r="A84" s="13">
        <v>1968</v>
      </c>
      <c r="B84" s="14" t="s">
        <v>140</v>
      </c>
      <c r="C84" s="14" t="s">
        <v>8</v>
      </c>
      <c r="D84" s="14" t="s">
        <v>71</v>
      </c>
      <c r="E84" s="13" t="s">
        <v>71</v>
      </c>
      <c r="F84" s="14" t="s">
        <v>22</v>
      </c>
      <c r="G84" s="14" t="s">
        <v>33</v>
      </c>
      <c r="H84" s="14" t="s">
        <v>127</v>
      </c>
      <c r="I84" s="14" t="s">
        <v>20</v>
      </c>
      <c r="J84" s="14" t="s">
        <v>125</v>
      </c>
      <c r="K84" s="19" t="s">
        <v>143</v>
      </c>
      <c r="AA84" s="42" t="s">
        <v>156</v>
      </c>
    </row>
    <row r="85" spans="1:27" s="16" customFormat="1" ht="87" x14ac:dyDescent="0.35">
      <c r="A85" s="13">
        <v>2006</v>
      </c>
      <c r="B85" s="14" t="s">
        <v>164</v>
      </c>
      <c r="C85" s="14" t="s">
        <v>29</v>
      </c>
      <c r="D85" s="14" t="s">
        <v>5</v>
      </c>
      <c r="E85" s="13" t="s">
        <v>166</v>
      </c>
      <c r="F85" s="14" t="s">
        <v>22</v>
      </c>
      <c r="G85" s="14" t="s">
        <v>169</v>
      </c>
      <c r="H85" s="14" t="s">
        <v>127</v>
      </c>
      <c r="I85" s="14" t="s">
        <v>20</v>
      </c>
      <c r="J85" s="14" t="s">
        <v>136</v>
      </c>
      <c r="K85" s="19" t="s">
        <v>167</v>
      </c>
      <c r="AA85" s="17" t="s">
        <v>165</v>
      </c>
    </row>
    <row r="86" spans="1:27" s="16" customFormat="1" ht="116" x14ac:dyDescent="0.35">
      <c r="A86" s="13">
        <v>1978</v>
      </c>
      <c r="B86" s="14" t="s">
        <v>267</v>
      </c>
      <c r="C86" s="14" t="s">
        <v>104</v>
      </c>
      <c r="D86" s="14" t="s">
        <v>268</v>
      </c>
      <c r="E86" s="13" t="s">
        <v>70</v>
      </c>
      <c r="F86" s="14" t="s">
        <v>320</v>
      </c>
      <c r="G86" s="14" t="s">
        <v>33</v>
      </c>
      <c r="H86" s="14" t="s">
        <v>128</v>
      </c>
      <c r="I86" s="14" t="s">
        <v>20</v>
      </c>
      <c r="J86" s="14" t="s">
        <v>136</v>
      </c>
      <c r="K86" s="19" t="s">
        <v>269</v>
      </c>
      <c r="AA86" s="17" t="s">
        <v>266</v>
      </c>
    </row>
    <row r="87" spans="1:27" s="27" customFormat="1" ht="72.5" x14ac:dyDescent="0.35">
      <c r="A87" s="25">
        <v>2012</v>
      </c>
      <c r="B87" s="26" t="s">
        <v>339</v>
      </c>
      <c r="C87" s="26" t="s">
        <v>8</v>
      </c>
      <c r="D87" s="26" t="s">
        <v>5</v>
      </c>
      <c r="E87" s="25" t="s">
        <v>70</v>
      </c>
      <c r="F87" s="26" t="s">
        <v>11</v>
      </c>
      <c r="G87" s="26" t="s">
        <v>33</v>
      </c>
      <c r="H87" s="26" t="s">
        <v>128</v>
      </c>
      <c r="I87" s="26" t="s">
        <v>20</v>
      </c>
      <c r="J87" s="26" t="s">
        <v>136</v>
      </c>
      <c r="K87" s="47" t="s">
        <v>272</v>
      </c>
      <c r="AA87" s="39" t="s">
        <v>270</v>
      </c>
    </row>
    <row r="88" spans="1:27" s="27" customFormat="1" ht="58" x14ac:dyDescent="0.35">
      <c r="A88" s="25">
        <v>2012</v>
      </c>
      <c r="B88" s="26" t="s">
        <v>339</v>
      </c>
      <c r="C88" s="26" t="s">
        <v>8</v>
      </c>
      <c r="D88" s="26" t="s">
        <v>268</v>
      </c>
      <c r="E88" s="25" t="s">
        <v>70</v>
      </c>
      <c r="F88" s="26" t="s">
        <v>320</v>
      </c>
      <c r="G88" s="26" t="s">
        <v>33</v>
      </c>
      <c r="H88" s="26" t="s">
        <v>128</v>
      </c>
      <c r="I88" s="26" t="s">
        <v>20</v>
      </c>
      <c r="J88" s="26" t="s">
        <v>136</v>
      </c>
      <c r="K88" s="47" t="s">
        <v>271</v>
      </c>
      <c r="AA88" s="39" t="s">
        <v>270</v>
      </c>
    </row>
    <row r="89" spans="1:27" s="27" customFormat="1" ht="130.5" x14ac:dyDescent="0.35">
      <c r="A89" s="25">
        <v>2014</v>
      </c>
      <c r="B89" s="26" t="s">
        <v>57</v>
      </c>
      <c r="C89" s="26" t="s">
        <v>12</v>
      </c>
      <c r="D89" s="26" t="s">
        <v>72</v>
      </c>
      <c r="E89" s="25" t="s">
        <v>70</v>
      </c>
      <c r="F89" s="26" t="s">
        <v>22</v>
      </c>
      <c r="G89" s="26" t="s">
        <v>56</v>
      </c>
      <c r="H89" s="26" t="s">
        <v>127</v>
      </c>
      <c r="I89" s="26" t="s">
        <v>20</v>
      </c>
      <c r="J89" s="26" t="s">
        <v>209</v>
      </c>
      <c r="K89" s="26" t="s">
        <v>303</v>
      </c>
      <c r="AA89" s="28" t="s">
        <v>237</v>
      </c>
    </row>
    <row r="90" spans="1:27" s="27" customFormat="1" ht="135.75" customHeight="1" x14ac:dyDescent="0.35">
      <c r="A90" s="25">
        <v>2018</v>
      </c>
      <c r="B90" s="26" t="s">
        <v>60</v>
      </c>
      <c r="C90" s="26" t="s">
        <v>12</v>
      </c>
      <c r="D90" s="26" t="s">
        <v>72</v>
      </c>
      <c r="E90" s="25" t="s">
        <v>70</v>
      </c>
      <c r="F90" s="26" t="s">
        <v>11</v>
      </c>
      <c r="G90" s="26" t="s">
        <v>59</v>
      </c>
      <c r="H90" s="26" t="s">
        <v>127</v>
      </c>
      <c r="I90" s="26" t="s">
        <v>20</v>
      </c>
      <c r="J90" s="26" t="s">
        <v>209</v>
      </c>
      <c r="K90" s="26" t="s">
        <v>58</v>
      </c>
      <c r="AA90" s="28" t="s">
        <v>238</v>
      </c>
    </row>
    <row r="91" spans="1:27" s="27" customFormat="1" ht="116" x14ac:dyDescent="0.35">
      <c r="A91" s="25">
        <v>2013</v>
      </c>
      <c r="B91" s="26" t="s">
        <v>190</v>
      </c>
      <c r="C91" s="26" t="s">
        <v>12</v>
      </c>
      <c r="D91" s="26" t="s">
        <v>70</v>
      </c>
      <c r="E91" s="25" t="s">
        <v>70</v>
      </c>
      <c r="F91" s="26" t="s">
        <v>22</v>
      </c>
      <c r="G91" s="26" t="s">
        <v>193</v>
      </c>
      <c r="H91" s="26" t="s">
        <v>127</v>
      </c>
      <c r="I91" s="26" t="s">
        <v>20</v>
      </c>
      <c r="J91" s="26" t="s">
        <v>131</v>
      </c>
      <c r="K91" s="47" t="s">
        <v>192</v>
      </c>
      <c r="AA91" s="39" t="s">
        <v>191</v>
      </c>
    </row>
    <row r="92" spans="1:27" s="27" customFormat="1" ht="58" x14ac:dyDescent="0.35">
      <c r="A92" s="25">
        <v>2007</v>
      </c>
      <c r="B92" s="26" t="s">
        <v>144</v>
      </c>
      <c r="C92" s="26" t="s">
        <v>12</v>
      </c>
      <c r="D92" s="26" t="s">
        <v>145</v>
      </c>
      <c r="E92" s="25" t="s">
        <v>70</v>
      </c>
      <c r="F92" s="26" t="s">
        <v>11</v>
      </c>
      <c r="G92" s="26" t="s">
        <v>147</v>
      </c>
      <c r="H92" s="26" t="s">
        <v>127</v>
      </c>
      <c r="I92" s="26" t="s">
        <v>20</v>
      </c>
      <c r="J92" s="26" t="s">
        <v>136</v>
      </c>
      <c r="K92" s="47" t="s">
        <v>146</v>
      </c>
      <c r="S92" s="27">
        <v>3</v>
      </c>
      <c r="T92" s="27">
        <v>3</v>
      </c>
      <c r="U92" s="27">
        <v>8</v>
      </c>
      <c r="AA92" s="39" t="s">
        <v>251</v>
      </c>
    </row>
    <row r="93" spans="1:27" s="27" customFormat="1" ht="72.5" x14ac:dyDescent="0.35">
      <c r="A93" s="25">
        <v>2007</v>
      </c>
      <c r="B93" s="26" t="s">
        <v>144</v>
      </c>
      <c r="C93" s="26" t="s">
        <v>12</v>
      </c>
      <c r="D93" s="26" t="s">
        <v>145</v>
      </c>
      <c r="E93" s="25" t="s">
        <v>70</v>
      </c>
      <c r="F93" s="26" t="s">
        <v>22</v>
      </c>
      <c r="G93" s="26" t="s">
        <v>148</v>
      </c>
      <c r="H93" s="26" t="s">
        <v>127</v>
      </c>
      <c r="I93" s="26" t="s">
        <v>20</v>
      </c>
      <c r="J93" s="26" t="s">
        <v>136</v>
      </c>
      <c r="K93" s="47" t="s">
        <v>149</v>
      </c>
      <c r="S93" s="27">
        <v>3</v>
      </c>
      <c r="T93" s="27">
        <v>3</v>
      </c>
      <c r="U93" s="27">
        <v>8</v>
      </c>
      <c r="AA93" s="39" t="s">
        <v>251</v>
      </c>
    </row>
  </sheetData>
  <autoFilter ref="A1:AA93" xr:uid="{BF1C84BB-F2CC-42C6-A1BF-21ED272783E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Hedges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Cuauhtemoc Gonzalez Espinosa</dc:creator>
  <cp:lastModifiedBy>Pedro Cuauhtemoc Gonzalez Espinosa</cp:lastModifiedBy>
  <dcterms:created xsi:type="dcterms:W3CDTF">2022-07-12T20:22:16Z</dcterms:created>
  <dcterms:modified xsi:type="dcterms:W3CDTF">2023-08-09T16:32:04Z</dcterms:modified>
</cp:coreProperties>
</file>