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t\Desktop\"/>
    </mc:Choice>
  </mc:AlternateContent>
  <xr:revisionPtr revIDLastSave="0" documentId="8_{C11C1E5E-E147-4166-9598-B7C6ACF3B579}" xr6:coauthVersionLast="47" xr6:coauthVersionMax="47" xr10:uidLastSave="{00000000-0000-0000-0000-000000000000}"/>
  <bookViews>
    <workbookView xWindow="-120" yWindow="-120" windowWidth="29040" windowHeight="15840" xr2:uid="{71CF9B17-6173-455C-BFAE-72D50C5832A3}"/>
  </bookViews>
  <sheets>
    <sheet name="FS" sheetId="6" r:id="rId1"/>
    <sheet name="Notes" sheetId="4" r:id="rId2"/>
    <sheet name="Schedule" sheetId="5" r:id="rId3"/>
    <sheet name="Ratios" sheetId="8" r:id="rId4"/>
    <sheet name="Pricing" sheetId="2" r:id="rId5"/>
    <sheet name="Employee Schedule" sheetId="7" r:id="rId6"/>
    <sheet name="Reclass" sheetId="1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5" l="1"/>
  <c r="B16" i="4"/>
  <c r="F12" i="8"/>
  <c r="E12" i="8"/>
  <c r="D12" i="8"/>
  <c r="C12" i="8"/>
  <c r="B12" i="8"/>
  <c r="F8" i="8"/>
  <c r="E8" i="8"/>
  <c r="D8" i="8"/>
  <c r="C8" i="8"/>
  <c r="B8" i="8"/>
  <c r="F4" i="8"/>
  <c r="E4" i="8"/>
  <c r="D4" i="8"/>
  <c r="C4" i="8"/>
  <c r="B4" i="8"/>
  <c r="C76" i="6" l="1"/>
  <c r="D76" i="6" s="1"/>
  <c r="E76" i="6" s="1"/>
  <c r="F76" i="6" s="1"/>
  <c r="G76" i="6" s="1"/>
  <c r="B25" i="4"/>
  <c r="C84" i="6"/>
  <c r="F122" i="5"/>
  <c r="E122" i="5"/>
  <c r="D122" i="5"/>
  <c r="C122" i="5"/>
  <c r="B122" i="5"/>
  <c r="C120" i="5"/>
  <c r="D120" i="5" s="1"/>
  <c r="E120" i="5" s="1"/>
  <c r="F120" i="5" s="1"/>
  <c r="D62" i="5"/>
  <c r="E62" i="5" s="1"/>
  <c r="F62" i="5" s="1"/>
  <c r="C62" i="5"/>
  <c r="B51" i="4"/>
  <c r="C51" i="4" s="1"/>
  <c r="D51" i="4" s="1"/>
  <c r="E51" i="4" s="1"/>
  <c r="F51" i="4" s="1"/>
  <c r="B30" i="4"/>
  <c r="F28" i="4"/>
  <c r="E28" i="4"/>
  <c r="D28" i="4"/>
  <c r="C28" i="4"/>
  <c r="F27" i="4"/>
  <c r="E27" i="4"/>
  <c r="D27" i="4"/>
  <c r="C27" i="4"/>
  <c r="B27" i="4"/>
  <c r="B18" i="4"/>
  <c r="C18" i="4" s="1"/>
  <c r="D18" i="4" s="1"/>
  <c r="E18" i="4" s="1"/>
  <c r="F18" i="4" s="1"/>
  <c r="B26" i="7"/>
  <c r="B27" i="7"/>
  <c r="D27" i="7" s="1"/>
  <c r="F27" i="7" s="1"/>
  <c r="H27" i="7" s="1"/>
  <c r="B11" i="7"/>
  <c r="E11" i="7" s="1"/>
  <c r="B12" i="7"/>
  <c r="D12" i="7" s="1"/>
  <c r="E13" i="7"/>
  <c r="E19" i="7"/>
  <c r="D19" i="7"/>
  <c r="D28" i="7"/>
  <c r="B13" i="7"/>
  <c r="D13" i="7" s="1"/>
  <c r="B28" i="7"/>
  <c r="E28" i="7" s="1"/>
  <c r="E27" i="7"/>
  <c r="B25" i="7"/>
  <c r="B24" i="7"/>
  <c r="B23" i="7"/>
  <c r="D23" i="7" s="1"/>
  <c r="B22" i="7"/>
  <c r="E22" i="7" s="1"/>
  <c r="B21" i="7"/>
  <c r="D21" i="7" s="1"/>
  <c r="B20" i="7"/>
  <c r="E20" i="7" s="1"/>
  <c r="B19" i="7"/>
  <c r="E12" i="7" l="1"/>
  <c r="F13" i="7"/>
  <c r="D26" i="7"/>
  <c r="F26" i="7" s="1"/>
  <c r="H26" i="7" s="1"/>
  <c r="E26" i="7"/>
  <c r="D20" i="7"/>
  <c r="D11" i="7"/>
  <c r="F11" i="7" s="1"/>
  <c r="F20" i="7"/>
  <c r="G20" i="7" s="1"/>
  <c r="H20" i="7" s="1"/>
  <c r="F12" i="7"/>
  <c r="F28" i="7"/>
  <c r="H28" i="7" s="1"/>
  <c r="E24" i="7"/>
  <c r="E25" i="7"/>
  <c r="E21" i="7"/>
  <c r="F21" i="7" s="1"/>
  <c r="H21" i="7" s="1"/>
  <c r="D22" i="7"/>
  <c r="F22" i="7"/>
  <c r="H22" i="7" s="1"/>
  <c r="E23" i="7"/>
  <c r="F23" i="7" s="1"/>
  <c r="H23" i="7" s="1"/>
  <c r="D24" i="7"/>
  <c r="F24" i="7" s="1"/>
  <c r="H24" i="7" s="1"/>
  <c r="D25" i="7"/>
  <c r="F25" i="7" l="1"/>
  <c r="H25" i="7" s="1"/>
  <c r="B10" i="7" l="1"/>
  <c r="B9" i="7"/>
  <c r="B8" i="7"/>
  <c r="B7" i="7"/>
  <c r="B6" i="7"/>
  <c r="B5" i="7"/>
  <c r="B4" i="7"/>
  <c r="E29" i="7"/>
  <c r="D29" i="7"/>
  <c r="C29" i="7"/>
  <c r="B29" i="7"/>
  <c r="F19" i="7"/>
  <c r="G19" i="7" s="1"/>
  <c r="G29" i="7" s="1"/>
  <c r="C14" i="7"/>
  <c r="B36" i="4" s="1"/>
  <c r="B64" i="4" l="1"/>
  <c r="C36" i="4"/>
  <c r="D6" i="7"/>
  <c r="E6" i="7"/>
  <c r="E7" i="7"/>
  <c r="D7" i="7"/>
  <c r="F7" i="7" s="1"/>
  <c r="E8" i="7"/>
  <c r="D8" i="7"/>
  <c r="F8" i="7" s="1"/>
  <c r="E10" i="7"/>
  <c r="D10" i="7"/>
  <c r="F10" i="7" s="1"/>
  <c r="E9" i="7"/>
  <c r="D9" i="7"/>
  <c r="F9" i="7" s="1"/>
  <c r="E5" i="7"/>
  <c r="D5" i="7"/>
  <c r="F5" i="7" s="1"/>
  <c r="D4" i="7"/>
  <c r="E4" i="7"/>
  <c r="B14" i="7"/>
  <c r="F29" i="7"/>
  <c r="H19" i="7"/>
  <c r="H29" i="7" s="1"/>
  <c r="B35" i="4" s="1"/>
  <c r="C35" i="4" l="1"/>
  <c r="B63" i="4"/>
  <c r="D36" i="4"/>
  <c r="C64" i="4"/>
  <c r="E14" i="7"/>
  <c r="B38" i="4" s="1"/>
  <c r="F4" i="7"/>
  <c r="D14" i="7"/>
  <c r="B37" i="4" s="1"/>
  <c r="F6" i="7"/>
  <c r="C85" i="6"/>
  <c r="G22" i="6"/>
  <c r="C37" i="4" l="1"/>
  <c r="B65" i="4"/>
  <c r="C38" i="4"/>
  <c r="B66" i="4"/>
  <c r="E36" i="4"/>
  <c r="D64" i="4"/>
  <c r="B39" i="4"/>
  <c r="C9" i="6" s="1"/>
  <c r="D35" i="4"/>
  <c r="C63" i="4"/>
  <c r="C39" i="4"/>
  <c r="D9" i="6" s="1"/>
  <c r="F14" i="7"/>
  <c r="E35" i="4" l="1"/>
  <c r="D63" i="4"/>
  <c r="F36" i="4"/>
  <c r="F64" i="4" s="1"/>
  <c r="E64" i="4"/>
  <c r="D38" i="4"/>
  <c r="C66" i="4"/>
  <c r="C65" i="4"/>
  <c r="D37" i="4"/>
  <c r="B21" i="5"/>
  <c r="B20" i="5"/>
  <c r="B19" i="5"/>
  <c r="D19" i="5" s="1"/>
  <c r="E19" i="5" s="1"/>
  <c r="B18" i="5"/>
  <c r="B149" i="1"/>
  <c r="C112" i="5"/>
  <c r="D112" i="5" s="1"/>
  <c r="E112" i="5" s="1"/>
  <c r="F112" i="5" s="1"/>
  <c r="C90" i="5"/>
  <c r="D90" i="5" s="1"/>
  <c r="C99" i="5"/>
  <c r="D99" i="5" s="1"/>
  <c r="E99" i="5" s="1"/>
  <c r="F99" i="5" s="1"/>
  <c r="B108" i="5"/>
  <c r="B28" i="4" s="1"/>
  <c r="C80" i="5"/>
  <c r="D80" i="5" s="1"/>
  <c r="E80" i="5" s="1"/>
  <c r="F80" i="5" s="1"/>
  <c r="C71" i="5"/>
  <c r="D71" i="5" s="1"/>
  <c r="E71" i="5" s="1"/>
  <c r="F71" i="5" s="1"/>
  <c r="C56" i="5"/>
  <c r="D56" i="5" s="1"/>
  <c r="E56" i="5" s="1"/>
  <c r="F56" i="5" s="1"/>
  <c r="O11" i="5"/>
  <c r="Q11" i="5" s="1"/>
  <c r="O10" i="5"/>
  <c r="Q10" i="5" s="1"/>
  <c r="O9" i="5"/>
  <c r="Q9" i="5" s="1"/>
  <c r="R9" i="5" s="1"/>
  <c r="O8" i="5"/>
  <c r="Q8" i="5" s="1"/>
  <c r="O7" i="5"/>
  <c r="Q7" i="5" s="1"/>
  <c r="O6" i="5"/>
  <c r="Q6" i="5" s="1"/>
  <c r="O5" i="5"/>
  <c r="Q5" i="5" s="1"/>
  <c r="O4" i="5"/>
  <c r="Q4" i="5" s="1"/>
  <c r="O3" i="5"/>
  <c r="M11" i="5"/>
  <c r="M10" i="5"/>
  <c r="M9" i="5"/>
  <c r="M8" i="5"/>
  <c r="M7" i="5"/>
  <c r="N7" i="5" s="1"/>
  <c r="M6" i="5"/>
  <c r="M5" i="5"/>
  <c r="N5" i="5" s="1"/>
  <c r="M4" i="5"/>
  <c r="M3" i="5"/>
  <c r="R50" i="5"/>
  <c r="L50" i="5"/>
  <c r="R49" i="5"/>
  <c r="M49" i="5"/>
  <c r="R48" i="5"/>
  <c r="M48" i="5"/>
  <c r="B84" i="5"/>
  <c r="B86" i="5" s="1"/>
  <c r="C82" i="5"/>
  <c r="D82" i="5" s="1"/>
  <c r="E82" i="5" s="1"/>
  <c r="F82" i="5" s="1"/>
  <c r="C81" i="5"/>
  <c r="D81" i="5" s="1"/>
  <c r="F74" i="5"/>
  <c r="F76" i="5" s="1"/>
  <c r="F26" i="4" s="1"/>
  <c r="E74" i="5"/>
  <c r="E76" i="5" s="1"/>
  <c r="E26" i="4" s="1"/>
  <c r="D74" i="5"/>
  <c r="D76" i="5" s="1"/>
  <c r="D26" i="4" s="1"/>
  <c r="C74" i="5"/>
  <c r="C76" i="5" s="1"/>
  <c r="C26" i="4" s="1"/>
  <c r="B74" i="5"/>
  <c r="B76" i="5" s="1"/>
  <c r="B26" i="4" s="1"/>
  <c r="C47" i="5"/>
  <c r="D47" i="5" s="1"/>
  <c r="E47" i="5" s="1"/>
  <c r="F47" i="5" s="1"/>
  <c r="B39" i="5"/>
  <c r="D38" i="5"/>
  <c r="E38" i="5" s="1"/>
  <c r="D37" i="5"/>
  <c r="E37" i="5" s="1"/>
  <c r="D36" i="5"/>
  <c r="E36" i="5" s="1"/>
  <c r="D35" i="5"/>
  <c r="E35" i="5" s="1"/>
  <c r="D34" i="5"/>
  <c r="E34" i="5" s="1"/>
  <c r="D33" i="5"/>
  <c r="B31" i="5"/>
  <c r="D30" i="5"/>
  <c r="E30" i="5" s="1"/>
  <c r="D29" i="5"/>
  <c r="E29" i="5" s="1"/>
  <c r="D28" i="5"/>
  <c r="E28" i="5" s="1"/>
  <c r="D27" i="5"/>
  <c r="E27" i="5" s="1"/>
  <c r="D24" i="5"/>
  <c r="E24" i="5" s="1"/>
  <c r="D23" i="5"/>
  <c r="E23" i="5" s="1"/>
  <c r="D22" i="5"/>
  <c r="E22" i="5" s="1"/>
  <c r="D21" i="5"/>
  <c r="E21" i="5" s="1"/>
  <c r="D20" i="5"/>
  <c r="E20" i="5" s="1"/>
  <c r="B16" i="5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B16" i="1"/>
  <c r="B25" i="1"/>
  <c r="B31" i="1"/>
  <c r="B39" i="1"/>
  <c r="D38" i="1"/>
  <c r="E38" i="1" s="1"/>
  <c r="D37" i="1"/>
  <c r="E37" i="1" s="1"/>
  <c r="D36" i="1"/>
  <c r="E3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198" i="1"/>
  <c r="D197" i="1"/>
  <c r="D196" i="1"/>
  <c r="D195" i="1"/>
  <c r="D194" i="1"/>
  <c r="D193" i="1"/>
  <c r="D192" i="1"/>
  <c r="B188" i="1"/>
  <c r="B94" i="5" s="1"/>
  <c r="B92" i="1"/>
  <c r="B110" i="1"/>
  <c r="B127" i="1"/>
  <c r="E37" i="4" l="1"/>
  <c r="D65" i="4"/>
  <c r="E38" i="4"/>
  <c r="D66" i="4"/>
  <c r="D39" i="4"/>
  <c r="E9" i="6" s="1"/>
  <c r="E63" i="4"/>
  <c r="F35" i="4"/>
  <c r="E39" i="4"/>
  <c r="F9" i="6" s="1"/>
  <c r="C94" i="5"/>
  <c r="B46" i="4"/>
  <c r="B24" i="4"/>
  <c r="B62" i="4" s="1"/>
  <c r="B19" i="4"/>
  <c r="C19" i="4" s="1"/>
  <c r="D19" i="4" s="1"/>
  <c r="E19" i="4" s="1"/>
  <c r="F19" i="4" s="1"/>
  <c r="B25" i="5"/>
  <c r="D18" i="5"/>
  <c r="E18" i="5" s="1"/>
  <c r="E25" i="5" s="1"/>
  <c r="F25" i="5" s="1"/>
  <c r="E90" i="5"/>
  <c r="Q3" i="5"/>
  <c r="Q12" i="5" s="1"/>
  <c r="R8" i="5"/>
  <c r="R4" i="5"/>
  <c r="D16" i="5"/>
  <c r="M50" i="5"/>
  <c r="M52" i="5" s="1"/>
  <c r="M54" i="5" s="1"/>
  <c r="B48" i="5" s="1"/>
  <c r="E4" i="5"/>
  <c r="E16" i="5" s="1"/>
  <c r="F16" i="5" s="1"/>
  <c r="D39" i="5"/>
  <c r="E31" i="5"/>
  <c r="F31" i="5" s="1"/>
  <c r="R7" i="5"/>
  <c r="N9" i="5"/>
  <c r="R6" i="5"/>
  <c r="N6" i="5"/>
  <c r="R10" i="5"/>
  <c r="R11" i="5"/>
  <c r="N4" i="5"/>
  <c r="N11" i="5"/>
  <c r="N8" i="5"/>
  <c r="R5" i="5"/>
  <c r="N10" i="5"/>
  <c r="R51" i="5"/>
  <c r="R53" i="5" s="1"/>
  <c r="R55" i="5" s="1"/>
  <c r="E81" i="5"/>
  <c r="D84" i="5"/>
  <c r="D86" i="5" s="1"/>
  <c r="D24" i="4" s="1"/>
  <c r="D62" i="4" s="1"/>
  <c r="C84" i="5"/>
  <c r="C86" i="5" s="1"/>
  <c r="C24" i="4" s="1"/>
  <c r="C62" i="4" s="1"/>
  <c r="D25" i="5"/>
  <c r="D31" i="5"/>
  <c r="E33" i="5"/>
  <c r="E39" i="5" s="1"/>
  <c r="B54" i="4" s="1"/>
  <c r="C54" i="4" s="1"/>
  <c r="D54" i="4" s="1"/>
  <c r="E54" i="4" s="1"/>
  <c r="F54" i="4" s="1"/>
  <c r="B40" i="1"/>
  <c r="D199" i="1"/>
  <c r="F199" i="1" s="1"/>
  <c r="F63" i="4" l="1"/>
  <c r="F38" i="4"/>
  <c r="F66" i="4" s="1"/>
  <c r="E66" i="4"/>
  <c r="F37" i="4"/>
  <c r="F65" i="4" s="1"/>
  <c r="E65" i="4"/>
  <c r="D94" i="5"/>
  <c r="C46" i="4"/>
  <c r="B52" i="4"/>
  <c r="B53" i="4"/>
  <c r="C53" i="4" s="1"/>
  <c r="D53" i="4" s="1"/>
  <c r="E53" i="4" s="1"/>
  <c r="F53" i="4" s="1"/>
  <c r="C48" i="5"/>
  <c r="B4" i="4"/>
  <c r="B40" i="5"/>
  <c r="F90" i="5"/>
  <c r="D40" i="5"/>
  <c r="R3" i="5"/>
  <c r="R12" i="5" s="1"/>
  <c r="B49" i="5" s="1"/>
  <c r="M12" i="5"/>
  <c r="N3" i="5"/>
  <c r="N12" i="5" s="1"/>
  <c r="F39" i="5"/>
  <c r="F40" i="5" s="1"/>
  <c r="C25" i="4" s="1"/>
  <c r="D25" i="4" s="1"/>
  <c r="E25" i="4" s="1"/>
  <c r="F25" i="4" s="1"/>
  <c r="E40" i="5"/>
  <c r="F81" i="5"/>
  <c r="F84" i="5" s="1"/>
  <c r="F86" i="5" s="1"/>
  <c r="F24" i="4" s="1"/>
  <c r="F62" i="4" s="1"/>
  <c r="E84" i="5"/>
  <c r="E86" i="5" s="1"/>
  <c r="E24" i="4" s="1"/>
  <c r="E62" i="4" s="1"/>
  <c r="F39" i="4" l="1"/>
  <c r="G9" i="6" s="1"/>
  <c r="D48" i="5"/>
  <c r="C4" i="4"/>
  <c r="C49" i="5"/>
  <c r="C5" i="4" s="1"/>
  <c r="B5" i="4"/>
  <c r="B6" i="4" s="1"/>
  <c r="B7" i="4" s="1"/>
  <c r="C52" i="4"/>
  <c r="B55" i="4"/>
  <c r="C57" i="6" s="1"/>
  <c r="B14" i="4"/>
  <c r="B113" i="5"/>
  <c r="E94" i="5"/>
  <c r="D46" i="4"/>
  <c r="B50" i="5"/>
  <c r="B8" i="4" l="1"/>
  <c r="C4" i="6" s="1"/>
  <c r="B63" i="5"/>
  <c r="D52" i="4"/>
  <c r="C55" i="4"/>
  <c r="D57" i="6" s="1"/>
  <c r="B114" i="5"/>
  <c r="C14" i="4"/>
  <c r="D14" i="4" s="1"/>
  <c r="E14" i="4" s="1"/>
  <c r="F14" i="4" s="1"/>
  <c r="B15" i="4"/>
  <c r="C50" i="5"/>
  <c r="C51" i="5" s="1"/>
  <c r="C52" i="5" s="1"/>
  <c r="D49" i="5"/>
  <c r="D5" i="4" s="1"/>
  <c r="C6" i="4"/>
  <c r="C7" i="4" s="1"/>
  <c r="F94" i="5"/>
  <c r="F46" i="4" s="1"/>
  <c r="E46" i="4"/>
  <c r="D4" i="4"/>
  <c r="E48" i="5"/>
  <c r="L98" i="5"/>
  <c r="B51" i="5"/>
  <c r="B52" i="5" s="1"/>
  <c r="B115" i="5" l="1"/>
  <c r="B64" i="5"/>
  <c r="B65" i="5"/>
  <c r="B59" i="4" s="1"/>
  <c r="C8" i="4"/>
  <c r="D4" i="6" s="1"/>
  <c r="C63" i="5"/>
  <c r="E49" i="5"/>
  <c r="E5" i="4" s="1"/>
  <c r="B17" i="4"/>
  <c r="B20" i="4" s="1"/>
  <c r="C5" i="6" s="1"/>
  <c r="C6" i="6" s="1"/>
  <c r="B3" i="8" s="1"/>
  <c r="B5" i="8" s="1"/>
  <c r="E4" i="4"/>
  <c r="E6" i="4" s="1"/>
  <c r="E7" i="4" s="1"/>
  <c r="F48" i="5"/>
  <c r="F4" i="4" s="1"/>
  <c r="D50" i="5"/>
  <c r="D51" i="5" s="1"/>
  <c r="D52" i="5" s="1"/>
  <c r="C114" i="5"/>
  <c r="C64" i="5" s="1"/>
  <c r="D113" i="5"/>
  <c r="D6" i="4"/>
  <c r="E52" i="4"/>
  <c r="D55" i="4"/>
  <c r="E57" i="6" s="1"/>
  <c r="E50" i="5" l="1"/>
  <c r="E51" i="5" s="1"/>
  <c r="E52" i="5" s="1"/>
  <c r="C65" i="5"/>
  <c r="C59" i="4" s="1"/>
  <c r="F49" i="5"/>
  <c r="C115" i="5"/>
  <c r="E8" i="4"/>
  <c r="F4" i="6" s="1"/>
  <c r="E63" i="5"/>
  <c r="C13" i="4"/>
  <c r="C15" i="4" s="1"/>
  <c r="C16" i="4" s="1"/>
  <c r="C53" i="6"/>
  <c r="C79" i="6" s="1"/>
  <c r="E113" i="5"/>
  <c r="D114" i="5"/>
  <c r="D64" i="5" s="1"/>
  <c r="F52" i="4"/>
  <c r="F55" i="4" s="1"/>
  <c r="G57" i="6" s="1"/>
  <c r="E55" i="4"/>
  <c r="F57" i="6" s="1"/>
  <c r="D7" i="4"/>
  <c r="F50" i="5"/>
  <c r="F51" i="5" s="1"/>
  <c r="F52" i="5" s="1"/>
  <c r="F5" i="4"/>
  <c r="F6" i="4" s="1"/>
  <c r="F7" i="4" s="1"/>
  <c r="B161" i="1"/>
  <c r="B176" i="1" s="1"/>
  <c r="B93" i="5" s="1"/>
  <c r="E176" i="1"/>
  <c r="B143" i="1"/>
  <c r="B91" i="5" s="1"/>
  <c r="B43" i="4" s="1"/>
  <c r="D118" i="1"/>
  <c r="B118" i="1"/>
  <c r="B151" i="1"/>
  <c r="B157" i="1" s="1"/>
  <c r="B92" i="5" s="1"/>
  <c r="D157" i="1"/>
  <c r="E154" i="1"/>
  <c r="F154" i="1" s="1"/>
  <c r="E153" i="1"/>
  <c r="F153" i="1" s="1"/>
  <c r="E150" i="1"/>
  <c r="F150" i="1" s="1"/>
  <c r="E149" i="1"/>
  <c r="F149" i="1" s="1"/>
  <c r="D35" i="1"/>
  <c r="E35" i="1" s="1"/>
  <c r="D34" i="1"/>
  <c r="E34" i="1" s="1"/>
  <c r="D33" i="1"/>
  <c r="D30" i="1"/>
  <c r="E30" i="1" s="1"/>
  <c r="D29" i="1"/>
  <c r="E29" i="1" s="1"/>
  <c r="D28" i="1"/>
  <c r="E28" i="1" s="1"/>
  <c r="D27" i="1"/>
  <c r="D31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D18" i="1"/>
  <c r="E18" i="1" s="1"/>
  <c r="D6" i="1"/>
  <c r="E6" i="1" s="1"/>
  <c r="D5" i="1"/>
  <c r="E5" i="1" s="1"/>
  <c r="D4" i="1"/>
  <c r="C47" i="1"/>
  <c r="D47" i="1" s="1"/>
  <c r="E47" i="1" s="1"/>
  <c r="F47" i="1" s="1"/>
  <c r="C82" i="1"/>
  <c r="D82" i="1" s="1"/>
  <c r="E82" i="1" s="1"/>
  <c r="F82" i="1" s="1"/>
  <c r="B74" i="1"/>
  <c r="B76" i="1" s="1"/>
  <c r="C72" i="1"/>
  <c r="D72" i="1" s="1"/>
  <c r="E72" i="1" s="1"/>
  <c r="F72" i="1" s="1"/>
  <c r="C71" i="1"/>
  <c r="D71" i="1" s="1"/>
  <c r="E71" i="1" s="1"/>
  <c r="F71" i="1" s="1"/>
  <c r="C70" i="1"/>
  <c r="D70" i="1" s="1"/>
  <c r="E70" i="1" s="1"/>
  <c r="F70" i="1" s="1"/>
  <c r="F64" i="1"/>
  <c r="F66" i="1" s="1"/>
  <c r="E64" i="1"/>
  <c r="E66" i="1" s="1"/>
  <c r="D64" i="1"/>
  <c r="D66" i="1" s="1"/>
  <c r="C64" i="1"/>
  <c r="C66" i="1" s="1"/>
  <c r="B64" i="1"/>
  <c r="B66" i="1" s="1"/>
  <c r="C61" i="1"/>
  <c r="D61" i="1" s="1"/>
  <c r="E61" i="1" s="1"/>
  <c r="F61" i="1" s="1"/>
  <c r="D16" i="2"/>
  <c r="B16" i="2"/>
  <c r="D13" i="2"/>
  <c r="D12" i="2"/>
  <c r="D11" i="2"/>
  <c r="D10" i="2"/>
  <c r="D9" i="2"/>
  <c r="D8" i="2"/>
  <c r="D7" i="2"/>
  <c r="C13" i="2"/>
  <c r="C12" i="2"/>
  <c r="C11" i="2"/>
  <c r="C10" i="2"/>
  <c r="C9" i="2"/>
  <c r="C8" i="2"/>
  <c r="C7" i="2"/>
  <c r="F6" i="2"/>
  <c r="E6" i="2"/>
  <c r="D6" i="2"/>
  <c r="C6" i="2"/>
  <c r="C5" i="2"/>
  <c r="D5" i="2" s="1"/>
  <c r="C56" i="1"/>
  <c r="D56" i="1" s="1"/>
  <c r="E56" i="1" s="1"/>
  <c r="F56" i="1" s="1"/>
  <c r="Q50" i="1"/>
  <c r="Q49" i="1"/>
  <c r="Q48" i="1"/>
  <c r="K50" i="1"/>
  <c r="L49" i="1"/>
  <c r="L48" i="1"/>
  <c r="D115" i="5" l="1"/>
  <c r="D13" i="4"/>
  <c r="D15" i="4" s="1"/>
  <c r="D16" i="4" s="1"/>
  <c r="D53" i="6"/>
  <c r="D79" i="6" s="1"/>
  <c r="D8" i="4"/>
  <c r="E4" i="6" s="1"/>
  <c r="D63" i="5"/>
  <c r="D65" i="5" s="1"/>
  <c r="D59" i="4" s="1"/>
  <c r="F8" i="4"/>
  <c r="G4" i="6" s="1"/>
  <c r="F63" i="5"/>
  <c r="C17" i="4"/>
  <c r="C20" i="4" s="1"/>
  <c r="D5" i="6" s="1"/>
  <c r="D6" i="6" s="1"/>
  <c r="C3" i="8" s="1"/>
  <c r="C5" i="8" s="1"/>
  <c r="C92" i="5"/>
  <c r="B44" i="4"/>
  <c r="C93" i="5"/>
  <c r="B45" i="4"/>
  <c r="F113" i="5"/>
  <c r="E114" i="5"/>
  <c r="E33" i="1"/>
  <c r="E39" i="1" s="1"/>
  <c r="D39" i="1"/>
  <c r="E4" i="1"/>
  <c r="E16" i="1" s="1"/>
  <c r="F16" i="1" s="1"/>
  <c r="D16" i="1"/>
  <c r="C91" i="5"/>
  <c r="C43" i="4" s="1"/>
  <c r="B95" i="5"/>
  <c r="B29" i="4" s="1"/>
  <c r="F39" i="1"/>
  <c r="D25" i="1"/>
  <c r="E19" i="1"/>
  <c r="E25" i="1" s="1"/>
  <c r="F25" i="1" s="1"/>
  <c r="E27" i="1"/>
  <c r="E31" i="1" s="1"/>
  <c r="F31" i="1" s="1"/>
  <c r="F74" i="1"/>
  <c r="F76" i="1" s="1"/>
  <c r="L50" i="1"/>
  <c r="L52" i="1" s="1"/>
  <c r="L54" i="1" s="1"/>
  <c r="B48" i="1" s="1"/>
  <c r="C48" i="1" s="1"/>
  <c r="D48" i="1" s="1"/>
  <c r="E48" i="1" s="1"/>
  <c r="F48" i="1" s="1"/>
  <c r="E74" i="1"/>
  <c r="E76" i="1" s="1"/>
  <c r="C74" i="1"/>
  <c r="C76" i="1" s="1"/>
  <c r="D74" i="1"/>
  <c r="D76" i="1" s="1"/>
  <c r="Q51" i="1"/>
  <c r="Q53" i="1" s="1"/>
  <c r="Q55" i="1" s="1"/>
  <c r="B49" i="1" s="1"/>
  <c r="C49" i="1" s="1"/>
  <c r="D49" i="1" s="1"/>
  <c r="E5" i="2"/>
  <c r="F5" i="2" s="1"/>
  <c r="E115" i="5" l="1"/>
  <c r="E64" i="5"/>
  <c r="E65" i="5" s="1"/>
  <c r="E59" i="4" s="1"/>
  <c r="E13" i="4"/>
  <c r="E15" i="4" s="1"/>
  <c r="E16" i="4" s="1"/>
  <c r="E53" i="6"/>
  <c r="E79" i="6" s="1"/>
  <c r="D17" i="4"/>
  <c r="D20" i="4" s="1"/>
  <c r="E5" i="6" s="1"/>
  <c r="E6" i="6" s="1"/>
  <c r="D3" i="8" s="1"/>
  <c r="D5" i="8" s="1"/>
  <c r="D93" i="5"/>
  <c r="C45" i="4"/>
  <c r="C29" i="4"/>
  <c r="B31" i="4"/>
  <c r="C8" i="6" s="1"/>
  <c r="C10" i="6" s="1"/>
  <c r="B7" i="8" s="1"/>
  <c r="B9" i="8" s="1"/>
  <c r="F114" i="5"/>
  <c r="B47" i="4"/>
  <c r="C54" i="6" s="1"/>
  <c r="C80" i="6" s="1"/>
  <c r="D92" i="5"/>
  <c r="C44" i="4"/>
  <c r="D91" i="5"/>
  <c r="D43" i="4" s="1"/>
  <c r="C95" i="5"/>
  <c r="D40" i="1"/>
  <c r="E40" i="1"/>
  <c r="F40" i="1"/>
  <c r="C50" i="1"/>
  <c r="B50" i="1"/>
  <c r="E49" i="1"/>
  <c r="D50" i="1"/>
  <c r="F115" i="5" l="1"/>
  <c r="F64" i="5"/>
  <c r="F65" i="5" s="1"/>
  <c r="F59" i="4" s="1"/>
  <c r="F13" i="4"/>
  <c r="F15" i="4" s="1"/>
  <c r="F16" i="4" s="1"/>
  <c r="F53" i="6"/>
  <c r="F79" i="6" s="1"/>
  <c r="C47" i="4"/>
  <c r="D54" i="6" s="1"/>
  <c r="D80" i="6" s="1"/>
  <c r="C11" i="6"/>
  <c r="B60" i="4" s="1"/>
  <c r="E17" i="4"/>
  <c r="E20" i="4" s="1"/>
  <c r="F5" i="6" s="1"/>
  <c r="F6" i="6" s="1"/>
  <c r="E3" i="8" s="1"/>
  <c r="E5" i="8" s="1"/>
  <c r="D29" i="4"/>
  <c r="C31" i="4"/>
  <c r="D8" i="6" s="1"/>
  <c r="D10" i="6" s="1"/>
  <c r="E92" i="5"/>
  <c r="D44" i="4"/>
  <c r="E93" i="5"/>
  <c r="D45" i="4"/>
  <c r="E91" i="5"/>
  <c r="E43" i="4" s="1"/>
  <c r="D95" i="5"/>
  <c r="D51" i="1"/>
  <c r="D52" i="1" s="1"/>
  <c r="I59" i="1"/>
  <c r="I60" i="1" s="1"/>
  <c r="I61" i="1"/>
  <c r="B51" i="1"/>
  <c r="B52" i="1" s="1"/>
  <c r="F49" i="1"/>
  <c r="F50" i="1" s="1"/>
  <c r="E50" i="1"/>
  <c r="C51" i="1"/>
  <c r="C52" i="1" s="1"/>
  <c r="K59" i="1"/>
  <c r="D11" i="6" l="1"/>
  <c r="C7" i="8"/>
  <c r="C9" i="8" s="1"/>
  <c r="C12" i="6"/>
  <c r="C13" i="6" s="1"/>
  <c r="F17" i="4"/>
  <c r="F20" i="4" s="1"/>
  <c r="G5" i="6" s="1"/>
  <c r="G6" i="6" s="1"/>
  <c r="F3" i="8" s="1"/>
  <c r="F5" i="8" s="1"/>
  <c r="G53" i="6"/>
  <c r="G79" i="6" s="1"/>
  <c r="D12" i="6"/>
  <c r="D13" i="6" s="1"/>
  <c r="C60" i="4"/>
  <c r="C14" i="6"/>
  <c r="B11" i="8" s="1"/>
  <c r="B121" i="5"/>
  <c r="B123" i="5" s="1"/>
  <c r="B61" i="4" s="1"/>
  <c r="B67" i="4" s="1"/>
  <c r="C62" i="6" s="1"/>
  <c r="D47" i="4"/>
  <c r="E54" i="6" s="1"/>
  <c r="E80" i="6" s="1"/>
  <c r="E29" i="4"/>
  <c r="D31" i="4"/>
  <c r="E8" i="6" s="1"/>
  <c r="E10" i="6" s="1"/>
  <c r="F92" i="5"/>
  <c r="F44" i="4" s="1"/>
  <c r="E44" i="4"/>
  <c r="F93" i="5"/>
  <c r="F45" i="4" s="1"/>
  <c r="E45" i="4"/>
  <c r="F91" i="5"/>
  <c r="E95" i="5"/>
  <c r="E51" i="1"/>
  <c r="E52" i="1" s="1"/>
  <c r="F51" i="1"/>
  <c r="F52" i="1" s="1"/>
  <c r="E11" i="6" l="1"/>
  <c r="D7" i="8"/>
  <c r="D9" i="8" s="1"/>
  <c r="B13" i="8"/>
  <c r="B15" i="8"/>
  <c r="C77" i="6"/>
  <c r="B32" i="8"/>
  <c r="B36" i="8" s="1"/>
  <c r="B43" i="8" s="1"/>
  <c r="E12" i="6"/>
  <c r="E13" i="6" s="1"/>
  <c r="D60" i="4"/>
  <c r="G23" i="6"/>
  <c r="C74" i="6"/>
  <c r="C81" i="6" s="1"/>
  <c r="D14" i="6"/>
  <c r="C11" i="8" s="1"/>
  <c r="C121" i="5"/>
  <c r="C123" i="5" s="1"/>
  <c r="C61" i="4" s="1"/>
  <c r="C67" i="4" s="1"/>
  <c r="D62" i="6" s="1"/>
  <c r="F95" i="5"/>
  <c r="F43" i="4"/>
  <c r="F47" i="4"/>
  <c r="G54" i="6" s="1"/>
  <c r="E47" i="4"/>
  <c r="F54" i="6" s="1"/>
  <c r="F80" i="6" s="1"/>
  <c r="F29" i="4"/>
  <c r="F31" i="4" s="1"/>
  <c r="G8" i="6" s="1"/>
  <c r="G10" i="6" s="1"/>
  <c r="E31" i="4"/>
  <c r="F8" i="6" s="1"/>
  <c r="F10" i="6" s="1"/>
  <c r="E7" i="8" s="1"/>
  <c r="E9" i="8" s="1"/>
  <c r="D77" i="6" l="1"/>
  <c r="C32" i="8"/>
  <c r="C36" i="8" s="1"/>
  <c r="C43" i="8" s="1"/>
  <c r="G11" i="6"/>
  <c r="F7" i="8"/>
  <c r="F9" i="8" s="1"/>
  <c r="B19" i="8"/>
  <c r="C13" i="8"/>
  <c r="C15" i="8"/>
  <c r="B47" i="8"/>
  <c r="C91" i="6"/>
  <c r="C93" i="6" s="1"/>
  <c r="G80" i="6"/>
  <c r="E23" i="6"/>
  <c r="E24" i="6" s="1"/>
  <c r="E26" i="6" s="1"/>
  <c r="F23" i="6"/>
  <c r="F24" i="6" s="1"/>
  <c r="F26" i="6" s="1"/>
  <c r="D23" i="6"/>
  <c r="D24" i="6" s="1"/>
  <c r="D26" i="6" s="1"/>
  <c r="C23" i="6"/>
  <c r="C24" i="6" s="1"/>
  <c r="C26" i="6" s="1"/>
  <c r="B23" i="6"/>
  <c r="B24" i="6" s="1"/>
  <c r="B26" i="6" s="1"/>
  <c r="G24" i="6"/>
  <c r="G12" i="6"/>
  <c r="G13" i="6" s="1"/>
  <c r="F60" i="4"/>
  <c r="D74" i="6"/>
  <c r="D81" i="6" s="1"/>
  <c r="D91" i="6" s="1"/>
  <c r="G28" i="6"/>
  <c r="F11" i="6"/>
  <c r="E60" i="4" s="1"/>
  <c r="E14" i="6"/>
  <c r="D11" i="8" s="1"/>
  <c r="D121" i="5"/>
  <c r="D123" i="5" s="1"/>
  <c r="D61" i="4" s="1"/>
  <c r="D67" i="4" s="1"/>
  <c r="E62" i="6" s="1"/>
  <c r="F12" i="6" l="1"/>
  <c r="F13" i="6" s="1"/>
  <c r="C19" i="8"/>
  <c r="C23" i="8" s="1"/>
  <c r="B23" i="8"/>
  <c r="C47" i="8"/>
  <c r="E77" i="6"/>
  <c r="D32" i="8"/>
  <c r="D36" i="8" s="1"/>
  <c r="D43" i="8" s="1"/>
  <c r="D13" i="8"/>
  <c r="D15" i="8"/>
  <c r="C52" i="6"/>
  <c r="B35" i="8" s="1"/>
  <c r="B37" i="8" s="1"/>
  <c r="D92" i="6"/>
  <c r="D93" i="6" s="1"/>
  <c r="C28" i="6"/>
  <c r="C29" i="6" s="1"/>
  <c r="C31" i="6" s="1"/>
  <c r="F28" i="6"/>
  <c r="F29" i="6" s="1"/>
  <c r="F31" i="6" s="1"/>
  <c r="D28" i="6"/>
  <c r="D29" i="6" s="1"/>
  <c r="D31" i="6" s="1"/>
  <c r="E28" i="6"/>
  <c r="B28" i="6"/>
  <c r="B29" i="6" s="1"/>
  <c r="B31" i="6" s="1"/>
  <c r="C64" i="6"/>
  <c r="G26" i="6"/>
  <c r="G29" i="6" s="1"/>
  <c r="G33" i="6"/>
  <c r="E74" i="6"/>
  <c r="E81" i="6" s="1"/>
  <c r="E91" i="6" s="1"/>
  <c r="G14" i="6"/>
  <c r="F11" i="8" s="1"/>
  <c r="F121" i="5"/>
  <c r="F123" i="5" s="1"/>
  <c r="F61" i="4" s="1"/>
  <c r="F67" i="4" s="1"/>
  <c r="G62" i="6" s="1"/>
  <c r="F32" i="8" s="1"/>
  <c r="F36" i="8" s="1"/>
  <c r="F43" i="8" s="1"/>
  <c r="E121" i="5"/>
  <c r="E123" i="5" s="1"/>
  <c r="E61" i="4" s="1"/>
  <c r="E67" i="4" s="1"/>
  <c r="F62" i="6" s="1"/>
  <c r="E29" i="6"/>
  <c r="E31" i="6" s="1"/>
  <c r="C55" i="6" l="1"/>
  <c r="B31" i="8" s="1"/>
  <c r="B33" i="8" s="1"/>
  <c r="C58" i="6"/>
  <c r="F14" i="6"/>
  <c r="E11" i="8" s="1"/>
  <c r="F77" i="6"/>
  <c r="E32" i="8"/>
  <c r="E36" i="8" s="1"/>
  <c r="E43" i="8" s="1"/>
  <c r="D47" i="8"/>
  <c r="C65" i="6"/>
  <c r="C67" i="6" s="1"/>
  <c r="B20" i="8"/>
  <c r="F47" i="8"/>
  <c r="E13" i="8"/>
  <c r="E15" i="8"/>
  <c r="F15" i="8"/>
  <c r="F13" i="8"/>
  <c r="D19" i="8"/>
  <c r="B24" i="8"/>
  <c r="B44" i="8" s="1"/>
  <c r="B45" i="8" s="1"/>
  <c r="B16" i="8"/>
  <c r="B17" i="8" s="1"/>
  <c r="G77" i="6"/>
  <c r="C33" i="6"/>
  <c r="C34" i="6" s="1"/>
  <c r="C36" i="6" s="1"/>
  <c r="F33" i="6"/>
  <c r="F34" i="6" s="1"/>
  <c r="F36" i="6" s="1"/>
  <c r="D33" i="6"/>
  <c r="D34" i="6" s="1"/>
  <c r="D36" i="6" s="1"/>
  <c r="E33" i="6"/>
  <c r="E34" i="6" s="1"/>
  <c r="E36" i="6" s="1"/>
  <c r="B33" i="6"/>
  <c r="B34" i="6" s="1"/>
  <c r="B36" i="6" s="1"/>
  <c r="E92" i="6"/>
  <c r="E93" i="6" s="1"/>
  <c r="D52" i="6"/>
  <c r="C35" i="8" s="1"/>
  <c r="C37" i="8" s="1"/>
  <c r="D64" i="6"/>
  <c r="G31" i="6"/>
  <c r="G34" i="6" s="1"/>
  <c r="G43" i="6"/>
  <c r="G74" i="6"/>
  <c r="G38" i="6" l="1"/>
  <c r="F74" i="6"/>
  <c r="F81" i="6" s="1"/>
  <c r="F91" i="6" s="1"/>
  <c r="E19" i="8"/>
  <c r="B48" i="8"/>
  <c r="B49" i="8" s="1"/>
  <c r="B21" i="8"/>
  <c r="F19" i="8"/>
  <c r="B25" i="8"/>
  <c r="D65" i="6"/>
  <c r="C20" i="8"/>
  <c r="D23" i="8"/>
  <c r="E47" i="8"/>
  <c r="G81" i="6"/>
  <c r="G91" i="6" s="1"/>
  <c r="E52" i="6"/>
  <c r="D35" i="8" s="1"/>
  <c r="D37" i="8" s="1"/>
  <c r="F92" i="6"/>
  <c r="G36" i="6"/>
  <c r="G39" i="6" s="1"/>
  <c r="E64" i="6"/>
  <c r="C38" i="6"/>
  <c r="C39" i="6" s="1"/>
  <c r="C41" i="6" s="1"/>
  <c r="C44" i="6" s="1"/>
  <c r="F38" i="6"/>
  <c r="F39" i="6" s="1"/>
  <c r="F41" i="6" s="1"/>
  <c r="F44" i="6" s="1"/>
  <c r="D38" i="6"/>
  <c r="D39" i="6" s="1"/>
  <c r="D41" i="6" s="1"/>
  <c r="B38" i="6"/>
  <c r="B39" i="6" s="1"/>
  <c r="B41" i="6" s="1"/>
  <c r="E38" i="6"/>
  <c r="E39" i="6" s="1"/>
  <c r="E41" i="6" s="1"/>
  <c r="D58" i="6"/>
  <c r="D55" i="6"/>
  <c r="C31" i="8" s="1"/>
  <c r="C33" i="8" s="1"/>
  <c r="D43" i="6"/>
  <c r="B43" i="6"/>
  <c r="E43" i="6"/>
  <c r="C43" i="6"/>
  <c r="F43" i="6"/>
  <c r="F93" i="6" l="1"/>
  <c r="E65" i="6"/>
  <c r="D20" i="8"/>
  <c r="C21" i="8"/>
  <c r="C48" i="8"/>
  <c r="C49" i="8" s="1"/>
  <c r="F23" i="8"/>
  <c r="D67" i="6"/>
  <c r="D16" i="8"/>
  <c r="D17" i="8" s="1"/>
  <c r="C24" i="8"/>
  <c r="C16" i="8"/>
  <c r="C17" i="8" s="1"/>
  <c r="E44" i="6"/>
  <c r="E23" i="8"/>
  <c r="D44" i="6"/>
  <c r="G92" i="6"/>
  <c r="G93" i="6" s="1"/>
  <c r="G52" i="6" s="1"/>
  <c r="F35" i="8" s="1"/>
  <c r="F37" i="8" s="1"/>
  <c r="F52" i="6"/>
  <c r="E35" i="8" s="1"/>
  <c r="E37" i="8" s="1"/>
  <c r="E55" i="6"/>
  <c r="D31" i="8" s="1"/>
  <c r="D33" i="8" s="1"/>
  <c r="E58" i="6"/>
  <c r="F64" i="6"/>
  <c r="G41" i="6"/>
  <c r="G44" i="6" s="1"/>
  <c r="G64" i="6" s="1"/>
  <c r="B44" i="6"/>
  <c r="G65" i="6" l="1"/>
  <c r="F20" i="8"/>
  <c r="C44" i="8"/>
  <c r="C45" i="8" s="1"/>
  <c r="C25" i="8"/>
  <c r="E67" i="6"/>
  <c r="E16" i="8"/>
  <c r="E17" i="8" s="1"/>
  <c r="D24" i="8"/>
  <c r="D48" i="8"/>
  <c r="D49" i="8" s="1"/>
  <c r="D21" i="8"/>
  <c r="F65" i="6"/>
  <c r="F67" i="6" s="1"/>
  <c r="E20" i="8"/>
  <c r="F55" i="6"/>
  <c r="E31" i="8" s="1"/>
  <c r="E33" i="8" s="1"/>
  <c r="F58" i="6"/>
  <c r="G55" i="6"/>
  <c r="F31" i="8" s="1"/>
  <c r="F33" i="8" s="1"/>
  <c r="G58" i="6"/>
  <c r="G67" i="6" l="1"/>
  <c r="F24" i="8"/>
  <c r="E48" i="8"/>
  <c r="E49" i="8" s="1"/>
  <c r="E21" i="8"/>
  <c r="F16" i="8"/>
  <c r="F17" i="8" s="1"/>
  <c r="E24" i="8"/>
  <c r="D25" i="8"/>
  <c r="D44" i="8"/>
  <c r="D45" i="8" s="1"/>
  <c r="F48" i="8"/>
  <c r="F49" i="8" s="1"/>
  <c r="F21" i="8"/>
  <c r="F44" i="8" l="1"/>
  <c r="F45" i="8" s="1"/>
  <c r="F25" i="8"/>
  <c r="E44" i="8"/>
  <c r="E45" i="8" s="1"/>
  <c r="E25" i="8"/>
</calcChain>
</file>

<file path=xl/sharedStrings.xml><?xml version="1.0" encoding="utf-8"?>
<sst xmlns="http://schemas.openxmlformats.org/spreadsheetml/2006/main" count="569" uniqueCount="363">
  <si>
    <t>Service</t>
  </si>
  <si>
    <t>Classic</t>
  </si>
  <si>
    <t>Styled</t>
  </si>
  <si>
    <t>Service Income</t>
  </si>
  <si>
    <t>Average Price</t>
  </si>
  <si>
    <t>No of Avail</t>
  </si>
  <si>
    <t>Total</t>
  </si>
  <si>
    <t xml:space="preserve">  x no. of working days</t>
  </si>
  <si>
    <t xml:space="preserve">  x no. of months</t>
  </si>
  <si>
    <t>Monthly Income</t>
  </si>
  <si>
    <t>Annual Income</t>
  </si>
  <si>
    <t>Projected Sales</t>
  </si>
  <si>
    <t>Dining Services</t>
  </si>
  <si>
    <t>Barbershop Services</t>
  </si>
  <si>
    <t>Gross Sales</t>
  </si>
  <si>
    <t>Dining</t>
  </si>
  <si>
    <t>Menu</t>
  </si>
  <si>
    <t>Pizza</t>
  </si>
  <si>
    <t>Fried Cauliflower</t>
  </si>
  <si>
    <t>Drinks</t>
  </si>
  <si>
    <t>Sales</t>
  </si>
  <si>
    <t>Barbershop 2022</t>
  </si>
  <si>
    <t>NET Sales</t>
  </si>
  <si>
    <t>Less: VAT Output 12%</t>
  </si>
  <si>
    <t>Advertising Expense</t>
  </si>
  <si>
    <t>Product Costing</t>
  </si>
  <si>
    <t>Pizza Tava</t>
  </si>
  <si>
    <t>Unit Cost</t>
  </si>
  <si>
    <t>Mark Up</t>
  </si>
  <si>
    <t>Add + VAT 12%</t>
  </si>
  <si>
    <t>Selling Price before VAT</t>
  </si>
  <si>
    <t>Selling Price After VAT</t>
  </si>
  <si>
    <t>Product Type</t>
  </si>
  <si>
    <t>Actual Selling Price</t>
  </si>
  <si>
    <t>CFC</t>
  </si>
  <si>
    <t>Lipton</t>
  </si>
  <si>
    <t>Bottled Water</t>
  </si>
  <si>
    <t>Pineapple Juice in Can</t>
  </si>
  <si>
    <t>C2 Iced Tea 325ml</t>
  </si>
  <si>
    <t>Coke In Can 330ml</t>
  </si>
  <si>
    <t>Sprite in Can 330ml</t>
  </si>
  <si>
    <t>Royal in Can 330ml</t>
  </si>
  <si>
    <t>Space Rental</t>
  </si>
  <si>
    <t>Rental Cost</t>
  </si>
  <si>
    <t xml:space="preserve"> x no. months</t>
  </si>
  <si>
    <t>Rent Expense before Taxes</t>
  </si>
  <si>
    <t>Rent Withheld</t>
  </si>
  <si>
    <t xml:space="preserve">  Withholding Tax</t>
  </si>
  <si>
    <t>Utility Cost</t>
  </si>
  <si>
    <t>Electricity</t>
  </si>
  <si>
    <t>Water</t>
  </si>
  <si>
    <t>Internet</t>
  </si>
  <si>
    <t>Total Monthly Cost</t>
  </si>
  <si>
    <t>2% standard</t>
  </si>
  <si>
    <t>Utility Expense</t>
  </si>
  <si>
    <t>Depreciation Schedule</t>
  </si>
  <si>
    <t>Item</t>
  </si>
  <si>
    <t>Cost</t>
  </si>
  <si>
    <t>Useful Life</t>
  </si>
  <si>
    <t>Monthly</t>
  </si>
  <si>
    <t>Annual</t>
  </si>
  <si>
    <t>Net Annual</t>
  </si>
  <si>
    <t>A. Furnitures and Fixtures</t>
  </si>
  <si>
    <t xml:space="preserve">   Subtotal</t>
  </si>
  <si>
    <t>Hair Clipper</t>
  </si>
  <si>
    <t>Hair Trimmer</t>
  </si>
  <si>
    <t>Short Blade scissors</t>
  </si>
  <si>
    <t>Hair Shears</t>
  </si>
  <si>
    <t>Folding Shaver</t>
  </si>
  <si>
    <t>Hair Blower</t>
  </si>
  <si>
    <t>Chair</t>
  </si>
  <si>
    <t>Towel</t>
  </si>
  <si>
    <t>Tissue</t>
  </si>
  <si>
    <t>Brush</t>
  </si>
  <si>
    <t>Bottle Spray</t>
  </si>
  <si>
    <t>Dust Brush</t>
  </si>
  <si>
    <t>Comb Set</t>
  </si>
  <si>
    <t>Powder</t>
  </si>
  <si>
    <t>Clip</t>
  </si>
  <si>
    <t>Mirror</t>
  </si>
  <si>
    <t>Shampoo Chair</t>
  </si>
  <si>
    <t>Hair cutting cape</t>
  </si>
  <si>
    <t>Shampoo</t>
  </si>
  <si>
    <t>Pomade</t>
  </si>
  <si>
    <t>Service Equipment</t>
  </si>
  <si>
    <t>Dining Equipment</t>
  </si>
  <si>
    <t>Water dispenser</t>
  </si>
  <si>
    <t>Freezer</t>
  </si>
  <si>
    <t>Chopping Board</t>
  </si>
  <si>
    <t>Knife</t>
  </si>
  <si>
    <t>Circle Board</t>
  </si>
  <si>
    <t>Coffee Cup</t>
  </si>
  <si>
    <t>Glassa</t>
  </si>
  <si>
    <t>Plate</t>
  </si>
  <si>
    <t>Spoon &amp; Fork</t>
  </si>
  <si>
    <t>Bread Knife</t>
  </si>
  <si>
    <t>Deep Fry</t>
  </si>
  <si>
    <t>Oven Toaster</t>
  </si>
  <si>
    <t>Tray</t>
  </si>
  <si>
    <t>Ring Bell</t>
  </si>
  <si>
    <t>Saliva Mask</t>
  </si>
  <si>
    <t>Dining Supplies</t>
  </si>
  <si>
    <t>50 units</t>
  </si>
  <si>
    <t>50units</t>
  </si>
  <si>
    <t>10 units</t>
  </si>
  <si>
    <t>4 sets 6pcs</t>
  </si>
  <si>
    <t>Thermal Scanner</t>
  </si>
  <si>
    <t>Sanitary Supplies</t>
  </si>
  <si>
    <t>Alcohol</t>
  </si>
  <si>
    <t>Hand Soap</t>
  </si>
  <si>
    <t>Bleach</t>
  </si>
  <si>
    <t>Disinfectant mop</t>
  </si>
  <si>
    <t>Broom and Dust Pan</t>
  </si>
  <si>
    <t>Mops</t>
  </si>
  <si>
    <t>Detergent powde</t>
  </si>
  <si>
    <t>Trash bag</t>
  </si>
  <si>
    <t>Outdoor Trash Can</t>
  </si>
  <si>
    <t>Indoor Trash Can</t>
  </si>
  <si>
    <t>Spray bottle</t>
  </si>
  <si>
    <t>Fabric conditioner</t>
  </si>
  <si>
    <t>Gloves</t>
  </si>
  <si>
    <t>15 set (10 pieces)</t>
  </si>
  <si>
    <t>Office Equipment</t>
  </si>
  <si>
    <t>Computer</t>
  </si>
  <si>
    <t>Cashier Machine</t>
  </si>
  <si>
    <t>Vacuum Cleaner</t>
  </si>
  <si>
    <t>Exhaust fan</t>
  </si>
  <si>
    <t>Split-type Aircon</t>
  </si>
  <si>
    <t>CCTV</t>
  </si>
  <si>
    <t>Fire Extinguisher</t>
  </si>
  <si>
    <t>Chandelier</t>
  </si>
  <si>
    <t>Dining Chair</t>
  </si>
  <si>
    <t>Cashier Chair</t>
  </si>
  <si>
    <t>Sofa</t>
  </si>
  <si>
    <t>Toilet</t>
  </si>
  <si>
    <t>Bidet</t>
  </si>
  <si>
    <t>Male urinal</t>
  </si>
  <si>
    <t>Bathroom sink</t>
  </si>
  <si>
    <t>Bathroom Tissue</t>
  </si>
  <si>
    <t>Office Supplies</t>
  </si>
  <si>
    <t>Bond paper</t>
  </si>
  <si>
    <t>Ballpen</t>
  </si>
  <si>
    <t>Whiteboard</t>
  </si>
  <si>
    <t>Whitemarker</t>
  </si>
  <si>
    <t>Pen Eraser</t>
  </si>
  <si>
    <t>Scissors</t>
  </si>
  <si>
    <t>File Organizer</t>
  </si>
  <si>
    <t>Stapler</t>
  </si>
  <si>
    <t>Staple Wire</t>
  </si>
  <si>
    <t>Inventories</t>
  </si>
  <si>
    <t>B. Service Equipments</t>
  </si>
  <si>
    <t>C. Dining</t>
  </si>
  <si>
    <t>D. Office Equipment</t>
  </si>
  <si>
    <t>ITEM</t>
  </si>
  <si>
    <t>PROJECTED SALES</t>
  </si>
  <si>
    <t xml:space="preserve">Monthly </t>
  </si>
  <si>
    <t>Annually</t>
  </si>
  <si>
    <t>Units Sold</t>
  </si>
  <si>
    <t>Selling Price</t>
  </si>
  <si>
    <t>TOTAL</t>
  </si>
  <si>
    <t>Fried Cauli Flower</t>
  </si>
  <si>
    <t xml:space="preserve">Lipton </t>
  </si>
  <si>
    <t xml:space="preserve">C2 Iced Tea 325ml </t>
  </si>
  <si>
    <t xml:space="preserve">Coke In Can 330ml </t>
  </si>
  <si>
    <t xml:space="preserve">Sprite in Can 330ml </t>
  </si>
  <si>
    <t xml:space="preserve">Royal in Can 330ml </t>
  </si>
  <si>
    <t xml:space="preserve">Bottled Water </t>
  </si>
  <si>
    <t xml:space="preserve">Pineapple Juice in Can </t>
  </si>
  <si>
    <t>Unis Procured</t>
  </si>
  <si>
    <t>FORECASTED PRODUCTION</t>
  </si>
  <si>
    <t>Rent Schedule</t>
  </si>
  <si>
    <t>Costs of Registration</t>
  </si>
  <si>
    <t>Business Permit</t>
  </si>
  <si>
    <t>Community Tax Certificates</t>
  </si>
  <si>
    <t>Brgy. Clearance Certificate</t>
  </si>
  <si>
    <t>Locational Permit</t>
  </si>
  <si>
    <t>Fire Certificates</t>
  </si>
  <si>
    <t>Sanitary Permit</t>
  </si>
  <si>
    <t>Bir Registration</t>
  </si>
  <si>
    <t>License and Registration</t>
  </si>
  <si>
    <t>License and Registration Expense</t>
  </si>
  <si>
    <t>Schedule - Supplies</t>
  </si>
  <si>
    <t>Schedule - Utilities</t>
  </si>
  <si>
    <t>Service Supplies</t>
  </si>
  <si>
    <t>Schedule - Purchases</t>
  </si>
  <si>
    <t>Purchases</t>
  </si>
  <si>
    <t>Input Tax of 12%</t>
  </si>
  <si>
    <t>Net Purchases</t>
  </si>
  <si>
    <t>Furniture and Fixtures</t>
  </si>
  <si>
    <t>Schedule - Advertising</t>
  </si>
  <si>
    <t>Renovation Costs</t>
  </si>
  <si>
    <t>Capital Investment</t>
  </si>
  <si>
    <t>PROJECTED STATEMENT OF FINANCIAL PERFORMANCE</t>
  </si>
  <si>
    <t>Note</t>
  </si>
  <si>
    <t>Net Sales</t>
  </si>
  <si>
    <t>Less Cost of Goods Sold</t>
  </si>
  <si>
    <t>Gross Profit</t>
  </si>
  <si>
    <t>Less Expenses:</t>
  </si>
  <si>
    <t>General and Administrative Expenses</t>
  </si>
  <si>
    <t>Payroll and Related Expenses</t>
  </si>
  <si>
    <t>Income before Tax</t>
  </si>
  <si>
    <t>Tax of 30%</t>
  </si>
  <si>
    <t>Net Income before Final Tax</t>
  </si>
  <si>
    <t>Less: Final Tax 10%</t>
  </si>
  <si>
    <t>Net Income After Tax</t>
  </si>
  <si>
    <t>Statement of Changes in Partner's Equity</t>
  </si>
  <si>
    <t>Investments</t>
  </si>
  <si>
    <t>X</t>
  </si>
  <si>
    <t>Net Income</t>
  </si>
  <si>
    <t>2022 Capital, beginning</t>
  </si>
  <si>
    <t>2022 Capital, ending</t>
  </si>
  <si>
    <t>2023 Capital, beginning</t>
  </si>
  <si>
    <t>2023 Capital, ending</t>
  </si>
  <si>
    <t>PROJECTED STATEMENT OF FINANCIAL POSITION</t>
  </si>
  <si>
    <t>Assets</t>
  </si>
  <si>
    <t>Current Assets</t>
  </si>
  <si>
    <t xml:space="preserve">       Cash</t>
  </si>
  <si>
    <t xml:space="preserve">       Inventories</t>
  </si>
  <si>
    <t xml:space="preserve">       Other Assets</t>
  </si>
  <si>
    <t>Total Current Assets:</t>
  </si>
  <si>
    <t>Non-Current Assets</t>
  </si>
  <si>
    <t xml:space="preserve">      Property Plant and Equipment</t>
  </si>
  <si>
    <t>Total Assets</t>
  </si>
  <si>
    <t>Liabilities and Partner's Equity</t>
  </si>
  <si>
    <t>Current Liability</t>
  </si>
  <si>
    <t xml:space="preserve">     Trade and Other Payables</t>
  </si>
  <si>
    <t>Partner's Equity</t>
  </si>
  <si>
    <t xml:space="preserve">     Partners' Capital</t>
  </si>
  <si>
    <t>Total Liabilities and Partner's Equity</t>
  </si>
  <si>
    <t>PROJECTED STATEMENT OF CASH FLOWS</t>
  </si>
  <si>
    <t>Cash Flow From Operating Activities</t>
  </si>
  <si>
    <t>Net Income:</t>
  </si>
  <si>
    <t xml:space="preserve">Add: </t>
  </si>
  <si>
    <t xml:space="preserve">         Depreciation</t>
  </si>
  <si>
    <t xml:space="preserve">         Increase (Decrease) Payables</t>
  </si>
  <si>
    <t>Less:</t>
  </si>
  <si>
    <t xml:space="preserve">        Increase in Inventory</t>
  </si>
  <si>
    <t xml:space="preserve">        Increase in Other Assets</t>
  </si>
  <si>
    <t>Net Cash Provided by Operating Activities</t>
  </si>
  <si>
    <t>Cash Flow from Investing Activities</t>
  </si>
  <si>
    <t xml:space="preserve">       Purchase of Property, Plant and Equipment</t>
  </si>
  <si>
    <t>Net Cash Flow (used) by Investing Activities</t>
  </si>
  <si>
    <t>Cash Flow from Financing Activities</t>
  </si>
  <si>
    <t xml:space="preserve">       Capital Contribution</t>
  </si>
  <si>
    <t xml:space="preserve">       Withdrawals</t>
  </si>
  <si>
    <t>-</t>
  </si>
  <si>
    <t>Net Cash Flow provided by Financing Activities</t>
  </si>
  <si>
    <t xml:space="preserve">Increase (Decrease) in Cash </t>
  </si>
  <si>
    <t>Add: Cash beginning</t>
  </si>
  <si>
    <t>Cash Ending</t>
  </si>
  <si>
    <t>Aman, Capital</t>
  </si>
  <si>
    <t>Angeles, Capital</t>
  </si>
  <si>
    <t>Borilla, Capital</t>
  </si>
  <si>
    <t>Daddy, Capital</t>
  </si>
  <si>
    <t>Parcon, Capital</t>
  </si>
  <si>
    <t>EMPLOYER SCHEDULE</t>
  </si>
  <si>
    <t>Name of Employee</t>
  </si>
  <si>
    <t>Gross Earnings</t>
  </si>
  <si>
    <t>SSS</t>
  </si>
  <si>
    <t>PHILHEALTH</t>
  </si>
  <si>
    <t>PAG-IBIG</t>
  </si>
  <si>
    <t>Total Share</t>
  </si>
  <si>
    <t>Cashier</t>
  </si>
  <si>
    <t>Cook</t>
  </si>
  <si>
    <t>EMPLOYEE SCHEDULE</t>
  </si>
  <si>
    <t>Philhealth</t>
  </si>
  <si>
    <t>Netpay Before Tax</t>
  </si>
  <si>
    <t>Withholding Tax</t>
  </si>
  <si>
    <t>Net After Tax</t>
  </si>
  <si>
    <t>Manager</t>
  </si>
  <si>
    <t>Supervisor/Cashier</t>
  </si>
  <si>
    <t>Receptionist</t>
  </si>
  <si>
    <t>Barber 1</t>
  </si>
  <si>
    <t>Barber 2</t>
  </si>
  <si>
    <t>Barber 3</t>
  </si>
  <si>
    <t>Barber 4</t>
  </si>
  <si>
    <t>Barber 5</t>
  </si>
  <si>
    <t>NOTES TO FINANCIAL STATEMENTS</t>
  </si>
  <si>
    <t>Note 1 Net Sales</t>
  </si>
  <si>
    <t>Total Sales:</t>
  </si>
  <si>
    <t>Output Tax</t>
  </si>
  <si>
    <t>NET SALES</t>
  </si>
  <si>
    <t>Direct Material</t>
  </si>
  <si>
    <t>Materials beginning</t>
  </si>
  <si>
    <t>Materials Available for Use:</t>
  </si>
  <si>
    <t xml:space="preserve">      Less: Ending Materials</t>
  </si>
  <si>
    <t>Materials Used in Production</t>
  </si>
  <si>
    <t>Direct Labor</t>
  </si>
  <si>
    <t>Manufacturing Overhead</t>
  </si>
  <si>
    <t>Cost of Goods Sold</t>
  </si>
  <si>
    <t xml:space="preserve">Note 3  - General and Administrative Expense </t>
  </si>
  <si>
    <t xml:space="preserve"> Utilities Expense </t>
  </si>
  <si>
    <t xml:space="preserve"> Depreciation Expense </t>
  </si>
  <si>
    <t xml:space="preserve"> Rent Expense </t>
  </si>
  <si>
    <t xml:space="preserve"> Advertising Expense </t>
  </si>
  <si>
    <t xml:space="preserve"> Licenses and Registration Expense </t>
  </si>
  <si>
    <t>Supplies Expense</t>
  </si>
  <si>
    <t xml:space="preserve"> Total General and Administrative Expense </t>
  </si>
  <si>
    <t>NOTE 4 - Payroll and Related Expenses</t>
  </si>
  <si>
    <t>Salaries Expense</t>
  </si>
  <si>
    <t>SSS Contribution</t>
  </si>
  <si>
    <t>Philhealth Contribution</t>
  </si>
  <si>
    <t>Pag-Ibig Contributions</t>
  </si>
  <si>
    <t>Total Payroll and Related Expenses</t>
  </si>
  <si>
    <t>Note 5: Other Assets</t>
  </si>
  <si>
    <t>Other Assets:</t>
  </si>
  <si>
    <t>Note 6: Property Plant and Equipment</t>
  </si>
  <si>
    <t>Furnitures and Fixtures</t>
  </si>
  <si>
    <t>Property Plant and Equipment Ending</t>
  </si>
  <si>
    <t>Note 7: TRADE AND OTHER PAYABLES</t>
  </si>
  <si>
    <t>VAT Payable</t>
  </si>
  <si>
    <t>INCOME TAX PAYABLE</t>
  </si>
  <si>
    <t>Withholding Taxes Payable</t>
  </si>
  <si>
    <t>Accrued Utilities Payable</t>
  </si>
  <si>
    <t>Salaries Payable</t>
  </si>
  <si>
    <t>SSS Contributions Payable</t>
  </si>
  <si>
    <t>Philhealth Contributions Payable</t>
  </si>
  <si>
    <t>PAG-IBIG Contributions Payable</t>
  </si>
  <si>
    <t>Sales from Services</t>
  </si>
  <si>
    <t>Sales from Dining</t>
  </si>
  <si>
    <t>cook</t>
  </si>
  <si>
    <t>^</t>
  </si>
  <si>
    <t>U</t>
  </si>
  <si>
    <t>C. Dining Equipment</t>
  </si>
  <si>
    <t>Schedule - Vat Payable</t>
  </si>
  <si>
    <t>Input Tax</t>
  </si>
  <si>
    <t>Schedule - Withholding Taxes Payable</t>
  </si>
  <si>
    <t>Final Tax Withheld</t>
  </si>
  <si>
    <t>Withholding Tax on Rent</t>
  </si>
  <si>
    <t>Witholding Taxes Payable</t>
  </si>
  <si>
    <t xml:space="preserve"> Less: Withholding Tax 5%</t>
  </si>
  <si>
    <t>Chill Cut</t>
  </si>
  <si>
    <t>2024 Capital, beginning</t>
  </si>
  <si>
    <t>2024 Capital, ending</t>
  </si>
  <si>
    <t>2025 Capital, beginning</t>
  </si>
  <si>
    <t>2025 Capital, ending</t>
  </si>
  <si>
    <t>2026 Capital, beginning</t>
  </si>
  <si>
    <t>2026 Capital, ending</t>
  </si>
  <si>
    <t>Net Loss Distributed</t>
  </si>
  <si>
    <t>Note 2 - Cost of Goods Sold</t>
  </si>
  <si>
    <t xml:space="preserve">      Add: Purchases of Raw Ingredients</t>
  </si>
  <si>
    <t xml:space="preserve"> Profitability Ratios</t>
  </si>
  <si>
    <t>Divide by: Sales</t>
  </si>
  <si>
    <t>Gross Profit Margin</t>
  </si>
  <si>
    <t>Net Income Before Tax</t>
  </si>
  <si>
    <t>Operating Profit Margin</t>
  </si>
  <si>
    <t>Net Profit Margin</t>
  </si>
  <si>
    <t>Divide by: Average Total Assets</t>
  </si>
  <si>
    <t>Return on Assets</t>
  </si>
  <si>
    <t>Divide by: Partner's Equity</t>
  </si>
  <si>
    <t>Return on Equity</t>
  </si>
  <si>
    <t>Divide by: Total Assets</t>
  </si>
  <si>
    <t>Return on Investment</t>
  </si>
  <si>
    <t>Financial Ratios</t>
  </si>
  <si>
    <t>Divide by: Current Liabilities</t>
  </si>
  <si>
    <t>Current Ratio</t>
  </si>
  <si>
    <t>Quick Assets</t>
  </si>
  <si>
    <t>Acid-Test Ratio</t>
  </si>
  <si>
    <t>DEBT RATIOS</t>
  </si>
  <si>
    <t>Total Debt:</t>
  </si>
  <si>
    <t>Debt Utilization Ratio</t>
  </si>
  <si>
    <t>Divide by: Total Equity</t>
  </si>
  <si>
    <t>Debt-Equity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</si>
</sst>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00_);_(* \(#,##0.000000\);_(* &quot;-&quot;??_);_(@_)"/>
    <numFmt numFmtId="167" formatCode="_(* #,##0.0000000_);_(* \(#,##0.0000000\);_(* &quot;-&quot;??_);_(@_)"/>
    <numFmt numFmtId="168" formatCode="_-[$₱-464]* #,##0.00_-;\-[$₱-464]* #,##0.00_-;_-[$₱-464]* &quot;-&quot;??_-;_-@_-"/>
    <numFmt numFmtId="169" formatCode="_([$₱-464]* #,##0.00_);_([$₱-464]* \(#,##0.00\);_([$₱-464]* &quot;-&quot;??_);_(@_)"/>
    <numFmt numFmtId="170" formatCode="[$₱-464]#,##0.00"/>
    <numFmt numFmtId="176" formatCode="_-[$₱-3409]* #,##0.00_-;\-[$₱-3409]* #,##0.00_-;_-[$₱-34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4"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43" fontId="4" fillId="0" borderId="4" xfId="1" applyFont="1" applyBorder="1"/>
    <xf numFmtId="168" fontId="4" fillId="0" borderId="4" xfId="1" applyNumberFormat="1" applyFont="1" applyBorder="1"/>
    <xf numFmtId="1" fontId="4" fillId="0" borderId="4" xfId="1" applyNumberFormat="1" applyFont="1" applyBorder="1" applyAlignment="1">
      <alignment horizontal="center"/>
    </xf>
    <xf numFmtId="43" fontId="3" fillId="0" borderId="4" xfId="1" applyFont="1" applyBorder="1"/>
    <xf numFmtId="169" fontId="5" fillId="0" borderId="4" xfId="1" applyNumberFormat="1" applyFont="1" applyBorder="1"/>
    <xf numFmtId="169" fontId="6" fillId="0" borderId="4" xfId="1" applyNumberFormat="1" applyFont="1" applyBorder="1"/>
    <xf numFmtId="169" fontId="3" fillId="0" borderId="4" xfId="1" applyNumberFormat="1" applyFont="1" applyBorder="1"/>
    <xf numFmtId="170" fontId="5" fillId="0" borderId="4" xfId="1" applyNumberFormat="1" applyFont="1" applyBorder="1"/>
    <xf numFmtId="170" fontId="4" fillId="0" borderId="4" xfId="1" applyNumberFormat="1" applyFont="1" applyBorder="1"/>
    <xf numFmtId="170" fontId="6" fillId="0" borderId="4" xfId="1" applyNumberFormat="1" applyFont="1" applyBorder="1"/>
    <xf numFmtId="170" fontId="3" fillId="0" borderId="4" xfId="1" applyNumberFormat="1" applyFont="1" applyBorder="1"/>
    <xf numFmtId="168" fontId="3" fillId="0" borderId="4" xfId="1" applyNumberFormat="1" applyFont="1" applyBorder="1"/>
    <xf numFmtId="43" fontId="4" fillId="0" borderId="0" xfId="0" applyNumberFormat="1" applyFont="1"/>
    <xf numFmtId="0" fontId="3" fillId="0" borderId="0" xfId="0" applyNumberFormat="1" applyFont="1"/>
    <xf numFmtId="43" fontId="3" fillId="0" borderId="0" xfId="0" applyNumberFormat="1" applyFont="1"/>
    <xf numFmtId="164" fontId="4" fillId="0" borderId="0" xfId="0" applyNumberFormat="1" applyFont="1"/>
    <xf numFmtId="43" fontId="4" fillId="0" borderId="1" xfId="0" applyNumberFormat="1" applyFont="1" applyBorder="1"/>
    <xf numFmtId="164" fontId="4" fillId="0" borderId="1" xfId="0" applyNumberFormat="1" applyFont="1" applyBorder="1"/>
    <xf numFmtId="166" fontId="3" fillId="0" borderId="0" xfId="0" applyNumberFormat="1" applyFont="1"/>
    <xf numFmtId="167" fontId="3" fillId="0" borderId="0" xfId="0" applyNumberFormat="1" applyFont="1"/>
    <xf numFmtId="166" fontId="4" fillId="0" borderId="0" xfId="0" applyNumberFormat="1" applyFont="1"/>
    <xf numFmtId="9" fontId="4" fillId="0" borderId="0" xfId="0" applyNumberFormat="1" applyFont="1"/>
    <xf numFmtId="43" fontId="4" fillId="0" borderId="0" xfId="0" applyNumberFormat="1" applyFont="1" applyAlignment="1">
      <alignment horizontal="left"/>
    </xf>
    <xf numFmtId="43" fontId="4" fillId="0" borderId="4" xfId="0" applyNumberFormat="1" applyFont="1" applyBorder="1"/>
    <xf numFmtId="43" fontId="0" fillId="0" borderId="0" xfId="2" applyNumberFormat="1" applyFont="1"/>
    <xf numFmtId="0" fontId="4" fillId="0" borderId="4" xfId="0" applyFont="1" applyBorder="1"/>
    <xf numFmtId="43" fontId="4" fillId="0" borderId="4" xfId="1" applyNumberFormat="1" applyFont="1" applyBorder="1"/>
    <xf numFmtId="43" fontId="3" fillId="0" borderId="4" xfId="0" applyNumberFormat="1" applyFont="1" applyBorder="1"/>
    <xf numFmtId="43" fontId="4" fillId="0" borderId="4" xfId="1" applyNumberFormat="1" applyFont="1" applyBorder="1" applyAlignment="1">
      <alignment horizontal="center"/>
    </xf>
    <xf numFmtId="43" fontId="5" fillId="0" borderId="4" xfId="1" applyNumberFormat="1" applyFont="1" applyBorder="1"/>
    <xf numFmtId="43" fontId="6" fillId="0" borderId="4" xfId="1" applyNumberFormat="1" applyFont="1" applyBorder="1"/>
    <xf numFmtId="43" fontId="3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43" fontId="3" fillId="0" borderId="2" xfId="0" applyNumberFormat="1" applyFont="1" applyBorder="1" applyAlignment="1">
      <alignment vertical="center"/>
    </xf>
    <xf numFmtId="43" fontId="3" fillId="0" borderId="3" xfId="0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 wrapText="1"/>
    </xf>
    <xf numFmtId="43" fontId="3" fillId="0" borderId="0" xfId="0" applyNumberFormat="1" applyFont="1" applyAlignment="1">
      <alignment horizontal="center" vertical="center" wrapText="1"/>
    </xf>
    <xf numFmtId="43" fontId="7" fillId="0" borderId="0" xfId="0" applyNumberFormat="1" applyFont="1" applyAlignment="1">
      <alignment vertical="center"/>
    </xf>
    <xf numFmtId="43" fontId="8" fillId="0" borderId="2" xfId="0" applyNumberFormat="1" applyFont="1" applyBorder="1" applyAlignment="1">
      <alignment vertical="center"/>
    </xf>
    <xf numFmtId="43" fontId="8" fillId="0" borderId="3" xfId="0" applyNumberFormat="1" applyFont="1" applyBorder="1" applyAlignment="1">
      <alignment vertical="center"/>
    </xf>
    <xf numFmtId="43" fontId="4" fillId="0" borderId="2" xfId="0" applyNumberFormat="1" applyFont="1" applyBorder="1" applyAlignment="1">
      <alignment vertical="center"/>
    </xf>
    <xf numFmtId="43" fontId="4" fillId="0" borderId="3" xfId="0" applyNumberFormat="1" applyFont="1" applyBorder="1" applyAlignment="1">
      <alignment vertical="center"/>
    </xf>
    <xf numFmtId="43" fontId="3" fillId="0" borderId="4" xfId="0" applyNumberFormat="1" applyFont="1" applyBorder="1" applyAlignment="1">
      <alignment horizontal="center"/>
    </xf>
    <xf numFmtId="43" fontId="3" fillId="0" borderId="4" xfId="1" applyNumberFormat="1" applyFont="1" applyBorder="1"/>
    <xf numFmtId="43" fontId="3" fillId="0" borderId="0" xfId="0" applyNumberFormat="1" applyFont="1" applyAlignment="1">
      <alignment horizontal="center"/>
    </xf>
    <xf numFmtId="43" fontId="3" fillId="0" borderId="4" xfId="1" applyNumberFormat="1" applyFont="1" applyBorder="1" applyAlignment="1">
      <alignment wrapText="1"/>
    </xf>
    <xf numFmtId="43" fontId="3" fillId="0" borderId="4" xfId="1" applyNumberFormat="1" applyFont="1" applyBorder="1"/>
    <xf numFmtId="0" fontId="3" fillId="2" borderId="4" xfId="0" applyFont="1" applyFill="1" applyBorder="1" applyAlignment="1">
      <alignment horizontal="center"/>
    </xf>
    <xf numFmtId="43" fontId="3" fillId="0" borderId="4" xfId="1" applyFont="1" applyBorder="1" applyAlignment="1">
      <alignment wrapText="1"/>
    </xf>
    <xf numFmtId="43" fontId="3" fillId="0" borderId="4" xfId="1" applyFont="1" applyBorder="1"/>
    <xf numFmtId="0" fontId="4" fillId="0" borderId="0" xfId="0" applyFont="1"/>
    <xf numFmtId="0" fontId="4" fillId="0" borderId="11" xfId="0" applyFont="1" applyBorder="1"/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2" fontId="4" fillId="0" borderId="11" xfId="0" applyNumberFormat="1" applyFont="1" applyBorder="1"/>
    <xf numFmtId="168" fontId="4" fillId="0" borderId="12" xfId="1" applyNumberFormat="1" applyFont="1" applyFill="1" applyBorder="1" applyAlignment="1"/>
    <xf numFmtId="43" fontId="4" fillId="0" borderId="12" xfId="1" applyFont="1" applyFill="1" applyBorder="1" applyAlignment="1"/>
    <xf numFmtId="2" fontId="4" fillId="0" borderId="0" xfId="0" applyNumberFormat="1" applyFont="1"/>
    <xf numFmtId="2" fontId="4" fillId="0" borderId="12" xfId="0" applyNumberFormat="1" applyFont="1" applyBorder="1"/>
    <xf numFmtId="0" fontId="4" fillId="0" borderId="12" xfId="0" applyFont="1" applyBorder="1"/>
    <xf numFmtId="168" fontId="4" fillId="0" borderId="12" xfId="0" applyNumberFormat="1" applyFont="1" applyBorder="1"/>
    <xf numFmtId="4" fontId="4" fillId="0" borderId="0" xfId="0" applyNumberFormat="1" applyFont="1"/>
    <xf numFmtId="4" fontId="4" fillId="0" borderId="12" xfId="0" applyNumberFormat="1" applyFont="1" applyBorder="1"/>
    <xf numFmtId="43" fontId="4" fillId="0" borderId="12" xfId="0" applyNumberFormat="1" applyFont="1" applyBorder="1"/>
    <xf numFmtId="43" fontId="3" fillId="0" borderId="11" xfId="1" applyFont="1" applyFill="1" applyBorder="1" applyAlignment="1">
      <alignment wrapText="1"/>
    </xf>
    <xf numFmtId="43" fontId="3" fillId="0" borderId="0" xfId="1" applyFont="1" applyFill="1" applyBorder="1" applyAlignment="1">
      <alignment wrapText="1"/>
    </xf>
    <xf numFmtId="43" fontId="3" fillId="0" borderId="12" xfId="1" applyFont="1" applyFill="1" applyBorder="1" applyAlignment="1">
      <alignment wrapText="1"/>
    </xf>
    <xf numFmtId="43" fontId="3" fillId="0" borderId="0" xfId="1" applyFont="1" applyFill="1" applyBorder="1" applyAlignment="1">
      <alignment horizontal="center"/>
    </xf>
    <xf numFmtId="43" fontId="4" fillId="0" borderId="11" xfId="1" applyFont="1" applyFill="1" applyBorder="1" applyAlignment="1">
      <alignment wrapText="1"/>
    </xf>
    <xf numFmtId="43" fontId="4" fillId="0" borderId="0" xfId="1" applyFont="1" applyFill="1" applyBorder="1"/>
    <xf numFmtId="1" fontId="3" fillId="0" borderId="0" xfId="1" applyNumberFormat="1" applyFont="1" applyFill="1" applyBorder="1" applyAlignment="1">
      <alignment horizontal="center"/>
    </xf>
    <xf numFmtId="43" fontId="4" fillId="0" borderId="12" xfId="1" applyFont="1" applyFill="1" applyBorder="1"/>
    <xf numFmtId="43" fontId="3" fillId="0" borderId="12" xfId="1" applyFont="1" applyFill="1" applyBorder="1"/>
    <xf numFmtId="0" fontId="3" fillId="0" borderId="11" xfId="0" applyFont="1" applyBorder="1" applyAlignment="1">
      <alignment wrapText="1"/>
    </xf>
    <xf numFmtId="0" fontId="4" fillId="0" borderId="11" xfId="0" applyFont="1" applyBorder="1" applyAlignment="1">
      <alignment wrapText="1"/>
    </xf>
    <xf numFmtId="169" fontId="4" fillId="0" borderId="12" xfId="2" applyNumberFormat="1" applyFont="1" applyFill="1" applyBorder="1"/>
    <xf numFmtId="43" fontId="4" fillId="0" borderId="12" xfId="1" applyFont="1" applyFill="1" applyBorder="1" applyAlignment="1">
      <alignment horizontal="right"/>
    </xf>
    <xf numFmtId="0" fontId="4" fillId="0" borderId="11" xfId="0" applyFont="1" applyBorder="1"/>
    <xf numFmtId="0" fontId="3" fillId="0" borderId="11" xfId="0" applyFont="1" applyBorder="1"/>
    <xf numFmtId="0" fontId="3" fillId="0" borderId="4" xfId="0" applyFont="1" applyBorder="1" applyAlignment="1">
      <alignment horizontal="center" vertical="center" wrapText="1"/>
    </xf>
    <xf numFmtId="169" fontId="4" fillId="0" borderId="4" xfId="0" applyNumberFormat="1" applyFont="1" applyBorder="1" applyAlignment="1">
      <alignment horizontal="right"/>
    </xf>
    <xf numFmtId="169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44" fontId="4" fillId="0" borderId="0" xfId="0" applyNumberFormat="1" applyFont="1"/>
    <xf numFmtId="0" fontId="4" fillId="0" borderId="2" xfId="0" applyFont="1" applyBorder="1"/>
    <xf numFmtId="43" fontId="4" fillId="0" borderId="4" xfId="0" applyNumberFormat="1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0" borderId="0" xfId="0" applyFont="1"/>
    <xf numFmtId="168" fontId="4" fillId="0" borderId="0" xfId="1" applyNumberFormat="1" applyFont="1" applyBorder="1"/>
    <xf numFmtId="43" fontId="4" fillId="0" borderId="0" xfId="1" applyFont="1" applyBorder="1"/>
    <xf numFmtId="4" fontId="3" fillId="0" borderId="0" xfId="0" applyNumberFormat="1" applyFont="1"/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43" fontId="0" fillId="0" borderId="0" xfId="2" applyNumberFormat="1" applyFont="1" applyBorder="1"/>
    <xf numFmtId="43" fontId="3" fillId="0" borderId="0" xfId="0" applyNumberFormat="1" applyFont="1" applyBorder="1"/>
    <xf numFmtId="43" fontId="4" fillId="0" borderId="0" xfId="0" applyNumberFormat="1" applyFont="1" applyBorder="1"/>
    <xf numFmtId="43" fontId="4" fillId="0" borderId="0" xfId="1" applyNumberFormat="1" applyFont="1" applyBorder="1"/>
    <xf numFmtId="43" fontId="3" fillId="0" borderId="0" xfId="0" applyNumberFormat="1" applyFont="1" applyBorder="1" applyAlignment="1">
      <alignment horizontal="center" vertical="center"/>
    </xf>
    <xf numFmtId="43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9" fontId="4" fillId="0" borderId="0" xfId="0" applyNumberFormat="1" applyFont="1" applyBorder="1"/>
    <xf numFmtId="43" fontId="2" fillId="0" borderId="0" xfId="2" applyNumberFormat="1" applyFont="1" applyBorder="1"/>
    <xf numFmtId="0" fontId="3" fillId="0" borderId="0" xfId="0" applyFont="1" applyBorder="1" applyAlignment="1">
      <alignment horizontal="center"/>
    </xf>
    <xf numFmtId="4" fontId="4" fillId="0" borderId="16" xfId="0" applyNumberFormat="1" applyFont="1" applyBorder="1"/>
    <xf numFmtId="43" fontId="4" fillId="0" borderId="16" xfId="0" applyNumberFormat="1" applyFont="1" applyBorder="1"/>
    <xf numFmtId="1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/>
    <xf numFmtId="43" fontId="4" fillId="0" borderId="16" xfId="1" applyFont="1" applyFill="1" applyBorder="1"/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169" fontId="4" fillId="0" borderId="2" xfId="2" applyNumberFormat="1" applyFont="1" applyFill="1" applyBorder="1"/>
    <xf numFmtId="43" fontId="4" fillId="0" borderId="2" xfId="1" applyFont="1" applyFill="1" applyBorder="1"/>
    <xf numFmtId="43" fontId="4" fillId="0" borderId="15" xfId="1" applyFont="1" applyFill="1" applyBorder="1"/>
    <xf numFmtId="0" fontId="4" fillId="0" borderId="0" xfId="0" applyFont="1" applyBorder="1"/>
    <xf numFmtId="43" fontId="3" fillId="0" borderId="2" xfId="1" applyFont="1" applyFill="1" applyBorder="1"/>
    <xf numFmtId="43" fontId="4" fillId="0" borderId="2" xfId="1" applyFont="1" applyFill="1" applyBorder="1" applyAlignment="1">
      <alignment horizontal="right"/>
    </xf>
    <xf numFmtId="0" fontId="3" fillId="0" borderId="0" xfId="0" applyFont="1" applyBorder="1"/>
    <xf numFmtId="169" fontId="3" fillId="0" borderId="19" xfId="1" applyNumberFormat="1" applyFont="1" applyFill="1" applyBorder="1"/>
    <xf numFmtId="43" fontId="3" fillId="0" borderId="18" xfId="0" applyNumberFormat="1" applyFont="1" applyBorder="1"/>
    <xf numFmtId="43" fontId="3" fillId="0" borderId="17" xfId="0" applyNumberFormat="1" applyFont="1" applyBorder="1"/>
    <xf numFmtId="43" fontId="4" fillId="0" borderId="16" xfId="1" applyFont="1" applyFill="1" applyBorder="1" applyAlignment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2" xfId="0" applyFont="1" applyFill="1" applyBorder="1" applyAlignment="1">
      <alignment horizontal="center"/>
    </xf>
    <xf numFmtId="43" fontId="3" fillId="3" borderId="11" xfId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 wrapText="1"/>
    </xf>
    <xf numFmtId="43" fontId="3" fillId="3" borderId="12" xfId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169" fontId="3" fillId="3" borderId="20" xfId="1" applyNumberFormat="1" applyFont="1" applyFill="1" applyBorder="1"/>
    <xf numFmtId="43" fontId="3" fillId="3" borderId="13" xfId="1" applyFont="1" applyFill="1" applyBorder="1" applyAlignment="1"/>
    <xf numFmtId="43" fontId="4" fillId="3" borderId="14" xfId="1" applyFont="1" applyFill="1" applyBorder="1"/>
    <xf numFmtId="168" fontId="3" fillId="3" borderId="17" xfId="1" applyNumberFormat="1" applyFont="1" applyFill="1" applyBorder="1"/>
    <xf numFmtId="43" fontId="3" fillId="3" borderId="11" xfId="1" applyFont="1" applyFill="1" applyBorder="1" applyAlignment="1">
      <alignment wrapText="1"/>
    </xf>
    <xf numFmtId="43" fontId="4" fillId="3" borderId="0" xfId="1" applyFont="1" applyFill="1" applyBorder="1"/>
    <xf numFmtId="0" fontId="4" fillId="3" borderId="13" xfId="0" applyFont="1" applyFill="1" applyBorder="1"/>
    <xf numFmtId="168" fontId="3" fillId="3" borderId="17" xfId="0" applyNumberFormat="1" applyFont="1" applyFill="1" applyBorder="1"/>
    <xf numFmtId="2" fontId="3" fillId="3" borderId="13" xfId="0" applyNumberFormat="1" applyFont="1" applyFill="1" applyBorder="1"/>
    <xf numFmtId="2" fontId="4" fillId="3" borderId="14" xfId="0" applyNumberFormat="1" applyFont="1" applyFill="1" applyBorder="1"/>
    <xf numFmtId="168" fontId="4" fillId="0" borderId="2" xfId="1" applyNumberFormat="1" applyFont="1" applyBorder="1"/>
    <xf numFmtId="43" fontId="4" fillId="0" borderId="15" xfId="1" applyFont="1" applyBorder="1"/>
    <xf numFmtId="43" fontId="4" fillId="0" borderId="2" xfId="0" applyNumberFormat="1" applyFont="1" applyBorder="1"/>
    <xf numFmtId="43" fontId="4" fillId="0" borderId="15" xfId="0" applyNumberFormat="1" applyFont="1" applyBorder="1"/>
    <xf numFmtId="168" fontId="3" fillId="0" borderId="19" xfId="0" applyNumberFormat="1" applyFont="1" applyBorder="1"/>
    <xf numFmtId="0" fontId="3" fillId="0" borderId="3" xfId="0" applyFont="1" applyBorder="1" applyAlignment="1">
      <alignment horizontal="center"/>
    </xf>
    <xf numFmtId="168" fontId="4" fillId="0" borderId="3" xfId="1" applyNumberFormat="1" applyFont="1" applyBorder="1"/>
    <xf numFmtId="43" fontId="4" fillId="0" borderId="21" xfId="1" applyFont="1" applyBorder="1"/>
    <xf numFmtId="43" fontId="4" fillId="0" borderId="3" xfId="0" applyNumberFormat="1" applyFont="1" applyBorder="1"/>
    <xf numFmtId="43" fontId="4" fillId="0" borderId="21" xfId="0" applyNumberFormat="1" applyFont="1" applyBorder="1"/>
    <xf numFmtId="168" fontId="3" fillId="0" borderId="22" xfId="0" applyNumberFormat="1" applyFont="1" applyBorder="1"/>
    <xf numFmtId="168" fontId="4" fillId="0" borderId="2" xfId="0" applyNumberFormat="1" applyFont="1" applyBorder="1"/>
    <xf numFmtId="168" fontId="4" fillId="0" borderId="15" xfId="0" applyNumberFormat="1" applyFont="1" applyBorder="1"/>
    <xf numFmtId="168" fontId="4" fillId="0" borderId="3" xfId="0" applyNumberFormat="1" applyFont="1" applyBorder="1"/>
    <xf numFmtId="43" fontId="4" fillId="0" borderId="2" xfId="1" applyFont="1" applyBorder="1"/>
    <xf numFmtId="168" fontId="3" fillId="0" borderId="19" xfId="1" applyNumberFormat="1" applyFont="1" applyBorder="1"/>
    <xf numFmtId="43" fontId="4" fillId="0" borderId="3" xfId="1" applyFont="1" applyBorder="1"/>
    <xf numFmtId="168" fontId="3" fillId="0" borderId="22" xfId="1" applyNumberFormat="1" applyFont="1" applyBorder="1"/>
    <xf numFmtId="168" fontId="3" fillId="0" borderId="19" xfId="1" applyNumberFormat="1" applyFont="1" applyFill="1" applyBorder="1"/>
    <xf numFmtId="168" fontId="3" fillId="0" borderId="22" xfId="1" applyNumberFormat="1" applyFont="1" applyFill="1" applyBorder="1"/>
    <xf numFmtId="43" fontId="4" fillId="0" borderId="3" xfId="1" applyFont="1" applyFill="1" applyBorder="1"/>
    <xf numFmtId="169" fontId="3" fillId="0" borderId="22" xfId="1" applyNumberFormat="1" applyFont="1" applyFill="1" applyBorder="1"/>
    <xf numFmtId="168" fontId="4" fillId="0" borderId="2" xfId="1" applyNumberFormat="1" applyFont="1" applyFill="1" applyBorder="1" applyAlignment="1"/>
    <xf numFmtId="43" fontId="4" fillId="0" borderId="15" xfId="1" applyFont="1" applyFill="1" applyBorder="1" applyAlignment="1"/>
    <xf numFmtId="43" fontId="4" fillId="0" borderId="2" xfId="1" applyFont="1" applyFill="1" applyBorder="1" applyAlignment="1"/>
    <xf numFmtId="2" fontId="4" fillId="0" borderId="2" xfId="0" applyNumberFormat="1" applyFont="1" applyBorder="1"/>
    <xf numFmtId="168" fontId="3" fillId="3" borderId="17" xfId="1" applyNumberFormat="1" applyFont="1" applyFill="1" applyBorder="1" applyAlignment="1"/>
    <xf numFmtId="39" fontId="3" fillId="3" borderId="19" xfId="1" applyNumberFormat="1" applyFont="1" applyFill="1" applyBorder="1" applyAlignment="1"/>
    <xf numFmtId="168" fontId="4" fillId="0" borderId="3" xfId="1" applyNumberFormat="1" applyFont="1" applyFill="1" applyBorder="1" applyAlignment="1"/>
    <xf numFmtId="43" fontId="4" fillId="0" borderId="21" xfId="1" applyFont="1" applyFill="1" applyBorder="1" applyAlignment="1"/>
    <xf numFmtId="43" fontId="4" fillId="0" borderId="3" xfId="1" applyFont="1" applyFill="1" applyBorder="1" applyAlignment="1"/>
    <xf numFmtId="2" fontId="4" fillId="0" borderId="3" xfId="0" applyNumberFormat="1" applyFont="1" applyBorder="1"/>
    <xf numFmtId="168" fontId="3" fillId="3" borderId="22" xfId="1" applyNumberFormat="1" applyFont="1" applyFill="1" applyBorder="1" applyAlignment="1"/>
    <xf numFmtId="168" fontId="4" fillId="0" borderId="2" xfId="2" applyNumberFormat="1" applyFont="1" applyFill="1" applyBorder="1"/>
    <xf numFmtId="4" fontId="4" fillId="0" borderId="15" xfId="0" applyNumberFormat="1" applyFont="1" applyBorder="1"/>
    <xf numFmtId="43" fontId="3" fillId="0" borderId="19" xfId="0" applyNumberFormat="1" applyFont="1" applyBorder="1"/>
    <xf numFmtId="4" fontId="4" fillId="0" borderId="2" xfId="0" applyNumberFormat="1" applyFont="1" applyBorder="1"/>
    <xf numFmtId="168" fontId="3" fillId="3" borderId="19" xfId="0" applyNumberFormat="1" applyFont="1" applyFill="1" applyBorder="1"/>
    <xf numFmtId="0" fontId="4" fillId="0" borderId="3" xfId="0" applyFont="1" applyBorder="1"/>
    <xf numFmtId="168" fontId="4" fillId="0" borderId="3" xfId="2" applyNumberFormat="1" applyFont="1" applyFill="1" applyBorder="1"/>
    <xf numFmtId="4" fontId="4" fillId="0" borderId="21" xfId="0" applyNumberFormat="1" applyFont="1" applyBorder="1"/>
    <xf numFmtId="43" fontId="3" fillId="0" borderId="22" xfId="0" applyNumberFormat="1" applyFont="1" applyBorder="1"/>
    <xf numFmtId="4" fontId="4" fillId="0" borderId="3" xfId="0" applyNumberFormat="1" applyFont="1" applyBorder="1"/>
    <xf numFmtId="168" fontId="3" fillId="3" borderId="22" xfId="0" applyNumberFormat="1" applyFont="1" applyFill="1" applyBorder="1"/>
    <xf numFmtId="168" fontId="4" fillId="0" borderId="2" xfId="1" applyNumberFormat="1" applyFont="1" applyFill="1" applyBorder="1"/>
    <xf numFmtId="43" fontId="3" fillId="3" borderId="19" xfId="1" applyFont="1" applyFill="1" applyBorder="1"/>
    <xf numFmtId="168" fontId="4" fillId="0" borderId="3" xfId="1" applyNumberFormat="1" applyFont="1" applyFill="1" applyBorder="1"/>
    <xf numFmtId="43" fontId="4" fillId="0" borderId="21" xfId="1" applyFont="1" applyFill="1" applyBorder="1"/>
    <xf numFmtId="43" fontId="3" fillId="3" borderId="22" xfId="1" applyFont="1" applyFill="1" applyBorder="1"/>
    <xf numFmtId="168" fontId="3" fillId="3" borderId="19" xfId="1" applyNumberFormat="1" applyFont="1" applyFill="1" applyBorder="1"/>
    <xf numFmtId="168" fontId="3" fillId="3" borderId="22" xfId="1" applyNumberFormat="1" applyFont="1" applyFill="1" applyBorder="1"/>
    <xf numFmtId="169" fontId="3" fillId="3" borderId="23" xfId="1" applyNumberFormat="1" applyFont="1" applyFill="1" applyBorder="1"/>
    <xf numFmtId="169" fontId="4" fillId="0" borderId="3" xfId="2" applyNumberFormat="1" applyFont="1" applyFill="1" applyBorder="1"/>
    <xf numFmtId="43" fontId="3" fillId="0" borderId="3" xfId="1" applyFont="1" applyFill="1" applyBorder="1"/>
    <xf numFmtId="43" fontId="4" fillId="0" borderId="3" xfId="1" applyFont="1" applyFill="1" applyBorder="1" applyAlignment="1">
      <alignment horizontal="right"/>
    </xf>
    <xf numFmtId="169" fontId="3" fillId="3" borderId="24" xfId="1" applyNumberFormat="1" applyFont="1" applyFill="1" applyBorder="1"/>
    <xf numFmtId="43" fontId="3" fillId="3" borderId="0" xfId="0" applyNumberFormat="1" applyFont="1" applyFill="1" applyBorder="1" applyAlignment="1">
      <alignment horizontal="center"/>
    </xf>
    <xf numFmtId="43" fontId="3" fillId="3" borderId="0" xfId="0" applyNumberFormat="1" applyFont="1" applyFill="1" applyBorder="1"/>
    <xf numFmtId="43" fontId="4" fillId="3" borderId="0" xfId="0" applyNumberFormat="1" applyFont="1" applyFill="1" applyBorder="1"/>
    <xf numFmtId="0" fontId="3" fillId="3" borderId="0" xfId="0" applyFont="1" applyFill="1" applyBorder="1" applyAlignment="1">
      <alignment horizontal="left"/>
    </xf>
    <xf numFmtId="43" fontId="2" fillId="3" borderId="0" xfId="2" applyNumberFormat="1" applyFont="1" applyFill="1" applyBorder="1"/>
    <xf numFmtId="9" fontId="2" fillId="3" borderId="0" xfId="2" applyNumberFormat="1" applyFont="1" applyFill="1" applyBorder="1"/>
    <xf numFmtId="43" fontId="0" fillId="3" borderId="0" xfId="2" applyNumberFormat="1" applyFont="1" applyFill="1" applyBorder="1"/>
    <xf numFmtId="43" fontId="0" fillId="0" borderId="18" xfId="2" applyNumberFormat="1" applyFont="1" applyBorder="1"/>
    <xf numFmtId="176" fontId="3" fillId="0" borderId="18" xfId="1" applyNumberFormat="1" applyFont="1" applyBorder="1"/>
    <xf numFmtId="43" fontId="2" fillId="0" borderId="18" xfId="2" applyNumberFormat="1" applyFont="1" applyBorder="1"/>
    <xf numFmtId="170" fontId="3" fillId="0" borderId="18" xfId="1" applyNumberFormat="1" applyFont="1" applyBorder="1"/>
    <xf numFmtId="43" fontId="3" fillId="3" borderId="4" xfId="0" applyNumberFormat="1" applyFont="1" applyFill="1" applyBorder="1" applyAlignment="1">
      <alignment horizontal="center"/>
    </xf>
    <xf numFmtId="43" fontId="3" fillId="3" borderId="0" xfId="0" applyNumberFormat="1" applyFont="1" applyFill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/>
    </xf>
    <xf numFmtId="164" fontId="4" fillId="0" borderId="2" xfId="1" applyNumberFormat="1" applyFont="1" applyBorder="1"/>
    <xf numFmtId="43" fontId="3" fillId="0" borderId="3" xfId="0" applyNumberFormat="1" applyFont="1" applyBorder="1" applyAlignment="1">
      <alignment horizontal="center"/>
    </xf>
    <xf numFmtId="43" fontId="4" fillId="0" borderId="3" xfId="1" applyNumberFormat="1" applyFont="1" applyBorder="1"/>
    <xf numFmtId="0" fontId="3" fillId="0" borderId="3" xfId="0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43" fontId="0" fillId="0" borderId="3" xfId="0" applyNumberFormat="1" applyFont="1" applyBorder="1" applyAlignment="1">
      <alignment vertical="center"/>
    </xf>
    <xf numFmtId="43" fontId="3" fillId="0" borderId="18" xfId="1" applyNumberFormat="1" applyFont="1" applyBorder="1"/>
    <xf numFmtId="43" fontId="3" fillId="0" borderId="25" xfId="1" applyNumberFormat="1" applyFont="1" applyBorder="1"/>
    <xf numFmtId="164" fontId="4" fillId="0" borderId="15" xfId="1" applyNumberFormat="1" applyFont="1" applyBorder="1"/>
    <xf numFmtId="43" fontId="4" fillId="0" borderId="21" xfId="1" applyNumberFormat="1" applyFont="1" applyBorder="1"/>
    <xf numFmtId="1" fontId="4" fillId="0" borderId="21" xfId="1" applyNumberFormat="1" applyFont="1" applyBorder="1" applyAlignment="1">
      <alignment horizontal="center"/>
    </xf>
    <xf numFmtId="43" fontId="0" fillId="0" borderId="21" xfId="0" applyNumberFormat="1" applyFont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0" fillId="0" borderId="0" xfId="0" applyBorder="1"/>
    <xf numFmtId="0" fontId="4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5" borderId="0" xfId="0" applyFont="1" applyFill="1" applyBorder="1" applyAlignment="1"/>
    <xf numFmtId="168" fontId="4" fillId="4" borderId="2" xfId="0" applyNumberFormat="1" applyFont="1" applyFill="1" applyBorder="1"/>
    <xf numFmtId="10" fontId="3" fillId="4" borderId="19" xfId="0" applyNumberFormat="1" applyFont="1" applyFill="1" applyBorder="1"/>
    <xf numFmtId="168" fontId="4" fillId="4" borderId="3" xfId="0" applyNumberFormat="1" applyFont="1" applyFill="1" applyBorder="1"/>
    <xf numFmtId="10" fontId="3" fillId="4" borderId="22" xfId="0" applyNumberFormat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43" fontId="4" fillId="4" borderId="2" xfId="0" applyNumberFormat="1" applyFont="1" applyFill="1" applyBorder="1"/>
    <xf numFmtId="43" fontId="4" fillId="4" borderId="3" xfId="0" applyNumberFormat="1" applyFont="1" applyFill="1" applyBorder="1"/>
    <xf numFmtId="43" fontId="4" fillId="0" borderId="2" xfId="1" applyNumberFormat="1" applyFont="1" applyFill="1" applyBorder="1"/>
    <xf numFmtId="43" fontId="4" fillId="0" borderId="3" xfId="1" applyNumberFormat="1" applyFont="1" applyFill="1" applyBorder="1"/>
    <xf numFmtId="43" fontId="4" fillId="4" borderId="2" xfId="2" applyNumberFormat="1" applyFont="1" applyFill="1" applyBorder="1"/>
    <xf numFmtId="43" fontId="3" fillId="4" borderId="19" xfId="2" applyNumberFormat="1" applyFont="1" applyFill="1" applyBorder="1"/>
    <xf numFmtId="43" fontId="4" fillId="4" borderId="3" xfId="2" applyNumberFormat="1" applyFont="1" applyFill="1" applyBorder="1"/>
    <xf numFmtId="43" fontId="3" fillId="4" borderId="22" xfId="2" applyNumberFormat="1" applyFont="1" applyFill="1" applyBorder="1"/>
    <xf numFmtId="2" fontId="3" fillId="4" borderId="19" xfId="0" applyNumberFormat="1" applyFont="1" applyFill="1" applyBorder="1"/>
    <xf numFmtId="2" fontId="3" fillId="4" borderId="22" xfId="0" applyNumberFormat="1" applyFont="1" applyFill="1" applyBorder="1"/>
    <xf numFmtId="0" fontId="3" fillId="3" borderId="4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BC8C-28B8-47F4-93D2-3E1189837BAB}">
  <dimension ref="A1:U95"/>
  <sheetViews>
    <sheetView showGridLines="0" tabSelected="1" zoomScale="70" zoomScaleNormal="70" workbookViewId="0">
      <selection activeCell="H31" sqref="H31"/>
    </sheetView>
  </sheetViews>
  <sheetFormatPr defaultRowHeight="15" x14ac:dyDescent="0.2"/>
  <cols>
    <col min="1" max="1" width="44.28515625" style="56" bestFit="1" customWidth="1"/>
    <col min="2" max="2" width="20" style="56" bestFit="1" customWidth="1"/>
    <col min="3" max="3" width="22.5703125" style="56" bestFit="1" customWidth="1"/>
    <col min="4" max="4" width="20.140625" style="56" bestFit="1" customWidth="1"/>
    <col min="5" max="5" width="18.85546875" style="56" bestFit="1" customWidth="1"/>
    <col min="6" max="6" width="21" style="56" bestFit="1" customWidth="1"/>
    <col min="7" max="7" width="19" style="56" bestFit="1" customWidth="1"/>
    <col min="8" max="8" width="16.28515625" style="56" bestFit="1" customWidth="1"/>
    <col min="9" max="9" width="44.85546875" style="56" bestFit="1" customWidth="1"/>
    <col min="10" max="10" width="10" style="56" customWidth="1"/>
    <col min="11" max="11" width="17.85546875" style="56" bestFit="1" customWidth="1"/>
    <col min="12" max="12" width="17.85546875" style="56" customWidth="1"/>
    <col min="13" max="13" width="17.85546875" style="56" bestFit="1" customWidth="1"/>
    <col min="14" max="14" width="17.85546875" style="56" customWidth="1"/>
    <col min="15" max="15" width="17.85546875" style="56" bestFit="1" customWidth="1"/>
    <col min="16" max="16384" width="9.140625" style="56"/>
  </cols>
  <sheetData>
    <row r="1" spans="1:7" ht="15.75" x14ac:dyDescent="0.25">
      <c r="A1" s="133" t="s">
        <v>331</v>
      </c>
      <c r="B1" s="134"/>
      <c r="C1" s="134"/>
      <c r="D1" s="134"/>
      <c r="E1" s="134"/>
      <c r="F1" s="134"/>
      <c r="G1" s="135"/>
    </row>
    <row r="2" spans="1:7" ht="15" customHeight="1" x14ac:dyDescent="0.2">
      <c r="A2" s="136" t="s">
        <v>192</v>
      </c>
      <c r="B2" s="137"/>
      <c r="C2" s="137"/>
      <c r="D2" s="137"/>
      <c r="E2" s="137"/>
      <c r="F2" s="137"/>
      <c r="G2" s="138"/>
    </row>
    <row r="3" spans="1:7" ht="15" customHeight="1" x14ac:dyDescent="0.25">
      <c r="A3" s="57"/>
      <c r="B3" s="112" t="s">
        <v>193</v>
      </c>
      <c r="C3" s="120">
        <v>2022</v>
      </c>
      <c r="D3" s="162">
        <v>2023</v>
      </c>
      <c r="E3" s="162">
        <v>2024</v>
      </c>
      <c r="F3" s="162">
        <v>2025</v>
      </c>
      <c r="G3" s="59">
        <v>2026</v>
      </c>
    </row>
    <row r="4" spans="1:7" x14ac:dyDescent="0.2">
      <c r="A4" s="60" t="s">
        <v>194</v>
      </c>
      <c r="B4" s="115">
        <v>1</v>
      </c>
      <c r="C4" s="179">
        <f>Notes!B8</f>
        <v>4182045.12</v>
      </c>
      <c r="D4" s="185">
        <f>Notes!C8</f>
        <v>4516608.7296000002</v>
      </c>
      <c r="E4" s="185">
        <f>Notes!D8</f>
        <v>4877937.4279680001</v>
      </c>
      <c r="F4" s="185">
        <f>Notes!E8</f>
        <v>5268172.4222054407</v>
      </c>
      <c r="G4" s="61">
        <f>Notes!F8</f>
        <v>5689626.2159818765</v>
      </c>
    </row>
    <row r="5" spans="1:7" x14ac:dyDescent="0.2">
      <c r="A5" s="60" t="s">
        <v>195</v>
      </c>
      <c r="B5" s="115">
        <v>2</v>
      </c>
      <c r="C5" s="180">
        <f>Notes!B20</f>
        <v>915707.4</v>
      </c>
      <c r="D5" s="186">
        <f>Notes!C20</f>
        <v>1022271.588</v>
      </c>
      <c r="E5" s="186">
        <f>Notes!D20</f>
        <v>1070382.7857600001</v>
      </c>
      <c r="F5" s="186">
        <f>Notes!E20</f>
        <v>1114513.8061752</v>
      </c>
      <c r="G5" s="132">
        <f>Notes!F20</f>
        <v>1160205.0342737043</v>
      </c>
    </row>
    <row r="6" spans="1:7" x14ac:dyDescent="0.2">
      <c r="A6" s="60" t="s">
        <v>196</v>
      </c>
      <c r="B6" s="116"/>
      <c r="C6" s="181">
        <f>C4-C5</f>
        <v>3266337.72</v>
      </c>
      <c r="D6" s="187">
        <f>D4-D5</f>
        <v>3494337.1416000002</v>
      </c>
      <c r="E6" s="187">
        <f>E4-E5</f>
        <v>3807554.6422079997</v>
      </c>
      <c r="F6" s="187">
        <f>F4-F5</f>
        <v>4153658.6160302404</v>
      </c>
      <c r="G6" s="62">
        <f>G4-G5</f>
        <v>4529421.181708172</v>
      </c>
    </row>
    <row r="7" spans="1:7" x14ac:dyDescent="0.2">
      <c r="A7" s="60" t="s">
        <v>197</v>
      </c>
      <c r="B7" s="117"/>
      <c r="C7" s="182"/>
      <c r="D7" s="188"/>
      <c r="E7" s="188"/>
      <c r="F7" s="188"/>
      <c r="G7" s="64"/>
    </row>
    <row r="8" spans="1:7" x14ac:dyDescent="0.2">
      <c r="A8" s="60" t="s">
        <v>198</v>
      </c>
      <c r="B8" s="115">
        <v>3</v>
      </c>
      <c r="C8" s="181">
        <f>Notes!B31</f>
        <v>1247724.1623015874</v>
      </c>
      <c r="D8" s="187">
        <f>Notes!C31</f>
        <v>734021.12730158726</v>
      </c>
      <c r="E8" s="187">
        <f>Notes!D31</f>
        <v>747905.69160158734</v>
      </c>
      <c r="F8" s="187">
        <f>Notes!E31</f>
        <v>829498.14718758734</v>
      </c>
      <c r="G8" s="62">
        <f>Notes!F31</f>
        <v>724098.83188530733</v>
      </c>
    </row>
    <row r="9" spans="1:7" x14ac:dyDescent="0.2">
      <c r="A9" s="60" t="s">
        <v>199</v>
      </c>
      <c r="B9" s="115">
        <v>4</v>
      </c>
      <c r="C9" s="180">
        <f>Notes!B39</f>
        <v>2289954.3600000003</v>
      </c>
      <c r="D9" s="186">
        <f>Notes!C39</f>
        <v>2289954.3600000003</v>
      </c>
      <c r="E9" s="186">
        <f>Notes!D39</f>
        <v>2289954.3600000003</v>
      </c>
      <c r="F9" s="186">
        <f>Notes!E39</f>
        <v>2289954.3600000003</v>
      </c>
      <c r="G9" s="132">
        <f>Notes!F39</f>
        <v>2289954.3600000003</v>
      </c>
    </row>
    <row r="10" spans="1:7" x14ac:dyDescent="0.2">
      <c r="A10" s="60" t="s">
        <v>200</v>
      </c>
      <c r="B10" s="117"/>
      <c r="C10" s="181">
        <f>C6-C8-C9</f>
        <v>-271340.80230158754</v>
      </c>
      <c r="D10" s="187">
        <f>D6-D8-D9</f>
        <v>470361.65429841261</v>
      </c>
      <c r="E10" s="187">
        <f>E6-E8-E9</f>
        <v>769694.59060641192</v>
      </c>
      <c r="F10" s="187">
        <f>F6-F8-F9</f>
        <v>1034206.1088426528</v>
      </c>
      <c r="G10" s="62">
        <f>G6-G8-G9</f>
        <v>1515367.9898228645</v>
      </c>
    </row>
    <row r="11" spans="1:7" x14ac:dyDescent="0.2">
      <c r="A11" s="60" t="s">
        <v>201</v>
      </c>
      <c r="B11" s="117"/>
      <c r="C11" s="180">
        <f>C10*0.3</f>
        <v>-81402.240690476261</v>
      </c>
      <c r="D11" s="186">
        <f>D10*0.3</f>
        <v>141108.49628952378</v>
      </c>
      <c r="E11" s="186">
        <f>E10*0.3</f>
        <v>230908.37718192357</v>
      </c>
      <c r="F11" s="186">
        <f>F10*0.3</f>
        <v>310261.83265279583</v>
      </c>
      <c r="G11" s="132">
        <f>G10*0.3</f>
        <v>454610.39694685937</v>
      </c>
    </row>
    <row r="12" spans="1:7" x14ac:dyDescent="0.2">
      <c r="A12" s="60" t="s">
        <v>202</v>
      </c>
      <c r="B12" s="117"/>
      <c r="C12" s="181">
        <f>C10-C11</f>
        <v>-189938.56161111128</v>
      </c>
      <c r="D12" s="187">
        <f>D10-D11</f>
        <v>329253.15800888883</v>
      </c>
      <c r="E12" s="187">
        <f>E10-E11</f>
        <v>538786.21342448832</v>
      </c>
      <c r="F12" s="187">
        <f>F10-F11</f>
        <v>723944.27618985693</v>
      </c>
      <c r="G12" s="62">
        <f>G10-G11</f>
        <v>1060757.5928760052</v>
      </c>
    </row>
    <row r="13" spans="1:7" x14ac:dyDescent="0.2">
      <c r="A13" s="60" t="s">
        <v>203</v>
      </c>
      <c r="B13" s="117"/>
      <c r="C13" s="181">
        <f>C12*0.1</f>
        <v>-18993.856161111129</v>
      </c>
      <c r="D13" s="187">
        <f>D12*0.1</f>
        <v>32925.315800888886</v>
      </c>
      <c r="E13" s="187">
        <f>E12*0.1</f>
        <v>53878.621342448838</v>
      </c>
      <c r="F13" s="187">
        <f>F12*0.1</f>
        <v>72394.42761898569</v>
      </c>
      <c r="G13" s="62">
        <f>G12*0.1</f>
        <v>106075.75928760052</v>
      </c>
    </row>
    <row r="14" spans="1:7" ht="16.5" thickBot="1" x14ac:dyDescent="0.3">
      <c r="A14" s="155" t="s">
        <v>204</v>
      </c>
      <c r="B14" s="156"/>
      <c r="C14" s="184">
        <f>C12-C13</f>
        <v>-170944.70545000015</v>
      </c>
      <c r="D14" s="189">
        <f>D12-D13</f>
        <v>296327.84220799996</v>
      </c>
      <c r="E14" s="189">
        <f>E12-E13</f>
        <v>484907.59208203945</v>
      </c>
      <c r="F14" s="189">
        <f>F12-F13</f>
        <v>651549.84857087128</v>
      </c>
      <c r="G14" s="183">
        <f>G12-G13</f>
        <v>954681.8335884047</v>
      </c>
    </row>
    <row r="15" spans="1:7" ht="15" customHeight="1" x14ac:dyDescent="0.2"/>
    <row r="17" spans="1:21" ht="15.75" thickBot="1" x14ac:dyDescent="0.25">
      <c r="C17" s="18"/>
      <c r="D17" s="18"/>
      <c r="E17" s="18"/>
      <c r="F17" s="18"/>
      <c r="G17" s="18"/>
    </row>
    <row r="18" spans="1:21" ht="15.75" x14ac:dyDescent="0.25">
      <c r="A18" s="133" t="s">
        <v>331</v>
      </c>
      <c r="B18" s="134"/>
      <c r="C18" s="134"/>
      <c r="D18" s="134"/>
      <c r="E18" s="134"/>
      <c r="F18" s="134"/>
      <c r="G18" s="135"/>
    </row>
    <row r="19" spans="1:21" ht="15.75" x14ac:dyDescent="0.25">
      <c r="A19" s="139" t="s">
        <v>205</v>
      </c>
      <c r="B19" s="140"/>
      <c r="C19" s="140"/>
      <c r="D19" s="140"/>
      <c r="E19" s="140"/>
      <c r="F19" s="140"/>
      <c r="G19" s="141"/>
    </row>
    <row r="20" spans="1:21" ht="15.75" x14ac:dyDescent="0.25">
      <c r="A20" s="57"/>
      <c r="B20" s="120" t="s">
        <v>250</v>
      </c>
      <c r="C20" s="162" t="s">
        <v>251</v>
      </c>
      <c r="D20" s="162" t="s">
        <v>252</v>
      </c>
      <c r="E20" s="162" t="s">
        <v>253</v>
      </c>
      <c r="F20" s="162" t="s">
        <v>254</v>
      </c>
      <c r="G20" s="59" t="s">
        <v>6</v>
      </c>
    </row>
    <row r="21" spans="1:21" x14ac:dyDescent="0.2">
      <c r="A21" s="57" t="s">
        <v>209</v>
      </c>
      <c r="B21" s="90"/>
      <c r="C21" s="195"/>
      <c r="D21" s="195"/>
      <c r="E21" s="195"/>
      <c r="F21" s="195"/>
      <c r="G21" s="65"/>
    </row>
    <row r="22" spans="1:21" x14ac:dyDescent="0.2">
      <c r="A22" s="57" t="s">
        <v>206</v>
      </c>
      <c r="B22" s="190">
        <v>228000</v>
      </c>
      <c r="C22" s="196">
        <v>228000</v>
      </c>
      <c r="D22" s="196">
        <v>228000</v>
      </c>
      <c r="E22" s="170">
        <v>288000</v>
      </c>
      <c r="F22" s="196">
        <v>228000</v>
      </c>
      <c r="G22" s="66">
        <f>SUM(B22:F22)</f>
        <v>1200000</v>
      </c>
    </row>
    <row r="23" spans="1:21" x14ac:dyDescent="0.2">
      <c r="A23" s="57" t="s">
        <v>338</v>
      </c>
      <c r="B23" s="191">
        <f>G23*0.19</f>
        <v>-32479.494035500029</v>
      </c>
      <c r="C23" s="197">
        <f>G23*0.19</f>
        <v>-32479.494035500029</v>
      </c>
      <c r="D23" s="197">
        <f>G23*0.19</f>
        <v>-32479.494035500029</v>
      </c>
      <c r="E23" s="197">
        <f>G23*0.24</f>
        <v>-41026.729308000038</v>
      </c>
      <c r="F23" s="197">
        <f>G23*0.19</f>
        <v>-32479.494035500029</v>
      </c>
      <c r="G23" s="113">
        <f>C14</f>
        <v>-170944.70545000015</v>
      </c>
    </row>
    <row r="24" spans="1:21" ht="16.5" thickBot="1" x14ac:dyDescent="0.3">
      <c r="A24" s="57" t="s">
        <v>210</v>
      </c>
      <c r="B24" s="192">
        <f>B21+B22+B23</f>
        <v>195520.50596449996</v>
      </c>
      <c r="C24" s="198">
        <f t="shared" ref="C24:G24" si="0">C21+C22+C23</f>
        <v>195520.50596449996</v>
      </c>
      <c r="D24" s="198">
        <f t="shared" si="0"/>
        <v>195520.50596449996</v>
      </c>
      <c r="E24" s="198">
        <f t="shared" si="0"/>
        <v>246973.27069199996</v>
      </c>
      <c r="F24" s="198">
        <f>F21+F22+F23+0.01</f>
        <v>195520.51596449997</v>
      </c>
      <c r="G24" s="131">
        <f t="shared" si="0"/>
        <v>1029055.2945499999</v>
      </c>
      <c r="H24" s="67"/>
      <c r="U24" s="56" t="s">
        <v>207</v>
      </c>
    </row>
    <row r="25" spans="1:21" ht="15.75" thickTop="1" x14ac:dyDescent="0.2">
      <c r="A25" s="57"/>
      <c r="B25" s="159"/>
      <c r="C25" s="165"/>
      <c r="D25" s="165"/>
      <c r="E25" s="165"/>
      <c r="F25" s="165"/>
      <c r="G25" s="69"/>
      <c r="H25" s="67"/>
    </row>
    <row r="26" spans="1:21" x14ac:dyDescent="0.2">
      <c r="A26" s="57" t="s">
        <v>211</v>
      </c>
      <c r="B26" s="159">
        <f t="shared" ref="B26:F26" si="1">B24</f>
        <v>195520.50596449996</v>
      </c>
      <c r="C26" s="165">
        <f t="shared" si="1"/>
        <v>195520.50596449996</v>
      </c>
      <c r="D26" s="165">
        <f t="shared" si="1"/>
        <v>195520.50596449996</v>
      </c>
      <c r="E26" s="165">
        <f t="shared" si="1"/>
        <v>246973.27069199996</v>
      </c>
      <c r="F26" s="165">
        <f t="shared" si="1"/>
        <v>195520.51596449997</v>
      </c>
      <c r="G26" s="69">
        <f>G24</f>
        <v>1029055.2945499999</v>
      </c>
    </row>
    <row r="27" spans="1:21" x14ac:dyDescent="0.2">
      <c r="A27" s="57" t="s">
        <v>206</v>
      </c>
      <c r="B27" s="159"/>
      <c r="C27" s="165"/>
      <c r="D27" s="165"/>
      <c r="E27" s="165"/>
      <c r="F27" s="165"/>
      <c r="G27" s="69"/>
    </row>
    <row r="28" spans="1:21" x14ac:dyDescent="0.2">
      <c r="A28" s="57" t="s">
        <v>208</v>
      </c>
      <c r="B28" s="191">
        <f>G28*0.19</f>
        <v>56302.290019519991</v>
      </c>
      <c r="C28" s="197">
        <f>G28*0.19</f>
        <v>56302.290019519991</v>
      </c>
      <c r="D28" s="197">
        <f>G28*0.19</f>
        <v>56302.290019519991</v>
      </c>
      <c r="E28" s="197">
        <f>G28*0.24</f>
        <v>71118.68212991998</v>
      </c>
      <c r="F28" s="197">
        <f>G28*0.19</f>
        <v>56302.290019519991</v>
      </c>
      <c r="G28" s="114">
        <f>D14</f>
        <v>296327.84220799996</v>
      </c>
      <c r="H28" s="67"/>
    </row>
    <row r="29" spans="1:21" ht="16.5" thickBot="1" x14ac:dyDescent="0.3">
      <c r="A29" s="57" t="s">
        <v>212</v>
      </c>
      <c r="B29" s="192">
        <f>B26+B27+B28</f>
        <v>251822.79598401993</v>
      </c>
      <c r="C29" s="198">
        <f t="shared" ref="C29:F29" si="2">C26+C27+C28</f>
        <v>251822.79598401993</v>
      </c>
      <c r="D29" s="198">
        <f t="shared" si="2"/>
        <v>251822.79598401993</v>
      </c>
      <c r="E29" s="198">
        <f t="shared" si="2"/>
        <v>318091.95282191993</v>
      </c>
      <c r="F29" s="198">
        <f t="shared" si="2"/>
        <v>251822.80598401994</v>
      </c>
      <c r="G29" s="131">
        <f>G26+G27+G28</f>
        <v>1325383.1367579999</v>
      </c>
      <c r="H29" s="67"/>
    </row>
    <row r="30" spans="1:21" ht="15.75" thickTop="1" x14ac:dyDescent="0.2">
      <c r="A30" s="57"/>
      <c r="B30" s="159"/>
      <c r="C30" s="165"/>
      <c r="D30" s="165"/>
      <c r="E30" s="165"/>
      <c r="F30" s="165"/>
      <c r="G30" s="69"/>
    </row>
    <row r="31" spans="1:21" x14ac:dyDescent="0.2">
      <c r="A31" s="57" t="s">
        <v>332</v>
      </c>
      <c r="B31" s="159">
        <f t="shared" ref="B31:F31" si="3">B29</f>
        <v>251822.79598401993</v>
      </c>
      <c r="C31" s="165">
        <f t="shared" si="3"/>
        <v>251822.79598401993</v>
      </c>
      <c r="D31" s="165">
        <f t="shared" si="3"/>
        <v>251822.79598401993</v>
      </c>
      <c r="E31" s="165">
        <f t="shared" si="3"/>
        <v>318091.95282191993</v>
      </c>
      <c r="F31" s="165">
        <f t="shared" si="3"/>
        <v>251822.80598401994</v>
      </c>
      <c r="G31" s="69">
        <f>G29</f>
        <v>1325383.1367579999</v>
      </c>
    </row>
    <row r="32" spans="1:21" x14ac:dyDescent="0.2">
      <c r="A32" s="57" t="s">
        <v>206</v>
      </c>
      <c r="B32" s="159"/>
      <c r="C32" s="165"/>
      <c r="D32" s="165"/>
      <c r="E32" s="165"/>
      <c r="F32" s="165"/>
      <c r="G32" s="69"/>
    </row>
    <row r="33" spans="1:8" x14ac:dyDescent="0.2">
      <c r="A33" s="57" t="s">
        <v>208</v>
      </c>
      <c r="B33" s="191">
        <f>G33*0.19</f>
        <v>92132.446295587506</v>
      </c>
      <c r="C33" s="197">
        <f>G33*0.19</f>
        <v>92132.446295587506</v>
      </c>
      <c r="D33" s="197">
        <f>G33*0.19</f>
        <v>92132.446295587506</v>
      </c>
      <c r="E33" s="197">
        <f>G33*0.24</f>
        <v>116377.82689968946</v>
      </c>
      <c r="F33" s="197">
        <f>G33*0.19</f>
        <v>92132.446295587506</v>
      </c>
      <c r="G33" s="114">
        <f>E14+0.02</f>
        <v>484907.61208203947</v>
      </c>
    </row>
    <row r="34" spans="1:8" ht="16.5" thickBot="1" x14ac:dyDescent="0.3">
      <c r="A34" s="57" t="s">
        <v>333</v>
      </c>
      <c r="B34" s="192">
        <f t="shared" ref="B34:E34" si="4">B31+B32+B33</f>
        <v>343955.24227960745</v>
      </c>
      <c r="C34" s="198">
        <f t="shared" si="4"/>
        <v>343955.24227960745</v>
      </c>
      <c r="D34" s="198">
        <f t="shared" si="4"/>
        <v>343955.24227960745</v>
      </c>
      <c r="E34" s="198">
        <f t="shared" si="4"/>
        <v>434469.77972160937</v>
      </c>
      <c r="F34" s="198">
        <f>F31+F32+F33</f>
        <v>343955.25227960746</v>
      </c>
      <c r="G34" s="131">
        <f>G31+G32+G33</f>
        <v>1810290.7488400394</v>
      </c>
      <c r="H34" s="67"/>
    </row>
    <row r="35" spans="1:8" ht="15.75" thickTop="1" x14ac:dyDescent="0.2">
      <c r="A35" s="57"/>
      <c r="B35" s="159"/>
      <c r="C35" s="165"/>
      <c r="D35" s="165"/>
      <c r="E35" s="165"/>
      <c r="F35" s="165"/>
      <c r="G35" s="69"/>
    </row>
    <row r="36" spans="1:8" x14ac:dyDescent="0.2">
      <c r="A36" s="57" t="s">
        <v>334</v>
      </c>
      <c r="B36" s="159">
        <f t="shared" ref="B36:F36" si="5">B34</f>
        <v>343955.24227960745</v>
      </c>
      <c r="C36" s="165">
        <f t="shared" si="5"/>
        <v>343955.24227960745</v>
      </c>
      <c r="D36" s="165">
        <f t="shared" si="5"/>
        <v>343955.24227960745</v>
      </c>
      <c r="E36" s="165">
        <f t="shared" si="5"/>
        <v>434469.77972160937</v>
      </c>
      <c r="F36" s="165">
        <f t="shared" si="5"/>
        <v>343955.25227960746</v>
      </c>
      <c r="G36" s="69">
        <f>G34</f>
        <v>1810290.7488400394</v>
      </c>
    </row>
    <row r="37" spans="1:8" x14ac:dyDescent="0.2">
      <c r="A37" s="57" t="s">
        <v>206</v>
      </c>
      <c r="B37" s="159"/>
      <c r="C37" s="165"/>
      <c r="D37" s="165"/>
      <c r="E37" s="165"/>
      <c r="F37" s="165"/>
      <c r="G37" s="69"/>
    </row>
    <row r="38" spans="1:8" x14ac:dyDescent="0.2">
      <c r="A38" s="57" t="s">
        <v>208</v>
      </c>
      <c r="B38" s="191">
        <f>G38*0.19</f>
        <v>123794.47122846554</v>
      </c>
      <c r="C38" s="197">
        <f>G38*0.19</f>
        <v>123794.47122846554</v>
      </c>
      <c r="D38" s="197">
        <f>G38*0.19</f>
        <v>123794.47122846554</v>
      </c>
      <c r="E38" s="197">
        <f>G38*0.24</f>
        <v>156371.9636570091</v>
      </c>
      <c r="F38" s="197">
        <f>G38*0.19</f>
        <v>123794.47122846554</v>
      </c>
      <c r="G38" s="114">
        <f>F14</f>
        <v>651549.84857087128</v>
      </c>
    </row>
    <row r="39" spans="1:8" ht="16.5" thickBot="1" x14ac:dyDescent="0.3">
      <c r="A39" s="57" t="s">
        <v>335</v>
      </c>
      <c r="B39" s="192">
        <f t="shared" ref="B39:G39" si="6">B36+B37+B38</f>
        <v>467749.71350807301</v>
      </c>
      <c r="C39" s="198">
        <f t="shared" si="6"/>
        <v>467749.71350807301</v>
      </c>
      <c r="D39" s="198">
        <f t="shared" si="6"/>
        <v>467749.71350807301</v>
      </c>
      <c r="E39" s="198">
        <f t="shared" si="6"/>
        <v>590841.7433786185</v>
      </c>
      <c r="F39" s="198">
        <f t="shared" si="6"/>
        <v>467749.72350807302</v>
      </c>
      <c r="G39" s="131">
        <f t="shared" si="6"/>
        <v>2461840.5974109108</v>
      </c>
      <c r="H39" s="67"/>
    </row>
    <row r="40" spans="1:8" ht="15.75" thickTop="1" x14ac:dyDescent="0.2">
      <c r="A40" s="57"/>
      <c r="B40" s="159"/>
      <c r="C40" s="165"/>
      <c r="D40" s="165"/>
      <c r="E40" s="165"/>
      <c r="F40" s="165"/>
      <c r="G40" s="69"/>
    </row>
    <row r="41" spans="1:8" x14ac:dyDescent="0.2">
      <c r="A41" s="57" t="s">
        <v>336</v>
      </c>
      <c r="B41" s="159">
        <f t="shared" ref="B41:F41" si="7">B39</f>
        <v>467749.71350807301</v>
      </c>
      <c r="C41" s="165">
        <f t="shared" si="7"/>
        <v>467749.71350807301</v>
      </c>
      <c r="D41" s="165">
        <f t="shared" si="7"/>
        <v>467749.71350807301</v>
      </c>
      <c r="E41" s="165">
        <f t="shared" si="7"/>
        <v>590841.7433786185</v>
      </c>
      <c r="F41" s="165">
        <f t="shared" si="7"/>
        <v>467749.72350807302</v>
      </c>
      <c r="G41" s="69">
        <f>G39</f>
        <v>2461840.5974109108</v>
      </c>
    </row>
    <row r="42" spans="1:8" x14ac:dyDescent="0.2">
      <c r="A42" s="57" t="s">
        <v>206</v>
      </c>
      <c r="B42" s="193"/>
      <c r="C42" s="199"/>
      <c r="D42" s="199"/>
      <c r="E42" s="199"/>
      <c r="F42" s="199"/>
      <c r="G42" s="68"/>
    </row>
    <row r="43" spans="1:8" x14ac:dyDescent="0.2">
      <c r="A43" s="57" t="s">
        <v>208</v>
      </c>
      <c r="B43" s="191">
        <f>G43*0.19</f>
        <v>181389.54838179689</v>
      </c>
      <c r="C43" s="197">
        <f>G43*0.19</f>
        <v>181389.54838179689</v>
      </c>
      <c r="D43" s="197">
        <f>G43*0.19</f>
        <v>181389.54838179689</v>
      </c>
      <c r="E43" s="197">
        <f>G43*0.24</f>
        <v>229123.64006121713</v>
      </c>
      <c r="F43" s="197">
        <f>G43*0.19</f>
        <v>181389.54838179689</v>
      </c>
      <c r="G43" s="113">
        <f>G14</f>
        <v>954681.8335884047</v>
      </c>
    </row>
    <row r="44" spans="1:8" ht="16.5" thickBot="1" x14ac:dyDescent="0.3">
      <c r="A44" s="153" t="s">
        <v>337</v>
      </c>
      <c r="B44" s="194">
        <f t="shared" ref="B44:G44" si="8">B41+B42+B43</f>
        <v>649139.26188986993</v>
      </c>
      <c r="C44" s="200">
        <f t="shared" si="8"/>
        <v>649139.26188986993</v>
      </c>
      <c r="D44" s="200">
        <f t="shared" si="8"/>
        <v>649139.26188986993</v>
      </c>
      <c r="E44" s="200">
        <f t="shared" si="8"/>
        <v>819965.38343983563</v>
      </c>
      <c r="F44" s="200">
        <f t="shared" si="8"/>
        <v>649139.27188986994</v>
      </c>
      <c r="G44" s="154">
        <f t="shared" si="8"/>
        <v>3416522.4309993153</v>
      </c>
      <c r="H44" s="67"/>
    </row>
    <row r="47" spans="1:8" ht="15.75" thickBot="1" x14ac:dyDescent="0.25"/>
    <row r="48" spans="1:8" ht="15.75" x14ac:dyDescent="0.25">
      <c r="A48" s="133" t="s">
        <v>331</v>
      </c>
      <c r="B48" s="134"/>
      <c r="C48" s="134"/>
      <c r="D48" s="134"/>
      <c r="E48" s="134"/>
      <c r="F48" s="134"/>
      <c r="G48" s="135"/>
    </row>
    <row r="49" spans="1:8" ht="15.75" x14ac:dyDescent="0.2">
      <c r="A49" s="142" t="s">
        <v>213</v>
      </c>
      <c r="B49" s="143"/>
      <c r="C49" s="143"/>
      <c r="D49" s="143"/>
      <c r="E49" s="143"/>
      <c r="F49" s="143"/>
      <c r="G49" s="144"/>
    </row>
    <row r="50" spans="1:8" ht="15.75" x14ac:dyDescent="0.25">
      <c r="A50" s="70" t="s">
        <v>214</v>
      </c>
      <c r="B50" s="71"/>
      <c r="C50" s="71"/>
      <c r="D50" s="71"/>
      <c r="E50" s="71"/>
      <c r="F50" s="71"/>
      <c r="G50" s="72"/>
    </row>
    <row r="51" spans="1:8" ht="15.75" x14ac:dyDescent="0.25">
      <c r="A51" s="70" t="s">
        <v>215</v>
      </c>
      <c r="B51" s="73" t="s">
        <v>193</v>
      </c>
      <c r="C51" s="120">
        <v>2022</v>
      </c>
      <c r="D51" s="162">
        <v>2023</v>
      </c>
      <c r="E51" s="162">
        <v>2024</v>
      </c>
      <c r="F51" s="162">
        <v>2025</v>
      </c>
      <c r="G51" s="162">
        <v>2026</v>
      </c>
    </row>
    <row r="52" spans="1:8" x14ac:dyDescent="0.2">
      <c r="A52" s="74" t="s">
        <v>216</v>
      </c>
      <c r="B52" s="75"/>
      <c r="C52" s="201">
        <f>C93</f>
        <v>802808.61051785701</v>
      </c>
      <c r="D52" s="203">
        <f>D93</f>
        <v>1251381.3054344442</v>
      </c>
      <c r="E52" s="203">
        <f>E93</f>
        <v>1830785.4787187309</v>
      </c>
      <c r="F52" s="203">
        <f>F93</f>
        <v>2572523.6366953244</v>
      </c>
      <c r="G52" s="203">
        <f>G93</f>
        <v>3648958.4283600273</v>
      </c>
    </row>
    <row r="53" spans="1:8" ht="15.75" x14ac:dyDescent="0.25">
      <c r="A53" s="74" t="s">
        <v>217</v>
      </c>
      <c r="B53" s="76"/>
      <c r="C53" s="123">
        <f>Notes!B16</f>
        <v>78732</v>
      </c>
      <c r="D53" s="177">
        <f>Notes!C16</f>
        <v>90541.8</v>
      </c>
      <c r="E53" s="177">
        <f>Notes!D16</f>
        <v>95856.210000000021</v>
      </c>
      <c r="F53" s="177">
        <f>Notes!E16</f>
        <v>100727.75250000002</v>
      </c>
      <c r="G53" s="177">
        <f>Notes!F16</f>
        <v>105772.01332500002</v>
      </c>
    </row>
    <row r="54" spans="1:8" ht="15.75" x14ac:dyDescent="0.25">
      <c r="A54" s="74" t="s">
        <v>218</v>
      </c>
      <c r="B54" s="76">
        <v>5</v>
      </c>
      <c r="C54" s="124">
        <f>Notes!B47</f>
        <v>46498.25</v>
      </c>
      <c r="D54" s="204">
        <f>Notes!C47</f>
        <v>47428.215000000004</v>
      </c>
      <c r="E54" s="204">
        <f>Notes!D47</f>
        <v>48376.779300000002</v>
      </c>
      <c r="F54" s="204">
        <f>Notes!E47</f>
        <v>49344.314886</v>
      </c>
      <c r="G54" s="204">
        <f>Notes!F47</f>
        <v>50331.201183720004</v>
      </c>
    </row>
    <row r="55" spans="1:8" ht="15.75" x14ac:dyDescent="0.25">
      <c r="A55" s="70" t="s">
        <v>219</v>
      </c>
      <c r="B55" s="76"/>
      <c r="C55" s="123">
        <f>SUM(C52:C54)</f>
        <v>928038.86051785701</v>
      </c>
      <c r="D55" s="177">
        <f>SUM(D52:D54)</f>
        <v>1389351.3204344444</v>
      </c>
      <c r="E55" s="177">
        <f>SUM(E52:E54)</f>
        <v>1975018.4680187309</v>
      </c>
      <c r="F55" s="177">
        <f>SUM(F52:F54)</f>
        <v>2722595.7040813244</v>
      </c>
      <c r="G55" s="177">
        <f>SUM(G52:G54)</f>
        <v>3805061.6428687475</v>
      </c>
    </row>
    <row r="56" spans="1:8" ht="15" customHeight="1" x14ac:dyDescent="0.25">
      <c r="A56" s="70" t="s">
        <v>220</v>
      </c>
      <c r="B56" s="75"/>
      <c r="C56" s="123"/>
      <c r="D56" s="177"/>
      <c r="E56" s="177"/>
      <c r="F56" s="177"/>
      <c r="G56" s="177"/>
    </row>
    <row r="57" spans="1:8" ht="15" customHeight="1" x14ac:dyDescent="0.25">
      <c r="A57" s="74" t="s">
        <v>221</v>
      </c>
      <c r="B57" s="76">
        <v>6</v>
      </c>
      <c r="C57" s="124">
        <f>Notes!B55</f>
        <v>330150.58769841271</v>
      </c>
      <c r="D57" s="204">
        <f>Notes!C55</f>
        <v>276914.67539682542</v>
      </c>
      <c r="E57" s="204">
        <f>Notes!D55</f>
        <v>223678.76309523813</v>
      </c>
      <c r="F57" s="204">
        <f>Notes!E55</f>
        <v>170442.85079365084</v>
      </c>
      <c r="G57" s="204">
        <f>Notes!F55</f>
        <v>117206.93849206352</v>
      </c>
    </row>
    <row r="58" spans="1:8" ht="15.75" customHeight="1" thickBot="1" x14ac:dyDescent="0.3">
      <c r="A58" s="151" t="s">
        <v>222</v>
      </c>
      <c r="B58" s="152"/>
      <c r="C58" s="202">
        <f>C52+C53+C54+C57</f>
        <v>1258189.4482162697</v>
      </c>
      <c r="D58" s="205">
        <f>D52+D53+D54+D57</f>
        <v>1666265.9958312698</v>
      </c>
      <c r="E58" s="205">
        <f>E52+E53+E54+E57</f>
        <v>2198697.2311139689</v>
      </c>
      <c r="F58" s="205">
        <f>F52+F53+F54+F57</f>
        <v>2893038.5548749752</v>
      </c>
      <c r="G58" s="205">
        <f>G52+G53+G54+G57</f>
        <v>3922268.5813608109</v>
      </c>
    </row>
    <row r="59" spans="1:8" ht="16.5" thickTop="1" x14ac:dyDescent="0.25">
      <c r="A59" s="70"/>
      <c r="B59" s="71"/>
      <c r="C59" s="71"/>
      <c r="D59" s="71"/>
      <c r="E59" s="71"/>
      <c r="F59" s="71"/>
      <c r="G59" s="72"/>
      <c r="H59" s="63"/>
    </row>
    <row r="60" spans="1:8" ht="15.75" x14ac:dyDescent="0.25">
      <c r="A60" s="70" t="s">
        <v>223</v>
      </c>
      <c r="B60" s="75"/>
      <c r="C60" s="75"/>
      <c r="D60" s="75"/>
      <c r="E60" s="75"/>
      <c r="F60" s="75"/>
      <c r="G60" s="77"/>
    </row>
    <row r="61" spans="1:8" x14ac:dyDescent="0.2">
      <c r="A61" s="74" t="s">
        <v>224</v>
      </c>
      <c r="B61" s="75"/>
      <c r="C61" s="75"/>
      <c r="D61" s="75"/>
      <c r="E61" s="75"/>
      <c r="F61" s="75"/>
      <c r="G61" s="77"/>
    </row>
    <row r="62" spans="1:8" ht="15.75" x14ac:dyDescent="0.25">
      <c r="A62" s="74" t="s">
        <v>225</v>
      </c>
      <c r="B62" s="76">
        <v>7</v>
      </c>
      <c r="C62" s="123">
        <f>Notes!B67</f>
        <v>229134.15366626985</v>
      </c>
      <c r="D62" s="177">
        <f>Notes!C67</f>
        <v>340882.85907326988</v>
      </c>
      <c r="E62" s="177">
        <f>Notes!D67</f>
        <v>388406.48227392975</v>
      </c>
      <c r="F62" s="177">
        <f>Notes!E67</f>
        <v>431197.9574640647</v>
      </c>
      <c r="G62" s="77">
        <f>Notes!F67</f>
        <v>505746.15036149579</v>
      </c>
    </row>
    <row r="63" spans="1:8" ht="15.75" x14ac:dyDescent="0.25">
      <c r="A63" s="70" t="s">
        <v>226</v>
      </c>
      <c r="B63" s="75"/>
      <c r="C63" s="123"/>
      <c r="D63" s="177"/>
      <c r="E63" s="177"/>
      <c r="F63" s="177"/>
      <c r="G63" s="77"/>
    </row>
    <row r="64" spans="1:8" x14ac:dyDescent="0.2">
      <c r="A64" s="74" t="s">
        <v>227</v>
      </c>
      <c r="B64" s="75"/>
      <c r="C64" s="123">
        <f>G24</f>
        <v>1029055.2945499999</v>
      </c>
      <c r="D64" s="177">
        <f>G29</f>
        <v>1325383.1367579999</v>
      </c>
      <c r="E64" s="177">
        <f>G34</f>
        <v>1810290.7488400394</v>
      </c>
      <c r="F64" s="177">
        <f>G39</f>
        <v>2461840.5974109108</v>
      </c>
      <c r="G64" s="77">
        <f>G44</f>
        <v>3416522.4309993153</v>
      </c>
    </row>
    <row r="65" spans="1:7" ht="16.5" thickBot="1" x14ac:dyDescent="0.3">
      <c r="A65" s="148" t="s">
        <v>228</v>
      </c>
      <c r="B65" s="149"/>
      <c r="C65" s="206">
        <f>C62+C64</f>
        <v>1258189.4482162697</v>
      </c>
      <c r="D65" s="207">
        <f>D62+D64</f>
        <v>1666265.9958312698</v>
      </c>
      <c r="E65" s="207">
        <f>E62+E64</f>
        <v>2198697.2311139693</v>
      </c>
      <c r="F65" s="207">
        <f>F62+F64</f>
        <v>2893038.5548749752</v>
      </c>
      <c r="G65" s="150">
        <f>G62+G64</f>
        <v>3922268.5813608114</v>
      </c>
    </row>
    <row r="67" spans="1:7" x14ac:dyDescent="0.2">
      <c r="C67" s="18">
        <f>C65-C58</f>
        <v>0</v>
      </c>
      <c r="D67" s="18">
        <f>D65-D58</f>
        <v>0</v>
      </c>
      <c r="E67" s="18">
        <f>E65-E58</f>
        <v>0</v>
      </c>
      <c r="F67" s="18">
        <f>F65-F58</f>
        <v>0</v>
      </c>
      <c r="G67" s="18">
        <f>G65-G58</f>
        <v>0</v>
      </c>
    </row>
    <row r="68" spans="1:7" x14ac:dyDescent="0.2">
      <c r="D68" s="18"/>
    </row>
    <row r="70" spans="1:7" ht="15.75" thickBot="1" x14ac:dyDescent="0.25"/>
    <row r="71" spans="1:7" ht="15.75" x14ac:dyDescent="0.25">
      <c r="A71" s="133" t="s">
        <v>331</v>
      </c>
      <c r="B71" s="134"/>
      <c r="C71" s="134"/>
      <c r="D71" s="134"/>
      <c r="E71" s="134"/>
      <c r="F71" s="134"/>
      <c r="G71" s="135"/>
    </row>
    <row r="72" spans="1:7" ht="15.75" x14ac:dyDescent="0.2">
      <c r="A72" s="136" t="s">
        <v>229</v>
      </c>
      <c r="B72" s="137"/>
      <c r="C72" s="137"/>
      <c r="D72" s="137"/>
      <c r="E72" s="137"/>
      <c r="F72" s="137"/>
      <c r="G72" s="138"/>
    </row>
    <row r="73" spans="1:7" ht="15.75" x14ac:dyDescent="0.25">
      <c r="A73" s="79" t="s">
        <v>230</v>
      </c>
      <c r="B73" s="119"/>
      <c r="C73" s="120">
        <v>2022</v>
      </c>
      <c r="D73" s="120">
        <v>2023</v>
      </c>
      <c r="E73" s="162">
        <v>2024</v>
      </c>
      <c r="F73" s="120">
        <v>2025</v>
      </c>
      <c r="G73" s="59">
        <v>2026</v>
      </c>
    </row>
    <row r="74" spans="1:7" x14ac:dyDescent="0.2">
      <c r="A74" s="80" t="s">
        <v>231</v>
      </c>
      <c r="B74" s="121"/>
      <c r="C74" s="122">
        <f>C14</f>
        <v>-170944.70545000015</v>
      </c>
      <c r="D74" s="122">
        <f>D14</f>
        <v>296327.84220799996</v>
      </c>
      <c r="E74" s="209">
        <f>E14</f>
        <v>484907.59208203945</v>
      </c>
      <c r="F74" s="209">
        <f>F14</f>
        <v>651549.84857087128</v>
      </c>
      <c r="G74" s="81">
        <f>G14</f>
        <v>954681.8335884047</v>
      </c>
    </row>
    <row r="75" spans="1:7" x14ac:dyDescent="0.2">
      <c r="A75" s="80" t="s">
        <v>232</v>
      </c>
      <c r="B75" s="121"/>
      <c r="C75" s="123"/>
      <c r="D75" s="123"/>
      <c r="E75" s="177"/>
      <c r="F75" s="177"/>
      <c r="G75" s="77"/>
    </row>
    <row r="76" spans="1:7" x14ac:dyDescent="0.2">
      <c r="A76" s="80" t="s">
        <v>233</v>
      </c>
      <c r="B76" s="121"/>
      <c r="C76" s="123">
        <f>Schedule!E40</f>
        <v>53235.912301587305</v>
      </c>
      <c r="D76" s="123">
        <f>C76</f>
        <v>53235.912301587305</v>
      </c>
      <c r="E76" s="177">
        <f t="shared" ref="E76:G76" si="9">D76</f>
        <v>53235.912301587305</v>
      </c>
      <c r="F76" s="177">
        <f t="shared" si="9"/>
        <v>53235.912301587305</v>
      </c>
      <c r="G76" s="77">
        <f t="shared" si="9"/>
        <v>53235.912301587305</v>
      </c>
    </row>
    <row r="77" spans="1:7" x14ac:dyDescent="0.2">
      <c r="A77" s="80" t="s">
        <v>234</v>
      </c>
      <c r="B77" s="121"/>
      <c r="C77" s="123">
        <f>C62</f>
        <v>229134.15366626985</v>
      </c>
      <c r="D77" s="123">
        <f>D62-C62</f>
        <v>111748.70540700003</v>
      </c>
      <c r="E77" s="177">
        <f>E62-D62</f>
        <v>47523.623200659873</v>
      </c>
      <c r="F77" s="177">
        <f>F62-E62</f>
        <v>42791.475190134952</v>
      </c>
      <c r="G77" s="77">
        <f>G62-F62</f>
        <v>74548.192897431087</v>
      </c>
    </row>
    <row r="78" spans="1:7" ht="15" customHeight="1" x14ac:dyDescent="0.2">
      <c r="A78" s="80" t="s">
        <v>235</v>
      </c>
      <c r="B78" s="121"/>
      <c r="C78" s="123"/>
      <c r="D78" s="123"/>
      <c r="E78" s="177"/>
      <c r="F78" s="177"/>
      <c r="G78" s="77"/>
    </row>
    <row r="79" spans="1:7" ht="15" customHeight="1" x14ac:dyDescent="0.2">
      <c r="A79" s="80" t="s">
        <v>236</v>
      </c>
      <c r="B79" s="121"/>
      <c r="C79" s="123">
        <f>C53</f>
        <v>78732</v>
      </c>
      <c r="D79" s="123">
        <f>D53-C53</f>
        <v>11809.800000000003</v>
      </c>
      <c r="E79" s="177">
        <f>E53-D53</f>
        <v>5314.410000000018</v>
      </c>
      <c r="F79" s="177">
        <f>F53-E53</f>
        <v>4871.5424999999959</v>
      </c>
      <c r="G79" s="77">
        <f>G53-F53</f>
        <v>5044.2608250000048</v>
      </c>
    </row>
    <row r="80" spans="1:7" x14ac:dyDescent="0.2">
      <c r="A80" s="80" t="s">
        <v>237</v>
      </c>
      <c r="B80" s="121"/>
      <c r="C80" s="124">
        <f>C54</f>
        <v>46498.25</v>
      </c>
      <c r="D80" s="124">
        <f>D54-C54</f>
        <v>929.96500000000378</v>
      </c>
      <c r="E80" s="204">
        <f>E54-D54</f>
        <v>948.56429999999818</v>
      </c>
      <c r="F80" s="204">
        <f>F54-E54</f>
        <v>967.53558599999815</v>
      </c>
      <c r="G80" s="118">
        <f>G54-F54</f>
        <v>986.88629772000422</v>
      </c>
    </row>
    <row r="81" spans="1:7" ht="15.75" x14ac:dyDescent="0.25">
      <c r="A81" s="83" t="s">
        <v>238</v>
      </c>
      <c r="B81" s="125"/>
      <c r="C81" s="126">
        <f>C74+C76+C77-C79-C80</f>
        <v>-13804.889482143</v>
      </c>
      <c r="D81" s="126">
        <f>D74+D76+D77-D79-D80</f>
        <v>448572.69491658726</v>
      </c>
      <c r="E81" s="210">
        <f>E74+E76+E77-E79-E80+0.02</f>
        <v>579404.17328428663</v>
      </c>
      <c r="F81" s="210">
        <f>F74+F76+F77-F79-F80</f>
        <v>741738.15797659359</v>
      </c>
      <c r="G81" s="78">
        <f>G74+G76+G77-G79-G80</f>
        <v>1076434.7916647031</v>
      </c>
    </row>
    <row r="82" spans="1:7" x14ac:dyDescent="0.2">
      <c r="A82" s="80"/>
      <c r="B82" s="121"/>
      <c r="C82" s="123"/>
      <c r="D82" s="123"/>
      <c r="E82" s="177"/>
      <c r="F82" s="177"/>
      <c r="G82" s="77"/>
    </row>
    <row r="83" spans="1:7" x14ac:dyDescent="0.2">
      <c r="A83" s="80" t="s">
        <v>239</v>
      </c>
      <c r="B83" s="121"/>
      <c r="C83" s="123"/>
      <c r="D83" s="123"/>
      <c r="E83" s="177"/>
      <c r="F83" s="177"/>
      <c r="G83" s="77"/>
    </row>
    <row r="84" spans="1:7" x14ac:dyDescent="0.2">
      <c r="A84" s="83" t="s">
        <v>240</v>
      </c>
      <c r="B84" s="125"/>
      <c r="C84" s="124">
        <f>-Schedule!B40</f>
        <v>-383386.5</v>
      </c>
      <c r="D84" s="124"/>
      <c r="E84" s="204"/>
      <c r="F84" s="204"/>
      <c r="G84" s="118"/>
    </row>
    <row r="85" spans="1:7" ht="15.75" x14ac:dyDescent="0.25">
      <c r="A85" s="83" t="s">
        <v>241</v>
      </c>
      <c r="B85" s="125"/>
      <c r="C85" s="126">
        <f>C84</f>
        <v>-383386.5</v>
      </c>
      <c r="D85" s="127"/>
      <c r="E85" s="211"/>
      <c r="F85" s="211"/>
      <c r="G85" s="82"/>
    </row>
    <row r="86" spans="1:7" x14ac:dyDescent="0.2">
      <c r="A86" s="80"/>
      <c r="B86" s="121"/>
      <c r="C86" s="123"/>
      <c r="D86" s="123"/>
      <c r="E86" s="177"/>
      <c r="F86" s="177"/>
      <c r="G86" s="77"/>
    </row>
    <row r="87" spans="1:7" x14ac:dyDescent="0.2">
      <c r="A87" s="80" t="s">
        <v>242</v>
      </c>
      <c r="B87" s="121"/>
      <c r="C87" s="123"/>
      <c r="D87" s="123"/>
      <c r="E87" s="177"/>
      <c r="F87" s="177"/>
      <c r="G87" s="77"/>
    </row>
    <row r="88" spans="1:7" x14ac:dyDescent="0.2">
      <c r="A88" s="80" t="s">
        <v>243</v>
      </c>
      <c r="B88" s="121"/>
      <c r="C88" s="124">
        <v>1200000</v>
      </c>
      <c r="D88" s="124"/>
      <c r="E88" s="204"/>
      <c r="F88" s="204"/>
      <c r="G88" s="118"/>
    </row>
    <row r="89" spans="1:7" x14ac:dyDescent="0.2">
      <c r="A89" s="80" t="s">
        <v>244</v>
      </c>
      <c r="B89" s="121"/>
      <c r="C89" s="127" t="s">
        <v>245</v>
      </c>
      <c r="D89" s="127"/>
      <c r="E89" s="211"/>
      <c r="F89" s="211"/>
      <c r="G89" s="82"/>
    </row>
    <row r="90" spans="1:7" ht="15.75" x14ac:dyDescent="0.25">
      <c r="A90" s="84" t="s">
        <v>246</v>
      </c>
      <c r="B90" s="128"/>
      <c r="C90" s="126"/>
      <c r="D90" s="123"/>
      <c r="E90" s="177"/>
      <c r="F90" s="177"/>
      <c r="G90" s="77"/>
    </row>
    <row r="91" spans="1:7" x14ac:dyDescent="0.2">
      <c r="A91" s="80" t="s">
        <v>247</v>
      </c>
      <c r="B91" s="121"/>
      <c r="C91" s="123">
        <f>C81+C85+C88</f>
        <v>802808.61051785701</v>
      </c>
      <c r="D91" s="123">
        <f>D81+D85+D88</f>
        <v>448572.69491658726</v>
      </c>
      <c r="E91" s="177">
        <f>E81+E85+E88</f>
        <v>579404.17328428663</v>
      </c>
      <c r="F91" s="177">
        <f>F81+F85+F88</f>
        <v>741738.15797659359</v>
      </c>
      <c r="G91" s="77">
        <f>G81+G85+G88</f>
        <v>1076434.7916647031</v>
      </c>
    </row>
    <row r="92" spans="1:7" x14ac:dyDescent="0.2">
      <c r="A92" s="80" t="s">
        <v>248</v>
      </c>
      <c r="B92" s="121"/>
      <c r="C92" s="127"/>
      <c r="D92" s="123">
        <f>C93</f>
        <v>802808.61051785701</v>
      </c>
      <c r="E92" s="177">
        <f>D93</f>
        <v>1251381.3054344442</v>
      </c>
      <c r="F92" s="177">
        <f>E93</f>
        <v>1830785.4787187309</v>
      </c>
      <c r="G92" s="77">
        <f>F93</f>
        <v>2572523.6366953244</v>
      </c>
    </row>
    <row r="93" spans="1:7" ht="16.5" thickBot="1" x14ac:dyDescent="0.3">
      <c r="A93" s="145" t="s">
        <v>249</v>
      </c>
      <c r="B93" s="146"/>
      <c r="C93" s="208">
        <f>C91+C92</f>
        <v>802808.61051785701</v>
      </c>
      <c r="D93" s="208">
        <f>D91+D92</f>
        <v>1251381.3054344442</v>
      </c>
      <c r="E93" s="212">
        <f>E91+E92</f>
        <v>1830785.4787187309</v>
      </c>
      <c r="F93" s="212">
        <f>F91+F92</f>
        <v>2572523.6366953244</v>
      </c>
      <c r="G93" s="147">
        <f>G91+G92</f>
        <v>3648958.4283600273</v>
      </c>
    </row>
    <row r="95" spans="1:7" x14ac:dyDescent="0.2">
      <c r="C95" s="63"/>
      <c r="D95" s="63"/>
      <c r="E95" s="63"/>
      <c r="F95" s="63"/>
      <c r="G95" s="63"/>
    </row>
  </sheetData>
  <mergeCells count="29"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1:G71"/>
    <mergeCell ref="A72:G72"/>
    <mergeCell ref="A73:B73"/>
    <mergeCell ref="A74:B74"/>
    <mergeCell ref="A75:B75"/>
    <mergeCell ref="A1:G1"/>
    <mergeCell ref="A2:G2"/>
    <mergeCell ref="A18:G18"/>
    <mergeCell ref="A19:G19"/>
    <mergeCell ref="A48:G48"/>
    <mergeCell ref="A49:G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FBF2-BB7A-4588-A201-2CE53F04087B}">
  <dimension ref="A1:I68"/>
  <sheetViews>
    <sheetView showGridLines="0" zoomScale="70" zoomScaleNormal="70" workbookViewId="0">
      <selection activeCell="C4" sqref="C4"/>
    </sheetView>
  </sheetViews>
  <sheetFormatPr defaultRowHeight="15" x14ac:dyDescent="0.2"/>
  <cols>
    <col min="1" max="1" width="57.140625" style="56" customWidth="1"/>
    <col min="2" max="6" width="18.85546875" style="56" bestFit="1" customWidth="1"/>
    <col min="7" max="7" width="9.140625" style="56"/>
    <col min="8" max="8" width="13.7109375" style="56" bestFit="1" customWidth="1"/>
    <col min="9" max="16384" width="9.140625" style="56"/>
  </cols>
  <sheetData>
    <row r="1" spans="1:9" ht="15.75" x14ac:dyDescent="0.25">
      <c r="A1" s="140" t="s">
        <v>277</v>
      </c>
      <c r="B1" s="140"/>
      <c r="C1" s="140"/>
      <c r="D1" s="140"/>
      <c r="E1" s="140"/>
      <c r="F1" s="140"/>
    </row>
    <row r="2" spans="1:9" ht="15.75" x14ac:dyDescent="0.25">
      <c r="A2" s="94" t="s">
        <v>278</v>
      </c>
    </row>
    <row r="3" spans="1:9" ht="15.75" x14ac:dyDescent="0.25">
      <c r="A3" s="94"/>
      <c r="B3" s="120">
        <v>2022</v>
      </c>
      <c r="C3" s="120">
        <v>2023</v>
      </c>
      <c r="D3" s="162">
        <v>2024</v>
      </c>
      <c r="E3" s="162">
        <v>2025</v>
      </c>
      <c r="F3" s="162">
        <v>2026</v>
      </c>
    </row>
    <row r="4" spans="1:9" x14ac:dyDescent="0.2">
      <c r="A4" s="56" t="s">
        <v>318</v>
      </c>
      <c r="B4" s="157">
        <f>Schedule!B48</f>
        <v>2898000</v>
      </c>
      <c r="C4" s="157">
        <f>Schedule!C48</f>
        <v>3129840</v>
      </c>
      <c r="D4" s="163">
        <f>Schedule!D48</f>
        <v>3380227.2</v>
      </c>
      <c r="E4" s="163">
        <f>Schedule!E48</f>
        <v>3650645.3760000006</v>
      </c>
      <c r="F4" s="163">
        <f>Schedule!F48</f>
        <v>3942697.0060800011</v>
      </c>
      <c r="H4" s="27">
        <v>0.08</v>
      </c>
    </row>
    <row r="5" spans="1:9" x14ac:dyDescent="0.2">
      <c r="A5" s="56" t="s">
        <v>319</v>
      </c>
      <c r="B5" s="158">
        <f>Schedule!B49</f>
        <v>1854324</v>
      </c>
      <c r="C5" s="158">
        <f>Schedule!C49</f>
        <v>2002669.9200000002</v>
      </c>
      <c r="D5" s="164">
        <f>Schedule!D49</f>
        <v>2162883.5136000002</v>
      </c>
      <c r="E5" s="164">
        <f>Schedule!E49</f>
        <v>2335914.1946880003</v>
      </c>
      <c r="F5" s="164">
        <f>Schedule!F49</f>
        <v>2522787.3302630405</v>
      </c>
    </row>
    <row r="6" spans="1:9" x14ac:dyDescent="0.2">
      <c r="A6" s="56" t="s">
        <v>279</v>
      </c>
      <c r="B6" s="159">
        <f>SUM(B4:B5)</f>
        <v>4752324</v>
      </c>
      <c r="C6" s="159">
        <f t="shared" ref="C6:F6" si="0">SUM(C4:C5)</f>
        <v>5132509.92</v>
      </c>
      <c r="D6" s="165">
        <f t="shared" si="0"/>
        <v>5543110.7136000004</v>
      </c>
      <c r="E6" s="165">
        <f t="shared" si="0"/>
        <v>5986559.5706880009</v>
      </c>
      <c r="F6" s="165">
        <f t="shared" si="0"/>
        <v>6465484.3363430416</v>
      </c>
    </row>
    <row r="7" spans="1:9" x14ac:dyDescent="0.2">
      <c r="A7" s="56" t="s">
        <v>280</v>
      </c>
      <c r="B7" s="160">
        <f>B6*0.12</f>
        <v>570278.88</v>
      </c>
      <c r="C7" s="160">
        <f>C6*0.12</f>
        <v>615901.19039999996</v>
      </c>
      <c r="D7" s="166">
        <f>D6*0.12</f>
        <v>665173.28563200007</v>
      </c>
      <c r="E7" s="166">
        <f>E6*0.12</f>
        <v>718387.14848256006</v>
      </c>
      <c r="F7" s="166">
        <f>F6*0.12</f>
        <v>775858.12036116491</v>
      </c>
    </row>
    <row r="8" spans="1:9" ht="16.5" thickBot="1" x14ac:dyDescent="0.3">
      <c r="A8" s="94" t="s">
        <v>281</v>
      </c>
      <c r="B8" s="161">
        <f>B6-B7</f>
        <v>4182045.12</v>
      </c>
      <c r="C8" s="161">
        <f t="shared" ref="C8:F8" si="1">C6-C7</f>
        <v>4516608.7296000002</v>
      </c>
      <c r="D8" s="167">
        <f t="shared" si="1"/>
        <v>4877937.4279680001</v>
      </c>
      <c r="E8" s="167">
        <f>E6-E7</f>
        <v>5268172.4222054407</v>
      </c>
      <c r="F8" s="167">
        <f t="shared" si="1"/>
        <v>5689626.2159818765</v>
      </c>
    </row>
    <row r="9" spans="1:9" ht="16.5" thickTop="1" x14ac:dyDescent="0.25">
      <c r="A9" s="94"/>
      <c r="B9" s="20"/>
      <c r="C9" s="20"/>
      <c r="D9" s="20"/>
      <c r="E9" s="20"/>
      <c r="F9" s="20"/>
    </row>
    <row r="10" spans="1:9" ht="15.75" x14ac:dyDescent="0.25">
      <c r="A10" s="94" t="s">
        <v>339</v>
      </c>
    </row>
    <row r="11" spans="1:9" ht="15.75" x14ac:dyDescent="0.25">
      <c r="B11" s="58">
        <v>2022</v>
      </c>
      <c r="C11" s="58">
        <v>2023</v>
      </c>
      <c r="D11" s="58">
        <v>2024</v>
      </c>
      <c r="E11" s="58">
        <v>2025</v>
      </c>
      <c r="F11" s="58">
        <v>2026</v>
      </c>
    </row>
    <row r="12" spans="1:9" x14ac:dyDescent="0.2">
      <c r="A12" s="56" t="s">
        <v>282</v>
      </c>
    </row>
    <row r="13" spans="1:9" x14ac:dyDescent="0.2">
      <c r="A13" s="56" t="s">
        <v>283</v>
      </c>
      <c r="B13" s="168"/>
      <c r="C13" s="170">
        <f>B16</f>
        <v>78732</v>
      </c>
      <c r="D13" s="170">
        <f t="shared" ref="D13:F13" si="2">C16</f>
        <v>90541.8</v>
      </c>
      <c r="E13" s="170">
        <f t="shared" si="2"/>
        <v>95856.210000000021</v>
      </c>
      <c r="F13" s="170">
        <f t="shared" si="2"/>
        <v>100727.75250000002</v>
      </c>
    </row>
    <row r="14" spans="1:9" x14ac:dyDescent="0.2">
      <c r="A14" s="56" t="s">
        <v>340</v>
      </c>
      <c r="B14" s="169">
        <f>Schedule!N12</f>
        <v>787320</v>
      </c>
      <c r="C14" s="166">
        <f>B14*1.05</f>
        <v>826686</v>
      </c>
      <c r="D14" s="166">
        <f t="shared" ref="D14:F14" si="3">C14*1.05</f>
        <v>868020.3</v>
      </c>
      <c r="E14" s="166">
        <f t="shared" si="3"/>
        <v>911421.31500000006</v>
      </c>
      <c r="F14" s="166">
        <f t="shared" si="3"/>
        <v>956992.38075000013</v>
      </c>
      <c r="H14" s="27">
        <v>0.05</v>
      </c>
      <c r="I14" s="56" t="s">
        <v>321</v>
      </c>
    </row>
    <row r="15" spans="1:9" x14ac:dyDescent="0.2">
      <c r="A15" s="56" t="s">
        <v>284</v>
      </c>
      <c r="B15" s="159">
        <f>B14+B13</f>
        <v>787320</v>
      </c>
      <c r="C15" s="165">
        <f t="shared" ref="C15:F15" si="4">C14+C13</f>
        <v>905418</v>
      </c>
      <c r="D15" s="165">
        <f t="shared" si="4"/>
        <v>958562.10000000009</v>
      </c>
      <c r="E15" s="165">
        <f t="shared" si="4"/>
        <v>1007277.5250000001</v>
      </c>
      <c r="F15" s="165">
        <f t="shared" si="4"/>
        <v>1057720.1332500002</v>
      </c>
    </row>
    <row r="16" spans="1:9" x14ac:dyDescent="0.2">
      <c r="A16" s="56" t="s">
        <v>285</v>
      </c>
      <c r="B16" s="160">
        <f>B15*0.1</f>
        <v>78732</v>
      </c>
      <c r="C16" s="160">
        <f t="shared" ref="C16:F16" si="5">C15*0.1</f>
        <v>90541.8</v>
      </c>
      <c r="D16" s="160">
        <f t="shared" si="5"/>
        <v>95856.210000000021</v>
      </c>
      <c r="E16" s="160">
        <f t="shared" si="5"/>
        <v>100727.75250000002</v>
      </c>
      <c r="F16" s="160">
        <f t="shared" si="5"/>
        <v>105772.01332500002</v>
      </c>
      <c r="H16" s="27">
        <v>0.1</v>
      </c>
    </row>
    <row r="17" spans="1:9" x14ac:dyDescent="0.2">
      <c r="A17" s="56" t="s">
        <v>286</v>
      </c>
      <c r="B17" s="159">
        <f>B15-B16</f>
        <v>708588</v>
      </c>
      <c r="C17" s="165">
        <f t="shared" ref="C17:F17" si="6">C15-C16</f>
        <v>814876.2</v>
      </c>
      <c r="D17" s="165">
        <f t="shared" si="6"/>
        <v>862705.89000000013</v>
      </c>
      <c r="E17" s="165">
        <f t="shared" si="6"/>
        <v>906549.77250000008</v>
      </c>
      <c r="F17" s="165">
        <f t="shared" si="6"/>
        <v>951948.11992500012</v>
      </c>
    </row>
    <row r="18" spans="1:9" x14ac:dyDescent="0.2">
      <c r="A18" s="56" t="s">
        <v>287</v>
      </c>
      <c r="B18" s="159">
        <f>'Employee Schedule'!B27*12</f>
        <v>193320</v>
      </c>
      <c r="C18" s="165">
        <f>B18</f>
        <v>193320</v>
      </c>
      <c r="D18" s="165">
        <f t="shared" ref="D18:F18" si="7">C18</f>
        <v>193320</v>
      </c>
      <c r="E18" s="165">
        <f t="shared" si="7"/>
        <v>193320</v>
      </c>
      <c r="F18" s="165">
        <f t="shared" si="7"/>
        <v>193320</v>
      </c>
      <c r="H18" s="56" t="s">
        <v>320</v>
      </c>
    </row>
    <row r="19" spans="1:9" x14ac:dyDescent="0.2">
      <c r="A19" s="56" t="s">
        <v>288</v>
      </c>
      <c r="B19" s="160">
        <f>Schedule!B86*0.05</f>
        <v>13799.400000000001</v>
      </c>
      <c r="C19" s="166">
        <f>B19*1.02</f>
        <v>14075.388000000001</v>
      </c>
      <c r="D19" s="166">
        <f t="shared" ref="D19:F19" si="8">C19*1.02</f>
        <v>14356.895760000001</v>
      </c>
      <c r="E19" s="166">
        <f t="shared" si="8"/>
        <v>14644.033675200002</v>
      </c>
      <c r="F19" s="166">
        <f t="shared" si="8"/>
        <v>14936.914348704002</v>
      </c>
      <c r="H19" s="27">
        <v>0.05</v>
      </c>
      <c r="I19" s="56" t="s">
        <v>322</v>
      </c>
    </row>
    <row r="20" spans="1:9" ht="16.5" thickBot="1" x14ac:dyDescent="0.3">
      <c r="A20" s="94" t="s">
        <v>289</v>
      </c>
      <c r="B20" s="161">
        <f>B17+B18+B19</f>
        <v>915707.4</v>
      </c>
      <c r="C20" s="167">
        <f t="shared" ref="C20:F20" si="9">C17+C18+C19</f>
        <v>1022271.588</v>
      </c>
      <c r="D20" s="167">
        <f t="shared" si="9"/>
        <v>1070382.7857600001</v>
      </c>
      <c r="E20" s="167">
        <f t="shared" si="9"/>
        <v>1114513.8061752</v>
      </c>
      <c r="F20" s="167">
        <f t="shared" si="9"/>
        <v>1160205.0342737043</v>
      </c>
      <c r="H20" s="27">
        <v>0.02</v>
      </c>
      <c r="I20" s="56" t="s">
        <v>321</v>
      </c>
    </row>
    <row r="21" spans="1:9" ht="16.5" thickTop="1" x14ac:dyDescent="0.25">
      <c r="A21" s="94"/>
      <c r="B21" s="97"/>
      <c r="C21" s="97"/>
      <c r="D21" s="97"/>
      <c r="E21" s="97"/>
      <c r="F21" s="97"/>
    </row>
    <row r="22" spans="1:9" ht="15.75" x14ac:dyDescent="0.25">
      <c r="A22" s="94" t="s">
        <v>290</v>
      </c>
      <c r="B22" s="67"/>
      <c r="C22" s="67"/>
      <c r="D22" s="67"/>
      <c r="E22" s="67"/>
      <c r="F22" s="67"/>
    </row>
    <row r="23" spans="1:9" ht="15.75" x14ac:dyDescent="0.25">
      <c r="B23" s="120">
        <v>2022</v>
      </c>
      <c r="C23" s="162">
        <v>2023</v>
      </c>
      <c r="D23" s="162">
        <v>2024</v>
      </c>
      <c r="E23" s="162">
        <v>2025</v>
      </c>
      <c r="F23" s="162">
        <v>2026</v>
      </c>
    </row>
    <row r="24" spans="1:9" x14ac:dyDescent="0.2">
      <c r="A24" s="56" t="s">
        <v>291</v>
      </c>
      <c r="B24" s="157">
        <f>Schedule!B86</f>
        <v>275988</v>
      </c>
      <c r="C24" s="163">
        <f>Schedule!C86</f>
        <v>280788</v>
      </c>
      <c r="D24" s="163">
        <f>Schedule!D86</f>
        <v>285684</v>
      </c>
      <c r="E24" s="163">
        <f>Schedule!E86</f>
        <v>290677.92</v>
      </c>
      <c r="F24" s="163">
        <f>Schedule!F86</f>
        <v>295771.71840000001</v>
      </c>
    </row>
    <row r="25" spans="1:9" x14ac:dyDescent="0.2">
      <c r="A25" s="56" t="s">
        <v>292</v>
      </c>
      <c r="B25" s="171">
        <f>Schedule!E40</f>
        <v>53235.912301587305</v>
      </c>
      <c r="C25" s="173">
        <f>B25</f>
        <v>53235.912301587305</v>
      </c>
      <c r="D25" s="173">
        <f t="shared" ref="D25:F25" si="10">C25</f>
        <v>53235.912301587305</v>
      </c>
      <c r="E25" s="173">
        <f t="shared" si="10"/>
        <v>53235.912301587305</v>
      </c>
      <c r="F25" s="173">
        <f t="shared" si="10"/>
        <v>53235.912301587305</v>
      </c>
    </row>
    <row r="26" spans="1:9" x14ac:dyDescent="0.2">
      <c r="A26" s="56" t="s">
        <v>293</v>
      </c>
      <c r="B26" s="171">
        <f>Schedule!B76</f>
        <v>285000</v>
      </c>
      <c r="C26" s="173">
        <f>Schedule!C76</f>
        <v>285000</v>
      </c>
      <c r="D26" s="173">
        <f>Schedule!D76</f>
        <v>285000</v>
      </c>
      <c r="E26" s="173">
        <f>Schedule!E76</f>
        <v>285000</v>
      </c>
      <c r="F26" s="173">
        <f>Schedule!F76</f>
        <v>285000</v>
      </c>
    </row>
    <row r="27" spans="1:9" x14ac:dyDescent="0.2">
      <c r="A27" s="56" t="s">
        <v>294</v>
      </c>
      <c r="B27" s="171">
        <f>Schedule!B57</f>
        <v>38346</v>
      </c>
      <c r="C27" s="173">
        <f>Schedule!C57</f>
        <v>67569</v>
      </c>
      <c r="D27" s="173">
        <f>Schedule!D57</f>
        <v>75609</v>
      </c>
      <c r="E27" s="173">
        <f>Schedule!E57</f>
        <v>151240</v>
      </c>
      <c r="F27" s="173">
        <f>Schedule!F57</f>
        <v>39760</v>
      </c>
    </row>
    <row r="28" spans="1:9" x14ac:dyDescent="0.2">
      <c r="A28" s="56" t="s">
        <v>295</v>
      </c>
      <c r="B28" s="171">
        <f>Schedule!B108</f>
        <v>8656</v>
      </c>
      <c r="C28" s="173">
        <f>Schedule!C108</f>
        <v>0</v>
      </c>
      <c r="D28" s="173">
        <f>Schedule!D108</f>
        <v>0</v>
      </c>
      <c r="E28" s="173">
        <f>Schedule!E108</f>
        <v>0</v>
      </c>
      <c r="F28" s="173">
        <f>Schedule!F108</f>
        <v>0</v>
      </c>
    </row>
    <row r="29" spans="1:9" x14ac:dyDescent="0.2">
      <c r="A29" s="89" t="s">
        <v>296</v>
      </c>
      <c r="B29" s="171">
        <f>Schedule!B95</f>
        <v>46498.25</v>
      </c>
      <c r="C29" s="173">
        <f>B29*1.02</f>
        <v>47428.215000000004</v>
      </c>
      <c r="D29" s="173">
        <f t="shared" ref="D29:F29" si="11">C29*1.02</f>
        <v>48376.779300000002</v>
      </c>
      <c r="E29" s="173">
        <f t="shared" si="11"/>
        <v>49344.314886</v>
      </c>
      <c r="F29" s="173">
        <f t="shared" si="11"/>
        <v>50331.201183720004</v>
      </c>
    </row>
    <row r="30" spans="1:9" x14ac:dyDescent="0.2">
      <c r="A30" s="56" t="s">
        <v>190</v>
      </c>
      <c r="B30" s="171">
        <f>Reclass!B203</f>
        <v>540000</v>
      </c>
      <c r="C30" s="173"/>
      <c r="D30" s="173"/>
      <c r="E30" s="173"/>
      <c r="F30" s="173"/>
    </row>
    <row r="31" spans="1:9" ht="16.5" thickBot="1" x14ac:dyDescent="0.3">
      <c r="A31" s="94" t="s">
        <v>297</v>
      </c>
      <c r="B31" s="172">
        <f>SUM(B24:B30)</f>
        <v>1247724.1623015874</v>
      </c>
      <c r="C31" s="174">
        <f>SUM(C24:C30)</f>
        <v>734021.12730158726</v>
      </c>
      <c r="D31" s="174">
        <f>SUM(D24:D30)</f>
        <v>747905.69160158734</v>
      </c>
      <c r="E31" s="174">
        <f>SUM(E24:E30)</f>
        <v>829498.14718758734</v>
      </c>
      <c r="F31" s="174">
        <f>SUM(F24:F30)</f>
        <v>724098.83188530733</v>
      </c>
    </row>
    <row r="32" spans="1:9" ht="15.75" thickTop="1" x14ac:dyDescent="0.2"/>
    <row r="33" spans="1:8" ht="15.75" x14ac:dyDescent="0.25">
      <c r="A33" s="94" t="s">
        <v>298</v>
      </c>
    </row>
    <row r="34" spans="1:8" ht="15.75" x14ac:dyDescent="0.25">
      <c r="B34" s="120">
        <v>2022</v>
      </c>
      <c r="C34" s="162">
        <v>2023</v>
      </c>
      <c r="D34" s="162">
        <v>2024</v>
      </c>
      <c r="E34" s="162">
        <v>2025</v>
      </c>
      <c r="F34" s="162">
        <v>2026</v>
      </c>
    </row>
    <row r="35" spans="1:8" x14ac:dyDescent="0.2">
      <c r="A35" s="56" t="s">
        <v>299</v>
      </c>
      <c r="B35" s="157">
        <f>'Employee Schedule'!H29*12</f>
        <v>1991910.4800000004</v>
      </c>
      <c r="C35" s="163">
        <f>B35</f>
        <v>1991910.4800000004</v>
      </c>
      <c r="D35" s="163">
        <f t="shared" ref="D35:F35" si="12">C35</f>
        <v>1991910.4800000004</v>
      </c>
      <c r="E35" s="163">
        <f t="shared" si="12"/>
        <v>1991910.4800000004</v>
      </c>
      <c r="F35" s="163">
        <f t="shared" si="12"/>
        <v>1991910.4800000004</v>
      </c>
    </row>
    <row r="36" spans="1:8" x14ac:dyDescent="0.2">
      <c r="A36" s="56" t="s">
        <v>300</v>
      </c>
      <c r="B36" s="171">
        <f>'Employee Schedule'!C14*12</f>
        <v>176460</v>
      </c>
      <c r="C36" s="173">
        <f>B36</f>
        <v>176460</v>
      </c>
      <c r="D36" s="173">
        <f t="shared" ref="D36:F36" si="13">C36</f>
        <v>176460</v>
      </c>
      <c r="E36" s="173">
        <f t="shared" si="13"/>
        <v>176460</v>
      </c>
      <c r="F36" s="173">
        <f t="shared" si="13"/>
        <v>176460</v>
      </c>
    </row>
    <row r="37" spans="1:8" x14ac:dyDescent="0.2">
      <c r="A37" s="56" t="s">
        <v>301</v>
      </c>
      <c r="B37" s="171">
        <f>'Employee Schedule'!D14*12</f>
        <v>77371.560000000012</v>
      </c>
      <c r="C37" s="173">
        <f t="shared" ref="C37:F37" si="14">B37</f>
        <v>77371.560000000012</v>
      </c>
      <c r="D37" s="173">
        <f t="shared" si="14"/>
        <v>77371.560000000012</v>
      </c>
      <c r="E37" s="173">
        <f t="shared" si="14"/>
        <v>77371.560000000012</v>
      </c>
      <c r="F37" s="173">
        <f t="shared" si="14"/>
        <v>77371.560000000012</v>
      </c>
    </row>
    <row r="38" spans="1:8" x14ac:dyDescent="0.2">
      <c r="A38" s="56" t="s">
        <v>302</v>
      </c>
      <c r="B38" s="171">
        <f>'Employee Schedule'!E14*12</f>
        <v>44212.319999999992</v>
      </c>
      <c r="C38" s="173">
        <f t="shared" ref="C38:F38" si="15">B38</f>
        <v>44212.319999999992</v>
      </c>
      <c r="D38" s="173">
        <f t="shared" si="15"/>
        <v>44212.319999999992</v>
      </c>
      <c r="E38" s="173">
        <f t="shared" si="15"/>
        <v>44212.319999999992</v>
      </c>
      <c r="F38" s="173">
        <f t="shared" si="15"/>
        <v>44212.319999999992</v>
      </c>
    </row>
    <row r="39" spans="1:8" ht="16.5" thickBot="1" x14ac:dyDescent="0.3">
      <c r="A39" s="94" t="s">
        <v>303</v>
      </c>
      <c r="B39" s="172">
        <f>SUM(B35:B38)</f>
        <v>2289954.3600000003</v>
      </c>
      <c r="C39" s="174">
        <f>SUM(C35:C38)</f>
        <v>2289954.3600000003</v>
      </c>
      <c r="D39" s="174">
        <f>SUM(D35:D38)</f>
        <v>2289954.3600000003</v>
      </c>
      <c r="E39" s="174">
        <f>SUM(E35:E38)</f>
        <v>2289954.3600000003</v>
      </c>
      <c r="F39" s="174">
        <f>SUM(F35:F38)</f>
        <v>2289954.3600000003</v>
      </c>
    </row>
    <row r="40" spans="1:8" ht="15.75" thickTop="1" x14ac:dyDescent="0.2"/>
    <row r="41" spans="1:8" ht="15.75" x14ac:dyDescent="0.2">
      <c r="A41" s="98" t="s">
        <v>304</v>
      </c>
      <c r="B41" s="99"/>
      <c r="C41" s="98"/>
      <c r="D41" s="98"/>
      <c r="E41" s="98"/>
      <c r="F41" s="98"/>
    </row>
    <row r="42" spans="1:8" ht="15.75" x14ac:dyDescent="0.25">
      <c r="B42" s="120">
        <v>2022</v>
      </c>
      <c r="C42" s="162">
        <v>2023</v>
      </c>
      <c r="D42" s="162">
        <v>2024</v>
      </c>
      <c r="E42" s="162">
        <v>2025</v>
      </c>
      <c r="F42" s="162">
        <v>2026</v>
      </c>
    </row>
    <row r="43" spans="1:8" ht="15.75" x14ac:dyDescent="0.25">
      <c r="A43" s="30" t="s">
        <v>183</v>
      </c>
      <c r="B43" s="171">
        <f>Schedule!B91</f>
        <v>11083.75</v>
      </c>
      <c r="C43" s="173">
        <f>Schedule!C91</f>
        <v>11305.425000000001</v>
      </c>
      <c r="D43" s="173">
        <f>Schedule!D91</f>
        <v>11531.533500000001</v>
      </c>
      <c r="E43" s="173">
        <f>Schedule!E91</f>
        <v>11762.164170000002</v>
      </c>
      <c r="F43" s="173">
        <f>Schedule!F91</f>
        <v>11997.407453400003</v>
      </c>
    </row>
    <row r="44" spans="1:8" ht="15.75" x14ac:dyDescent="0.25">
      <c r="A44" s="30" t="s">
        <v>101</v>
      </c>
      <c r="B44" s="171">
        <f>Schedule!B92</f>
        <v>13799</v>
      </c>
      <c r="C44" s="173">
        <f>Schedule!C92</f>
        <v>14074.98</v>
      </c>
      <c r="D44" s="173">
        <f>Schedule!D92</f>
        <v>14356.479600000001</v>
      </c>
      <c r="E44" s="173">
        <f>Schedule!E92</f>
        <v>14643.609192000002</v>
      </c>
      <c r="F44" s="173">
        <f>Schedule!F92</f>
        <v>14936.481375840001</v>
      </c>
    </row>
    <row r="45" spans="1:8" ht="15.75" x14ac:dyDescent="0.25">
      <c r="A45" s="30" t="s">
        <v>107</v>
      </c>
      <c r="B45" s="171">
        <f>Schedule!B93</f>
        <v>18503.25</v>
      </c>
      <c r="C45" s="173">
        <f>Schedule!C93</f>
        <v>18873.314999999999</v>
      </c>
      <c r="D45" s="173">
        <f>Schedule!D93</f>
        <v>19250.781299999999</v>
      </c>
      <c r="E45" s="173">
        <f>Schedule!E93</f>
        <v>19635.796925999999</v>
      </c>
      <c r="F45" s="173">
        <f>Schedule!F93</f>
        <v>20028.512864519998</v>
      </c>
    </row>
    <row r="46" spans="1:8" ht="15.75" x14ac:dyDescent="0.25">
      <c r="A46" s="30" t="s">
        <v>139</v>
      </c>
      <c r="B46" s="171">
        <f>Schedule!B94</f>
        <v>3112.25</v>
      </c>
      <c r="C46" s="173">
        <f>Schedule!C94</f>
        <v>3174.4949999999999</v>
      </c>
      <c r="D46" s="173">
        <f>Schedule!D94</f>
        <v>3237.9848999999999</v>
      </c>
      <c r="E46" s="173">
        <f>Schedule!E94</f>
        <v>3302.7445979999998</v>
      </c>
      <c r="F46" s="173">
        <f>Schedule!F94</f>
        <v>3368.7994899599998</v>
      </c>
      <c r="H46" s="18"/>
    </row>
    <row r="47" spans="1:8" ht="16.5" thickBot="1" x14ac:dyDescent="0.3">
      <c r="A47" s="94" t="s">
        <v>305</v>
      </c>
      <c r="B47" s="175">
        <f>SUM(B43:B46)</f>
        <v>46498.25</v>
      </c>
      <c r="C47" s="176">
        <f>SUM(C43:C46)</f>
        <v>47428.215000000004</v>
      </c>
      <c r="D47" s="176">
        <f>SUM(D43:D46)</f>
        <v>48376.779300000002</v>
      </c>
      <c r="E47" s="176">
        <f>SUM(E43:E46)</f>
        <v>49344.314886</v>
      </c>
      <c r="F47" s="176">
        <f>SUM(F43:F46)</f>
        <v>50331.201183720004</v>
      </c>
    </row>
    <row r="48" spans="1:8" ht="15.75" thickTop="1" x14ac:dyDescent="0.2"/>
    <row r="49" spans="1:7" ht="15.75" x14ac:dyDescent="0.2">
      <c r="A49" s="98" t="s">
        <v>306</v>
      </c>
      <c r="B49" s="98"/>
      <c r="C49" s="98"/>
      <c r="D49" s="98"/>
      <c r="E49" s="98"/>
      <c r="F49" s="98"/>
    </row>
    <row r="50" spans="1:7" ht="15.75" x14ac:dyDescent="0.25">
      <c r="B50" s="120">
        <v>2022</v>
      </c>
      <c r="C50" s="162">
        <v>2023</v>
      </c>
      <c r="D50" s="162">
        <v>2024</v>
      </c>
      <c r="E50" s="162">
        <v>2025</v>
      </c>
      <c r="F50" s="162">
        <v>2026</v>
      </c>
    </row>
    <row r="51" spans="1:7" x14ac:dyDescent="0.2">
      <c r="A51" s="56" t="s">
        <v>307</v>
      </c>
      <c r="B51" s="123">
        <f>Reclass!B16-Reclass!E16</f>
        <v>176791.99841269842</v>
      </c>
      <c r="C51" s="177">
        <f>B51-Reclass!E16</f>
        <v>148186.99682539684</v>
      </c>
      <c r="D51" s="177">
        <f>C51-Reclass!E16</f>
        <v>119581.99523809526</v>
      </c>
      <c r="E51" s="177">
        <f>D51-Reclass!E16</f>
        <v>90976.99365079368</v>
      </c>
      <c r="F51" s="177">
        <f>E51-Reclass!E16</f>
        <v>62371.992063492093</v>
      </c>
    </row>
    <row r="52" spans="1:7" x14ac:dyDescent="0.2">
      <c r="A52" s="56" t="s">
        <v>84</v>
      </c>
      <c r="B52" s="123">
        <f>Schedule!B25-Schedule!E25</f>
        <v>33883.809523809527</v>
      </c>
      <c r="C52" s="177">
        <f>B52-Schedule!E25</f>
        <v>26372.61904761905</v>
      </c>
      <c r="D52" s="177">
        <f>C52-Schedule!E25</f>
        <v>18861.428571428572</v>
      </c>
      <c r="E52" s="177">
        <f>D52-Schedule!E25</f>
        <v>11350.238095238095</v>
      </c>
      <c r="F52" s="177">
        <f>E52-Schedule!E25</f>
        <v>3839.0476190476184</v>
      </c>
    </row>
    <row r="53" spans="1:7" x14ac:dyDescent="0.2">
      <c r="A53" s="56" t="s">
        <v>85</v>
      </c>
      <c r="B53" s="123">
        <f>Schedule!B31-Schedule!E31</f>
        <v>43407.375</v>
      </c>
      <c r="C53" s="177">
        <f>B53-Schedule!E31</f>
        <v>37972.25</v>
      </c>
      <c r="D53" s="177">
        <f>C53-Schedule!E31</f>
        <v>32537.125</v>
      </c>
      <c r="E53" s="177">
        <f>D53-Schedule!E31</f>
        <v>27102</v>
      </c>
      <c r="F53" s="177">
        <f>E53-Schedule!E31</f>
        <v>21666.875</v>
      </c>
    </row>
    <row r="54" spans="1:7" x14ac:dyDescent="0.2">
      <c r="A54" s="56" t="s">
        <v>122</v>
      </c>
      <c r="B54" s="123">
        <f>Schedule!B39-Schedule!E39</f>
        <v>76067.404761904763</v>
      </c>
      <c r="C54" s="177">
        <f>B54-Schedule!E39</f>
        <v>64382.809523809527</v>
      </c>
      <c r="D54" s="177">
        <f>C54-Schedule!E39</f>
        <v>52698.21428571429</v>
      </c>
      <c r="E54" s="177">
        <f>D54-Schedule!E39</f>
        <v>41013.619047619053</v>
      </c>
      <c r="F54" s="177">
        <f>E54-Schedule!E39</f>
        <v>29329.023809523816</v>
      </c>
    </row>
    <row r="55" spans="1:7" ht="16.5" thickBot="1" x14ac:dyDescent="0.3">
      <c r="A55" s="94" t="s">
        <v>308</v>
      </c>
      <c r="B55" s="129">
        <f>SUM(B51:B54)</f>
        <v>330150.58769841271</v>
      </c>
      <c r="C55" s="178">
        <f>SUM(C51:C54)</f>
        <v>276914.67539682542</v>
      </c>
      <c r="D55" s="178">
        <f>SUM(D51:D54)</f>
        <v>223678.76309523813</v>
      </c>
      <c r="E55" s="178">
        <f>SUM(E51:E54)</f>
        <v>170442.85079365084</v>
      </c>
      <c r="F55" s="178">
        <f>SUM(F51:F54)</f>
        <v>117206.93849206352</v>
      </c>
    </row>
    <row r="56" spans="1:7" ht="16.5" thickTop="1" x14ac:dyDescent="0.2">
      <c r="F56" s="98"/>
    </row>
    <row r="57" spans="1:7" ht="15.75" x14ac:dyDescent="0.2">
      <c r="A57" s="98" t="s">
        <v>309</v>
      </c>
      <c r="B57" s="100"/>
      <c r="C57" s="98"/>
      <c r="D57" s="98"/>
      <c r="E57" s="98"/>
    </row>
    <row r="58" spans="1:7" ht="15.75" x14ac:dyDescent="0.25">
      <c r="B58" s="120">
        <v>2022</v>
      </c>
      <c r="C58" s="162">
        <v>2023</v>
      </c>
      <c r="D58" s="162">
        <v>2024</v>
      </c>
      <c r="E58" s="162">
        <v>2025</v>
      </c>
      <c r="F58" s="162">
        <v>2026</v>
      </c>
    </row>
    <row r="59" spans="1:7" x14ac:dyDescent="0.2">
      <c r="A59" s="56" t="s">
        <v>310</v>
      </c>
      <c r="B59" s="123">
        <f>Schedule!B65/12</f>
        <v>39650.04</v>
      </c>
      <c r="C59" s="177">
        <f>Schedule!C65/12</f>
        <v>43451.889199999998</v>
      </c>
      <c r="D59" s="177">
        <f>Schedule!D65/12</f>
        <v>47164.236636000009</v>
      </c>
      <c r="E59" s="177">
        <f>Schedule!E65/12</f>
        <v>51185.381681880004</v>
      </c>
      <c r="F59" s="177">
        <f>Schedule!F65/12</f>
        <v>55540.618637180414</v>
      </c>
      <c r="G59" s="75"/>
    </row>
    <row r="60" spans="1:7" x14ac:dyDescent="0.2">
      <c r="A60" s="56" t="s">
        <v>311</v>
      </c>
      <c r="B60" s="123">
        <f>FS!C11/4</f>
        <v>-20350.560172619065</v>
      </c>
      <c r="C60" s="177">
        <f>FS!D11/4</f>
        <v>35277.124072380946</v>
      </c>
      <c r="D60" s="177">
        <f>FS!E11/4</f>
        <v>57727.094295480892</v>
      </c>
      <c r="E60" s="177">
        <f>FS!F11/4</f>
        <v>77565.458163198957</v>
      </c>
      <c r="F60" s="177">
        <f>FS!G11/4</f>
        <v>113652.59923671484</v>
      </c>
    </row>
    <row r="61" spans="1:7" x14ac:dyDescent="0.2">
      <c r="A61" s="56" t="s">
        <v>312</v>
      </c>
      <c r="B61" s="123">
        <f>Schedule!B123</f>
        <v>-3993.856161111129</v>
      </c>
      <c r="C61" s="177">
        <f>Schedule!C123</f>
        <v>47925.315800888886</v>
      </c>
      <c r="D61" s="177">
        <f>Schedule!D123</f>
        <v>68878.621342448838</v>
      </c>
      <c r="E61" s="177">
        <f>Schedule!E123</f>
        <v>87394.42761898569</v>
      </c>
      <c r="F61" s="177">
        <f>Schedule!F123</f>
        <v>121075.75928760052</v>
      </c>
    </row>
    <row r="62" spans="1:7" x14ac:dyDescent="0.2">
      <c r="A62" s="56" t="s">
        <v>313</v>
      </c>
      <c r="B62" s="123">
        <f>B24/12</f>
        <v>22999</v>
      </c>
      <c r="C62" s="177">
        <f t="shared" ref="C62:F62" si="16">C24/12</f>
        <v>23399</v>
      </c>
      <c r="D62" s="177">
        <f t="shared" si="16"/>
        <v>23807</v>
      </c>
      <c r="E62" s="177">
        <f t="shared" si="16"/>
        <v>24223.16</v>
      </c>
      <c r="F62" s="177">
        <f t="shared" si="16"/>
        <v>24647.643200000002</v>
      </c>
    </row>
    <row r="63" spans="1:7" x14ac:dyDescent="0.2">
      <c r="A63" s="56" t="s">
        <v>314</v>
      </c>
      <c r="B63" s="171">
        <f>B35/12</f>
        <v>165992.54000000004</v>
      </c>
      <c r="C63" s="173">
        <f t="shared" ref="C63:F63" si="17">C35/12</f>
        <v>165992.54000000004</v>
      </c>
      <c r="D63" s="173">
        <f t="shared" ref="D63:F66" si="18">D35/12</f>
        <v>165992.54000000004</v>
      </c>
      <c r="E63" s="173">
        <f t="shared" si="18"/>
        <v>165992.54000000004</v>
      </c>
      <c r="F63" s="173">
        <f t="shared" si="18"/>
        <v>165992.54000000004</v>
      </c>
    </row>
    <row r="64" spans="1:7" x14ac:dyDescent="0.2">
      <c r="A64" s="56" t="s">
        <v>315</v>
      </c>
      <c r="B64" s="171">
        <f t="shared" ref="B64:F66" si="19">B36/12</f>
        <v>14705</v>
      </c>
      <c r="C64" s="173">
        <f t="shared" si="19"/>
        <v>14705</v>
      </c>
      <c r="D64" s="173">
        <f t="shared" si="19"/>
        <v>14705</v>
      </c>
      <c r="E64" s="173">
        <f t="shared" si="19"/>
        <v>14705</v>
      </c>
      <c r="F64" s="173">
        <f t="shared" si="19"/>
        <v>14705</v>
      </c>
    </row>
    <row r="65" spans="1:6" x14ac:dyDescent="0.2">
      <c r="A65" s="56" t="s">
        <v>316</v>
      </c>
      <c r="B65" s="171">
        <f t="shared" si="19"/>
        <v>6447.630000000001</v>
      </c>
      <c r="C65" s="173">
        <f t="shared" si="19"/>
        <v>6447.630000000001</v>
      </c>
      <c r="D65" s="173">
        <f t="shared" si="19"/>
        <v>6447.630000000001</v>
      </c>
      <c r="E65" s="173">
        <f t="shared" si="19"/>
        <v>6447.630000000001</v>
      </c>
      <c r="F65" s="173">
        <f t="shared" si="19"/>
        <v>6447.630000000001</v>
      </c>
    </row>
    <row r="66" spans="1:6" x14ac:dyDescent="0.2">
      <c r="A66" s="56" t="s">
        <v>317</v>
      </c>
      <c r="B66" s="158">
        <f>B38/12</f>
        <v>3684.3599999999992</v>
      </c>
      <c r="C66" s="164">
        <f t="shared" si="19"/>
        <v>3684.3599999999992</v>
      </c>
      <c r="D66" s="164">
        <f t="shared" si="19"/>
        <v>3684.3599999999992</v>
      </c>
      <c r="E66" s="164">
        <f t="shared" si="19"/>
        <v>3684.3599999999992</v>
      </c>
      <c r="F66" s="164">
        <f t="shared" si="19"/>
        <v>3684.3599999999992</v>
      </c>
    </row>
    <row r="67" spans="1:6" ht="16.5" thickBot="1" x14ac:dyDescent="0.3">
      <c r="A67" s="94" t="s">
        <v>159</v>
      </c>
      <c r="B67" s="129">
        <f>SUM(B59:B66)</f>
        <v>229134.15366626985</v>
      </c>
      <c r="C67" s="178">
        <f>SUM(C59:C66)</f>
        <v>340882.85907326988</v>
      </c>
      <c r="D67" s="178">
        <f>SUM(D59:D66)</f>
        <v>388406.48227392975</v>
      </c>
      <c r="E67" s="178">
        <f t="shared" ref="E67:F67" si="20">SUM(E59:E66)</f>
        <v>431197.9574640647</v>
      </c>
      <c r="F67" s="178">
        <f t="shared" si="20"/>
        <v>505746.15036149579</v>
      </c>
    </row>
    <row r="68" spans="1:6" ht="15.75" thickTop="1" x14ac:dyDescent="0.2"/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D96B-B381-4DDB-81B5-D31951342E24}">
  <dimension ref="A1:R124"/>
  <sheetViews>
    <sheetView showGridLines="0" topLeftCell="A103" zoomScale="70" zoomScaleNormal="70" workbookViewId="0">
      <selection activeCell="H72" sqref="H72"/>
    </sheetView>
  </sheetViews>
  <sheetFormatPr defaultRowHeight="15" x14ac:dyDescent="0.25"/>
  <cols>
    <col min="1" max="1" width="35" style="101" customWidth="1"/>
    <col min="2" max="2" width="19.140625" style="101" bestFit="1" customWidth="1"/>
    <col min="3" max="6" width="16.28515625" style="101" bestFit="1" customWidth="1"/>
    <col min="7" max="7" width="15.42578125" style="101" bestFit="1" customWidth="1"/>
    <col min="8" max="8" width="14.28515625" style="101" bestFit="1" customWidth="1"/>
    <col min="9" max="9" width="16.140625" style="101" bestFit="1" customWidth="1"/>
    <col min="10" max="10" width="26.85546875" style="101" bestFit="1" customWidth="1"/>
    <col min="11" max="11" width="19.140625" style="101" bestFit="1" customWidth="1"/>
    <col min="12" max="13" width="16.140625" style="101" bestFit="1" customWidth="1"/>
    <col min="14" max="14" width="14.28515625" style="101" bestFit="1" customWidth="1"/>
    <col min="15" max="15" width="26.42578125" style="101" bestFit="1" customWidth="1"/>
    <col min="16" max="16" width="18.85546875" style="101" bestFit="1" customWidth="1"/>
    <col min="17" max="17" width="14.5703125" style="101" customWidth="1"/>
    <col min="18" max="18" width="16.140625" style="101" bestFit="1" customWidth="1"/>
    <col min="19" max="16384" width="9.140625" style="101"/>
  </cols>
  <sheetData>
    <row r="1" spans="1:18" ht="15.75" x14ac:dyDescent="0.25">
      <c r="A1" s="224" t="s">
        <v>55</v>
      </c>
      <c r="B1" s="224"/>
      <c r="C1" s="224"/>
      <c r="D1" s="224"/>
      <c r="E1" s="224"/>
      <c r="F1" s="224"/>
      <c r="J1" s="225" t="s">
        <v>153</v>
      </c>
      <c r="K1" s="213" t="s">
        <v>169</v>
      </c>
      <c r="L1" s="213"/>
      <c r="M1" s="213"/>
      <c r="N1" s="213"/>
      <c r="O1" s="213" t="s">
        <v>154</v>
      </c>
      <c r="P1" s="213"/>
      <c r="Q1" s="213"/>
      <c r="R1" s="213"/>
    </row>
    <row r="2" spans="1:18" ht="15.75" x14ac:dyDescent="0.25">
      <c r="A2" s="48" t="s">
        <v>56</v>
      </c>
      <c r="B2" s="48" t="s">
        <v>57</v>
      </c>
      <c r="C2" s="48" t="s">
        <v>58</v>
      </c>
      <c r="D2" s="48" t="s">
        <v>59</v>
      </c>
      <c r="E2" s="48" t="s">
        <v>60</v>
      </c>
      <c r="F2" s="33" t="s">
        <v>61</v>
      </c>
      <c r="J2" s="105"/>
      <c r="K2" s="226" t="s">
        <v>168</v>
      </c>
      <c r="L2" s="228" t="s">
        <v>57</v>
      </c>
      <c r="M2" s="228" t="s">
        <v>155</v>
      </c>
      <c r="N2" s="228" t="s">
        <v>156</v>
      </c>
      <c r="O2" s="230" t="s">
        <v>157</v>
      </c>
      <c r="P2" s="228" t="s">
        <v>158</v>
      </c>
      <c r="Q2" s="228" t="s">
        <v>59</v>
      </c>
      <c r="R2" s="228" t="s">
        <v>156</v>
      </c>
    </row>
    <row r="3" spans="1:18" ht="15.75" x14ac:dyDescent="0.25">
      <c r="A3" s="33" t="s">
        <v>62</v>
      </c>
      <c r="B3" s="33"/>
      <c r="C3" s="33"/>
      <c r="D3" s="33"/>
      <c r="E3" s="33"/>
      <c r="F3" s="33"/>
      <c r="J3" s="103" t="s">
        <v>17</v>
      </c>
      <c r="K3" s="227">
        <v>17</v>
      </c>
      <c r="L3" s="229">
        <v>22.5</v>
      </c>
      <c r="M3" s="229">
        <f>K3*L3*30</f>
        <v>11475</v>
      </c>
      <c r="N3" s="229">
        <f t="shared" ref="N3:N11" si="0">M3*12</f>
        <v>137700</v>
      </c>
      <c r="O3" s="231">
        <f>K3*0.95</f>
        <v>16.149999999999999</v>
      </c>
      <c r="P3" s="232">
        <v>70</v>
      </c>
      <c r="Q3" s="229">
        <f>O3*P3*30</f>
        <v>33915</v>
      </c>
      <c r="R3" s="229">
        <f>Q3*12</f>
        <v>406980</v>
      </c>
    </row>
    <row r="4" spans="1:18" ht="15.75" x14ac:dyDescent="0.25">
      <c r="A4" s="29" t="s">
        <v>70</v>
      </c>
      <c r="B4" s="29">
        <v>37500</v>
      </c>
      <c r="C4" s="34">
        <v>6</v>
      </c>
      <c r="D4" s="32">
        <f>B4/C4/12</f>
        <v>520.83333333333337</v>
      </c>
      <c r="E4" s="32">
        <f>D4*12</f>
        <v>6250</v>
      </c>
      <c r="F4" s="32"/>
      <c r="J4" s="103" t="s">
        <v>160</v>
      </c>
      <c r="K4" s="227">
        <v>16</v>
      </c>
      <c r="L4" s="229">
        <v>24.5</v>
      </c>
      <c r="M4" s="229">
        <f t="shared" ref="M4:M11" si="1">K4*L4*30</f>
        <v>11760</v>
      </c>
      <c r="N4" s="229">
        <f t="shared" si="0"/>
        <v>141120</v>
      </c>
      <c r="O4" s="231">
        <f t="shared" ref="O4:O11" si="2">K4*0.95</f>
        <v>15.2</v>
      </c>
      <c r="P4" s="232">
        <v>160</v>
      </c>
      <c r="Q4" s="229">
        <f t="shared" ref="Q4:Q11" si="3">O4*P4*30</f>
        <v>72960</v>
      </c>
      <c r="R4" s="229">
        <f t="shared" ref="R4:R11" si="4">Q4*12</f>
        <v>875520</v>
      </c>
    </row>
    <row r="5" spans="1:18" ht="15.75" x14ac:dyDescent="0.25">
      <c r="A5" s="29" t="s">
        <v>79</v>
      </c>
      <c r="B5" s="29">
        <v>12345</v>
      </c>
      <c r="C5" s="34">
        <v>7</v>
      </c>
      <c r="D5" s="32">
        <f>B5/C5/12</f>
        <v>146.96428571428572</v>
      </c>
      <c r="E5" s="32">
        <f>D5*12</f>
        <v>1763.5714285714287</v>
      </c>
      <c r="F5" s="32"/>
      <c r="J5" s="103" t="s">
        <v>161</v>
      </c>
      <c r="K5" s="227">
        <v>8</v>
      </c>
      <c r="L5" s="229">
        <v>23.25</v>
      </c>
      <c r="M5" s="229">
        <f t="shared" si="1"/>
        <v>5580</v>
      </c>
      <c r="N5" s="229">
        <f t="shared" si="0"/>
        <v>66960</v>
      </c>
      <c r="O5" s="231">
        <f t="shared" si="2"/>
        <v>7.6</v>
      </c>
      <c r="P5" s="232">
        <v>28</v>
      </c>
      <c r="Q5" s="229">
        <f t="shared" si="3"/>
        <v>6383.9999999999991</v>
      </c>
      <c r="R5" s="229">
        <f t="shared" si="4"/>
        <v>76607.999999999985</v>
      </c>
    </row>
    <row r="6" spans="1:18" ht="15.75" x14ac:dyDescent="0.25">
      <c r="A6" s="29" t="s">
        <v>80</v>
      </c>
      <c r="B6" s="29">
        <v>15998</v>
      </c>
      <c r="C6" s="34">
        <v>8</v>
      </c>
      <c r="D6" s="32">
        <f>B6/C6/12</f>
        <v>166.64583333333334</v>
      </c>
      <c r="E6" s="32">
        <f>D6*12</f>
        <v>1999.75</v>
      </c>
      <c r="F6" s="32"/>
      <c r="J6" s="103" t="s">
        <v>162</v>
      </c>
      <c r="K6" s="227">
        <v>7</v>
      </c>
      <c r="L6" s="229">
        <v>19.5</v>
      </c>
      <c r="M6" s="229">
        <f t="shared" si="1"/>
        <v>4095</v>
      </c>
      <c r="N6" s="229">
        <f t="shared" si="0"/>
        <v>49140</v>
      </c>
      <c r="O6" s="231">
        <f t="shared" si="2"/>
        <v>6.6499999999999995</v>
      </c>
      <c r="P6" s="232">
        <v>22</v>
      </c>
      <c r="Q6" s="229">
        <f t="shared" si="3"/>
        <v>4388.9999999999991</v>
      </c>
      <c r="R6" s="229">
        <f t="shared" si="4"/>
        <v>52667.999999999985</v>
      </c>
    </row>
    <row r="7" spans="1:18" ht="15.75" x14ac:dyDescent="0.25">
      <c r="A7" s="29" t="s">
        <v>130</v>
      </c>
      <c r="B7" s="29">
        <v>16800</v>
      </c>
      <c r="C7" s="34">
        <v>6</v>
      </c>
      <c r="D7" s="32">
        <f t="shared" ref="D7:D15" si="5">B7/C7/12</f>
        <v>233.33333333333334</v>
      </c>
      <c r="E7" s="32">
        <f t="shared" ref="E7:E15" si="6">D7*12</f>
        <v>2800</v>
      </c>
      <c r="F7" s="32"/>
      <c r="J7" s="103" t="s">
        <v>163</v>
      </c>
      <c r="K7" s="227">
        <v>9</v>
      </c>
      <c r="L7" s="229">
        <v>33.880000000000003</v>
      </c>
      <c r="M7" s="229">
        <f t="shared" si="1"/>
        <v>9147.6</v>
      </c>
      <c r="N7" s="229">
        <f t="shared" si="0"/>
        <v>109771.20000000001</v>
      </c>
      <c r="O7" s="231">
        <f t="shared" si="2"/>
        <v>8.5499999999999989</v>
      </c>
      <c r="P7" s="232">
        <v>40</v>
      </c>
      <c r="Q7" s="229">
        <f t="shared" si="3"/>
        <v>10259.999999999998</v>
      </c>
      <c r="R7" s="229">
        <f t="shared" si="4"/>
        <v>123119.99999999997</v>
      </c>
    </row>
    <row r="8" spans="1:18" ht="15.75" x14ac:dyDescent="0.25">
      <c r="A8" s="29" t="s">
        <v>131</v>
      </c>
      <c r="B8" s="29">
        <v>12995</v>
      </c>
      <c r="C8" s="34">
        <v>7</v>
      </c>
      <c r="D8" s="32">
        <f t="shared" si="5"/>
        <v>154.70238095238093</v>
      </c>
      <c r="E8" s="32">
        <f t="shared" si="6"/>
        <v>1856.4285714285711</v>
      </c>
      <c r="F8" s="32"/>
      <c r="J8" s="103" t="s">
        <v>164</v>
      </c>
      <c r="K8" s="227">
        <v>8</v>
      </c>
      <c r="L8" s="229">
        <v>33.880000000000003</v>
      </c>
      <c r="M8" s="229">
        <f t="shared" si="1"/>
        <v>8131.2000000000007</v>
      </c>
      <c r="N8" s="229">
        <f t="shared" si="0"/>
        <v>97574.400000000009</v>
      </c>
      <c r="O8" s="231">
        <f t="shared" si="2"/>
        <v>7.6</v>
      </c>
      <c r="P8" s="232">
        <v>40</v>
      </c>
      <c r="Q8" s="229">
        <f t="shared" si="3"/>
        <v>9120</v>
      </c>
      <c r="R8" s="229">
        <f t="shared" si="4"/>
        <v>109440</v>
      </c>
    </row>
    <row r="9" spans="1:18" ht="15.75" x14ac:dyDescent="0.25">
      <c r="A9" s="29" t="s">
        <v>132</v>
      </c>
      <c r="B9" s="29">
        <v>2591</v>
      </c>
      <c r="C9" s="34">
        <v>5</v>
      </c>
      <c r="D9" s="32">
        <f t="shared" si="5"/>
        <v>43.183333333333337</v>
      </c>
      <c r="E9" s="32">
        <f t="shared" si="6"/>
        <v>518.20000000000005</v>
      </c>
      <c r="F9" s="32"/>
      <c r="J9" s="103" t="s">
        <v>165</v>
      </c>
      <c r="K9" s="227">
        <v>8</v>
      </c>
      <c r="L9" s="229">
        <v>33.880000000000003</v>
      </c>
      <c r="M9" s="229">
        <f t="shared" si="1"/>
        <v>8131.2000000000007</v>
      </c>
      <c r="N9" s="229">
        <f t="shared" si="0"/>
        <v>97574.400000000009</v>
      </c>
      <c r="O9" s="231">
        <f t="shared" si="2"/>
        <v>7.6</v>
      </c>
      <c r="P9" s="232">
        <v>40</v>
      </c>
      <c r="Q9" s="229">
        <f t="shared" si="3"/>
        <v>9120</v>
      </c>
      <c r="R9" s="229">
        <f t="shared" si="4"/>
        <v>109440</v>
      </c>
    </row>
    <row r="10" spans="1:18" ht="15.75" x14ac:dyDescent="0.25">
      <c r="A10" s="29" t="s">
        <v>133</v>
      </c>
      <c r="B10" s="29">
        <v>29995</v>
      </c>
      <c r="C10" s="34">
        <v>9</v>
      </c>
      <c r="D10" s="32">
        <f t="shared" si="5"/>
        <v>277.73148148148147</v>
      </c>
      <c r="E10" s="32">
        <f t="shared" si="6"/>
        <v>3332.7777777777774</v>
      </c>
      <c r="F10" s="32"/>
      <c r="J10" s="103" t="s">
        <v>166</v>
      </c>
      <c r="K10" s="227">
        <v>7</v>
      </c>
      <c r="L10" s="229">
        <v>9</v>
      </c>
      <c r="M10" s="229">
        <f t="shared" si="1"/>
        <v>1890</v>
      </c>
      <c r="N10" s="229">
        <f t="shared" si="0"/>
        <v>22680</v>
      </c>
      <c r="O10" s="231">
        <f t="shared" si="2"/>
        <v>6.6499999999999995</v>
      </c>
      <c r="P10" s="232">
        <v>12</v>
      </c>
      <c r="Q10" s="229">
        <f t="shared" si="3"/>
        <v>2394</v>
      </c>
      <c r="R10" s="229">
        <f t="shared" si="4"/>
        <v>28728</v>
      </c>
    </row>
    <row r="11" spans="1:18" ht="15.75" x14ac:dyDescent="0.25">
      <c r="A11" s="29" t="s">
        <v>127</v>
      </c>
      <c r="B11" s="29">
        <v>57990</v>
      </c>
      <c r="C11" s="34">
        <v>8</v>
      </c>
      <c r="D11" s="32">
        <f t="shared" si="5"/>
        <v>604.0625</v>
      </c>
      <c r="E11" s="32">
        <f t="shared" si="6"/>
        <v>7248.75</v>
      </c>
      <c r="F11" s="32"/>
      <c r="J11" s="103" t="s">
        <v>167</v>
      </c>
      <c r="K11" s="235">
        <v>6</v>
      </c>
      <c r="L11" s="236">
        <v>30</v>
      </c>
      <c r="M11" s="236">
        <f t="shared" si="1"/>
        <v>5400</v>
      </c>
      <c r="N11" s="236">
        <f t="shared" si="0"/>
        <v>64800</v>
      </c>
      <c r="O11" s="237">
        <f t="shared" si="2"/>
        <v>5.6999999999999993</v>
      </c>
      <c r="P11" s="238">
        <v>35</v>
      </c>
      <c r="Q11" s="236">
        <f t="shared" si="3"/>
        <v>5984.9999999999991</v>
      </c>
      <c r="R11" s="229">
        <f t="shared" si="4"/>
        <v>71819.999999999985</v>
      </c>
    </row>
    <row r="12" spans="1:18" ht="16.5" thickBot="1" x14ac:dyDescent="0.3">
      <c r="A12" s="29" t="s">
        <v>134</v>
      </c>
      <c r="B12" s="29">
        <v>8519</v>
      </c>
      <c r="C12" s="34">
        <v>6</v>
      </c>
      <c r="D12" s="32">
        <f t="shared" si="5"/>
        <v>118.31944444444444</v>
      </c>
      <c r="E12" s="32">
        <f t="shared" si="6"/>
        <v>1419.8333333333333</v>
      </c>
      <c r="F12" s="32"/>
      <c r="J12" s="102" t="s">
        <v>159</v>
      </c>
      <c r="K12" s="104"/>
      <c r="L12" s="104"/>
      <c r="M12" s="234">
        <f>SUM(M3:M11)</f>
        <v>65610</v>
      </c>
      <c r="N12" s="234">
        <f>SUM(N3:N11)</f>
        <v>787320</v>
      </c>
      <c r="O12" s="104"/>
      <c r="P12" s="104"/>
      <c r="Q12" s="234">
        <f>SUM(Q3:Q11)</f>
        <v>154527</v>
      </c>
      <c r="R12" s="233">
        <f>SUM(R3:R11)</f>
        <v>1854324</v>
      </c>
    </row>
    <row r="13" spans="1:18" ht="16.5" thickTop="1" x14ac:dyDescent="0.25">
      <c r="A13" s="29" t="s">
        <v>136</v>
      </c>
      <c r="B13" s="29">
        <v>6439</v>
      </c>
      <c r="C13" s="34">
        <v>7</v>
      </c>
      <c r="D13" s="32">
        <f t="shared" si="5"/>
        <v>76.654761904761912</v>
      </c>
      <c r="E13" s="32">
        <f t="shared" si="6"/>
        <v>919.85714285714289</v>
      </c>
      <c r="F13" s="32"/>
    </row>
    <row r="14" spans="1:18" ht="15.75" x14ac:dyDescent="0.25">
      <c r="A14" s="29" t="s">
        <v>135</v>
      </c>
      <c r="B14" s="29">
        <v>475</v>
      </c>
      <c r="C14" s="34">
        <v>6</v>
      </c>
      <c r="D14" s="32">
        <f t="shared" si="5"/>
        <v>6.5972222222222223</v>
      </c>
      <c r="E14" s="32">
        <f t="shared" si="6"/>
        <v>79.166666666666671</v>
      </c>
      <c r="F14" s="32"/>
    </row>
    <row r="15" spans="1:18" ht="15.75" x14ac:dyDescent="0.25">
      <c r="A15" s="29" t="s">
        <v>137</v>
      </c>
      <c r="B15" s="29">
        <v>3750</v>
      </c>
      <c r="C15" s="34">
        <v>9</v>
      </c>
      <c r="D15" s="32">
        <f t="shared" si="5"/>
        <v>34.722222222222221</v>
      </c>
      <c r="E15" s="32">
        <f t="shared" si="6"/>
        <v>416.66666666666663</v>
      </c>
      <c r="F15" s="32"/>
    </row>
    <row r="16" spans="1:18" ht="15.75" x14ac:dyDescent="0.25">
      <c r="A16" s="49" t="s">
        <v>63</v>
      </c>
      <c r="B16" s="35">
        <f>SUM(B4:B15)</f>
        <v>205397</v>
      </c>
      <c r="C16" s="35"/>
      <c r="D16" s="36">
        <f>SUM(D4:D15)</f>
        <v>2383.7501322751323</v>
      </c>
      <c r="E16" s="36">
        <f>SUM(E4:E15)</f>
        <v>28605.001587301587</v>
      </c>
      <c r="F16" s="49">
        <f>B16-E16</f>
        <v>176791.99841269842</v>
      </c>
    </row>
    <row r="17" spans="1:6" ht="15.75" x14ac:dyDescent="0.25">
      <c r="A17" s="51" t="s">
        <v>150</v>
      </c>
      <c r="B17" s="51"/>
      <c r="C17" s="51"/>
      <c r="D17" s="51"/>
      <c r="E17" s="51"/>
      <c r="F17" s="51"/>
    </row>
    <row r="18" spans="1:6" ht="15.75" x14ac:dyDescent="0.25">
      <c r="A18" s="29" t="s">
        <v>64</v>
      </c>
      <c r="B18" s="29">
        <f>Reclass!B85</f>
        <v>9250</v>
      </c>
      <c r="C18" s="34">
        <v>6</v>
      </c>
      <c r="D18" s="32">
        <f t="shared" ref="D18:D24" si="7">B18/C18/12</f>
        <v>128.47222222222223</v>
      </c>
      <c r="E18" s="32">
        <f t="shared" ref="E18:E24" si="8">D18*12</f>
        <v>1541.6666666666667</v>
      </c>
      <c r="F18" s="32"/>
    </row>
    <row r="19" spans="1:6" ht="15.75" x14ac:dyDescent="0.25">
      <c r="A19" s="29" t="s">
        <v>65</v>
      </c>
      <c r="B19" s="29">
        <f>Reclass!B86</f>
        <v>6250</v>
      </c>
      <c r="C19" s="34">
        <v>6</v>
      </c>
      <c r="D19" s="32">
        <f t="shared" si="7"/>
        <v>86.805555555555557</v>
      </c>
      <c r="E19" s="32">
        <f t="shared" si="8"/>
        <v>1041.6666666666667</v>
      </c>
      <c r="F19" s="32"/>
    </row>
    <row r="20" spans="1:6" ht="15.75" x14ac:dyDescent="0.25">
      <c r="A20" s="29" t="s">
        <v>66</v>
      </c>
      <c r="B20" s="29">
        <f>Reclass!B87</f>
        <v>7250</v>
      </c>
      <c r="C20" s="34">
        <v>5</v>
      </c>
      <c r="D20" s="32">
        <f t="shared" si="7"/>
        <v>120.83333333333333</v>
      </c>
      <c r="E20" s="32">
        <f t="shared" si="8"/>
        <v>1450</v>
      </c>
      <c r="F20" s="32"/>
    </row>
    <row r="21" spans="1:6" ht="15.75" x14ac:dyDescent="0.25">
      <c r="A21" s="29" t="s">
        <v>67</v>
      </c>
      <c r="B21" s="29">
        <f>Reclass!B88</f>
        <v>7250</v>
      </c>
      <c r="C21" s="34">
        <v>5</v>
      </c>
      <c r="D21" s="32">
        <f t="shared" si="7"/>
        <v>120.83333333333333</v>
      </c>
      <c r="E21" s="32">
        <f t="shared" si="8"/>
        <v>1450</v>
      </c>
      <c r="F21" s="32"/>
    </row>
    <row r="22" spans="1:6" ht="15.75" x14ac:dyDescent="0.25">
      <c r="A22" s="29" t="s">
        <v>68</v>
      </c>
      <c r="B22" s="29">
        <v>795</v>
      </c>
      <c r="C22" s="34">
        <v>7</v>
      </c>
      <c r="D22" s="32">
        <f t="shared" si="7"/>
        <v>9.4642857142857135</v>
      </c>
      <c r="E22" s="32">
        <f t="shared" si="8"/>
        <v>113.57142857142856</v>
      </c>
      <c r="F22" s="32"/>
    </row>
    <row r="23" spans="1:6" ht="15.75" x14ac:dyDescent="0.25">
      <c r="A23" s="29" t="s">
        <v>69</v>
      </c>
      <c r="B23" s="29">
        <v>3600</v>
      </c>
      <c r="C23" s="34">
        <v>7</v>
      </c>
      <c r="D23" s="32">
        <f t="shared" si="7"/>
        <v>42.857142857142861</v>
      </c>
      <c r="E23" s="32">
        <f t="shared" si="8"/>
        <v>514.28571428571433</v>
      </c>
      <c r="F23" s="32"/>
    </row>
    <row r="24" spans="1:6" ht="15.75" x14ac:dyDescent="0.25">
      <c r="A24" s="29" t="s">
        <v>106</v>
      </c>
      <c r="B24" s="29">
        <v>7000</v>
      </c>
      <c r="C24" s="34">
        <v>5</v>
      </c>
      <c r="D24" s="32">
        <f t="shared" si="7"/>
        <v>116.66666666666667</v>
      </c>
      <c r="E24" s="32">
        <f t="shared" si="8"/>
        <v>1400</v>
      </c>
      <c r="F24" s="32"/>
    </row>
    <row r="25" spans="1:6" ht="15.75" x14ac:dyDescent="0.25">
      <c r="A25" s="49" t="s">
        <v>63</v>
      </c>
      <c r="B25" s="36">
        <f>SUM(B18:B24)</f>
        <v>41395</v>
      </c>
      <c r="C25" s="36"/>
      <c r="D25" s="36">
        <f>SUM(D18:D24)</f>
        <v>625.93253968253964</v>
      </c>
      <c r="E25" s="36">
        <f>SUM(E18:E24)</f>
        <v>7511.1904761904771</v>
      </c>
      <c r="F25" s="49">
        <f>B25-E25</f>
        <v>33883.809523809527</v>
      </c>
    </row>
    <row r="26" spans="1:6" ht="15.75" x14ac:dyDescent="0.25">
      <c r="A26" s="52" t="s">
        <v>323</v>
      </c>
      <c r="B26" s="52"/>
      <c r="C26" s="52"/>
      <c r="D26" s="52"/>
      <c r="E26" s="52"/>
      <c r="F26" s="52"/>
    </row>
    <row r="27" spans="1:6" ht="15.75" x14ac:dyDescent="0.25">
      <c r="A27" s="29" t="s">
        <v>86</v>
      </c>
      <c r="B27" s="29">
        <v>9598</v>
      </c>
      <c r="C27" s="34">
        <v>8</v>
      </c>
      <c r="D27" s="32">
        <f>B27/C27/12</f>
        <v>99.979166666666671</v>
      </c>
      <c r="E27" s="32">
        <f t="shared" ref="E27:E30" si="9">D27*12</f>
        <v>1199.75</v>
      </c>
      <c r="F27" s="32"/>
    </row>
    <row r="28" spans="1:6" ht="15.75" x14ac:dyDescent="0.25">
      <c r="A28" s="29" t="s">
        <v>87</v>
      </c>
      <c r="B28" s="29">
        <v>30950</v>
      </c>
      <c r="C28" s="34">
        <v>10</v>
      </c>
      <c r="D28" s="32">
        <f>B28/C28/12</f>
        <v>257.91666666666669</v>
      </c>
      <c r="E28" s="32">
        <f t="shared" si="9"/>
        <v>3095</v>
      </c>
      <c r="F28" s="32"/>
    </row>
    <row r="29" spans="1:6" ht="15.75" x14ac:dyDescent="0.25">
      <c r="A29" s="29" t="s">
        <v>96</v>
      </c>
      <c r="B29" s="29">
        <v>5799.5</v>
      </c>
      <c r="C29" s="34">
        <v>7</v>
      </c>
      <c r="D29" s="32">
        <f>B29/C29/12</f>
        <v>69.041666666666671</v>
      </c>
      <c r="E29" s="32">
        <f t="shared" si="9"/>
        <v>828.5</v>
      </c>
      <c r="F29" s="32"/>
    </row>
    <row r="30" spans="1:6" ht="15.75" x14ac:dyDescent="0.25">
      <c r="A30" s="29" t="s">
        <v>97</v>
      </c>
      <c r="B30" s="29">
        <v>2495</v>
      </c>
      <c r="C30" s="34">
        <v>8</v>
      </c>
      <c r="D30" s="32">
        <f>B30/C30/12</f>
        <v>25.989583333333332</v>
      </c>
      <c r="E30" s="32">
        <f t="shared" si="9"/>
        <v>311.875</v>
      </c>
      <c r="F30" s="32"/>
    </row>
    <row r="31" spans="1:6" ht="15.75" x14ac:dyDescent="0.25">
      <c r="A31" s="49" t="s">
        <v>63</v>
      </c>
      <c r="B31" s="35">
        <f>SUM(B27:B30)</f>
        <v>48842.5</v>
      </c>
      <c r="C31" s="32"/>
      <c r="D31" s="36">
        <f>SUM(D27:D30)</f>
        <v>452.92708333333337</v>
      </c>
      <c r="E31" s="36">
        <f>SUM(E27:E30)</f>
        <v>5435.125</v>
      </c>
      <c r="F31" s="49">
        <f>B31-E31</f>
        <v>43407.375</v>
      </c>
    </row>
    <row r="32" spans="1:6" ht="15.75" x14ac:dyDescent="0.25">
      <c r="A32" s="49" t="s">
        <v>152</v>
      </c>
      <c r="B32" s="32"/>
      <c r="C32" s="32"/>
      <c r="D32" s="32"/>
      <c r="E32" s="32"/>
      <c r="F32" s="32"/>
    </row>
    <row r="33" spans="1:18" ht="15.75" x14ac:dyDescent="0.25">
      <c r="A33" s="29" t="s">
        <v>123</v>
      </c>
      <c r="B33" s="29">
        <v>40000</v>
      </c>
      <c r="C33" s="34">
        <v>8</v>
      </c>
      <c r="D33" s="32">
        <f>B33/C33/12</f>
        <v>416.66666666666669</v>
      </c>
      <c r="E33" s="32">
        <f t="shared" ref="E33:E38" si="10">D33*12</f>
        <v>5000</v>
      </c>
      <c r="F33" s="32"/>
    </row>
    <row r="34" spans="1:18" ht="15.75" x14ac:dyDescent="0.25">
      <c r="A34" s="29" t="s">
        <v>124</v>
      </c>
      <c r="B34" s="29">
        <v>35000</v>
      </c>
      <c r="C34" s="34">
        <v>7</v>
      </c>
      <c r="D34" s="32">
        <f>B34/C34/12</f>
        <v>416.66666666666669</v>
      </c>
      <c r="E34" s="32">
        <f t="shared" si="10"/>
        <v>5000</v>
      </c>
      <c r="F34" s="32"/>
    </row>
    <row r="35" spans="1:18" ht="15.75" x14ac:dyDescent="0.25">
      <c r="A35" s="29" t="s">
        <v>125</v>
      </c>
      <c r="B35" s="29">
        <v>2698</v>
      </c>
      <c r="C35" s="34">
        <v>6</v>
      </c>
      <c r="D35" s="32">
        <f>B35/C35/12</f>
        <v>37.472222222222221</v>
      </c>
      <c r="E35" s="32">
        <f t="shared" si="10"/>
        <v>449.66666666666663</v>
      </c>
      <c r="F35" s="32"/>
    </row>
    <row r="36" spans="1:18" ht="15.75" x14ac:dyDescent="0.25">
      <c r="A36" s="29" t="s">
        <v>126</v>
      </c>
      <c r="B36" s="29">
        <v>3100</v>
      </c>
      <c r="C36" s="34">
        <v>8</v>
      </c>
      <c r="D36" s="32">
        <f t="shared" ref="D36:D38" si="11">B36/C36/12</f>
        <v>32.291666666666664</v>
      </c>
      <c r="E36" s="32">
        <f t="shared" si="10"/>
        <v>387.5</v>
      </c>
      <c r="F36" s="32"/>
    </row>
    <row r="37" spans="1:18" ht="15.75" x14ac:dyDescent="0.25">
      <c r="A37" s="29" t="s">
        <v>128</v>
      </c>
      <c r="B37" s="29">
        <v>4599</v>
      </c>
      <c r="C37" s="34">
        <v>9</v>
      </c>
      <c r="D37" s="32">
        <f t="shared" si="11"/>
        <v>42.583333333333336</v>
      </c>
      <c r="E37" s="32">
        <f t="shared" si="10"/>
        <v>511</v>
      </c>
      <c r="F37" s="32"/>
    </row>
    <row r="38" spans="1:18" ht="15.75" x14ac:dyDescent="0.25">
      <c r="A38" s="29" t="s">
        <v>129</v>
      </c>
      <c r="B38" s="29">
        <v>2355</v>
      </c>
      <c r="C38" s="34">
        <v>7</v>
      </c>
      <c r="D38" s="32">
        <f t="shared" si="11"/>
        <v>28.035714285714288</v>
      </c>
      <c r="E38" s="32">
        <f t="shared" si="10"/>
        <v>336.42857142857144</v>
      </c>
      <c r="F38" s="32"/>
    </row>
    <row r="39" spans="1:18" ht="15.75" x14ac:dyDescent="0.25">
      <c r="A39" s="49" t="s">
        <v>63</v>
      </c>
      <c r="B39" s="49">
        <f>SUM(B33:B38)</f>
        <v>87752</v>
      </c>
      <c r="C39" s="32"/>
      <c r="D39" s="49">
        <f>SUM(D33:D38)</f>
        <v>973.71626984126988</v>
      </c>
      <c r="E39" s="49">
        <f>SUM(E33:E38)</f>
        <v>11684.595238095237</v>
      </c>
      <c r="F39" s="49">
        <f>B39-E39</f>
        <v>76067.404761904763</v>
      </c>
    </row>
    <row r="40" spans="1:18" ht="15.75" x14ac:dyDescent="0.25">
      <c r="A40" s="49" t="s">
        <v>6</v>
      </c>
      <c r="B40" s="49">
        <f>B39+B31+B25+B16</f>
        <v>383386.5</v>
      </c>
      <c r="C40" s="32"/>
      <c r="D40" s="49">
        <f>D39+D31+D25+D16</f>
        <v>4436.3260251322754</v>
      </c>
      <c r="E40" s="49">
        <f>E39+E31+E25+E16</f>
        <v>53235.912301587305</v>
      </c>
      <c r="F40" s="49">
        <f>F39+F31+F25+F16</f>
        <v>330150.58769841271</v>
      </c>
    </row>
    <row r="41" spans="1:18" ht="15.75" x14ac:dyDescent="0.25">
      <c r="A41" s="103"/>
      <c r="B41" s="103"/>
      <c r="C41" s="103"/>
      <c r="D41" s="103"/>
      <c r="E41" s="103"/>
      <c r="F41" s="103"/>
    </row>
    <row r="42" spans="1:18" ht="15.75" x14ac:dyDescent="0.25">
      <c r="A42" s="103"/>
      <c r="B42" s="103"/>
      <c r="C42" s="103"/>
      <c r="D42" s="103"/>
      <c r="E42" s="103"/>
      <c r="F42" s="103"/>
    </row>
    <row r="43" spans="1:18" ht="15.75" x14ac:dyDescent="0.25">
      <c r="A43" s="103"/>
      <c r="B43" s="103"/>
      <c r="C43" s="103"/>
      <c r="D43" s="103"/>
      <c r="E43" s="103"/>
      <c r="F43" s="103"/>
    </row>
    <row r="44" spans="1:18" ht="15.75" x14ac:dyDescent="0.25">
      <c r="A44" s="103"/>
      <c r="B44" s="103"/>
      <c r="C44" s="103"/>
      <c r="D44" s="103"/>
      <c r="E44" s="103"/>
      <c r="F44" s="103"/>
    </row>
    <row r="45" spans="1:18" ht="15.75" x14ac:dyDescent="0.25">
      <c r="A45" s="103"/>
      <c r="B45" s="103"/>
      <c r="C45" s="103"/>
      <c r="D45" s="103"/>
      <c r="E45" s="103"/>
      <c r="F45" s="103"/>
    </row>
    <row r="46" spans="1:18" ht="15.75" x14ac:dyDescent="0.25">
      <c r="A46" s="213" t="s">
        <v>11</v>
      </c>
      <c r="B46" s="213"/>
      <c r="C46" s="213"/>
      <c r="D46" s="213"/>
      <c r="E46" s="213"/>
      <c r="F46" s="213"/>
      <c r="J46" s="106" t="s">
        <v>21</v>
      </c>
      <c r="K46" s="106"/>
      <c r="L46" s="106"/>
      <c r="M46" s="106"/>
      <c r="N46" s="103"/>
      <c r="O46" s="106" t="s">
        <v>15</v>
      </c>
      <c r="P46" s="106"/>
      <c r="Q46" s="106"/>
      <c r="R46" s="106"/>
    </row>
    <row r="47" spans="1:18" ht="15.75" x14ac:dyDescent="0.25">
      <c r="A47" s="103"/>
      <c r="B47" s="107">
        <v>2022</v>
      </c>
      <c r="C47" s="107">
        <f>B47+1</f>
        <v>2023</v>
      </c>
      <c r="D47" s="107">
        <f>C47+1</f>
        <v>2024</v>
      </c>
      <c r="E47" s="107">
        <f>D47+1</f>
        <v>2025</v>
      </c>
      <c r="F47" s="107">
        <f>E47+1</f>
        <v>2026</v>
      </c>
      <c r="J47" s="102" t="s">
        <v>0</v>
      </c>
      <c r="K47" s="102" t="s">
        <v>4</v>
      </c>
      <c r="L47" s="102" t="s">
        <v>5</v>
      </c>
      <c r="M47" s="102" t="s">
        <v>6</v>
      </c>
      <c r="N47" s="103"/>
      <c r="O47" s="102" t="s">
        <v>16</v>
      </c>
      <c r="P47" s="102" t="s">
        <v>4</v>
      </c>
      <c r="Q47" s="102" t="s">
        <v>5</v>
      </c>
      <c r="R47" s="102" t="s">
        <v>6</v>
      </c>
    </row>
    <row r="48" spans="1:18" ht="15.75" x14ac:dyDescent="0.25">
      <c r="A48" s="103" t="s">
        <v>13</v>
      </c>
      <c r="B48" s="103">
        <f>M54</f>
        <v>2898000</v>
      </c>
      <c r="C48" s="103">
        <f>B48*(1+0.08)</f>
        <v>3129840</v>
      </c>
      <c r="D48" s="103">
        <f t="shared" ref="D48:F49" si="12">C48*(1+0.08)</f>
        <v>3380227.2</v>
      </c>
      <c r="E48" s="103">
        <f t="shared" si="12"/>
        <v>3650645.3760000006</v>
      </c>
      <c r="F48" s="103">
        <f t="shared" si="12"/>
        <v>3942697.0060800011</v>
      </c>
      <c r="J48" s="103" t="s">
        <v>1</v>
      </c>
      <c r="K48" s="103">
        <v>100</v>
      </c>
      <c r="L48" s="103">
        <v>28</v>
      </c>
      <c r="M48" s="103">
        <f>K48*L48</f>
        <v>2800</v>
      </c>
      <c r="N48" s="103"/>
      <c r="O48" s="103" t="s">
        <v>17</v>
      </c>
      <c r="P48" s="103">
        <v>70</v>
      </c>
      <c r="Q48" s="103">
        <v>15</v>
      </c>
      <c r="R48" s="103">
        <f>P48*Q48</f>
        <v>1050</v>
      </c>
    </row>
    <row r="49" spans="1:18" ht="15.75" x14ac:dyDescent="0.25">
      <c r="A49" s="103" t="s">
        <v>12</v>
      </c>
      <c r="B49" s="22">
        <f>R12</f>
        <v>1854324</v>
      </c>
      <c r="C49" s="22">
        <f>B49*(1+0.08)</f>
        <v>2002669.9200000002</v>
      </c>
      <c r="D49" s="22">
        <f t="shared" si="12"/>
        <v>2162883.5136000002</v>
      </c>
      <c r="E49" s="22">
        <f t="shared" si="12"/>
        <v>2335914.1946880003</v>
      </c>
      <c r="F49" s="22">
        <f t="shared" si="12"/>
        <v>2522787.3302630405</v>
      </c>
      <c r="J49" s="103" t="s">
        <v>2</v>
      </c>
      <c r="K49" s="103">
        <v>150</v>
      </c>
      <c r="L49" s="103">
        <v>35</v>
      </c>
      <c r="M49" s="103">
        <f>K49*L49</f>
        <v>5250</v>
      </c>
      <c r="N49" s="103"/>
      <c r="O49" s="103" t="s">
        <v>18</v>
      </c>
      <c r="P49" s="103">
        <v>160</v>
      </c>
      <c r="Q49" s="103">
        <v>15</v>
      </c>
      <c r="R49" s="103">
        <f>P49*Q49</f>
        <v>2400</v>
      </c>
    </row>
    <row r="50" spans="1:18" ht="15.75" x14ac:dyDescent="0.25">
      <c r="A50" s="103" t="s">
        <v>14</v>
      </c>
      <c r="B50" s="103">
        <f>B48+B49</f>
        <v>4752324</v>
      </c>
      <c r="C50" s="103">
        <f>C48+C49</f>
        <v>5132509.92</v>
      </c>
      <c r="D50" s="103">
        <f t="shared" ref="D50:F50" si="13">D48+D49</f>
        <v>5543110.7136000004</v>
      </c>
      <c r="E50" s="103">
        <f t="shared" si="13"/>
        <v>5986559.5706880009</v>
      </c>
      <c r="F50" s="103">
        <f t="shared" si="13"/>
        <v>6465484.3363430416</v>
      </c>
      <c r="J50" s="103" t="s">
        <v>3</v>
      </c>
      <c r="K50" s="103"/>
      <c r="L50" s="103">
        <f>L48+L49</f>
        <v>63</v>
      </c>
      <c r="M50" s="102">
        <f>M48+M49</f>
        <v>8050</v>
      </c>
      <c r="N50" s="103"/>
      <c r="O50" s="103" t="s">
        <v>19</v>
      </c>
      <c r="P50" s="103">
        <v>26.2</v>
      </c>
      <c r="Q50" s="103">
        <v>12</v>
      </c>
      <c r="R50" s="103">
        <f>P50*Q50</f>
        <v>314.39999999999998</v>
      </c>
    </row>
    <row r="51" spans="1:18" ht="15.75" x14ac:dyDescent="0.25">
      <c r="A51" s="103" t="s">
        <v>23</v>
      </c>
      <c r="B51" s="103">
        <f>B50-(B50/1.12)</f>
        <v>509177.57142857183</v>
      </c>
      <c r="C51" s="103">
        <f t="shared" ref="C51:F51" si="14">C50-(C50/1.12)</f>
        <v>549911.7771428572</v>
      </c>
      <c r="D51" s="103">
        <f t="shared" si="14"/>
        <v>593904.71931428649</v>
      </c>
      <c r="E51" s="103">
        <f t="shared" si="14"/>
        <v>641417.09685942903</v>
      </c>
      <c r="F51" s="103">
        <f t="shared" si="14"/>
        <v>692730.46460818313</v>
      </c>
      <c r="J51" s="103" t="s">
        <v>7</v>
      </c>
      <c r="K51" s="103"/>
      <c r="L51" s="103"/>
      <c r="M51" s="103">
        <v>30</v>
      </c>
      <c r="N51" s="103"/>
      <c r="O51" s="102" t="s">
        <v>20</v>
      </c>
      <c r="P51" s="103"/>
      <c r="Q51" s="103"/>
      <c r="R51" s="102">
        <f>SUM(R48:R50)</f>
        <v>3764.4</v>
      </c>
    </row>
    <row r="52" spans="1:18" ht="16.5" thickBot="1" x14ac:dyDescent="0.3">
      <c r="A52" s="102" t="s">
        <v>22</v>
      </c>
      <c r="B52" s="130">
        <f>B50-B51</f>
        <v>4243146.4285714282</v>
      </c>
      <c r="C52" s="130">
        <f t="shared" ref="C52:F52" si="15">C50-C51</f>
        <v>4582598.1428571427</v>
      </c>
      <c r="D52" s="130">
        <f t="shared" si="15"/>
        <v>4949205.9942857139</v>
      </c>
      <c r="E52" s="130">
        <f t="shared" si="15"/>
        <v>5345142.4738285718</v>
      </c>
      <c r="F52" s="130">
        <f t="shared" si="15"/>
        <v>5772753.8717348585</v>
      </c>
      <c r="J52" s="103" t="s">
        <v>9</v>
      </c>
      <c r="K52" s="103"/>
      <c r="L52" s="103"/>
      <c r="M52" s="103">
        <f>M50*M51</f>
        <v>241500</v>
      </c>
      <c r="N52" s="103"/>
      <c r="O52" s="103" t="s">
        <v>7</v>
      </c>
      <c r="P52" s="103"/>
      <c r="Q52" s="103"/>
      <c r="R52" s="103">
        <v>30</v>
      </c>
    </row>
    <row r="53" spans="1:18" ht="16.5" thickTop="1" x14ac:dyDescent="0.25">
      <c r="A53" s="103"/>
      <c r="B53" s="103"/>
      <c r="C53" s="103"/>
      <c r="D53" s="103"/>
      <c r="E53" s="103"/>
      <c r="F53" s="103"/>
      <c r="J53" s="103" t="s">
        <v>8</v>
      </c>
      <c r="K53" s="103"/>
      <c r="L53" s="103"/>
      <c r="M53" s="103">
        <v>12</v>
      </c>
      <c r="N53" s="103"/>
      <c r="O53" s="103" t="s">
        <v>9</v>
      </c>
      <c r="P53" s="103"/>
      <c r="Q53" s="103"/>
      <c r="R53" s="103">
        <f>R51*R52</f>
        <v>112932</v>
      </c>
    </row>
    <row r="54" spans="1:18" ht="15.75" x14ac:dyDescent="0.25">
      <c r="A54" s="103"/>
      <c r="B54" s="103"/>
      <c r="C54" s="103"/>
      <c r="D54" s="103"/>
      <c r="E54" s="103"/>
      <c r="F54" s="103"/>
      <c r="J54" s="102" t="s">
        <v>10</v>
      </c>
      <c r="K54" s="102"/>
      <c r="L54" s="102"/>
      <c r="M54" s="102">
        <f>M52*M53</f>
        <v>2898000</v>
      </c>
      <c r="N54" s="103"/>
      <c r="O54" s="103" t="s">
        <v>8</v>
      </c>
      <c r="P54" s="103"/>
      <c r="Q54" s="103"/>
      <c r="R54" s="103">
        <v>12</v>
      </c>
    </row>
    <row r="55" spans="1:18" ht="15.75" x14ac:dyDescent="0.25">
      <c r="A55" s="214" t="s">
        <v>189</v>
      </c>
      <c r="B55" s="215"/>
      <c r="C55" s="215"/>
      <c r="D55" s="215"/>
      <c r="E55" s="215"/>
      <c r="F55" s="215"/>
      <c r="J55" s="103"/>
      <c r="K55" s="103"/>
      <c r="L55" s="103"/>
      <c r="M55" s="103"/>
      <c r="N55" s="103"/>
      <c r="O55" s="102" t="s">
        <v>10</v>
      </c>
      <c r="P55" s="103"/>
      <c r="Q55" s="103"/>
      <c r="R55" s="102">
        <f>R53*R54</f>
        <v>1355184</v>
      </c>
    </row>
    <row r="56" spans="1:18" ht="15.75" x14ac:dyDescent="0.25">
      <c r="A56" s="103"/>
      <c r="B56" s="107">
        <v>2022</v>
      </c>
      <c r="C56" s="107">
        <f>B56+1</f>
        <v>2023</v>
      </c>
      <c r="D56" s="107">
        <f>C56+1</f>
        <v>2024</v>
      </c>
      <c r="E56" s="107">
        <f>D56+1</f>
        <v>2025</v>
      </c>
      <c r="F56" s="107">
        <f>E56+1</f>
        <v>2026</v>
      </c>
      <c r="J56" s="103"/>
      <c r="K56" s="103"/>
      <c r="L56" s="103"/>
      <c r="M56" s="103"/>
      <c r="N56" s="103"/>
      <c r="O56" s="103"/>
      <c r="P56" s="103"/>
      <c r="Q56" s="103"/>
      <c r="R56" s="103"/>
    </row>
    <row r="57" spans="1:18" ht="15.75" x14ac:dyDescent="0.25">
      <c r="A57" s="102" t="s">
        <v>24</v>
      </c>
      <c r="B57" s="103">
        <v>38346</v>
      </c>
      <c r="C57" s="103">
        <v>67569</v>
      </c>
      <c r="D57" s="103">
        <v>75609</v>
      </c>
      <c r="E57" s="103">
        <v>151240</v>
      </c>
      <c r="F57" s="103">
        <v>39760</v>
      </c>
      <c r="J57" s="103"/>
      <c r="K57" s="103"/>
      <c r="L57" s="103"/>
      <c r="M57" s="103"/>
      <c r="N57" s="103"/>
      <c r="O57" s="103"/>
      <c r="P57" s="103"/>
      <c r="Q57" s="103"/>
      <c r="R57" s="103"/>
    </row>
    <row r="58" spans="1:18" ht="15.75" x14ac:dyDescent="0.25">
      <c r="A58" s="103"/>
      <c r="B58" s="103"/>
      <c r="C58" s="103"/>
      <c r="D58" s="103"/>
      <c r="E58" s="103"/>
      <c r="F58" s="103"/>
      <c r="J58" s="103">
        <v>4611501.25</v>
      </c>
      <c r="K58" s="103"/>
      <c r="L58" s="103">
        <v>5315312.5</v>
      </c>
      <c r="M58" s="103"/>
      <c r="N58" s="103"/>
      <c r="O58" s="103"/>
      <c r="P58" s="103"/>
      <c r="Q58" s="103"/>
      <c r="R58" s="103"/>
    </row>
    <row r="59" spans="1:18" ht="15.75" x14ac:dyDescent="0.25">
      <c r="A59" s="103"/>
      <c r="B59" s="103"/>
      <c r="C59" s="103"/>
      <c r="D59" s="103"/>
      <c r="E59" s="103"/>
      <c r="F59" s="103"/>
    </row>
    <row r="60" spans="1:18" ht="15.75" x14ac:dyDescent="0.25">
      <c r="A60" s="103"/>
      <c r="B60" s="103"/>
      <c r="C60" s="103"/>
      <c r="D60" s="103"/>
      <c r="E60" s="103"/>
      <c r="F60" s="103"/>
    </row>
    <row r="61" spans="1:18" ht="15.75" x14ac:dyDescent="0.25">
      <c r="A61" s="216" t="s">
        <v>324</v>
      </c>
      <c r="B61" s="216"/>
      <c r="C61" s="216"/>
      <c r="D61" s="216"/>
      <c r="E61" s="216"/>
      <c r="F61" s="216"/>
    </row>
    <row r="62" spans="1:18" ht="15.75" x14ac:dyDescent="0.25">
      <c r="A62" s="108"/>
      <c r="B62" s="107">
        <v>2022</v>
      </c>
      <c r="C62" s="107">
        <f>B62+1</f>
        <v>2023</v>
      </c>
      <c r="D62" s="107">
        <f>C62+1</f>
        <v>2024</v>
      </c>
      <c r="E62" s="107">
        <f>D62+1</f>
        <v>2025</v>
      </c>
      <c r="F62" s="107">
        <f>E62+1</f>
        <v>2026</v>
      </c>
    </row>
    <row r="63" spans="1:18" ht="15.75" x14ac:dyDescent="0.25">
      <c r="A63" s="108" t="s">
        <v>280</v>
      </c>
      <c r="B63" s="95">
        <f>Notes!B7</f>
        <v>570278.88</v>
      </c>
      <c r="C63" s="95">
        <f>Notes!C7</f>
        <v>615901.19039999996</v>
      </c>
      <c r="D63" s="95">
        <f>Notes!D7</f>
        <v>665173.28563200007</v>
      </c>
      <c r="E63" s="95">
        <f>Notes!E7</f>
        <v>718387.14848256006</v>
      </c>
      <c r="F63" s="95">
        <f>Notes!F7</f>
        <v>775858.12036116491</v>
      </c>
    </row>
    <row r="64" spans="1:18" ht="15.75" x14ac:dyDescent="0.25">
      <c r="A64" s="108" t="s">
        <v>325</v>
      </c>
      <c r="B64" s="96">
        <f>Schedule!B114</f>
        <v>94478.399999999994</v>
      </c>
      <c r="C64" s="96">
        <f>Schedule!C114</f>
        <v>94478.51999999999</v>
      </c>
      <c r="D64" s="96">
        <f>Schedule!D114</f>
        <v>99202.445999999996</v>
      </c>
      <c r="E64" s="96">
        <f>Schedule!E114</f>
        <v>104162.5683</v>
      </c>
      <c r="F64" s="96">
        <f>Schedule!F114</f>
        <v>109370.69671500001</v>
      </c>
    </row>
    <row r="65" spans="1:9" ht="16.5" thickBot="1" x14ac:dyDescent="0.3">
      <c r="A65" s="109" t="s">
        <v>310</v>
      </c>
      <c r="B65" s="223">
        <f>B63-B64</f>
        <v>475800.48</v>
      </c>
      <c r="C65" s="223">
        <f t="shared" ref="C65:F65" si="16">C63-C64</f>
        <v>521422.67039999994</v>
      </c>
      <c r="D65" s="223">
        <f t="shared" si="16"/>
        <v>565970.83963200008</v>
      </c>
      <c r="E65" s="223">
        <f t="shared" si="16"/>
        <v>614224.58018256002</v>
      </c>
      <c r="F65" s="223">
        <f t="shared" si="16"/>
        <v>666487.42364616494</v>
      </c>
    </row>
    <row r="66" spans="1:9" ht="16.5" thickTop="1" x14ac:dyDescent="0.25">
      <c r="A66" s="103"/>
      <c r="B66" s="103"/>
      <c r="C66" s="103"/>
      <c r="D66" s="103"/>
      <c r="E66" s="103"/>
      <c r="F66" s="103"/>
    </row>
    <row r="67" spans="1:9" ht="15.75" x14ac:dyDescent="0.25">
      <c r="A67" s="103"/>
      <c r="B67" s="103"/>
      <c r="C67" s="103"/>
      <c r="D67" s="103"/>
      <c r="E67" s="103"/>
      <c r="F67" s="103"/>
    </row>
    <row r="68" spans="1:9" ht="15.75" x14ac:dyDescent="0.25">
      <c r="A68" s="103"/>
      <c r="B68" s="103"/>
      <c r="C68" s="103"/>
      <c r="D68" s="103"/>
      <c r="E68" s="103"/>
      <c r="F68" s="103"/>
    </row>
    <row r="69" spans="1:9" ht="15.75" x14ac:dyDescent="0.25">
      <c r="A69" s="103"/>
      <c r="B69" s="103"/>
      <c r="C69" s="103"/>
      <c r="D69" s="103"/>
      <c r="E69" s="103"/>
      <c r="F69" s="103"/>
    </row>
    <row r="70" spans="1:9" ht="15.75" x14ac:dyDescent="0.25">
      <c r="A70" s="214" t="s">
        <v>170</v>
      </c>
      <c r="B70" s="215"/>
      <c r="C70" s="215"/>
      <c r="D70" s="215"/>
      <c r="E70" s="215"/>
      <c r="F70" s="215"/>
    </row>
    <row r="71" spans="1:9" ht="15.75" x14ac:dyDescent="0.25">
      <c r="A71" s="103"/>
      <c r="B71" s="107">
        <v>2022</v>
      </c>
      <c r="C71" s="107">
        <f>B71+1</f>
        <v>2023</v>
      </c>
      <c r="D71" s="107">
        <f>C71+1</f>
        <v>2024</v>
      </c>
      <c r="E71" s="107">
        <f>D71+1</f>
        <v>2025</v>
      </c>
      <c r="F71" s="107">
        <f>E71+1</f>
        <v>2026</v>
      </c>
    </row>
    <row r="72" spans="1:9" ht="15.75" x14ac:dyDescent="0.25">
      <c r="A72" s="103" t="s">
        <v>42</v>
      </c>
      <c r="B72" s="103">
        <v>25000</v>
      </c>
      <c r="C72" s="103">
        <v>25000</v>
      </c>
      <c r="D72" s="103">
        <v>25000</v>
      </c>
      <c r="E72" s="103">
        <v>25000</v>
      </c>
      <c r="F72" s="103">
        <v>25000</v>
      </c>
      <c r="H72" s="110">
        <v>0.05</v>
      </c>
      <c r="I72" s="103"/>
    </row>
    <row r="73" spans="1:9" ht="15.75" x14ac:dyDescent="0.25">
      <c r="A73" s="103" t="s">
        <v>44</v>
      </c>
      <c r="B73" s="102">
        <v>12</v>
      </c>
      <c r="C73" s="102">
        <v>12</v>
      </c>
      <c r="D73" s="102">
        <v>12</v>
      </c>
      <c r="E73" s="102">
        <v>12</v>
      </c>
      <c r="F73" s="102">
        <v>12</v>
      </c>
    </row>
    <row r="74" spans="1:9" ht="15.75" x14ac:dyDescent="0.25">
      <c r="A74" s="103" t="s">
        <v>45</v>
      </c>
      <c r="B74" s="103">
        <f>B72*B73</f>
        <v>300000</v>
      </c>
      <c r="C74" s="103">
        <f t="shared" ref="C74:F74" si="17">C72*C73</f>
        <v>300000</v>
      </c>
      <c r="D74" s="103">
        <f t="shared" si="17"/>
        <v>300000</v>
      </c>
      <c r="E74" s="103">
        <f t="shared" si="17"/>
        <v>300000</v>
      </c>
      <c r="F74" s="103">
        <f t="shared" si="17"/>
        <v>300000</v>
      </c>
    </row>
    <row r="75" spans="1:9" ht="15.75" x14ac:dyDescent="0.25">
      <c r="A75" s="103" t="s">
        <v>330</v>
      </c>
      <c r="B75" s="103">
        <v>0.05</v>
      </c>
      <c r="C75" s="103">
        <v>0.05</v>
      </c>
      <c r="D75" s="103">
        <v>0.05</v>
      </c>
      <c r="E75" s="103">
        <v>0.05</v>
      </c>
      <c r="F75" s="103">
        <v>0.05</v>
      </c>
    </row>
    <row r="76" spans="1:9" ht="16.5" thickBot="1" x14ac:dyDescent="0.3">
      <c r="A76" s="102" t="s">
        <v>46</v>
      </c>
      <c r="B76" s="130">
        <f>B74*(1-B75)</f>
        <v>285000</v>
      </c>
      <c r="C76" s="130">
        <f t="shared" ref="C76:F76" si="18">C74*(1-C75)</f>
        <v>285000</v>
      </c>
      <c r="D76" s="130">
        <f t="shared" si="18"/>
        <v>285000</v>
      </c>
      <c r="E76" s="130">
        <f t="shared" si="18"/>
        <v>285000</v>
      </c>
      <c r="F76" s="130">
        <f t="shared" si="18"/>
        <v>285000</v>
      </c>
    </row>
    <row r="77" spans="1:9" ht="16.5" thickTop="1" x14ac:dyDescent="0.25">
      <c r="A77" s="103"/>
      <c r="B77" s="103"/>
      <c r="C77" s="103"/>
      <c r="D77" s="103"/>
      <c r="E77" s="103"/>
      <c r="F77" s="103"/>
    </row>
    <row r="78" spans="1:9" ht="15.75" x14ac:dyDescent="0.25">
      <c r="A78" s="103"/>
      <c r="B78" s="103"/>
      <c r="C78" s="103"/>
      <c r="D78" s="103"/>
      <c r="E78" s="103"/>
      <c r="F78" s="103"/>
    </row>
    <row r="79" spans="1:9" ht="15.75" x14ac:dyDescent="0.25">
      <c r="A79" s="214" t="s">
        <v>182</v>
      </c>
      <c r="B79" s="215"/>
      <c r="C79" s="214" t="s">
        <v>53</v>
      </c>
      <c r="D79" s="215"/>
      <c r="E79" s="215"/>
      <c r="F79" s="215"/>
    </row>
    <row r="80" spans="1:9" ht="15.75" x14ac:dyDescent="0.25">
      <c r="A80" s="103"/>
      <c r="B80" s="107">
        <v>2022</v>
      </c>
      <c r="C80" s="107">
        <f>B80+1</f>
        <v>2023</v>
      </c>
      <c r="D80" s="107">
        <f>C80+1</f>
        <v>2024</v>
      </c>
      <c r="E80" s="107">
        <f>D80+1</f>
        <v>2025</v>
      </c>
      <c r="F80" s="107">
        <f>E80+1</f>
        <v>2026</v>
      </c>
    </row>
    <row r="81" spans="1:18" ht="15.75" x14ac:dyDescent="0.25">
      <c r="A81" s="103" t="s">
        <v>49</v>
      </c>
      <c r="B81" s="103">
        <v>15000</v>
      </c>
      <c r="C81" s="103">
        <f>B81*1.02</f>
        <v>15300</v>
      </c>
      <c r="D81" s="103">
        <f t="shared" ref="D81:F82" si="19">C81*1.02</f>
        <v>15606</v>
      </c>
      <c r="E81" s="103">
        <f t="shared" si="19"/>
        <v>15918.12</v>
      </c>
      <c r="F81" s="103">
        <f t="shared" si="19"/>
        <v>16236.482400000001</v>
      </c>
    </row>
    <row r="82" spans="1:18" ht="15.75" x14ac:dyDescent="0.25">
      <c r="A82" s="103" t="s">
        <v>50</v>
      </c>
      <c r="B82" s="103">
        <v>5000</v>
      </c>
      <c r="C82" s="103">
        <f>B82*1.02</f>
        <v>5100</v>
      </c>
      <c r="D82" s="103">
        <f t="shared" si="19"/>
        <v>5202</v>
      </c>
      <c r="E82" s="103">
        <f t="shared" si="19"/>
        <v>5306.04</v>
      </c>
      <c r="F82" s="103">
        <f t="shared" si="19"/>
        <v>5412.1607999999997</v>
      </c>
    </row>
    <row r="83" spans="1:18" ht="15.75" x14ac:dyDescent="0.25">
      <c r="A83" s="103" t="s">
        <v>51</v>
      </c>
      <c r="B83" s="103">
        <v>2999</v>
      </c>
      <c r="C83" s="103">
        <v>2999</v>
      </c>
      <c r="D83" s="103">
        <v>2999</v>
      </c>
      <c r="E83" s="103">
        <v>2999</v>
      </c>
      <c r="F83" s="103">
        <v>2999</v>
      </c>
    </row>
    <row r="84" spans="1:18" ht="15.75" x14ac:dyDescent="0.25">
      <c r="A84" s="103" t="s">
        <v>52</v>
      </c>
      <c r="B84" s="103">
        <f>SUM(B81:B83)</f>
        <v>22999</v>
      </c>
      <c r="C84" s="103">
        <f t="shared" ref="C84:F84" si="20">SUM(C81:C83)</f>
        <v>23399</v>
      </c>
      <c r="D84" s="103">
        <f t="shared" si="20"/>
        <v>23807</v>
      </c>
      <c r="E84" s="103">
        <f t="shared" si="20"/>
        <v>24223.16</v>
      </c>
      <c r="F84" s="103">
        <f t="shared" si="20"/>
        <v>24647.643199999999</v>
      </c>
    </row>
    <row r="85" spans="1:18" ht="15.75" x14ac:dyDescent="0.25">
      <c r="A85" s="103" t="s">
        <v>44</v>
      </c>
      <c r="B85" s="103">
        <v>12</v>
      </c>
      <c r="C85" s="103">
        <v>12</v>
      </c>
      <c r="D85" s="103">
        <v>12</v>
      </c>
      <c r="E85" s="103">
        <v>12</v>
      </c>
      <c r="F85" s="103">
        <v>12</v>
      </c>
    </row>
    <row r="86" spans="1:18" ht="16.5" thickBot="1" x14ac:dyDescent="0.3">
      <c r="A86" s="102" t="s">
        <v>54</v>
      </c>
      <c r="B86" s="130">
        <f>B84*B85</f>
        <v>275988</v>
      </c>
      <c r="C86" s="130">
        <f t="shared" ref="C86:F86" si="21">C84*C85</f>
        <v>280788</v>
      </c>
      <c r="D86" s="130">
        <f t="shared" si="21"/>
        <v>285684</v>
      </c>
      <c r="E86" s="130">
        <f t="shared" si="21"/>
        <v>290677.92</v>
      </c>
      <c r="F86" s="130">
        <f t="shared" si="21"/>
        <v>295771.71840000001</v>
      </c>
    </row>
    <row r="87" spans="1:18" ht="15.75" thickTop="1" x14ac:dyDescent="0.25"/>
    <row r="88" spans="1:18" ht="15.75" x14ac:dyDescent="0.25">
      <c r="J88" s="103"/>
      <c r="K88" s="103"/>
      <c r="L88" s="103"/>
      <c r="M88" s="103"/>
      <c r="N88" s="103"/>
      <c r="O88" s="103"/>
      <c r="P88" s="103"/>
      <c r="Q88" s="103"/>
      <c r="R88" s="103"/>
    </row>
    <row r="89" spans="1:18" ht="15.75" x14ac:dyDescent="0.25">
      <c r="A89" s="217" t="s">
        <v>181</v>
      </c>
      <c r="B89" s="218">
        <v>0.02</v>
      </c>
      <c r="C89" s="217"/>
      <c r="D89" s="217"/>
      <c r="E89" s="217"/>
      <c r="F89" s="219"/>
      <c r="J89" s="103"/>
      <c r="K89" s="103"/>
      <c r="L89" s="103"/>
      <c r="M89" s="103"/>
      <c r="N89" s="103"/>
      <c r="O89" s="103"/>
      <c r="P89" s="103"/>
      <c r="Q89" s="103"/>
      <c r="R89" s="103"/>
    </row>
    <row r="90" spans="1:18" ht="15.75" x14ac:dyDescent="0.25">
      <c r="A90" s="111"/>
      <c r="B90" s="107">
        <v>2022</v>
      </c>
      <c r="C90" s="107">
        <f>B90+1</f>
        <v>2023</v>
      </c>
      <c r="D90" s="107">
        <f>C90+1</f>
        <v>2024</v>
      </c>
      <c r="E90" s="107">
        <f>D90+1</f>
        <v>2025</v>
      </c>
      <c r="F90" s="107">
        <f>E90+1</f>
        <v>2026</v>
      </c>
      <c r="J90" s="103"/>
      <c r="K90" s="103"/>
      <c r="L90" s="103"/>
      <c r="M90" s="103"/>
      <c r="N90" s="103"/>
      <c r="O90" s="103"/>
      <c r="P90" s="103"/>
      <c r="Q90" s="103"/>
      <c r="R90" s="103"/>
    </row>
    <row r="91" spans="1:18" ht="15.75" x14ac:dyDescent="0.25">
      <c r="A91" s="101" t="s">
        <v>183</v>
      </c>
      <c r="B91" s="101">
        <f>Reclass!B143</f>
        <v>11083.75</v>
      </c>
      <c r="C91" s="103">
        <f>B91*1.02</f>
        <v>11305.425000000001</v>
      </c>
      <c r="D91" s="103">
        <f t="shared" ref="D91:F91" si="22">C91*1.02</f>
        <v>11531.533500000001</v>
      </c>
      <c r="E91" s="103">
        <f t="shared" si="22"/>
        <v>11762.164170000002</v>
      </c>
      <c r="F91" s="103">
        <f t="shared" si="22"/>
        <v>11997.407453400003</v>
      </c>
      <c r="J91" s="103"/>
      <c r="K91" s="103"/>
      <c r="L91" s="103"/>
      <c r="M91" s="103"/>
      <c r="N91" s="103"/>
      <c r="O91" s="103"/>
      <c r="P91" s="103"/>
      <c r="Q91" s="103"/>
      <c r="R91" s="103"/>
    </row>
    <row r="92" spans="1:18" ht="15.75" x14ac:dyDescent="0.25">
      <c r="A92" s="101" t="s">
        <v>101</v>
      </c>
      <c r="B92" s="101">
        <f>Reclass!B157</f>
        <v>13799</v>
      </c>
      <c r="C92" s="103">
        <f t="shared" ref="C92:F92" si="23">B92*1.02</f>
        <v>14074.98</v>
      </c>
      <c r="D92" s="103">
        <f t="shared" si="23"/>
        <v>14356.479600000001</v>
      </c>
      <c r="E92" s="103">
        <f t="shared" si="23"/>
        <v>14643.609192000002</v>
      </c>
      <c r="F92" s="103">
        <f t="shared" si="23"/>
        <v>14936.481375840001</v>
      </c>
      <c r="J92" s="103"/>
      <c r="K92" s="103"/>
      <c r="L92" s="103"/>
      <c r="M92" s="103"/>
      <c r="N92" s="103"/>
      <c r="O92" s="103"/>
      <c r="P92" s="103"/>
      <c r="Q92" s="103"/>
      <c r="R92" s="103"/>
    </row>
    <row r="93" spans="1:18" ht="15.75" x14ac:dyDescent="0.25">
      <c r="A93" s="101" t="s">
        <v>107</v>
      </c>
      <c r="B93" s="101">
        <f>Reclass!B176</f>
        <v>18503.25</v>
      </c>
      <c r="C93" s="103">
        <f t="shared" ref="C93:F93" si="24">B93*1.02</f>
        <v>18873.314999999999</v>
      </c>
      <c r="D93" s="103">
        <f t="shared" si="24"/>
        <v>19250.781299999999</v>
      </c>
      <c r="E93" s="103">
        <f t="shared" si="24"/>
        <v>19635.796925999999</v>
      </c>
      <c r="F93" s="103">
        <f t="shared" si="24"/>
        <v>20028.512864519998</v>
      </c>
      <c r="J93" s="103"/>
      <c r="K93" s="103"/>
      <c r="L93" s="103"/>
      <c r="M93" s="103"/>
      <c r="N93" s="103"/>
      <c r="O93" s="103"/>
      <c r="P93" s="103"/>
      <c r="Q93" s="103"/>
      <c r="R93" s="103"/>
    </row>
    <row r="94" spans="1:18" ht="15.75" x14ac:dyDescent="0.25">
      <c r="A94" s="101" t="s">
        <v>139</v>
      </c>
      <c r="B94" s="101">
        <f>Reclass!B188</f>
        <v>3112.25</v>
      </c>
      <c r="C94" s="103">
        <f t="shared" ref="C94:F94" si="25">B94*1.02</f>
        <v>3174.4949999999999</v>
      </c>
      <c r="D94" s="103">
        <f t="shared" si="25"/>
        <v>3237.9848999999999</v>
      </c>
      <c r="E94" s="103">
        <f t="shared" si="25"/>
        <v>3302.7445979999998</v>
      </c>
      <c r="F94" s="103">
        <f t="shared" si="25"/>
        <v>3368.7994899599998</v>
      </c>
      <c r="J94" s="103"/>
      <c r="K94" s="103"/>
      <c r="L94" s="103"/>
      <c r="M94" s="103"/>
      <c r="N94" s="103"/>
      <c r="O94" s="103"/>
      <c r="P94" s="103"/>
      <c r="Q94" s="103"/>
      <c r="R94" s="103"/>
    </row>
    <row r="95" spans="1:18" ht="16.5" thickBot="1" x14ac:dyDescent="0.3">
      <c r="A95" s="101" t="s">
        <v>6</v>
      </c>
      <c r="B95" s="222">
        <f>SUM(B91:B94)</f>
        <v>46498.25</v>
      </c>
      <c r="C95" s="222">
        <f t="shared" ref="C95:F95" si="26">SUM(C90:C94)</f>
        <v>49451.215000000004</v>
      </c>
      <c r="D95" s="222">
        <f t="shared" si="26"/>
        <v>50400.779300000002</v>
      </c>
      <c r="E95" s="222">
        <f t="shared" si="26"/>
        <v>51369.314886</v>
      </c>
      <c r="F95" s="222">
        <f t="shared" si="26"/>
        <v>52357.201183720004</v>
      </c>
      <c r="J95" s="103"/>
      <c r="K95" s="103"/>
      <c r="L95" s="103"/>
      <c r="M95" s="103"/>
      <c r="N95" s="103"/>
      <c r="O95" s="103"/>
      <c r="P95" s="103"/>
      <c r="Q95" s="103"/>
      <c r="R95" s="103"/>
    </row>
    <row r="96" spans="1:18" ht="16.5" thickTop="1" x14ac:dyDescent="0.25">
      <c r="J96" s="103"/>
      <c r="K96" s="103"/>
      <c r="L96" s="103"/>
      <c r="M96" s="103"/>
      <c r="N96" s="103"/>
      <c r="O96" s="103"/>
      <c r="P96" s="103"/>
      <c r="Q96" s="103"/>
      <c r="R96" s="103"/>
    </row>
    <row r="97" spans="1:18" ht="15.75" x14ac:dyDescent="0.25">
      <c r="J97" s="103"/>
      <c r="K97" s="103"/>
      <c r="L97" s="103"/>
      <c r="M97" s="103"/>
      <c r="N97" s="103"/>
      <c r="O97" s="103"/>
      <c r="P97" s="103"/>
      <c r="Q97" s="103"/>
      <c r="R97" s="103"/>
    </row>
    <row r="98" spans="1:18" ht="15.75" x14ac:dyDescent="0.25">
      <c r="A98" s="217" t="s">
        <v>179</v>
      </c>
      <c r="B98" s="219"/>
      <c r="C98" s="219"/>
      <c r="D98" s="219"/>
      <c r="E98" s="219"/>
      <c r="F98" s="219"/>
      <c r="J98" s="102"/>
      <c r="K98" s="103"/>
      <c r="L98" s="103">
        <f>L58/B50</f>
        <v>1.1184659337200074</v>
      </c>
      <c r="M98" s="103"/>
      <c r="N98" s="103"/>
      <c r="O98" s="103"/>
      <c r="P98" s="103"/>
      <c r="Q98" s="103"/>
      <c r="R98" s="103"/>
    </row>
    <row r="99" spans="1:18" ht="15" customHeight="1" x14ac:dyDescent="0.25">
      <c r="B99" s="107">
        <v>2022</v>
      </c>
      <c r="C99" s="107">
        <f>B99+1</f>
        <v>2023</v>
      </c>
      <c r="D99" s="107">
        <f>C99+1</f>
        <v>2024</v>
      </c>
      <c r="E99" s="107">
        <f>D99+1</f>
        <v>2025</v>
      </c>
      <c r="F99" s="107">
        <f>E99+1</f>
        <v>2026</v>
      </c>
      <c r="J99" s="102"/>
      <c r="K99" s="103"/>
      <c r="L99" s="103"/>
      <c r="M99" s="103"/>
      <c r="N99" s="103"/>
      <c r="O99" s="103"/>
      <c r="P99" s="103"/>
      <c r="Q99" s="103"/>
      <c r="R99" s="103"/>
    </row>
    <row r="100" spans="1:18" ht="15.75" x14ac:dyDescent="0.25">
      <c r="A100" s="101" t="s">
        <v>171</v>
      </c>
      <c r="B100" s="101">
        <v>2020</v>
      </c>
      <c r="J100" s="103"/>
      <c r="K100" s="103"/>
      <c r="L100" s="103"/>
      <c r="M100" s="103"/>
      <c r="N100" s="103"/>
      <c r="O100" s="103"/>
      <c r="P100" s="103"/>
      <c r="Q100" s="103"/>
      <c r="R100" s="103"/>
    </row>
    <row r="101" spans="1:18" x14ac:dyDescent="0.25">
      <c r="A101" s="101" t="s">
        <v>172</v>
      </c>
      <c r="B101" s="101">
        <v>4351</v>
      </c>
    </row>
    <row r="102" spans="1:18" x14ac:dyDescent="0.25">
      <c r="A102" s="101" t="s">
        <v>173</v>
      </c>
      <c r="B102" s="101">
        <v>500</v>
      </c>
    </row>
    <row r="103" spans="1:18" x14ac:dyDescent="0.25">
      <c r="A103" s="101" t="s">
        <v>174</v>
      </c>
      <c r="B103" s="101">
        <v>1000</v>
      </c>
    </row>
    <row r="104" spans="1:18" x14ac:dyDescent="0.25">
      <c r="A104" s="101" t="s">
        <v>175</v>
      </c>
      <c r="B104" s="101">
        <v>120</v>
      </c>
    </row>
    <row r="105" spans="1:18" x14ac:dyDescent="0.25">
      <c r="A105" s="101" t="s">
        <v>176</v>
      </c>
      <c r="B105" s="101">
        <v>50</v>
      </c>
    </row>
    <row r="106" spans="1:18" x14ac:dyDescent="0.25">
      <c r="A106" s="101" t="s">
        <v>177</v>
      </c>
      <c r="B106" s="101">
        <v>100</v>
      </c>
    </row>
    <row r="107" spans="1:18" x14ac:dyDescent="0.25">
      <c r="A107" s="101" t="s">
        <v>178</v>
      </c>
      <c r="B107" s="101">
        <v>515</v>
      </c>
    </row>
    <row r="108" spans="1:18" ht="15.75" thickBot="1" x14ac:dyDescent="0.3">
      <c r="A108" s="111" t="s">
        <v>180</v>
      </c>
      <c r="B108" s="220">
        <f>SUM(B100:B107)</f>
        <v>8656</v>
      </c>
      <c r="C108" s="220"/>
      <c r="D108" s="220"/>
      <c r="E108" s="220"/>
      <c r="F108" s="220"/>
    </row>
    <row r="109" spans="1:18" ht="15.75" thickTop="1" x14ac:dyDescent="0.25"/>
    <row r="111" spans="1:18" x14ac:dyDescent="0.25">
      <c r="A111" s="217" t="s">
        <v>184</v>
      </c>
      <c r="B111" s="219"/>
      <c r="C111" s="219"/>
      <c r="D111" s="219"/>
      <c r="E111" s="219"/>
      <c r="F111" s="219"/>
    </row>
    <row r="112" spans="1:18" ht="15.75" x14ac:dyDescent="0.25">
      <c r="B112" s="107">
        <v>2022</v>
      </c>
      <c r="C112" s="107">
        <f>B112+1</f>
        <v>2023</v>
      </c>
      <c r="D112" s="107">
        <f>C112+1</f>
        <v>2024</v>
      </c>
      <c r="E112" s="107">
        <f>D112+1</f>
        <v>2025</v>
      </c>
      <c r="F112" s="107">
        <f>E112+1</f>
        <v>2026</v>
      </c>
    </row>
    <row r="113" spans="1:6" ht="15.75" x14ac:dyDescent="0.25">
      <c r="A113" s="101" t="s">
        <v>185</v>
      </c>
      <c r="B113" s="101">
        <f>N12</f>
        <v>787320</v>
      </c>
      <c r="C113" s="107">
        <f>B113+1</f>
        <v>787321</v>
      </c>
      <c r="D113" s="101">
        <f t="shared" ref="D113:F113" si="27">C113*1.05</f>
        <v>826687.05</v>
      </c>
      <c r="E113" s="101">
        <f t="shared" si="27"/>
        <v>868021.40250000008</v>
      </c>
      <c r="F113" s="101">
        <f t="shared" si="27"/>
        <v>911422.47262500017</v>
      </c>
    </row>
    <row r="114" spans="1:6" x14ac:dyDescent="0.25">
      <c r="A114" s="101" t="s">
        <v>186</v>
      </c>
      <c r="B114" s="101">
        <f>B113*0.12</f>
        <v>94478.399999999994</v>
      </c>
      <c r="C114" s="101">
        <f t="shared" ref="C114:F114" si="28">C113*0.12</f>
        <v>94478.51999999999</v>
      </c>
      <c r="D114" s="101">
        <f t="shared" si="28"/>
        <v>99202.445999999996</v>
      </c>
      <c r="E114" s="101">
        <f t="shared" si="28"/>
        <v>104162.5683</v>
      </c>
      <c r="F114" s="101">
        <f t="shared" si="28"/>
        <v>109370.69671500001</v>
      </c>
    </row>
    <row r="115" spans="1:6" ht="15.75" thickBot="1" x14ac:dyDescent="0.3">
      <c r="A115" s="111" t="s">
        <v>187</v>
      </c>
      <c r="B115" s="220">
        <f>B113-B114</f>
        <v>692841.6</v>
      </c>
      <c r="C115" s="220">
        <f t="shared" ref="C115:F115" si="29">C113-C114</f>
        <v>692842.48</v>
      </c>
      <c r="D115" s="220">
        <f t="shared" si="29"/>
        <v>727484.60400000005</v>
      </c>
      <c r="E115" s="220">
        <f t="shared" si="29"/>
        <v>763858.83420000004</v>
      </c>
      <c r="F115" s="220">
        <f t="shared" si="29"/>
        <v>802051.7759100002</v>
      </c>
    </row>
    <row r="116" spans="1:6" ht="15.75" thickTop="1" x14ac:dyDescent="0.25"/>
    <row r="119" spans="1:6" ht="15.75" x14ac:dyDescent="0.25">
      <c r="A119" s="216" t="s">
        <v>326</v>
      </c>
      <c r="B119" s="216"/>
      <c r="C119" s="216"/>
      <c r="D119" s="216"/>
      <c r="E119" s="216"/>
      <c r="F119" s="216"/>
    </row>
    <row r="120" spans="1:6" ht="15.75" x14ac:dyDescent="0.25">
      <c r="A120" s="108"/>
      <c r="B120" s="107">
        <v>2022</v>
      </c>
      <c r="C120" s="107">
        <f>B120+1</f>
        <v>2023</v>
      </c>
      <c r="D120" s="107">
        <f>C120+1</f>
        <v>2024</v>
      </c>
      <c r="E120" s="107">
        <f>D120+1</f>
        <v>2025</v>
      </c>
      <c r="F120" s="107">
        <f>E120+1</f>
        <v>2026</v>
      </c>
    </row>
    <row r="121" spans="1:6" ht="15.75" x14ac:dyDescent="0.25">
      <c r="A121" s="108" t="s">
        <v>327</v>
      </c>
      <c r="B121" s="95">
        <f>FS!C13</f>
        <v>-18993.856161111129</v>
      </c>
      <c r="C121" s="95">
        <f>FS!D13</f>
        <v>32925.315800888886</v>
      </c>
      <c r="D121" s="95">
        <f>FS!E13</f>
        <v>53878.621342448838</v>
      </c>
      <c r="E121" s="95">
        <f>FS!F13</f>
        <v>72394.42761898569</v>
      </c>
      <c r="F121" s="95">
        <f>FS!G13</f>
        <v>106075.75928760052</v>
      </c>
    </row>
    <row r="122" spans="1:6" ht="15.75" x14ac:dyDescent="0.25">
      <c r="A122" s="108" t="s">
        <v>328</v>
      </c>
      <c r="B122" s="96">
        <f>B74*0.05</f>
        <v>15000</v>
      </c>
      <c r="C122" s="96">
        <f t="shared" ref="C122:F122" si="30">C74*0.05</f>
        <v>15000</v>
      </c>
      <c r="D122" s="96">
        <f t="shared" si="30"/>
        <v>15000</v>
      </c>
      <c r="E122" s="96">
        <f t="shared" si="30"/>
        <v>15000</v>
      </c>
      <c r="F122" s="96">
        <f t="shared" si="30"/>
        <v>15000</v>
      </c>
    </row>
    <row r="123" spans="1:6" ht="16.5" thickBot="1" x14ac:dyDescent="0.3">
      <c r="A123" s="109" t="s">
        <v>329</v>
      </c>
      <c r="B123" s="221">
        <f>B121+B122</f>
        <v>-3993.856161111129</v>
      </c>
      <c r="C123" s="221">
        <f t="shared" ref="C123:F123" si="31">C121+C122</f>
        <v>47925.315800888886</v>
      </c>
      <c r="D123" s="221">
        <f t="shared" si="31"/>
        <v>68878.621342448838</v>
      </c>
      <c r="E123" s="221">
        <f t="shared" si="31"/>
        <v>87394.42761898569</v>
      </c>
      <c r="F123" s="221">
        <f t="shared" si="31"/>
        <v>121075.75928760052</v>
      </c>
    </row>
    <row r="124" spans="1:6" ht="15.75" thickTop="1" x14ac:dyDescent="0.25"/>
  </sheetData>
  <mergeCells count="8">
    <mergeCell ref="J46:M46"/>
    <mergeCell ref="O46:R46"/>
    <mergeCell ref="K1:N1"/>
    <mergeCell ref="O1:R1"/>
    <mergeCell ref="A1:F1"/>
    <mergeCell ref="A17:F17"/>
    <mergeCell ref="A26:F26"/>
    <mergeCell ref="A46:F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04EE-A788-43E0-9659-4370946CE9FA}">
  <dimension ref="A1:F50"/>
  <sheetViews>
    <sheetView showGridLines="0" topLeftCell="A28" zoomScaleNormal="100" workbookViewId="0">
      <selection activeCell="H17" sqref="H17"/>
    </sheetView>
  </sheetViews>
  <sheetFormatPr defaultRowHeight="15" x14ac:dyDescent="0.25"/>
  <cols>
    <col min="1" max="1" width="33.7109375" style="240" bestFit="1" customWidth="1"/>
    <col min="2" max="6" width="17.85546875" style="240" bestFit="1" customWidth="1"/>
    <col min="7" max="16384" width="9.140625" style="240"/>
  </cols>
  <sheetData>
    <row r="1" spans="1:6" ht="15.75" x14ac:dyDescent="0.25">
      <c r="A1" s="239" t="s">
        <v>341</v>
      </c>
      <c r="B1" s="239"/>
      <c r="C1" s="239"/>
      <c r="D1" s="239"/>
      <c r="E1" s="239"/>
      <c r="F1" s="239"/>
    </row>
    <row r="2" spans="1:6" ht="15.75" x14ac:dyDescent="0.25">
      <c r="A2" s="241"/>
      <c r="B2" s="251">
        <v>2022</v>
      </c>
      <c r="C2" s="252">
        <v>2023</v>
      </c>
      <c r="D2" s="252">
        <v>2024</v>
      </c>
      <c r="E2" s="252">
        <v>2025</v>
      </c>
      <c r="F2" s="252">
        <v>2026</v>
      </c>
    </row>
    <row r="3" spans="1:6" ht="15.75" x14ac:dyDescent="0.25">
      <c r="A3" s="243" t="s">
        <v>196</v>
      </c>
      <c r="B3" s="247">
        <f>FS!C6</f>
        <v>3266337.72</v>
      </c>
      <c r="C3" s="249">
        <f>FS!D6</f>
        <v>3494337.1416000002</v>
      </c>
      <c r="D3" s="249">
        <f>FS!E6</f>
        <v>3807554.6422079997</v>
      </c>
      <c r="E3" s="249">
        <f>FS!F6</f>
        <v>4153658.6160302404</v>
      </c>
      <c r="F3" s="249">
        <f>FS!G6</f>
        <v>4529421.181708172</v>
      </c>
    </row>
    <row r="4" spans="1:6" ht="15.75" x14ac:dyDescent="0.25">
      <c r="A4" s="243" t="s">
        <v>342</v>
      </c>
      <c r="B4" s="123">
        <f>Notes!B6</f>
        <v>4752324</v>
      </c>
      <c r="C4" s="177">
        <f>Notes!C6</f>
        <v>5132509.92</v>
      </c>
      <c r="D4" s="177">
        <f>Notes!D6</f>
        <v>5543110.7136000004</v>
      </c>
      <c r="E4" s="177">
        <f>Notes!E6</f>
        <v>5986559.5706880009</v>
      </c>
      <c r="F4" s="177">
        <f>Notes!F6</f>
        <v>6465484.3363430416</v>
      </c>
    </row>
    <row r="5" spans="1:6" ht="16.5" thickBot="1" x14ac:dyDescent="0.3">
      <c r="A5" s="242" t="s">
        <v>343</v>
      </c>
      <c r="B5" s="248">
        <f>B3/B4</f>
        <v>0.68731376901069885</v>
      </c>
      <c r="C5" s="250">
        <f>C3/C4</f>
        <v>0.68082423532851155</v>
      </c>
      <c r="D5" s="250">
        <f>D3/D4</f>
        <v>0.68689853747033758</v>
      </c>
      <c r="E5" s="250">
        <f>E3/E4</f>
        <v>0.69383066634261925</v>
      </c>
      <c r="F5" s="250">
        <f>F3/F4</f>
        <v>0.70055404144248057</v>
      </c>
    </row>
    <row r="6" spans="1:6" ht="16.5" thickTop="1" x14ac:dyDescent="0.25">
      <c r="A6" s="246"/>
      <c r="B6" s="246"/>
      <c r="C6" s="246"/>
      <c r="D6" s="246"/>
      <c r="E6" s="246"/>
      <c r="F6" s="246"/>
    </row>
    <row r="7" spans="1:6" ht="15.75" x14ac:dyDescent="0.25">
      <c r="A7" s="243" t="s">
        <v>344</v>
      </c>
      <c r="B7" s="253">
        <f>FS!C10</f>
        <v>-271340.80230158754</v>
      </c>
      <c r="C7" s="254">
        <f>FS!D10</f>
        <v>470361.65429841261</v>
      </c>
      <c r="D7" s="254">
        <f>FS!E10</f>
        <v>769694.59060641192</v>
      </c>
      <c r="E7" s="254">
        <f>FS!F10</f>
        <v>1034206.1088426528</v>
      </c>
      <c r="F7" s="254">
        <f>FS!G10</f>
        <v>1515367.9898228645</v>
      </c>
    </row>
    <row r="8" spans="1:6" ht="15.75" x14ac:dyDescent="0.25">
      <c r="A8" s="243" t="s">
        <v>342</v>
      </c>
      <c r="B8" s="255">
        <f>B4</f>
        <v>4752324</v>
      </c>
      <c r="C8" s="256">
        <f t="shared" ref="C8:F8" si="0">C4</f>
        <v>5132509.92</v>
      </c>
      <c r="D8" s="256">
        <f t="shared" si="0"/>
        <v>5543110.7136000004</v>
      </c>
      <c r="E8" s="256">
        <f t="shared" si="0"/>
        <v>5986559.5706880009</v>
      </c>
      <c r="F8" s="256">
        <f t="shared" si="0"/>
        <v>6465484.3363430416</v>
      </c>
    </row>
    <row r="9" spans="1:6" ht="16.5" thickBot="1" x14ac:dyDescent="0.3">
      <c r="A9" s="242" t="s">
        <v>345</v>
      </c>
      <c r="B9" s="248">
        <f>B7/B8</f>
        <v>-5.7096444245297154E-2</v>
      </c>
      <c r="C9" s="250">
        <f>C7/C8</f>
        <v>9.1643593803012582E-2</v>
      </c>
      <c r="D9" s="250">
        <f>D7/D8</f>
        <v>0.13885607385000795</v>
      </c>
      <c r="E9" s="250">
        <f>E7/E8</f>
        <v>0.17275466762352745</v>
      </c>
      <c r="F9" s="250">
        <f>F7/F8</f>
        <v>0.23437810858265501</v>
      </c>
    </row>
    <row r="10" spans="1:6" ht="16.5" thickTop="1" x14ac:dyDescent="0.25">
      <c r="A10" s="246"/>
      <c r="B10" s="246"/>
      <c r="C10" s="246"/>
      <c r="D10" s="246"/>
      <c r="E10" s="246"/>
      <c r="F10" s="246"/>
    </row>
    <row r="11" spans="1:6" ht="15.75" x14ac:dyDescent="0.25">
      <c r="A11" s="243" t="s">
        <v>204</v>
      </c>
      <c r="B11" s="253">
        <f>FS!C14</f>
        <v>-170944.70545000015</v>
      </c>
      <c r="C11" s="254">
        <f>FS!D14</f>
        <v>296327.84220799996</v>
      </c>
      <c r="D11" s="254">
        <f>FS!E14</f>
        <v>484907.59208203945</v>
      </c>
      <c r="E11" s="254">
        <f>FS!F14</f>
        <v>651549.84857087128</v>
      </c>
      <c r="F11" s="254">
        <f>FS!G14</f>
        <v>954681.8335884047</v>
      </c>
    </row>
    <row r="12" spans="1:6" ht="15.75" x14ac:dyDescent="0.25">
      <c r="A12" s="243" t="s">
        <v>342</v>
      </c>
      <c r="B12" s="255">
        <f>B8</f>
        <v>4752324</v>
      </c>
      <c r="C12" s="256">
        <f t="shared" ref="C12:F12" si="1">C8</f>
        <v>5132509.92</v>
      </c>
      <c r="D12" s="256">
        <f t="shared" si="1"/>
        <v>5543110.7136000004</v>
      </c>
      <c r="E12" s="256">
        <f t="shared" si="1"/>
        <v>5986559.5706880009</v>
      </c>
      <c r="F12" s="256">
        <f t="shared" si="1"/>
        <v>6465484.3363430416</v>
      </c>
    </row>
    <row r="13" spans="1:6" ht="16.5" thickBot="1" x14ac:dyDescent="0.3">
      <c r="A13" s="242" t="s">
        <v>346</v>
      </c>
      <c r="B13" s="248">
        <f>B11/B12</f>
        <v>-3.5970759874537205E-2</v>
      </c>
      <c r="C13" s="250">
        <f>C11/C12</f>
        <v>5.7735464095897929E-2</v>
      </c>
      <c r="D13" s="250">
        <f>D11/D12</f>
        <v>8.7479326525504997E-2</v>
      </c>
      <c r="E13" s="250">
        <f>E11/E12</f>
        <v>0.1088354406028223</v>
      </c>
      <c r="F13" s="250">
        <f>F11/F12</f>
        <v>0.14765820840707267</v>
      </c>
    </row>
    <row r="14" spans="1:6" ht="16.5" thickTop="1" x14ac:dyDescent="0.25">
      <c r="A14" s="246"/>
      <c r="B14" s="246"/>
      <c r="C14" s="246"/>
      <c r="D14" s="246"/>
      <c r="E14" s="246"/>
      <c r="F14" s="246"/>
    </row>
    <row r="15" spans="1:6" ht="15.75" x14ac:dyDescent="0.25">
      <c r="A15" s="243" t="s">
        <v>204</v>
      </c>
      <c r="B15" s="253">
        <f>B11</f>
        <v>-170944.70545000015</v>
      </c>
      <c r="C15" s="254">
        <f t="shared" ref="C15:F15" si="2">C11</f>
        <v>296327.84220799996</v>
      </c>
      <c r="D15" s="254">
        <f t="shared" si="2"/>
        <v>484907.59208203945</v>
      </c>
      <c r="E15" s="254">
        <f t="shared" si="2"/>
        <v>651549.84857087128</v>
      </c>
      <c r="F15" s="254">
        <f t="shared" si="2"/>
        <v>954681.8335884047</v>
      </c>
    </row>
    <row r="16" spans="1:6" ht="15.75" x14ac:dyDescent="0.25">
      <c r="A16" s="243" t="s">
        <v>347</v>
      </c>
      <c r="B16" s="253">
        <f>FS!C58</f>
        <v>1258189.4482162697</v>
      </c>
      <c r="C16" s="254">
        <f>(FS!C58+FS!D58)/2</f>
        <v>1462227.7220237697</v>
      </c>
      <c r="D16" s="254">
        <f>(FS!D58+FS!E58)/2</f>
        <v>1932481.6134726193</v>
      </c>
      <c r="E16" s="254">
        <f>(FS!E58+FS!F58)/2</f>
        <v>2545867.8929944718</v>
      </c>
      <c r="F16" s="254">
        <f>(FS!F58+FS!G58)/2</f>
        <v>3407653.5681178933</v>
      </c>
    </row>
    <row r="17" spans="1:6" ht="16.5" thickBot="1" x14ac:dyDescent="0.3">
      <c r="A17" s="242" t="s">
        <v>348</v>
      </c>
      <c r="B17" s="248">
        <f>B15/B16</f>
        <v>-0.13586563270924565</v>
      </c>
      <c r="C17" s="250">
        <f>C15/C16</f>
        <v>0.20265505690035254</v>
      </c>
      <c r="D17" s="250">
        <f>D15/D16</f>
        <v>0.25092481537802219</v>
      </c>
      <c r="E17" s="250">
        <f>E15/E16</f>
        <v>0.25592445325374397</v>
      </c>
      <c r="F17" s="250">
        <f>F15/F16</f>
        <v>0.28015812479309399</v>
      </c>
    </row>
    <row r="18" spans="1:6" ht="16.5" thickTop="1" x14ac:dyDescent="0.25">
      <c r="A18" s="246"/>
      <c r="B18" s="246"/>
      <c r="C18" s="246"/>
      <c r="D18" s="246"/>
      <c r="E18" s="246"/>
      <c r="F18" s="246"/>
    </row>
    <row r="19" spans="1:6" ht="15.75" x14ac:dyDescent="0.25">
      <c r="A19" s="243" t="s">
        <v>204</v>
      </c>
      <c r="B19" s="253">
        <f>B15</f>
        <v>-170944.70545000015</v>
      </c>
      <c r="C19" s="254">
        <f t="shared" ref="C19:F19" si="3">C15</f>
        <v>296327.84220799996</v>
      </c>
      <c r="D19" s="254">
        <f t="shared" si="3"/>
        <v>484907.59208203945</v>
      </c>
      <c r="E19" s="254">
        <f t="shared" si="3"/>
        <v>651549.84857087128</v>
      </c>
      <c r="F19" s="254">
        <f t="shared" si="3"/>
        <v>954681.8335884047</v>
      </c>
    </row>
    <row r="20" spans="1:6" ht="15.75" x14ac:dyDescent="0.25">
      <c r="A20" s="243" t="s">
        <v>349</v>
      </c>
      <c r="B20" s="253">
        <f>FS!C64</f>
        <v>1029055.2945499999</v>
      </c>
      <c r="C20" s="254">
        <f>FS!D64</f>
        <v>1325383.1367579999</v>
      </c>
      <c r="D20" s="254">
        <f>FS!E64</f>
        <v>1810290.7488400394</v>
      </c>
      <c r="E20" s="254">
        <f>FS!F64</f>
        <v>2461840.5974109108</v>
      </c>
      <c r="F20" s="254">
        <f>FS!G64</f>
        <v>3416522.4309993153</v>
      </c>
    </row>
    <row r="21" spans="1:6" ht="16.5" thickBot="1" x14ac:dyDescent="0.3">
      <c r="A21" s="242" t="s">
        <v>350</v>
      </c>
      <c r="B21" s="248">
        <f>B19/B20</f>
        <v>-0.1661180952620756</v>
      </c>
      <c r="C21" s="250">
        <f>C19/C20</f>
        <v>0.22357900443251685</v>
      </c>
      <c r="D21" s="250">
        <f>D19/D20</f>
        <v>0.26786171911487061</v>
      </c>
      <c r="E21" s="250">
        <f>E19/E20</f>
        <v>0.26465964094348704</v>
      </c>
      <c r="F21" s="250">
        <f>F19/F20</f>
        <v>0.27943086950819906</v>
      </c>
    </row>
    <row r="22" spans="1:6" ht="16.5" thickTop="1" x14ac:dyDescent="0.25">
      <c r="A22" s="246"/>
      <c r="B22" s="246"/>
      <c r="C22" s="246"/>
      <c r="D22" s="246"/>
      <c r="E22" s="246"/>
      <c r="F22" s="246"/>
    </row>
    <row r="23" spans="1:6" ht="15.75" x14ac:dyDescent="0.25">
      <c r="A23" s="243" t="s">
        <v>208</v>
      </c>
      <c r="B23" s="253">
        <f>B19</f>
        <v>-170944.70545000015</v>
      </c>
      <c r="C23" s="254">
        <f t="shared" ref="C23:F23" si="4">C19</f>
        <v>296327.84220799996</v>
      </c>
      <c r="D23" s="254">
        <f t="shared" si="4"/>
        <v>484907.59208203945</v>
      </c>
      <c r="E23" s="254">
        <f t="shared" si="4"/>
        <v>651549.84857087128</v>
      </c>
      <c r="F23" s="254">
        <f t="shared" si="4"/>
        <v>954681.8335884047</v>
      </c>
    </row>
    <row r="24" spans="1:6" ht="15.75" x14ac:dyDescent="0.25">
      <c r="A24" s="243" t="s">
        <v>351</v>
      </c>
      <c r="B24" s="253">
        <f>FS!C58</f>
        <v>1258189.4482162697</v>
      </c>
      <c r="C24" s="254">
        <f>FS!D58</f>
        <v>1666265.9958312698</v>
      </c>
      <c r="D24" s="254">
        <f>FS!E58</f>
        <v>2198697.2311139689</v>
      </c>
      <c r="E24" s="254">
        <f>FS!F58</f>
        <v>2893038.5548749752</v>
      </c>
      <c r="F24" s="254">
        <f>FS!G58</f>
        <v>3922268.5813608109</v>
      </c>
    </row>
    <row r="25" spans="1:6" ht="16.5" thickBot="1" x14ac:dyDescent="0.3">
      <c r="A25" s="242" t="s">
        <v>352</v>
      </c>
      <c r="B25" s="248">
        <f>B23/B24</f>
        <v>-0.13586563270924565</v>
      </c>
      <c r="C25" s="250">
        <f>C23/C24</f>
        <v>0.17783945837541226</v>
      </c>
      <c r="D25" s="250">
        <f>D23/D24</f>
        <v>0.22054314037424846</v>
      </c>
      <c r="E25" s="250">
        <f>E23/E24</f>
        <v>0.2252129849679893</v>
      </c>
      <c r="F25" s="250">
        <f>F23/F24</f>
        <v>0.24340042345014087</v>
      </c>
    </row>
    <row r="26" spans="1:6" ht="16.5" thickTop="1" x14ac:dyDescent="0.25">
      <c r="A26" s="241"/>
      <c r="B26" s="241"/>
      <c r="C26" s="241"/>
      <c r="D26" s="241"/>
      <c r="E26" s="241"/>
      <c r="F26" s="241"/>
    </row>
    <row r="27" spans="1:6" ht="15.75" x14ac:dyDescent="0.25">
      <c r="A27" s="241"/>
      <c r="B27" s="241"/>
      <c r="C27" s="241"/>
      <c r="D27" s="241"/>
      <c r="E27" s="241"/>
      <c r="F27" s="241"/>
    </row>
    <row r="28" spans="1:6" ht="15.75" x14ac:dyDescent="0.25">
      <c r="A28" s="241"/>
      <c r="B28" s="241"/>
      <c r="C28" s="241"/>
      <c r="D28" s="241"/>
      <c r="E28" s="241"/>
      <c r="F28" s="241"/>
    </row>
    <row r="29" spans="1:6" ht="15.75" x14ac:dyDescent="0.25">
      <c r="A29" s="245" t="s">
        <v>353</v>
      </c>
      <c r="B29" s="245"/>
      <c r="C29" s="245"/>
      <c r="D29" s="245"/>
      <c r="E29" s="245"/>
      <c r="F29" s="245"/>
    </row>
    <row r="30" spans="1:6" ht="15.75" x14ac:dyDescent="0.25">
      <c r="A30" s="241"/>
      <c r="B30" s="251">
        <v>2022</v>
      </c>
      <c r="C30" s="252">
        <v>2023</v>
      </c>
      <c r="D30" s="252">
        <v>2024</v>
      </c>
      <c r="E30" s="252">
        <v>2025</v>
      </c>
      <c r="F30" s="252">
        <v>2026</v>
      </c>
    </row>
    <row r="31" spans="1:6" ht="15.75" x14ac:dyDescent="0.25">
      <c r="A31" s="243" t="s">
        <v>215</v>
      </c>
      <c r="B31" s="247">
        <f>FS!C55</f>
        <v>928038.86051785701</v>
      </c>
      <c r="C31" s="249">
        <f>FS!D55</f>
        <v>1389351.3204344444</v>
      </c>
      <c r="D31" s="249">
        <f>FS!E55</f>
        <v>1975018.4680187309</v>
      </c>
      <c r="E31" s="249">
        <f>FS!F55</f>
        <v>2722595.7040813244</v>
      </c>
      <c r="F31" s="249">
        <f>FS!G55</f>
        <v>3805061.6428687475</v>
      </c>
    </row>
    <row r="32" spans="1:6" ht="15.75" x14ac:dyDescent="0.25">
      <c r="A32" s="243" t="s">
        <v>354</v>
      </c>
      <c r="B32" s="257">
        <f>FS!C62</f>
        <v>229134.15366626985</v>
      </c>
      <c r="C32" s="259">
        <f>FS!D62</f>
        <v>340882.85907326988</v>
      </c>
      <c r="D32" s="259">
        <f>FS!E62</f>
        <v>388406.48227392975</v>
      </c>
      <c r="E32" s="259">
        <f>FS!F62</f>
        <v>431197.9574640647</v>
      </c>
      <c r="F32" s="259">
        <f>FS!G62</f>
        <v>505746.15036149579</v>
      </c>
    </row>
    <row r="33" spans="1:6" ht="16.5" thickBot="1" x14ac:dyDescent="0.3">
      <c r="A33" s="242" t="s">
        <v>355</v>
      </c>
      <c r="B33" s="258">
        <f>B31/B32</f>
        <v>4.0501987402084563</v>
      </c>
      <c r="C33" s="260">
        <f>C31/C32</f>
        <v>4.0757441550788425</v>
      </c>
      <c r="D33" s="260">
        <f>D31/D32</f>
        <v>5.0849266378253137</v>
      </c>
      <c r="E33" s="260">
        <f>E31/E32</f>
        <v>6.3140273671361742</v>
      </c>
      <c r="F33" s="260">
        <f>F31/F32</f>
        <v>7.5236591324500965</v>
      </c>
    </row>
    <row r="34" spans="1:6" ht="16.5" thickTop="1" x14ac:dyDescent="0.25">
      <c r="A34" s="244"/>
      <c r="B34" s="244"/>
      <c r="C34" s="244"/>
      <c r="D34" s="244"/>
      <c r="E34" s="244"/>
      <c r="F34" s="244"/>
    </row>
    <row r="35" spans="1:6" ht="15.75" x14ac:dyDescent="0.25">
      <c r="A35" s="243" t="s">
        <v>356</v>
      </c>
      <c r="B35" s="253">
        <f>FS!C52</f>
        <v>802808.61051785701</v>
      </c>
      <c r="C35" s="254">
        <f>FS!D52</f>
        <v>1251381.3054344442</v>
      </c>
      <c r="D35" s="254">
        <f>FS!E52</f>
        <v>1830785.4787187309</v>
      </c>
      <c r="E35" s="254">
        <f>FS!F52</f>
        <v>2572523.6366953244</v>
      </c>
      <c r="F35" s="254">
        <f>FS!G52</f>
        <v>3648958.4283600273</v>
      </c>
    </row>
    <row r="36" spans="1:6" ht="15.75" x14ac:dyDescent="0.25">
      <c r="A36" s="243" t="s">
        <v>354</v>
      </c>
      <c r="B36" s="253">
        <f>B32</f>
        <v>229134.15366626985</v>
      </c>
      <c r="C36" s="254">
        <f t="shared" ref="C36:F36" si="5">C32</f>
        <v>340882.85907326988</v>
      </c>
      <c r="D36" s="254">
        <f t="shared" si="5"/>
        <v>388406.48227392975</v>
      </c>
      <c r="E36" s="254">
        <f t="shared" si="5"/>
        <v>431197.9574640647</v>
      </c>
      <c r="F36" s="254">
        <f t="shared" si="5"/>
        <v>505746.15036149579</v>
      </c>
    </row>
    <row r="37" spans="1:6" ht="16.5" thickBot="1" x14ac:dyDescent="0.3">
      <c r="A37" s="242" t="s">
        <v>357</v>
      </c>
      <c r="B37" s="261">
        <f>B35/B36</f>
        <v>3.5036619276196364</v>
      </c>
      <c r="C37" s="262">
        <f>C35/C36</f>
        <v>3.6710009674187529</v>
      </c>
      <c r="D37" s="262">
        <f>D35/D36</f>
        <v>4.713581163734391</v>
      </c>
      <c r="E37" s="262">
        <f>E35/E36</f>
        <v>5.9659921670888574</v>
      </c>
      <c r="F37" s="262">
        <f>F35/F36</f>
        <v>7.2149999080602694</v>
      </c>
    </row>
    <row r="38" spans="1:6" ht="16.5" thickTop="1" x14ac:dyDescent="0.25">
      <c r="A38" s="243"/>
      <c r="B38" s="241"/>
      <c r="C38" s="241"/>
      <c r="D38" s="241"/>
      <c r="E38" s="241"/>
      <c r="F38" s="241"/>
    </row>
    <row r="39" spans="1:6" ht="15.75" x14ac:dyDescent="0.25">
      <c r="A39" s="241"/>
      <c r="B39" s="241"/>
      <c r="C39" s="241"/>
      <c r="D39" s="241"/>
      <c r="E39" s="241"/>
      <c r="F39" s="241"/>
    </row>
    <row r="40" spans="1:6" ht="15.75" x14ac:dyDescent="0.25">
      <c r="A40" s="241"/>
      <c r="B40" s="241"/>
      <c r="C40" s="241"/>
      <c r="D40" s="241"/>
      <c r="E40" s="241"/>
      <c r="F40" s="241"/>
    </row>
    <row r="41" spans="1:6" ht="15.75" x14ac:dyDescent="0.25">
      <c r="A41" s="245" t="s">
        <v>358</v>
      </c>
      <c r="B41" s="245"/>
      <c r="C41" s="245"/>
      <c r="D41" s="245"/>
      <c r="E41" s="245"/>
      <c r="F41" s="245"/>
    </row>
    <row r="42" spans="1:6" ht="15.75" x14ac:dyDescent="0.25">
      <c r="A42" s="241"/>
      <c r="B42" s="251">
        <v>2022</v>
      </c>
      <c r="C42" s="252">
        <v>2023</v>
      </c>
      <c r="D42" s="252">
        <v>2024</v>
      </c>
      <c r="E42" s="252">
        <v>2025</v>
      </c>
      <c r="F42" s="252">
        <v>2026</v>
      </c>
    </row>
    <row r="43" spans="1:6" ht="15.75" x14ac:dyDescent="0.25">
      <c r="A43" s="243" t="s">
        <v>359</v>
      </c>
      <c r="B43" s="247">
        <f>B36</f>
        <v>229134.15366626985</v>
      </c>
      <c r="C43" s="249">
        <f t="shared" ref="C43:F43" si="6">C36</f>
        <v>340882.85907326988</v>
      </c>
      <c r="D43" s="249">
        <f t="shared" si="6"/>
        <v>388406.48227392975</v>
      </c>
      <c r="E43" s="249">
        <f t="shared" si="6"/>
        <v>431197.9574640647</v>
      </c>
      <c r="F43" s="249">
        <f t="shared" si="6"/>
        <v>505746.15036149579</v>
      </c>
    </row>
    <row r="44" spans="1:6" ht="15.75" x14ac:dyDescent="0.25">
      <c r="A44" s="243" t="s">
        <v>351</v>
      </c>
      <c r="B44" s="253">
        <f>B24</f>
        <v>1258189.4482162697</v>
      </c>
      <c r="C44" s="254">
        <f t="shared" ref="C44:F44" si="7">C24</f>
        <v>1666265.9958312698</v>
      </c>
      <c r="D44" s="254">
        <f t="shared" si="7"/>
        <v>2198697.2311139689</v>
      </c>
      <c r="E44" s="254">
        <f t="shared" si="7"/>
        <v>2893038.5548749752</v>
      </c>
      <c r="F44" s="254">
        <f t="shared" si="7"/>
        <v>3922268.5813608109</v>
      </c>
    </row>
    <row r="45" spans="1:6" ht="16.5" thickBot="1" x14ac:dyDescent="0.3">
      <c r="A45" s="242" t="s">
        <v>360</v>
      </c>
      <c r="B45" s="248">
        <f>B43/B44</f>
        <v>0.18211419114276664</v>
      </c>
      <c r="C45" s="250">
        <f>C43/C44</f>
        <v>0.20457889672243454</v>
      </c>
      <c r="D45" s="250">
        <f>D43/D44</f>
        <v>0.17665300923544794</v>
      </c>
      <c r="E45" s="250">
        <f>E43/E44</f>
        <v>0.1490467372919955</v>
      </c>
      <c r="F45" s="250">
        <f>F43/F44</f>
        <v>0.12894225366535958</v>
      </c>
    </row>
    <row r="46" spans="1:6" ht="16.5" thickTop="1" x14ac:dyDescent="0.25">
      <c r="A46" s="244"/>
      <c r="B46" s="244"/>
      <c r="C46" s="244"/>
      <c r="D46" s="244"/>
      <c r="E46" s="244"/>
      <c r="F46" s="244"/>
    </row>
    <row r="47" spans="1:6" ht="15.75" x14ac:dyDescent="0.25">
      <c r="A47" s="243" t="s">
        <v>359</v>
      </c>
      <c r="B47" s="253">
        <f>B43</f>
        <v>229134.15366626985</v>
      </c>
      <c r="C47" s="254">
        <f t="shared" ref="C47:F47" si="8">C43</f>
        <v>340882.85907326988</v>
      </c>
      <c r="D47" s="254">
        <f t="shared" si="8"/>
        <v>388406.48227392975</v>
      </c>
      <c r="E47" s="254">
        <f t="shared" si="8"/>
        <v>431197.9574640647</v>
      </c>
      <c r="F47" s="254">
        <f t="shared" si="8"/>
        <v>505746.15036149579</v>
      </c>
    </row>
    <row r="48" spans="1:6" ht="15.75" x14ac:dyDescent="0.25">
      <c r="A48" s="243" t="s">
        <v>361</v>
      </c>
      <c r="B48" s="253">
        <f>B20</f>
        <v>1029055.2945499999</v>
      </c>
      <c r="C48" s="254">
        <f t="shared" ref="C48:F48" si="9">C20</f>
        <v>1325383.1367579999</v>
      </c>
      <c r="D48" s="254">
        <f t="shared" si="9"/>
        <v>1810290.7488400394</v>
      </c>
      <c r="E48" s="254">
        <f t="shared" si="9"/>
        <v>2461840.5974109108</v>
      </c>
      <c r="F48" s="254">
        <f t="shared" si="9"/>
        <v>3416522.4309993153</v>
      </c>
    </row>
    <row r="49" spans="1:6" ht="16.5" thickBot="1" x14ac:dyDescent="0.3">
      <c r="A49" s="242" t="s">
        <v>362</v>
      </c>
      <c r="B49" s="248">
        <f>B47/B48</f>
        <v>0.22266456902733195</v>
      </c>
      <c r="C49" s="250">
        <f>C47/C48</f>
        <v>0.25719571165444161</v>
      </c>
      <c r="D49" s="250">
        <f>D47/D48</f>
        <v>0.21455475178382524</v>
      </c>
      <c r="E49" s="250">
        <f>E47/E48</f>
        <v>0.17515267150828148</v>
      </c>
      <c r="F49" s="250">
        <f>F47/F48</f>
        <v>0.14802951263327946</v>
      </c>
    </row>
    <row r="50" spans="1:6" ht="15.75" thickTop="1" x14ac:dyDescent="0.25"/>
  </sheetData>
  <mergeCells count="5">
    <mergeCell ref="A29:F29"/>
    <mergeCell ref="A34:F34"/>
    <mergeCell ref="A41:F41"/>
    <mergeCell ref="A46:F46"/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65DA-137C-410F-844F-06A2939810D9}">
  <dimension ref="A2:G16"/>
  <sheetViews>
    <sheetView showGridLines="0" workbookViewId="0">
      <selection activeCell="E29" sqref="E29"/>
    </sheetView>
  </sheetViews>
  <sheetFormatPr defaultRowHeight="15" x14ac:dyDescent="0.25"/>
  <cols>
    <col min="1" max="1" width="22.5703125" style="38" bestFit="1" customWidth="1"/>
    <col min="2" max="2" width="10.7109375" style="38" bestFit="1" customWidth="1"/>
    <col min="3" max="3" width="9.28515625" style="38" bestFit="1" customWidth="1"/>
    <col min="4" max="4" width="17.140625" style="38" customWidth="1"/>
    <col min="5" max="5" width="12.85546875" style="38" customWidth="1"/>
    <col min="6" max="6" width="15" style="38" customWidth="1"/>
    <col min="7" max="7" width="9.7109375" style="38" bestFit="1" customWidth="1"/>
    <col min="8" max="16384" width="9.140625" style="38"/>
  </cols>
  <sheetData>
    <row r="2" spans="1:7" ht="15.75" x14ac:dyDescent="0.25">
      <c r="A2" s="37" t="s">
        <v>25</v>
      </c>
    </row>
    <row r="3" spans="1:7" ht="15.75" x14ac:dyDescent="0.25">
      <c r="A3" s="37"/>
    </row>
    <row r="4" spans="1:7" ht="47.25" x14ac:dyDescent="0.25">
      <c r="A4" s="37" t="s">
        <v>32</v>
      </c>
      <c r="B4" s="39" t="s">
        <v>27</v>
      </c>
      <c r="C4" s="40" t="s">
        <v>28</v>
      </c>
      <c r="D4" s="41" t="s">
        <v>30</v>
      </c>
      <c r="E4" s="41" t="s">
        <v>29</v>
      </c>
      <c r="F4" s="41" t="s">
        <v>31</v>
      </c>
      <c r="G4" s="42" t="s">
        <v>33</v>
      </c>
    </row>
    <row r="5" spans="1:7" ht="15.75" x14ac:dyDescent="0.25">
      <c r="A5" s="43" t="s">
        <v>26</v>
      </c>
      <c r="B5" s="44">
        <v>40.35</v>
      </c>
      <c r="C5" s="45">
        <f>19.35/40.35</f>
        <v>0.47955390334572495</v>
      </c>
      <c r="D5" s="45">
        <f>B5*(1+C5)</f>
        <v>59.7</v>
      </c>
      <c r="E5" s="45">
        <f>D5*0.12</f>
        <v>7.1639999999999997</v>
      </c>
      <c r="F5" s="45">
        <f>D5+E5</f>
        <v>66.864000000000004</v>
      </c>
      <c r="G5" s="43">
        <v>70</v>
      </c>
    </row>
    <row r="6" spans="1:7" ht="15.75" x14ac:dyDescent="0.25">
      <c r="A6" s="43" t="s">
        <v>34</v>
      </c>
      <c r="B6" s="44">
        <v>115.78570000000001</v>
      </c>
      <c r="C6" s="45">
        <f>23.21/115.7857</f>
        <v>0.20045653306064565</v>
      </c>
      <c r="D6" s="45">
        <f>B6*(1+C6)</f>
        <v>138.9957</v>
      </c>
      <c r="E6" s="45">
        <f>D6*0.12</f>
        <v>16.679483999999999</v>
      </c>
      <c r="F6" s="45">
        <f>D6+E6</f>
        <v>155.675184</v>
      </c>
      <c r="G6" s="43">
        <v>160</v>
      </c>
    </row>
    <row r="7" spans="1:7" ht="15.75" x14ac:dyDescent="0.25">
      <c r="A7" s="37" t="s">
        <v>35</v>
      </c>
      <c r="B7" s="46">
        <v>23.25</v>
      </c>
      <c r="C7" s="47">
        <f>B7*0.05</f>
        <v>1.1625000000000001</v>
      </c>
      <c r="D7" s="47">
        <f>B7+C7</f>
        <v>24.412500000000001</v>
      </c>
      <c r="E7" s="47"/>
      <c r="F7" s="47"/>
      <c r="G7" s="37">
        <v>28</v>
      </c>
    </row>
    <row r="8" spans="1:7" ht="15.75" x14ac:dyDescent="0.25">
      <c r="A8" s="37" t="s">
        <v>38</v>
      </c>
      <c r="B8" s="46">
        <v>19.5</v>
      </c>
      <c r="C8" s="47">
        <f t="shared" ref="C8:C13" si="0">B8*0.05</f>
        <v>0.97500000000000009</v>
      </c>
      <c r="D8" s="47">
        <f t="shared" ref="D8:D13" si="1">B8+C8</f>
        <v>20.475000000000001</v>
      </c>
      <c r="E8" s="47"/>
      <c r="F8" s="47"/>
      <c r="G8" s="37">
        <v>22</v>
      </c>
    </row>
    <row r="9" spans="1:7" ht="15.75" x14ac:dyDescent="0.25">
      <c r="A9" s="37" t="s">
        <v>39</v>
      </c>
      <c r="B9" s="46">
        <v>33.875</v>
      </c>
      <c r="C9" s="47">
        <f t="shared" si="0"/>
        <v>1.6937500000000001</v>
      </c>
      <c r="D9" s="47">
        <f t="shared" si="1"/>
        <v>35.568750000000001</v>
      </c>
      <c r="E9" s="47"/>
      <c r="F9" s="47"/>
      <c r="G9" s="37">
        <v>40</v>
      </c>
    </row>
    <row r="10" spans="1:7" ht="15.75" x14ac:dyDescent="0.25">
      <c r="A10" s="37" t="s">
        <v>40</v>
      </c>
      <c r="B10" s="46">
        <v>33.875</v>
      </c>
      <c r="C10" s="47">
        <f t="shared" si="0"/>
        <v>1.6937500000000001</v>
      </c>
      <c r="D10" s="47">
        <f t="shared" si="1"/>
        <v>35.568750000000001</v>
      </c>
      <c r="E10" s="47"/>
      <c r="F10" s="47"/>
      <c r="G10" s="37">
        <v>40</v>
      </c>
    </row>
    <row r="11" spans="1:7" ht="15.75" x14ac:dyDescent="0.25">
      <c r="A11" s="37" t="s">
        <v>41</v>
      </c>
      <c r="B11" s="46">
        <v>33.875</v>
      </c>
      <c r="C11" s="47">
        <f t="shared" si="0"/>
        <v>1.6937500000000001</v>
      </c>
      <c r="D11" s="47">
        <f t="shared" si="1"/>
        <v>35.568750000000001</v>
      </c>
      <c r="E11" s="47"/>
      <c r="F11" s="47"/>
      <c r="G11" s="37">
        <v>40</v>
      </c>
    </row>
    <row r="12" spans="1:7" ht="15.75" x14ac:dyDescent="0.25">
      <c r="A12" s="37" t="s">
        <v>36</v>
      </c>
      <c r="B12" s="38">
        <v>9</v>
      </c>
      <c r="C12" s="47">
        <f t="shared" si="0"/>
        <v>0.45</v>
      </c>
      <c r="D12" s="47">
        <f t="shared" si="1"/>
        <v>9.4499999999999993</v>
      </c>
      <c r="E12" s="47"/>
      <c r="F12" s="47"/>
      <c r="G12" s="37">
        <v>12</v>
      </c>
    </row>
    <row r="13" spans="1:7" ht="15.75" x14ac:dyDescent="0.25">
      <c r="A13" s="37" t="s">
        <v>37</v>
      </c>
      <c r="B13" s="38">
        <v>30</v>
      </c>
      <c r="C13" s="47">
        <f t="shared" si="0"/>
        <v>1.5</v>
      </c>
      <c r="D13" s="47">
        <f t="shared" si="1"/>
        <v>31.5</v>
      </c>
      <c r="E13" s="47"/>
      <c r="F13" s="47"/>
      <c r="G13" s="37">
        <v>35</v>
      </c>
    </row>
    <row r="16" spans="1:7" x14ac:dyDescent="0.25">
      <c r="A16" s="38" t="s">
        <v>19</v>
      </c>
      <c r="B16" s="38">
        <f>SUM(B7:B13)</f>
        <v>183.375</v>
      </c>
      <c r="C16" s="38">
        <v>7</v>
      </c>
      <c r="D16" s="38">
        <f>B16/C16</f>
        <v>26.196428571428573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7BE4-BDC0-49BE-AD3F-47D7A8ABCB15}">
  <dimension ref="A1:H29"/>
  <sheetViews>
    <sheetView showGridLines="0" zoomScale="85" zoomScaleNormal="85" workbookViewId="0">
      <selection activeCell="B33" sqref="B33"/>
    </sheetView>
  </sheetViews>
  <sheetFormatPr defaultRowHeight="15" x14ac:dyDescent="0.25"/>
  <cols>
    <col min="1" max="1" width="24.85546875" customWidth="1"/>
    <col min="2" max="2" width="19.28515625" customWidth="1"/>
    <col min="3" max="3" width="15.28515625" bestFit="1" customWidth="1"/>
    <col min="4" max="4" width="19" customWidth="1"/>
    <col min="5" max="5" width="24.28515625" customWidth="1"/>
    <col min="6" max="6" width="23" customWidth="1"/>
    <col min="7" max="7" width="19.28515625" bestFit="1" customWidth="1"/>
    <col min="8" max="8" width="19.140625" customWidth="1"/>
  </cols>
  <sheetData>
    <row r="1" spans="1:8" x14ac:dyDescent="0.25">
      <c r="A1" s="263" t="s">
        <v>255</v>
      </c>
      <c r="B1" s="263"/>
      <c r="C1" s="263"/>
      <c r="D1" s="263"/>
      <c r="E1" s="263"/>
      <c r="F1" s="263"/>
    </row>
    <row r="2" spans="1:8" x14ac:dyDescent="0.25">
      <c r="A2" s="263"/>
      <c r="B2" s="263"/>
      <c r="C2" s="263"/>
      <c r="D2" s="263"/>
      <c r="E2" s="263"/>
      <c r="F2" s="263"/>
    </row>
    <row r="3" spans="1:8" ht="15.75" x14ac:dyDescent="0.25">
      <c r="A3" s="85" t="s">
        <v>256</v>
      </c>
      <c r="B3" s="85" t="s">
        <v>257</v>
      </c>
      <c r="C3" s="85" t="s">
        <v>258</v>
      </c>
      <c r="D3" s="85" t="s">
        <v>259</v>
      </c>
      <c r="E3" s="85" t="s">
        <v>260</v>
      </c>
      <c r="F3" s="85" t="s">
        <v>261</v>
      </c>
    </row>
    <row r="4" spans="1:8" ht="15.75" x14ac:dyDescent="0.25">
      <c r="A4" s="31" t="s">
        <v>269</v>
      </c>
      <c r="B4" s="86">
        <f>910.6*30</f>
        <v>27318</v>
      </c>
      <c r="C4" s="86">
        <v>1700</v>
      </c>
      <c r="D4" s="86">
        <f>B4*0.035</f>
        <v>956.13000000000011</v>
      </c>
      <c r="E4" s="86">
        <f>B4*0.02</f>
        <v>546.36</v>
      </c>
      <c r="F4" s="86">
        <f>C4+D4+E4</f>
        <v>3202.4900000000002</v>
      </c>
    </row>
    <row r="5" spans="1:8" ht="15.75" x14ac:dyDescent="0.25">
      <c r="A5" s="31" t="s">
        <v>270</v>
      </c>
      <c r="B5" s="91">
        <f>821*30</f>
        <v>24630</v>
      </c>
      <c r="C5" s="91">
        <v>1700</v>
      </c>
      <c r="D5" s="91">
        <f>B5*0.035</f>
        <v>862.05000000000007</v>
      </c>
      <c r="E5" s="91">
        <f>B5*0.02</f>
        <v>492.6</v>
      </c>
      <c r="F5" s="91">
        <f>C5+D5+E5</f>
        <v>3054.65</v>
      </c>
    </row>
    <row r="6" spans="1:8" ht="15.75" x14ac:dyDescent="0.25">
      <c r="A6" s="31" t="s">
        <v>272</v>
      </c>
      <c r="B6" s="91">
        <f>559.6*30</f>
        <v>16788</v>
      </c>
      <c r="C6" s="91">
        <v>1445</v>
      </c>
      <c r="D6" s="91">
        <f t="shared" ref="D6:D13" si="0">B6*0.035</f>
        <v>587.58000000000004</v>
      </c>
      <c r="E6" s="91">
        <f t="shared" ref="E6:E13" si="1">B6*0.02</f>
        <v>335.76</v>
      </c>
      <c r="F6" s="91">
        <f t="shared" ref="F6:F13" si="2">C6+D6+E6</f>
        <v>2368.34</v>
      </c>
    </row>
    <row r="7" spans="1:8" ht="15.75" x14ac:dyDescent="0.25">
      <c r="A7" s="31" t="s">
        <v>273</v>
      </c>
      <c r="B7" s="91">
        <f t="shared" ref="B7:B10" si="3">559.6*30</f>
        <v>16788</v>
      </c>
      <c r="C7" s="91">
        <v>1445</v>
      </c>
      <c r="D7" s="91">
        <f t="shared" si="0"/>
        <v>587.58000000000004</v>
      </c>
      <c r="E7" s="91">
        <f t="shared" si="1"/>
        <v>335.76</v>
      </c>
      <c r="F7" s="91">
        <f t="shared" si="2"/>
        <v>2368.34</v>
      </c>
    </row>
    <row r="8" spans="1:8" ht="15.75" x14ac:dyDescent="0.25">
      <c r="A8" s="31" t="s">
        <v>274</v>
      </c>
      <c r="B8" s="91">
        <f t="shared" si="3"/>
        <v>16788</v>
      </c>
      <c r="C8" s="91">
        <v>1445</v>
      </c>
      <c r="D8" s="91">
        <f t="shared" si="0"/>
        <v>587.58000000000004</v>
      </c>
      <c r="E8" s="91">
        <f t="shared" si="1"/>
        <v>335.76</v>
      </c>
      <c r="F8" s="91">
        <f t="shared" si="2"/>
        <v>2368.34</v>
      </c>
    </row>
    <row r="9" spans="1:8" ht="15.75" x14ac:dyDescent="0.25">
      <c r="A9" s="31" t="s">
        <v>275</v>
      </c>
      <c r="B9" s="91">
        <f t="shared" si="3"/>
        <v>16788</v>
      </c>
      <c r="C9" s="91">
        <v>1445</v>
      </c>
      <c r="D9" s="91">
        <f t="shared" si="0"/>
        <v>587.58000000000004</v>
      </c>
      <c r="E9" s="91">
        <f t="shared" si="1"/>
        <v>335.76</v>
      </c>
      <c r="F9" s="91">
        <f t="shared" si="2"/>
        <v>2368.34</v>
      </c>
    </row>
    <row r="10" spans="1:8" ht="15.75" x14ac:dyDescent="0.25">
      <c r="A10" s="31" t="s">
        <v>276</v>
      </c>
      <c r="B10" s="91">
        <f t="shared" si="3"/>
        <v>16788</v>
      </c>
      <c r="C10" s="91">
        <v>1445</v>
      </c>
      <c r="D10" s="91">
        <f t="shared" si="0"/>
        <v>587.58000000000004</v>
      </c>
      <c r="E10" s="91">
        <f t="shared" si="1"/>
        <v>335.76</v>
      </c>
      <c r="F10" s="91">
        <f t="shared" si="2"/>
        <v>2368.34</v>
      </c>
    </row>
    <row r="11" spans="1:8" ht="15.75" x14ac:dyDescent="0.25">
      <c r="A11" s="31" t="s">
        <v>262</v>
      </c>
      <c r="B11" s="91">
        <f>537*30</f>
        <v>16110</v>
      </c>
      <c r="C11" s="91">
        <v>1360</v>
      </c>
      <c r="D11" s="91">
        <f t="shared" si="0"/>
        <v>563.85</v>
      </c>
      <c r="E11" s="91">
        <f t="shared" si="1"/>
        <v>322.2</v>
      </c>
      <c r="F11" s="91">
        <f t="shared" si="2"/>
        <v>2246.0499999999997</v>
      </c>
    </row>
    <row r="12" spans="1:8" ht="15.75" x14ac:dyDescent="0.25">
      <c r="A12" s="31" t="s">
        <v>263</v>
      </c>
      <c r="B12" s="91">
        <f>537*30</f>
        <v>16110</v>
      </c>
      <c r="C12" s="91">
        <v>1360</v>
      </c>
      <c r="D12" s="91">
        <f t="shared" si="0"/>
        <v>563.85</v>
      </c>
      <c r="E12" s="91">
        <f t="shared" si="1"/>
        <v>322.2</v>
      </c>
      <c r="F12" s="91">
        <f t="shared" si="2"/>
        <v>2246.0499999999997</v>
      </c>
    </row>
    <row r="13" spans="1:8" ht="15.75" x14ac:dyDescent="0.25">
      <c r="A13" s="31" t="s">
        <v>271</v>
      </c>
      <c r="B13" s="91">
        <f>537*30</f>
        <v>16110</v>
      </c>
      <c r="C13" s="91">
        <v>1360</v>
      </c>
      <c r="D13" s="91">
        <f t="shared" si="0"/>
        <v>563.85</v>
      </c>
      <c r="E13" s="91">
        <f t="shared" si="1"/>
        <v>322.2</v>
      </c>
      <c r="F13" s="91">
        <f t="shared" si="2"/>
        <v>2246.0499999999997</v>
      </c>
    </row>
    <row r="14" spans="1:8" ht="15.75" x14ac:dyDescent="0.25">
      <c r="A14" s="2" t="s">
        <v>6</v>
      </c>
      <c r="B14" s="87">
        <f>SUM(B4:B13)</f>
        <v>184218</v>
      </c>
      <c r="C14" s="87">
        <f>SUM(C4:C13)</f>
        <v>14705</v>
      </c>
      <c r="D14" s="87">
        <f>SUM(D4:D13)</f>
        <v>6447.630000000001</v>
      </c>
      <c r="E14" s="87">
        <f>SUM(E4:E13)</f>
        <v>3684.3599999999997</v>
      </c>
      <c r="F14" s="87">
        <f>SUM(F4:F13)</f>
        <v>24836.989999999998</v>
      </c>
    </row>
    <row r="16" spans="1:8" x14ac:dyDescent="0.25">
      <c r="A16" s="263" t="s">
        <v>264</v>
      </c>
      <c r="B16" s="263"/>
      <c r="C16" s="263"/>
      <c r="D16" s="263"/>
      <c r="E16" s="263"/>
      <c r="F16" s="263"/>
      <c r="G16" s="263"/>
      <c r="H16" s="263"/>
    </row>
    <row r="17" spans="1:8" x14ac:dyDescent="0.25">
      <c r="A17" s="263"/>
      <c r="B17" s="263"/>
      <c r="C17" s="263"/>
      <c r="D17" s="263"/>
      <c r="E17" s="263"/>
      <c r="F17" s="263"/>
      <c r="G17" s="263"/>
      <c r="H17" s="263"/>
    </row>
    <row r="18" spans="1:8" ht="15.75" x14ac:dyDescent="0.25">
      <c r="A18" s="85" t="s">
        <v>256</v>
      </c>
      <c r="B18" s="85" t="s">
        <v>257</v>
      </c>
      <c r="C18" s="88" t="s">
        <v>258</v>
      </c>
      <c r="D18" s="85" t="s">
        <v>265</v>
      </c>
      <c r="E18" s="85" t="s">
        <v>260</v>
      </c>
      <c r="F18" s="85" t="s">
        <v>266</v>
      </c>
      <c r="G18" s="85" t="s">
        <v>267</v>
      </c>
      <c r="H18" s="85" t="s">
        <v>268</v>
      </c>
    </row>
    <row r="19" spans="1:8" ht="15.75" x14ac:dyDescent="0.25">
      <c r="A19" s="31" t="s">
        <v>269</v>
      </c>
      <c r="B19" s="86">
        <f>910.6*30</f>
        <v>27318</v>
      </c>
      <c r="C19" s="86">
        <v>900</v>
      </c>
      <c r="D19" s="86">
        <f>B19*0.035</f>
        <v>956.13000000000011</v>
      </c>
      <c r="E19" s="86">
        <f>B19*0.02</f>
        <v>546.36</v>
      </c>
      <c r="F19" s="86">
        <f>B19-C19-D19-E19</f>
        <v>24915.51</v>
      </c>
      <c r="G19" s="92">
        <f>(F19-20833)*0.2</f>
        <v>816.50199999999973</v>
      </c>
      <c r="H19" s="86">
        <f>F19</f>
        <v>24915.51</v>
      </c>
    </row>
    <row r="20" spans="1:8" ht="15.75" x14ac:dyDescent="0.25">
      <c r="A20" s="31" t="s">
        <v>270</v>
      </c>
      <c r="B20" s="91">
        <f>821*30</f>
        <v>24630</v>
      </c>
      <c r="C20" s="91">
        <v>900</v>
      </c>
      <c r="D20" s="91">
        <f t="shared" ref="D20:D28" si="4">B20*0.035</f>
        <v>862.05000000000007</v>
      </c>
      <c r="E20" s="91">
        <f t="shared" ref="E20:E28" si="5">B20*0.02</f>
        <v>492.6</v>
      </c>
      <c r="F20" s="91">
        <f>B20-C20-D20-E20</f>
        <v>22375.350000000002</v>
      </c>
      <c r="G20" s="92">
        <f t="shared" ref="G20" si="6">(F20-20833)*0.2</f>
        <v>308.47000000000048</v>
      </c>
      <c r="H20" s="91">
        <f>F20-G20</f>
        <v>22066.880000000001</v>
      </c>
    </row>
    <row r="21" spans="1:8" ht="15.75" x14ac:dyDescent="0.25">
      <c r="A21" s="31" t="s">
        <v>272</v>
      </c>
      <c r="B21" s="91">
        <f>559.6*30</f>
        <v>16788</v>
      </c>
      <c r="C21" s="91">
        <v>765</v>
      </c>
      <c r="D21" s="91">
        <f t="shared" si="4"/>
        <v>587.58000000000004</v>
      </c>
      <c r="E21" s="91">
        <f t="shared" si="5"/>
        <v>335.76</v>
      </c>
      <c r="F21" s="91">
        <f t="shared" ref="F21:F28" si="7">B21-C21-D21-E21</f>
        <v>15099.66</v>
      </c>
      <c r="G21" s="93"/>
      <c r="H21" s="91">
        <f t="shared" ref="H21:H28" si="8">F21-G21</f>
        <v>15099.66</v>
      </c>
    </row>
    <row r="22" spans="1:8" ht="15.75" x14ac:dyDescent="0.25">
      <c r="A22" s="31" t="s">
        <v>273</v>
      </c>
      <c r="B22" s="91">
        <f t="shared" ref="B22:B25" si="9">559.6*30</f>
        <v>16788</v>
      </c>
      <c r="C22" s="91">
        <v>765</v>
      </c>
      <c r="D22" s="91">
        <f t="shared" si="4"/>
        <v>587.58000000000004</v>
      </c>
      <c r="E22" s="91">
        <f t="shared" si="5"/>
        <v>335.76</v>
      </c>
      <c r="F22" s="91">
        <f t="shared" si="7"/>
        <v>15099.66</v>
      </c>
      <c r="G22" s="93"/>
      <c r="H22" s="91">
        <f t="shared" si="8"/>
        <v>15099.66</v>
      </c>
    </row>
    <row r="23" spans="1:8" ht="15.75" x14ac:dyDescent="0.25">
      <c r="A23" s="31" t="s">
        <v>274</v>
      </c>
      <c r="B23" s="91">
        <f t="shared" si="9"/>
        <v>16788</v>
      </c>
      <c r="C23" s="91">
        <v>765</v>
      </c>
      <c r="D23" s="91">
        <f t="shared" si="4"/>
        <v>587.58000000000004</v>
      </c>
      <c r="E23" s="91">
        <f t="shared" si="5"/>
        <v>335.76</v>
      </c>
      <c r="F23" s="91">
        <f t="shared" si="7"/>
        <v>15099.66</v>
      </c>
      <c r="G23" s="93"/>
      <c r="H23" s="91">
        <f t="shared" si="8"/>
        <v>15099.66</v>
      </c>
    </row>
    <row r="24" spans="1:8" ht="15.75" x14ac:dyDescent="0.25">
      <c r="A24" s="31" t="s">
        <v>275</v>
      </c>
      <c r="B24" s="91">
        <f t="shared" si="9"/>
        <v>16788</v>
      </c>
      <c r="C24" s="91">
        <v>765</v>
      </c>
      <c r="D24" s="91">
        <f t="shared" si="4"/>
        <v>587.58000000000004</v>
      </c>
      <c r="E24" s="91">
        <f t="shared" si="5"/>
        <v>335.76</v>
      </c>
      <c r="F24" s="91">
        <f t="shared" si="7"/>
        <v>15099.66</v>
      </c>
      <c r="G24" s="93"/>
      <c r="H24" s="91">
        <f t="shared" si="8"/>
        <v>15099.66</v>
      </c>
    </row>
    <row r="25" spans="1:8" ht="15.75" x14ac:dyDescent="0.25">
      <c r="A25" s="31" t="s">
        <v>276</v>
      </c>
      <c r="B25" s="91">
        <f t="shared" si="9"/>
        <v>16788</v>
      </c>
      <c r="C25" s="91">
        <v>765</v>
      </c>
      <c r="D25" s="91">
        <f t="shared" si="4"/>
        <v>587.58000000000004</v>
      </c>
      <c r="E25" s="91">
        <f t="shared" si="5"/>
        <v>335.76</v>
      </c>
      <c r="F25" s="91">
        <f t="shared" si="7"/>
        <v>15099.66</v>
      </c>
      <c r="G25" s="93"/>
      <c r="H25" s="91">
        <f t="shared" si="8"/>
        <v>15099.66</v>
      </c>
    </row>
    <row r="26" spans="1:8" ht="15.75" x14ac:dyDescent="0.25">
      <c r="A26" s="31" t="s">
        <v>262</v>
      </c>
      <c r="B26" s="91">
        <f>537*30</f>
        <v>16110</v>
      </c>
      <c r="C26" s="91">
        <v>720</v>
      </c>
      <c r="D26" s="91">
        <f t="shared" si="4"/>
        <v>563.85</v>
      </c>
      <c r="E26" s="91">
        <f t="shared" si="5"/>
        <v>322.2</v>
      </c>
      <c r="F26" s="91">
        <f t="shared" si="7"/>
        <v>14503.949999999999</v>
      </c>
      <c r="G26" s="93"/>
      <c r="H26" s="91">
        <f t="shared" si="8"/>
        <v>14503.949999999999</v>
      </c>
    </row>
    <row r="27" spans="1:8" ht="15.75" x14ac:dyDescent="0.25">
      <c r="A27" s="31" t="s">
        <v>263</v>
      </c>
      <c r="B27" s="91">
        <f>537*30</f>
        <v>16110</v>
      </c>
      <c r="C27" s="91">
        <v>720</v>
      </c>
      <c r="D27" s="91">
        <f t="shared" si="4"/>
        <v>563.85</v>
      </c>
      <c r="E27" s="91">
        <f t="shared" si="5"/>
        <v>322.2</v>
      </c>
      <c r="F27" s="91">
        <f t="shared" si="7"/>
        <v>14503.949999999999</v>
      </c>
      <c r="G27" s="93"/>
      <c r="H27" s="91">
        <f t="shared" si="8"/>
        <v>14503.949999999999</v>
      </c>
    </row>
    <row r="28" spans="1:8" ht="15.75" x14ac:dyDescent="0.25">
      <c r="A28" s="31" t="s">
        <v>271</v>
      </c>
      <c r="B28" s="91">
        <f>537*30</f>
        <v>16110</v>
      </c>
      <c r="C28" s="91">
        <v>720</v>
      </c>
      <c r="D28" s="91">
        <f t="shared" si="4"/>
        <v>563.85</v>
      </c>
      <c r="E28" s="91">
        <f t="shared" si="5"/>
        <v>322.2</v>
      </c>
      <c r="F28" s="91">
        <f t="shared" si="7"/>
        <v>14503.949999999999</v>
      </c>
      <c r="G28" s="93"/>
      <c r="H28" s="91">
        <f t="shared" si="8"/>
        <v>14503.949999999999</v>
      </c>
    </row>
    <row r="29" spans="1:8" ht="15.75" x14ac:dyDescent="0.25">
      <c r="A29" s="2" t="s">
        <v>6</v>
      </c>
      <c r="B29" s="87">
        <f>SUM(B19:B28)</f>
        <v>184218</v>
      </c>
      <c r="C29" s="87">
        <f>SUM(C19:C28)</f>
        <v>7785</v>
      </c>
      <c r="D29" s="87">
        <f>SUM(D19:D28)</f>
        <v>6447.630000000001</v>
      </c>
      <c r="E29" s="87">
        <f>SUM(E19:E28)</f>
        <v>3684.3599999999997</v>
      </c>
      <c r="F29" s="87">
        <f>SUM(F19:F28)</f>
        <v>166301.01000000004</v>
      </c>
      <c r="G29" s="87">
        <f>SUM(G19:G28)</f>
        <v>1124.9720000000002</v>
      </c>
      <c r="H29" s="87">
        <f>SUM(H19:H28)</f>
        <v>165992.54000000004</v>
      </c>
    </row>
  </sheetData>
  <mergeCells count="2">
    <mergeCell ref="A1:F2"/>
    <mergeCell ref="A16:H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D9A0-6679-472C-9492-D6E075EFD23F}">
  <dimension ref="A1:Q206"/>
  <sheetViews>
    <sheetView showGridLines="0" topLeftCell="A73" zoomScale="55" zoomScaleNormal="55" workbookViewId="0">
      <selection activeCell="E142" sqref="E142"/>
    </sheetView>
  </sheetViews>
  <sheetFormatPr defaultRowHeight="15" x14ac:dyDescent="0.2"/>
  <cols>
    <col min="1" max="1" width="26.85546875" style="18" bestFit="1" customWidth="1"/>
    <col min="2" max="2" width="20.42578125" style="18" bestFit="1" customWidth="1"/>
    <col min="3" max="3" width="19.85546875" style="18" bestFit="1" customWidth="1"/>
    <col min="4" max="4" width="21.140625" style="18" bestFit="1" customWidth="1"/>
    <col min="5" max="5" width="20.85546875" style="18" bestFit="1" customWidth="1"/>
    <col min="6" max="6" width="20.42578125" style="18" bestFit="1" customWidth="1"/>
    <col min="7" max="8" width="9.140625" style="18"/>
    <col min="9" max="9" width="19.28515625" style="18" customWidth="1"/>
    <col min="10" max="10" width="15.5703125" style="18" customWidth="1"/>
    <col min="11" max="12" width="17.140625" style="18" bestFit="1" customWidth="1"/>
    <col min="13" max="13" width="9.140625" style="18"/>
    <col min="14" max="14" width="18" style="18" bestFit="1" customWidth="1"/>
    <col min="15" max="15" width="15" style="18" bestFit="1" customWidth="1"/>
    <col min="16" max="16" width="12.42578125" style="18" bestFit="1" customWidth="1"/>
    <col min="17" max="17" width="17.140625" style="18" bestFit="1" customWidth="1"/>
    <col min="18" max="16384" width="9.140625" style="18"/>
  </cols>
  <sheetData>
    <row r="1" spans="1:9" ht="15.75" x14ac:dyDescent="0.25">
      <c r="A1" s="53" t="s">
        <v>55</v>
      </c>
      <c r="B1" s="53"/>
      <c r="C1" s="53"/>
      <c r="D1" s="53"/>
      <c r="E1" s="53"/>
      <c r="F1" s="53"/>
    </row>
    <row r="2" spans="1:9" ht="15.75" x14ac:dyDescent="0.25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2" t="s">
        <v>61</v>
      </c>
    </row>
    <row r="3" spans="1:9" ht="15.75" x14ac:dyDescent="0.25">
      <c r="A3" s="3" t="s">
        <v>62</v>
      </c>
      <c r="B3" s="4"/>
      <c r="C3" s="4"/>
      <c r="D3" s="4"/>
      <c r="E3" s="4"/>
      <c r="F3" s="5"/>
    </row>
    <row r="4" spans="1:9" x14ac:dyDescent="0.2">
      <c r="A4" s="29" t="s">
        <v>70</v>
      </c>
      <c r="B4" s="29">
        <v>37500</v>
      </c>
      <c r="C4" s="8">
        <v>6</v>
      </c>
      <c r="D4" s="7">
        <f>B4/C4/12</f>
        <v>520.83333333333337</v>
      </c>
      <c r="E4" s="7">
        <f>D4*12</f>
        <v>6250</v>
      </c>
      <c r="F4" s="6"/>
    </row>
    <row r="5" spans="1:9" x14ac:dyDescent="0.2">
      <c r="A5" s="29" t="s">
        <v>79</v>
      </c>
      <c r="B5" s="29">
        <v>12345</v>
      </c>
      <c r="C5" s="8">
        <v>7</v>
      </c>
      <c r="D5" s="6">
        <f>B5/C5/12</f>
        <v>146.96428571428572</v>
      </c>
      <c r="E5" s="6">
        <f>D5*12</f>
        <v>1763.5714285714287</v>
      </c>
      <c r="F5" s="6"/>
    </row>
    <row r="6" spans="1:9" x14ac:dyDescent="0.2">
      <c r="A6" s="29" t="s">
        <v>80</v>
      </c>
      <c r="B6" s="29">
        <v>15998</v>
      </c>
      <c r="C6" s="8">
        <v>8</v>
      </c>
      <c r="D6" s="6">
        <f>B6/C6/12</f>
        <v>166.64583333333334</v>
      </c>
      <c r="E6" s="6">
        <f>D6*12</f>
        <v>1999.75</v>
      </c>
      <c r="F6" s="6"/>
    </row>
    <row r="7" spans="1:9" x14ac:dyDescent="0.2">
      <c r="A7" s="29" t="s">
        <v>130</v>
      </c>
      <c r="B7" s="29">
        <v>16800</v>
      </c>
      <c r="C7" s="8">
        <v>6</v>
      </c>
      <c r="D7" s="6">
        <f t="shared" ref="D7:D15" si="0">B7/C7/12</f>
        <v>233.33333333333334</v>
      </c>
      <c r="E7" s="6">
        <f t="shared" ref="E7:E15" si="1">D7*12</f>
        <v>2800</v>
      </c>
      <c r="F7" s="6"/>
    </row>
    <row r="8" spans="1:9" x14ac:dyDescent="0.2">
      <c r="A8" s="29" t="s">
        <v>131</v>
      </c>
      <c r="B8" s="29">
        <v>12995</v>
      </c>
      <c r="C8" s="8">
        <v>7</v>
      </c>
      <c r="D8" s="6">
        <f t="shared" si="0"/>
        <v>154.70238095238093</v>
      </c>
      <c r="E8" s="6">
        <f t="shared" si="1"/>
        <v>1856.4285714285711</v>
      </c>
      <c r="F8" s="6"/>
    </row>
    <row r="9" spans="1:9" x14ac:dyDescent="0.2">
      <c r="A9" s="29" t="s">
        <v>132</v>
      </c>
      <c r="B9" s="29">
        <v>2591</v>
      </c>
      <c r="C9" s="8">
        <v>5</v>
      </c>
      <c r="D9" s="6">
        <f t="shared" si="0"/>
        <v>43.183333333333337</v>
      </c>
      <c r="E9" s="6">
        <f t="shared" si="1"/>
        <v>518.20000000000005</v>
      </c>
      <c r="F9" s="6"/>
    </row>
    <row r="10" spans="1:9" x14ac:dyDescent="0.2">
      <c r="A10" s="29" t="s">
        <v>133</v>
      </c>
      <c r="B10" s="29">
        <v>29995</v>
      </c>
      <c r="C10" s="8">
        <v>9</v>
      </c>
      <c r="D10" s="6">
        <f t="shared" si="0"/>
        <v>277.73148148148147</v>
      </c>
      <c r="E10" s="6">
        <f t="shared" si="1"/>
        <v>3332.7777777777774</v>
      </c>
      <c r="F10" s="6"/>
    </row>
    <row r="11" spans="1:9" x14ac:dyDescent="0.2">
      <c r="A11" s="29" t="s">
        <v>127</v>
      </c>
      <c r="B11" s="29">
        <v>57990</v>
      </c>
      <c r="C11" s="8">
        <v>8</v>
      </c>
      <c r="D11" s="6">
        <f t="shared" si="0"/>
        <v>604.0625</v>
      </c>
      <c r="E11" s="6">
        <f t="shared" si="1"/>
        <v>7248.75</v>
      </c>
      <c r="F11" s="6"/>
    </row>
    <row r="12" spans="1:9" x14ac:dyDescent="0.2">
      <c r="A12" s="29" t="s">
        <v>134</v>
      </c>
      <c r="B12" s="29">
        <v>8519</v>
      </c>
      <c r="C12" s="8">
        <v>6</v>
      </c>
      <c r="D12" s="6">
        <f t="shared" si="0"/>
        <v>118.31944444444444</v>
      </c>
      <c r="E12" s="6">
        <f t="shared" si="1"/>
        <v>1419.8333333333333</v>
      </c>
      <c r="F12" s="6"/>
    </row>
    <row r="13" spans="1:9" x14ac:dyDescent="0.2">
      <c r="A13" s="29" t="s">
        <v>136</v>
      </c>
      <c r="B13" s="29">
        <v>6439</v>
      </c>
      <c r="C13" s="8">
        <v>7</v>
      </c>
      <c r="D13" s="6">
        <f t="shared" si="0"/>
        <v>76.654761904761912</v>
      </c>
      <c r="E13" s="6">
        <f t="shared" si="1"/>
        <v>919.85714285714289</v>
      </c>
      <c r="F13" s="6"/>
      <c r="H13" s="18" t="s">
        <v>127</v>
      </c>
      <c r="I13" s="18">
        <v>57990</v>
      </c>
    </row>
    <row r="14" spans="1:9" x14ac:dyDescent="0.2">
      <c r="A14" s="29" t="s">
        <v>135</v>
      </c>
      <c r="B14" s="29">
        <v>475</v>
      </c>
      <c r="C14" s="8">
        <v>6</v>
      </c>
      <c r="D14" s="6">
        <f t="shared" si="0"/>
        <v>6.5972222222222223</v>
      </c>
      <c r="E14" s="6">
        <f t="shared" si="1"/>
        <v>79.166666666666671</v>
      </c>
      <c r="F14" s="6"/>
    </row>
    <row r="15" spans="1:9" x14ac:dyDescent="0.2">
      <c r="A15" s="29" t="s">
        <v>137</v>
      </c>
      <c r="B15" s="29">
        <v>3750</v>
      </c>
      <c r="C15" s="8">
        <v>9</v>
      </c>
      <c r="D15" s="6">
        <f t="shared" si="0"/>
        <v>34.722222222222221</v>
      </c>
      <c r="E15" s="6">
        <f t="shared" si="1"/>
        <v>416.66666666666663</v>
      </c>
      <c r="F15" s="6"/>
    </row>
    <row r="16" spans="1:9" ht="15.75" x14ac:dyDescent="0.25">
      <c r="A16" s="9" t="s">
        <v>63</v>
      </c>
      <c r="B16" s="10">
        <f>SUM(B4:B15)</f>
        <v>205397</v>
      </c>
      <c r="C16" s="10"/>
      <c r="D16" s="11">
        <f>SUM(D4:D15)</f>
        <v>2383.7501322751323</v>
      </c>
      <c r="E16" s="11">
        <f>SUM(E4:E15)</f>
        <v>28605.001587301587</v>
      </c>
      <c r="F16" s="12">
        <f>B16-E16</f>
        <v>176791.99841269842</v>
      </c>
    </row>
    <row r="17" spans="1:6" ht="15.75" customHeight="1" x14ac:dyDescent="0.25">
      <c r="A17" s="54" t="s">
        <v>150</v>
      </c>
      <c r="B17" s="54"/>
      <c r="C17" s="54"/>
      <c r="D17" s="54"/>
      <c r="E17" s="54"/>
      <c r="F17" s="54"/>
    </row>
    <row r="18" spans="1:6" x14ac:dyDescent="0.2">
      <c r="A18" s="29" t="s">
        <v>64</v>
      </c>
      <c r="B18" s="29">
        <v>5550</v>
      </c>
      <c r="C18" s="8">
        <v>6</v>
      </c>
      <c r="D18" s="6">
        <f t="shared" ref="D18:D24" si="2">B18/C18/12</f>
        <v>77.083333333333329</v>
      </c>
      <c r="E18" s="6">
        <f t="shared" ref="E18:E24" si="3">D18*12</f>
        <v>925</v>
      </c>
      <c r="F18" s="6"/>
    </row>
    <row r="19" spans="1:6" x14ac:dyDescent="0.2">
      <c r="A19" s="29" t="s">
        <v>65</v>
      </c>
      <c r="B19" s="29">
        <v>3750</v>
      </c>
      <c r="C19" s="8">
        <v>6</v>
      </c>
      <c r="D19" s="6">
        <f t="shared" si="2"/>
        <v>52.083333333333336</v>
      </c>
      <c r="E19" s="6">
        <f t="shared" si="3"/>
        <v>625</v>
      </c>
      <c r="F19" s="6"/>
    </row>
    <row r="20" spans="1:6" x14ac:dyDescent="0.2">
      <c r="A20" s="29" t="s">
        <v>66</v>
      </c>
      <c r="B20" s="29">
        <v>4350</v>
      </c>
      <c r="C20" s="8">
        <v>5</v>
      </c>
      <c r="D20" s="6">
        <f t="shared" si="2"/>
        <v>72.5</v>
      </c>
      <c r="E20" s="6">
        <f t="shared" si="3"/>
        <v>870</v>
      </c>
      <c r="F20" s="6"/>
    </row>
    <row r="21" spans="1:6" x14ac:dyDescent="0.2">
      <c r="A21" s="29" t="s">
        <v>67</v>
      </c>
      <c r="B21" s="29">
        <v>4350</v>
      </c>
      <c r="C21" s="8">
        <v>5</v>
      </c>
      <c r="D21" s="6">
        <f t="shared" si="2"/>
        <v>72.5</v>
      </c>
      <c r="E21" s="6">
        <f t="shared" si="3"/>
        <v>870</v>
      </c>
      <c r="F21" s="6"/>
    </row>
    <row r="22" spans="1:6" x14ac:dyDescent="0.2">
      <c r="A22" s="29" t="s">
        <v>68</v>
      </c>
      <c r="B22" s="29">
        <v>795</v>
      </c>
      <c r="C22" s="8">
        <v>7</v>
      </c>
      <c r="D22" s="6">
        <f t="shared" si="2"/>
        <v>9.4642857142857135</v>
      </c>
      <c r="E22" s="6">
        <f t="shared" si="3"/>
        <v>113.57142857142856</v>
      </c>
      <c r="F22" s="6"/>
    </row>
    <row r="23" spans="1:6" x14ac:dyDescent="0.2">
      <c r="A23" s="29" t="s">
        <v>69</v>
      </c>
      <c r="B23" s="29">
        <v>3600</v>
      </c>
      <c r="C23" s="8">
        <v>7</v>
      </c>
      <c r="D23" s="6">
        <f t="shared" si="2"/>
        <v>42.857142857142861</v>
      </c>
      <c r="E23" s="6">
        <f t="shared" si="3"/>
        <v>514.28571428571433</v>
      </c>
      <c r="F23" s="6"/>
    </row>
    <row r="24" spans="1:6" x14ac:dyDescent="0.2">
      <c r="A24" s="29" t="s">
        <v>106</v>
      </c>
      <c r="B24" s="29">
        <v>7000</v>
      </c>
      <c r="C24" s="8">
        <v>5</v>
      </c>
      <c r="D24" s="6">
        <f t="shared" si="2"/>
        <v>116.66666666666667</v>
      </c>
      <c r="E24" s="6">
        <f t="shared" si="3"/>
        <v>1400</v>
      </c>
      <c r="F24" s="6"/>
    </row>
    <row r="25" spans="1:6" ht="15.75" x14ac:dyDescent="0.25">
      <c r="A25" s="9" t="s">
        <v>63</v>
      </c>
      <c r="B25" s="11">
        <f>SUM(B18:B24)</f>
        <v>29395</v>
      </c>
      <c r="C25" s="11"/>
      <c r="D25" s="11">
        <f>SUM(D18:D24)</f>
        <v>443.15476190476187</v>
      </c>
      <c r="E25" s="11">
        <f>SUM(E18:E24)</f>
        <v>5317.8571428571431</v>
      </c>
      <c r="F25" s="12">
        <f>B25-E25</f>
        <v>24077.142857142855</v>
      </c>
    </row>
    <row r="26" spans="1:6" ht="15.75" x14ac:dyDescent="0.25">
      <c r="A26" s="55" t="s">
        <v>151</v>
      </c>
      <c r="B26" s="55"/>
      <c r="C26" s="55"/>
      <c r="D26" s="55"/>
      <c r="E26" s="55"/>
      <c r="F26" s="55"/>
    </row>
    <row r="27" spans="1:6" x14ac:dyDescent="0.2">
      <c r="A27" s="29" t="s">
        <v>86</v>
      </c>
      <c r="B27" s="29">
        <v>9598</v>
      </c>
      <c r="C27" s="8">
        <v>8</v>
      </c>
      <c r="D27" s="6">
        <f>B27/C27/12</f>
        <v>99.979166666666671</v>
      </c>
      <c r="E27" s="6">
        <f t="shared" ref="E27:E30" si="4">D27*12</f>
        <v>1199.75</v>
      </c>
      <c r="F27" s="6"/>
    </row>
    <row r="28" spans="1:6" x14ac:dyDescent="0.2">
      <c r="A28" s="29" t="s">
        <v>87</v>
      </c>
      <c r="B28" s="29">
        <v>30950</v>
      </c>
      <c r="C28" s="8">
        <v>10</v>
      </c>
      <c r="D28" s="6">
        <f>B28/C28/12</f>
        <v>257.91666666666669</v>
      </c>
      <c r="E28" s="6">
        <f t="shared" si="4"/>
        <v>3095</v>
      </c>
      <c r="F28" s="6"/>
    </row>
    <row r="29" spans="1:6" x14ac:dyDescent="0.2">
      <c r="A29" s="29" t="s">
        <v>96</v>
      </c>
      <c r="B29" s="29">
        <v>5799.5</v>
      </c>
      <c r="C29" s="8">
        <v>7</v>
      </c>
      <c r="D29" s="6">
        <f>B29/C29/12</f>
        <v>69.041666666666671</v>
      </c>
      <c r="E29" s="6">
        <f t="shared" si="4"/>
        <v>828.5</v>
      </c>
      <c r="F29" s="6"/>
    </row>
    <row r="30" spans="1:6" x14ac:dyDescent="0.2">
      <c r="A30" s="29" t="s">
        <v>97</v>
      </c>
      <c r="B30" s="29">
        <v>2495</v>
      </c>
      <c r="C30" s="8">
        <v>8</v>
      </c>
      <c r="D30" s="6">
        <f>B30/C30/12</f>
        <v>25.989583333333332</v>
      </c>
      <c r="E30" s="6">
        <f t="shared" si="4"/>
        <v>311.875</v>
      </c>
      <c r="F30" s="6"/>
    </row>
    <row r="31" spans="1:6" ht="15.75" x14ac:dyDescent="0.25">
      <c r="A31" s="9" t="s">
        <v>63</v>
      </c>
      <c r="B31" s="13">
        <f>SUM(B27:B30)</f>
        <v>48842.5</v>
      </c>
      <c r="C31" s="14"/>
      <c r="D31" s="15">
        <f>SUM(D27:D30)</f>
        <v>452.92708333333337</v>
      </c>
      <c r="E31" s="15">
        <f>SUM(E27:E30)</f>
        <v>5435.125</v>
      </c>
      <c r="F31" s="16">
        <f>B31-E31</f>
        <v>43407.375</v>
      </c>
    </row>
    <row r="32" spans="1:6" x14ac:dyDescent="0.2">
      <c r="A32" s="6" t="s">
        <v>152</v>
      </c>
      <c r="B32" s="6"/>
      <c r="C32" s="6"/>
      <c r="D32" s="6"/>
      <c r="E32" s="6"/>
      <c r="F32" s="6"/>
    </row>
    <row r="33" spans="1:17" x14ac:dyDescent="0.2">
      <c r="A33" s="29" t="s">
        <v>123</v>
      </c>
      <c r="B33" s="29">
        <v>40000</v>
      </c>
      <c r="C33" s="8">
        <v>8</v>
      </c>
      <c r="D33" s="6">
        <f>B33/C33/12</f>
        <v>416.66666666666669</v>
      </c>
      <c r="E33" s="6">
        <f t="shared" ref="E33:E38" si="5">D33*12</f>
        <v>5000</v>
      </c>
      <c r="F33" s="6"/>
    </row>
    <row r="34" spans="1:17" x14ac:dyDescent="0.2">
      <c r="A34" s="29" t="s">
        <v>124</v>
      </c>
      <c r="B34" s="29">
        <v>35000</v>
      </c>
      <c r="C34" s="8">
        <v>7</v>
      </c>
      <c r="D34" s="6">
        <f>B34/C34/12</f>
        <v>416.66666666666669</v>
      </c>
      <c r="E34" s="6">
        <f t="shared" si="5"/>
        <v>5000</v>
      </c>
      <c r="F34" s="6"/>
    </row>
    <row r="35" spans="1:17" x14ac:dyDescent="0.2">
      <c r="A35" s="29" t="s">
        <v>125</v>
      </c>
      <c r="B35" s="29">
        <v>2698</v>
      </c>
      <c r="C35" s="8">
        <v>6</v>
      </c>
      <c r="D35" s="6">
        <f>B35/C35/12</f>
        <v>37.472222222222221</v>
      </c>
      <c r="E35" s="6">
        <f t="shared" si="5"/>
        <v>449.66666666666663</v>
      </c>
      <c r="F35" s="6"/>
    </row>
    <row r="36" spans="1:17" x14ac:dyDescent="0.2">
      <c r="A36" s="29" t="s">
        <v>126</v>
      </c>
      <c r="B36" s="29">
        <v>3100</v>
      </c>
      <c r="C36" s="8">
        <v>8</v>
      </c>
      <c r="D36" s="6">
        <f t="shared" ref="D36:D38" si="6">B36/C36/12</f>
        <v>32.291666666666664</v>
      </c>
      <c r="E36" s="6">
        <f t="shared" si="5"/>
        <v>387.5</v>
      </c>
      <c r="F36" s="6"/>
    </row>
    <row r="37" spans="1:17" x14ac:dyDescent="0.2">
      <c r="A37" s="29" t="s">
        <v>128</v>
      </c>
      <c r="B37" s="29">
        <v>4599</v>
      </c>
      <c r="C37" s="8">
        <v>9</v>
      </c>
      <c r="D37" s="6">
        <f t="shared" si="6"/>
        <v>42.583333333333336</v>
      </c>
      <c r="E37" s="6">
        <f t="shared" si="5"/>
        <v>511</v>
      </c>
      <c r="F37" s="6"/>
    </row>
    <row r="38" spans="1:17" x14ac:dyDescent="0.2">
      <c r="A38" s="29" t="s">
        <v>129</v>
      </c>
      <c r="B38" s="29">
        <v>2355</v>
      </c>
      <c r="C38" s="8">
        <v>7</v>
      </c>
      <c r="D38" s="6">
        <f t="shared" si="6"/>
        <v>28.035714285714288</v>
      </c>
      <c r="E38" s="6">
        <f t="shared" si="5"/>
        <v>336.42857142857144</v>
      </c>
      <c r="F38" s="6"/>
    </row>
    <row r="39" spans="1:17" ht="15.75" x14ac:dyDescent="0.25">
      <c r="A39" s="9" t="s">
        <v>63</v>
      </c>
      <c r="B39" s="9">
        <f>SUM(B33:B38)</f>
        <v>87752</v>
      </c>
      <c r="C39" s="6"/>
      <c r="D39" s="9">
        <f>SUM(D33:D38)</f>
        <v>973.71626984126988</v>
      </c>
      <c r="E39" s="9">
        <f>SUM(E33:E38)</f>
        <v>11684.595238095237</v>
      </c>
      <c r="F39" s="9">
        <f>B39-E39</f>
        <v>76067.404761904763</v>
      </c>
    </row>
    <row r="40" spans="1:17" ht="15.75" x14ac:dyDescent="0.25">
      <c r="A40" s="9" t="s">
        <v>6</v>
      </c>
      <c r="B40" s="17">
        <f>B39+B31+B25+B16</f>
        <v>371386.5</v>
      </c>
      <c r="C40" s="6"/>
      <c r="D40" s="17">
        <f>D39+D31+D25+D16</f>
        <v>4253.548247354498</v>
      </c>
      <c r="E40" s="17">
        <f>E39+E31+E25+E16</f>
        <v>51042.578968253969</v>
      </c>
      <c r="F40" s="17">
        <f>F39+F31+F25+F16</f>
        <v>320343.92103174608</v>
      </c>
    </row>
    <row r="46" spans="1:17" ht="15.75" x14ac:dyDescent="0.25">
      <c r="A46" s="50" t="s">
        <v>11</v>
      </c>
      <c r="B46" s="50"/>
      <c r="C46" s="50"/>
      <c r="D46" s="50"/>
      <c r="E46" s="50"/>
      <c r="F46" s="50"/>
      <c r="I46" s="50" t="s">
        <v>21</v>
      </c>
      <c r="J46" s="50"/>
      <c r="K46" s="50"/>
      <c r="L46" s="50"/>
      <c r="N46" s="50" t="s">
        <v>15</v>
      </c>
      <c r="O46" s="50"/>
      <c r="P46" s="50"/>
      <c r="Q46" s="50"/>
    </row>
    <row r="47" spans="1:17" ht="15.75" x14ac:dyDescent="0.25">
      <c r="B47" s="19">
        <v>2022</v>
      </c>
      <c r="C47" s="19">
        <f>B47+1</f>
        <v>2023</v>
      </c>
      <c r="D47" s="19">
        <f>C47+1</f>
        <v>2024</v>
      </c>
      <c r="E47" s="19">
        <f>D47+1</f>
        <v>2025</v>
      </c>
      <c r="F47" s="19">
        <f>E47+1</f>
        <v>2026</v>
      </c>
      <c r="I47" s="20" t="s">
        <v>0</v>
      </c>
      <c r="J47" s="20" t="s">
        <v>4</v>
      </c>
      <c r="K47" s="20" t="s">
        <v>5</v>
      </c>
      <c r="L47" s="20" t="s">
        <v>6</v>
      </c>
      <c r="N47" s="20" t="s">
        <v>16</v>
      </c>
      <c r="O47" s="20" t="s">
        <v>4</v>
      </c>
      <c r="P47" s="20" t="s">
        <v>5</v>
      </c>
      <c r="Q47" s="20" t="s">
        <v>6</v>
      </c>
    </row>
    <row r="48" spans="1:17" x14ac:dyDescent="0.2">
      <c r="A48" s="18" t="s">
        <v>13</v>
      </c>
      <c r="B48" s="18">
        <f>L54</f>
        <v>2898000</v>
      </c>
      <c r="C48" s="18">
        <f>B48*(1+0.08)</f>
        <v>3129840</v>
      </c>
      <c r="D48" s="18">
        <f t="shared" ref="D48:F48" si="7">C48*(1+0.08)</f>
        <v>3380227.2</v>
      </c>
      <c r="E48" s="18">
        <f t="shared" si="7"/>
        <v>3650645.3760000006</v>
      </c>
      <c r="F48" s="18">
        <f t="shared" si="7"/>
        <v>3942697.0060800011</v>
      </c>
      <c r="I48" s="18" t="s">
        <v>1</v>
      </c>
      <c r="J48" s="18">
        <v>100</v>
      </c>
      <c r="K48" s="21">
        <v>28</v>
      </c>
      <c r="L48" s="18">
        <f>J48*K48</f>
        <v>2800</v>
      </c>
      <c r="N48" s="18" t="s">
        <v>17</v>
      </c>
      <c r="O48" s="18">
        <v>70</v>
      </c>
      <c r="P48" s="18">
        <v>15</v>
      </c>
      <c r="Q48" s="18">
        <f>O48*P48</f>
        <v>1050</v>
      </c>
    </row>
    <row r="49" spans="1:17" x14ac:dyDescent="0.2">
      <c r="A49" s="18" t="s">
        <v>12</v>
      </c>
      <c r="B49" s="22">
        <f>Q55</f>
        <v>1355184</v>
      </c>
      <c r="C49" s="22">
        <f>B49*(1+0.08)</f>
        <v>1463598.7200000002</v>
      </c>
      <c r="D49" s="22">
        <f t="shared" ref="D49:F49" si="8">C49*(1+0.08)</f>
        <v>1580686.6176000002</v>
      </c>
      <c r="E49" s="22">
        <f t="shared" si="8"/>
        <v>1707141.5470080003</v>
      </c>
      <c r="F49" s="22">
        <f t="shared" si="8"/>
        <v>1843712.8707686404</v>
      </c>
      <c r="I49" s="18" t="s">
        <v>2</v>
      </c>
      <c r="J49" s="18">
        <v>150</v>
      </c>
      <c r="K49" s="21">
        <v>35</v>
      </c>
      <c r="L49" s="22">
        <f>J49*K49</f>
        <v>5250</v>
      </c>
      <c r="N49" s="18" t="s">
        <v>18</v>
      </c>
      <c r="O49" s="18">
        <v>160</v>
      </c>
      <c r="P49" s="18">
        <v>15</v>
      </c>
      <c r="Q49" s="18">
        <f>O49*P49</f>
        <v>2400</v>
      </c>
    </row>
    <row r="50" spans="1:17" ht="15.75" x14ac:dyDescent="0.25">
      <c r="A50" s="18" t="s">
        <v>14</v>
      </c>
      <c r="B50" s="18">
        <f>B48+B49</f>
        <v>4253184</v>
      </c>
      <c r="C50" s="18">
        <f>C48+C49</f>
        <v>4593438.7200000007</v>
      </c>
      <c r="D50" s="18">
        <f t="shared" ref="D50:F50" si="9">D48+D49</f>
        <v>4960913.8176000006</v>
      </c>
      <c r="E50" s="18">
        <f t="shared" si="9"/>
        <v>5357786.9230080005</v>
      </c>
      <c r="F50" s="18">
        <f t="shared" si="9"/>
        <v>5786409.8768486418</v>
      </c>
      <c r="I50" s="18" t="s">
        <v>3</v>
      </c>
      <c r="K50" s="21">
        <f>K48+K49</f>
        <v>63</v>
      </c>
      <c r="L50" s="20">
        <f>L48+L49</f>
        <v>8050</v>
      </c>
      <c r="N50" s="18" t="s">
        <v>19</v>
      </c>
      <c r="O50" s="18">
        <v>26.2</v>
      </c>
      <c r="P50" s="18">
        <v>12</v>
      </c>
      <c r="Q50" s="22">
        <f>O50*P50</f>
        <v>314.39999999999998</v>
      </c>
    </row>
    <row r="51" spans="1:17" ht="15.75" x14ac:dyDescent="0.25">
      <c r="A51" s="18" t="s">
        <v>23</v>
      </c>
      <c r="B51" s="22">
        <f>B50-(B50/1.12)</f>
        <v>455698.28571428591</v>
      </c>
      <c r="C51" s="22">
        <f t="shared" ref="C51:F51" si="10">C50-(C50/1.12)</f>
        <v>492154.14857142884</v>
      </c>
      <c r="D51" s="22">
        <f t="shared" si="10"/>
        <v>531526.48045714293</v>
      </c>
      <c r="E51" s="22">
        <f t="shared" si="10"/>
        <v>574048.59889371507</v>
      </c>
      <c r="F51" s="22">
        <f t="shared" si="10"/>
        <v>619972.48680521175</v>
      </c>
      <c r="I51" s="18" t="s">
        <v>7</v>
      </c>
      <c r="L51" s="21">
        <v>30</v>
      </c>
      <c r="N51" s="20" t="s">
        <v>20</v>
      </c>
      <c r="Q51" s="20">
        <f>SUM(Q48:Q50)</f>
        <v>3764.4</v>
      </c>
    </row>
    <row r="52" spans="1:17" ht="15.75" x14ac:dyDescent="0.25">
      <c r="A52" s="20" t="s">
        <v>22</v>
      </c>
      <c r="B52" s="20">
        <f>B50-B51</f>
        <v>3797485.7142857141</v>
      </c>
      <c r="C52" s="20">
        <f t="shared" ref="C52:F52" si="11">C50-C51</f>
        <v>4101284.5714285718</v>
      </c>
      <c r="D52" s="20">
        <f t="shared" si="11"/>
        <v>4429387.3371428577</v>
      </c>
      <c r="E52" s="20">
        <f t="shared" si="11"/>
        <v>4783738.3241142854</v>
      </c>
      <c r="F52" s="20">
        <f t="shared" si="11"/>
        <v>5166437.39004343</v>
      </c>
      <c r="I52" s="18" t="s">
        <v>9</v>
      </c>
      <c r="L52" s="18">
        <f>L50*L51</f>
        <v>241500</v>
      </c>
      <c r="N52" s="18" t="s">
        <v>7</v>
      </c>
      <c r="Q52" s="23">
        <v>30</v>
      </c>
    </row>
    <row r="53" spans="1:17" x14ac:dyDescent="0.2">
      <c r="I53" s="18" t="s">
        <v>8</v>
      </c>
      <c r="L53" s="18">
        <v>12</v>
      </c>
      <c r="N53" s="18" t="s">
        <v>9</v>
      </c>
      <c r="Q53" s="18">
        <f>Q51*Q52</f>
        <v>112932</v>
      </c>
    </row>
    <row r="54" spans="1:17" ht="15.75" x14ac:dyDescent="0.25">
      <c r="I54" s="20" t="s">
        <v>10</v>
      </c>
      <c r="J54" s="20"/>
      <c r="K54" s="20"/>
      <c r="L54" s="20">
        <f>L52*L53</f>
        <v>2898000</v>
      </c>
      <c r="N54" s="18" t="s">
        <v>8</v>
      </c>
      <c r="Q54" s="22">
        <v>12</v>
      </c>
    </row>
    <row r="55" spans="1:17" ht="15.75" x14ac:dyDescent="0.25">
      <c r="N55" s="20" t="s">
        <v>10</v>
      </c>
      <c r="Q55" s="20">
        <f>Q53*Q54</f>
        <v>1355184</v>
      </c>
    </row>
    <row r="56" spans="1:17" ht="15.75" x14ac:dyDescent="0.25">
      <c r="B56" s="19">
        <v>2022</v>
      </c>
      <c r="C56" s="19">
        <f>B56+1</f>
        <v>2023</v>
      </c>
      <c r="D56" s="19">
        <f>C56+1</f>
        <v>2024</v>
      </c>
      <c r="E56" s="19">
        <f>D56+1</f>
        <v>2025</v>
      </c>
      <c r="F56" s="19">
        <f>E56+1</f>
        <v>2026</v>
      </c>
    </row>
    <row r="57" spans="1:17" ht="15.75" x14ac:dyDescent="0.25">
      <c r="A57" s="20" t="s">
        <v>24</v>
      </c>
      <c r="B57" s="18">
        <v>38346</v>
      </c>
      <c r="C57" s="18">
        <v>67569</v>
      </c>
      <c r="D57" s="18">
        <v>75609</v>
      </c>
      <c r="E57" s="18">
        <v>151240</v>
      </c>
      <c r="F57" s="18">
        <v>39760</v>
      </c>
    </row>
    <row r="58" spans="1:17" x14ac:dyDescent="0.2">
      <c r="I58" s="18">
        <v>4611501.25</v>
      </c>
      <c r="K58" s="18">
        <v>5315312.5</v>
      </c>
    </row>
    <row r="59" spans="1:17" ht="15.75" x14ac:dyDescent="0.25">
      <c r="I59" s="24">
        <f>B50/I58</f>
        <v>0.92229921871971732</v>
      </c>
      <c r="K59" s="18">
        <f>K58/C50</f>
        <v>1.1571532405247804</v>
      </c>
    </row>
    <row r="60" spans="1:17" ht="15.75" x14ac:dyDescent="0.25">
      <c r="A60" s="18" t="s">
        <v>43</v>
      </c>
      <c r="I60" s="25">
        <f>1-I59</f>
        <v>7.7700781280282682E-2</v>
      </c>
    </row>
    <row r="61" spans="1:17" ht="15.75" x14ac:dyDescent="0.25">
      <c r="B61" s="19">
        <v>2022</v>
      </c>
      <c r="C61" s="19">
        <f>B61+1</f>
        <v>2023</v>
      </c>
      <c r="D61" s="19">
        <f>C61+1</f>
        <v>2024</v>
      </c>
      <c r="E61" s="19">
        <f>D61+1</f>
        <v>2025</v>
      </c>
      <c r="F61" s="19">
        <f>E61+1</f>
        <v>2026</v>
      </c>
      <c r="I61" s="26">
        <f>I58/B50</f>
        <v>1.0842468254371314</v>
      </c>
    </row>
    <row r="62" spans="1:17" x14ac:dyDescent="0.2">
      <c r="A62" s="18" t="s">
        <v>42</v>
      </c>
      <c r="B62" s="18">
        <v>25000</v>
      </c>
      <c r="C62" s="18">
        <v>25000</v>
      </c>
      <c r="D62" s="18">
        <v>25000</v>
      </c>
      <c r="E62" s="18">
        <v>25000</v>
      </c>
      <c r="F62" s="18">
        <v>25000</v>
      </c>
    </row>
    <row r="63" spans="1:17" ht="15.75" x14ac:dyDescent="0.25">
      <c r="A63" s="18" t="s">
        <v>44</v>
      </c>
      <c r="B63" s="19">
        <v>12</v>
      </c>
      <c r="C63" s="19">
        <v>12</v>
      </c>
      <c r="D63" s="19">
        <v>12</v>
      </c>
      <c r="E63" s="19">
        <v>12</v>
      </c>
      <c r="F63" s="19">
        <v>12</v>
      </c>
    </row>
    <row r="64" spans="1:17" x14ac:dyDescent="0.2">
      <c r="A64" s="18" t="s">
        <v>45</v>
      </c>
      <c r="B64" s="18">
        <f>B62*B63</f>
        <v>300000</v>
      </c>
      <c r="C64" s="18">
        <f t="shared" ref="C64:F64" si="12">C62*C63</f>
        <v>300000</v>
      </c>
      <c r="D64" s="18">
        <f t="shared" si="12"/>
        <v>300000</v>
      </c>
      <c r="E64" s="18">
        <f t="shared" si="12"/>
        <v>300000</v>
      </c>
      <c r="F64" s="18">
        <f t="shared" si="12"/>
        <v>300000</v>
      </c>
    </row>
    <row r="65" spans="1:6" x14ac:dyDescent="0.2">
      <c r="A65" s="18" t="s">
        <v>47</v>
      </c>
      <c r="B65" s="27">
        <v>0.05</v>
      </c>
      <c r="C65" s="27">
        <v>0.05</v>
      </c>
      <c r="D65" s="27">
        <v>0.05</v>
      </c>
      <c r="E65" s="27">
        <v>0.05</v>
      </c>
      <c r="F65" s="27">
        <v>0.05</v>
      </c>
    </row>
    <row r="66" spans="1:6" ht="15.75" x14ac:dyDescent="0.25">
      <c r="A66" s="20" t="s">
        <v>46</v>
      </c>
      <c r="B66" s="20">
        <f>B64*(1-B65)</f>
        <v>285000</v>
      </c>
      <c r="C66" s="20">
        <f t="shared" ref="C66:F66" si="13">C64*(1-C65)</f>
        <v>285000</v>
      </c>
      <c r="D66" s="20">
        <f t="shared" si="13"/>
        <v>285000</v>
      </c>
      <c r="E66" s="20">
        <f t="shared" si="13"/>
        <v>285000</v>
      </c>
      <c r="F66" s="20">
        <f t="shared" si="13"/>
        <v>285000</v>
      </c>
    </row>
    <row r="69" spans="1:6" x14ac:dyDescent="0.2">
      <c r="A69" s="18" t="s">
        <v>48</v>
      </c>
      <c r="C69" s="18" t="s">
        <v>53</v>
      </c>
    </row>
    <row r="70" spans="1:6" ht="15.75" x14ac:dyDescent="0.25">
      <c r="B70" s="19">
        <v>2022</v>
      </c>
      <c r="C70" s="19">
        <f>B70+1</f>
        <v>2023</v>
      </c>
      <c r="D70" s="19">
        <f>C70+1</f>
        <v>2024</v>
      </c>
      <c r="E70" s="19">
        <f>D70+1</f>
        <v>2025</v>
      </c>
      <c r="F70" s="19">
        <f>E70+1</f>
        <v>2026</v>
      </c>
    </row>
    <row r="71" spans="1:6" x14ac:dyDescent="0.2">
      <c r="A71" s="18" t="s">
        <v>49</v>
      </c>
      <c r="B71" s="18">
        <v>15000</v>
      </c>
      <c r="C71" s="18">
        <f>B71*1.02</f>
        <v>15300</v>
      </c>
      <c r="D71" s="18">
        <f t="shared" ref="D71:F71" si="14">C71*1.02</f>
        <v>15606</v>
      </c>
      <c r="E71" s="18">
        <f t="shared" si="14"/>
        <v>15918.12</v>
      </c>
      <c r="F71" s="18">
        <f t="shared" si="14"/>
        <v>16236.482400000001</v>
      </c>
    </row>
    <row r="72" spans="1:6" x14ac:dyDescent="0.2">
      <c r="A72" s="18" t="s">
        <v>50</v>
      </c>
      <c r="B72" s="18">
        <v>5000</v>
      </c>
      <c r="C72" s="18">
        <f>B72*1.02</f>
        <v>5100</v>
      </c>
      <c r="D72" s="18">
        <f t="shared" ref="D72:F72" si="15">C72*1.02</f>
        <v>5202</v>
      </c>
      <c r="E72" s="18">
        <f t="shared" si="15"/>
        <v>5306.04</v>
      </c>
      <c r="F72" s="18">
        <f t="shared" si="15"/>
        <v>5412.1607999999997</v>
      </c>
    </row>
    <row r="73" spans="1:6" x14ac:dyDescent="0.2">
      <c r="A73" s="18" t="s">
        <v>51</v>
      </c>
      <c r="B73" s="18">
        <v>2999</v>
      </c>
      <c r="C73" s="18">
        <v>2999</v>
      </c>
      <c r="D73" s="18">
        <v>2999</v>
      </c>
      <c r="E73" s="18">
        <v>2999</v>
      </c>
      <c r="F73" s="18">
        <v>2999</v>
      </c>
    </row>
    <row r="74" spans="1:6" x14ac:dyDescent="0.2">
      <c r="A74" s="18" t="s">
        <v>52</v>
      </c>
      <c r="B74" s="18">
        <f>SUM(B71:B73)</f>
        <v>22999</v>
      </c>
      <c r="C74" s="18">
        <f t="shared" ref="C74:F74" si="16">SUM(C71:C73)</f>
        <v>23399</v>
      </c>
      <c r="D74" s="18">
        <f t="shared" si="16"/>
        <v>23807</v>
      </c>
      <c r="E74" s="18">
        <f t="shared" si="16"/>
        <v>24223.16</v>
      </c>
      <c r="F74" s="18">
        <f t="shared" si="16"/>
        <v>24647.643199999999</v>
      </c>
    </row>
    <row r="75" spans="1:6" ht="15.75" x14ac:dyDescent="0.25">
      <c r="A75" s="18" t="s">
        <v>44</v>
      </c>
      <c r="B75" s="19">
        <v>12</v>
      </c>
      <c r="C75" s="19">
        <v>12</v>
      </c>
      <c r="D75" s="19">
        <v>12</v>
      </c>
      <c r="E75" s="19">
        <v>12</v>
      </c>
      <c r="F75" s="19">
        <v>12</v>
      </c>
    </row>
    <row r="76" spans="1:6" x14ac:dyDescent="0.2">
      <c r="A76" s="18" t="s">
        <v>54</v>
      </c>
      <c r="B76" s="18">
        <f>B74*B75</f>
        <v>275988</v>
      </c>
      <c r="C76" s="18">
        <f t="shared" ref="C76:F76" si="17">C74*C75</f>
        <v>280788</v>
      </c>
      <c r="D76" s="18">
        <f t="shared" si="17"/>
        <v>285684</v>
      </c>
      <c r="E76" s="18">
        <f t="shared" si="17"/>
        <v>290677.92</v>
      </c>
      <c r="F76" s="18">
        <f t="shared" si="17"/>
        <v>295771.71840000001</v>
      </c>
    </row>
    <row r="82" spans="1:6" ht="15.75" x14ac:dyDescent="0.25">
      <c r="B82" s="19">
        <v>2022</v>
      </c>
      <c r="C82" s="19">
        <f>B82+1</f>
        <v>2023</v>
      </c>
      <c r="D82" s="19">
        <f>C82+1</f>
        <v>2024</v>
      </c>
      <c r="E82" s="19">
        <f>D82+1</f>
        <v>2025</v>
      </c>
      <c r="F82" s="19">
        <f>E82+1</f>
        <v>2026</v>
      </c>
    </row>
    <row r="84" spans="1:6" ht="15.75" x14ac:dyDescent="0.25">
      <c r="A84" s="20" t="s">
        <v>84</v>
      </c>
    </row>
    <row r="85" spans="1:6" x14ac:dyDescent="0.2">
      <c r="A85" s="18" t="s">
        <v>64</v>
      </c>
      <c r="B85" s="18">
        <v>9250</v>
      </c>
    </row>
    <row r="86" spans="1:6" x14ac:dyDescent="0.2">
      <c r="A86" s="18" t="s">
        <v>65</v>
      </c>
      <c r="B86" s="18">
        <v>6250</v>
      </c>
    </row>
    <row r="87" spans="1:6" x14ac:dyDescent="0.2">
      <c r="A87" s="18" t="s">
        <v>66</v>
      </c>
      <c r="B87" s="18">
        <v>7250</v>
      </c>
    </row>
    <row r="88" spans="1:6" x14ac:dyDescent="0.2">
      <c r="A88" s="18" t="s">
        <v>67</v>
      </c>
      <c r="B88" s="18">
        <v>7250</v>
      </c>
    </row>
    <row r="89" spans="1:6" x14ac:dyDescent="0.2">
      <c r="A89" s="18" t="s">
        <v>68</v>
      </c>
      <c r="B89" s="18">
        <v>795</v>
      </c>
    </row>
    <row r="90" spans="1:6" x14ac:dyDescent="0.2">
      <c r="A90" s="18" t="s">
        <v>69</v>
      </c>
      <c r="B90" s="18">
        <v>3600</v>
      </c>
    </row>
    <row r="91" spans="1:6" x14ac:dyDescent="0.2">
      <c r="A91" s="18" t="s">
        <v>106</v>
      </c>
      <c r="B91" s="18">
        <v>7000</v>
      </c>
    </row>
    <row r="92" spans="1:6" ht="15.75" x14ac:dyDescent="0.25">
      <c r="A92" s="20" t="s">
        <v>6</v>
      </c>
      <c r="B92" s="18">
        <f>SUM(B85:B91)</f>
        <v>41395</v>
      </c>
    </row>
    <row r="97" spans="1:2" ht="15.75" x14ac:dyDescent="0.25">
      <c r="A97" s="20" t="s">
        <v>188</v>
      </c>
    </row>
    <row r="98" spans="1:2" x14ac:dyDescent="0.2">
      <c r="A98" s="18" t="s">
        <v>70</v>
      </c>
      <c r="B98" s="18">
        <v>37500</v>
      </c>
    </row>
    <row r="99" spans="1:2" x14ac:dyDescent="0.2">
      <c r="A99" s="18" t="s">
        <v>79</v>
      </c>
      <c r="B99" s="18">
        <v>12345</v>
      </c>
    </row>
    <row r="100" spans="1:2" x14ac:dyDescent="0.2">
      <c r="A100" s="18" t="s">
        <v>80</v>
      </c>
      <c r="B100" s="18">
        <v>15998</v>
      </c>
    </row>
    <row r="101" spans="1:2" x14ac:dyDescent="0.2">
      <c r="A101" s="18" t="s">
        <v>130</v>
      </c>
      <c r="B101" s="18">
        <v>16800</v>
      </c>
    </row>
    <row r="102" spans="1:2" x14ac:dyDescent="0.2">
      <c r="A102" s="18" t="s">
        <v>131</v>
      </c>
      <c r="B102" s="18">
        <v>12995</v>
      </c>
    </row>
    <row r="103" spans="1:2" x14ac:dyDescent="0.2">
      <c r="A103" s="18" t="s">
        <v>132</v>
      </c>
      <c r="B103" s="18">
        <v>2591</v>
      </c>
    </row>
    <row r="104" spans="1:2" x14ac:dyDescent="0.2">
      <c r="A104" s="18" t="s">
        <v>133</v>
      </c>
      <c r="B104" s="18">
        <v>29995</v>
      </c>
    </row>
    <row r="105" spans="1:2" x14ac:dyDescent="0.2">
      <c r="A105" s="18" t="s">
        <v>127</v>
      </c>
      <c r="B105" s="18">
        <v>57990</v>
      </c>
    </row>
    <row r="106" spans="1:2" x14ac:dyDescent="0.2">
      <c r="A106" s="18" t="s">
        <v>134</v>
      </c>
      <c r="B106" s="18">
        <v>8519</v>
      </c>
    </row>
    <row r="107" spans="1:2" x14ac:dyDescent="0.2">
      <c r="A107" s="18" t="s">
        <v>136</v>
      </c>
      <c r="B107" s="18">
        <v>6439</v>
      </c>
    </row>
    <row r="108" spans="1:2" x14ac:dyDescent="0.2">
      <c r="A108" s="18" t="s">
        <v>135</v>
      </c>
      <c r="B108" s="18">
        <v>475</v>
      </c>
    </row>
    <row r="109" spans="1:2" x14ac:dyDescent="0.2">
      <c r="A109" s="18" t="s">
        <v>137</v>
      </c>
      <c r="B109" s="18">
        <v>3750</v>
      </c>
    </row>
    <row r="110" spans="1:2" ht="15.75" x14ac:dyDescent="0.25">
      <c r="A110" s="20" t="s">
        <v>6</v>
      </c>
      <c r="B110" s="18">
        <f>SUM(B98:B109)</f>
        <v>205397</v>
      </c>
    </row>
    <row r="113" spans="1:4" ht="15.75" x14ac:dyDescent="0.25">
      <c r="A113" s="20" t="s">
        <v>85</v>
      </c>
    </row>
    <row r="114" spans="1:4" x14ac:dyDescent="0.2">
      <c r="A114" s="18" t="s">
        <v>86</v>
      </c>
      <c r="B114" s="18">
        <v>9598</v>
      </c>
      <c r="D114" s="18">
        <v>9598</v>
      </c>
    </row>
    <row r="115" spans="1:4" x14ac:dyDescent="0.2">
      <c r="A115" s="18" t="s">
        <v>87</v>
      </c>
      <c r="B115" s="18">
        <v>30950</v>
      </c>
      <c r="D115" s="18">
        <v>30950</v>
      </c>
    </row>
    <row r="116" spans="1:4" x14ac:dyDescent="0.2">
      <c r="A116" s="18" t="s">
        <v>96</v>
      </c>
      <c r="B116" s="18">
        <v>5799.5</v>
      </c>
      <c r="D116" s="18">
        <v>5799.5</v>
      </c>
    </row>
    <row r="117" spans="1:4" x14ac:dyDescent="0.2">
      <c r="A117" s="18" t="s">
        <v>97</v>
      </c>
      <c r="B117" s="18">
        <v>2495</v>
      </c>
      <c r="D117" s="18">
        <v>2495</v>
      </c>
    </row>
    <row r="118" spans="1:4" ht="15.75" x14ac:dyDescent="0.25">
      <c r="A118" s="18" t="s">
        <v>6</v>
      </c>
      <c r="B118" s="20">
        <f>SUM(B114:B117)</f>
        <v>48842.5</v>
      </c>
      <c r="D118" s="20">
        <f>SUM(D114:D117)</f>
        <v>48842.5</v>
      </c>
    </row>
    <row r="120" spans="1:4" ht="15.75" x14ac:dyDescent="0.25">
      <c r="A120" s="20" t="s">
        <v>122</v>
      </c>
    </row>
    <row r="121" spans="1:4" x14ac:dyDescent="0.2">
      <c r="A121" s="18" t="s">
        <v>123</v>
      </c>
      <c r="B121" s="18">
        <v>40000</v>
      </c>
    </row>
    <row r="122" spans="1:4" x14ac:dyDescent="0.2">
      <c r="A122" s="18" t="s">
        <v>124</v>
      </c>
      <c r="B122" s="18">
        <v>35000</v>
      </c>
    </row>
    <row r="123" spans="1:4" x14ac:dyDescent="0.2">
      <c r="A123" s="18" t="s">
        <v>125</v>
      </c>
      <c r="B123" s="18">
        <v>2698</v>
      </c>
    </row>
    <row r="124" spans="1:4" x14ac:dyDescent="0.2">
      <c r="A124" s="18" t="s">
        <v>126</v>
      </c>
      <c r="B124" s="18">
        <v>3100</v>
      </c>
    </row>
    <row r="125" spans="1:4" x14ac:dyDescent="0.2">
      <c r="A125" s="18" t="s">
        <v>128</v>
      </c>
      <c r="B125" s="18">
        <v>4599</v>
      </c>
    </row>
    <row r="126" spans="1:4" x14ac:dyDescent="0.2">
      <c r="A126" s="18" t="s">
        <v>129</v>
      </c>
      <c r="B126" s="18">
        <v>2355</v>
      </c>
    </row>
    <row r="127" spans="1:4" ht="15.75" x14ac:dyDescent="0.25">
      <c r="A127" s="20" t="s">
        <v>6</v>
      </c>
      <c r="B127" s="20">
        <f>SUM(B121:B126)</f>
        <v>87752</v>
      </c>
    </row>
    <row r="131" spans="1:2" ht="15.75" x14ac:dyDescent="0.25">
      <c r="A131" s="20" t="s">
        <v>183</v>
      </c>
    </row>
    <row r="132" spans="1:2" x14ac:dyDescent="0.2">
      <c r="A132" s="18" t="s">
        <v>71</v>
      </c>
      <c r="B132" s="18">
        <v>1980</v>
      </c>
    </row>
    <row r="133" spans="1:2" x14ac:dyDescent="0.2">
      <c r="A133" s="18" t="s">
        <v>72</v>
      </c>
      <c r="B133" s="18">
        <v>485</v>
      </c>
    </row>
    <row r="134" spans="1:2" x14ac:dyDescent="0.2">
      <c r="A134" s="18" t="s">
        <v>73</v>
      </c>
      <c r="B134" s="18">
        <v>675</v>
      </c>
    </row>
    <row r="135" spans="1:2" x14ac:dyDescent="0.2">
      <c r="A135" s="18" t="s">
        <v>74</v>
      </c>
      <c r="B135" s="18">
        <v>253.75</v>
      </c>
    </row>
    <row r="136" spans="1:2" x14ac:dyDescent="0.2">
      <c r="A136" s="18" t="s">
        <v>75</v>
      </c>
      <c r="B136" s="18">
        <v>255</v>
      </c>
    </row>
    <row r="137" spans="1:2" x14ac:dyDescent="0.2">
      <c r="A137" s="18" t="s">
        <v>76</v>
      </c>
      <c r="B137" s="18">
        <v>300</v>
      </c>
    </row>
    <row r="138" spans="1:2" x14ac:dyDescent="0.2">
      <c r="A138" s="18" t="s">
        <v>77</v>
      </c>
      <c r="B138" s="18">
        <v>1190</v>
      </c>
    </row>
    <row r="139" spans="1:2" x14ac:dyDescent="0.2">
      <c r="A139" s="18" t="s">
        <v>78</v>
      </c>
      <c r="B139" s="18">
        <v>750</v>
      </c>
    </row>
    <row r="140" spans="1:2" x14ac:dyDescent="0.2">
      <c r="A140" s="18" t="s">
        <v>82</v>
      </c>
      <c r="B140" s="18">
        <v>1695</v>
      </c>
    </row>
    <row r="141" spans="1:2" x14ac:dyDescent="0.2">
      <c r="A141" s="18" t="s">
        <v>83</v>
      </c>
      <c r="B141" s="18">
        <v>3500</v>
      </c>
    </row>
    <row r="142" spans="1:2" x14ac:dyDescent="0.2">
      <c r="A142" s="18" t="s">
        <v>81</v>
      </c>
      <c r="B142" s="18">
        <v>1200</v>
      </c>
    </row>
    <row r="143" spans="1:2" ht="15.75" x14ac:dyDescent="0.25">
      <c r="A143" s="20" t="s">
        <v>6</v>
      </c>
      <c r="B143" s="20">
        <f>SUM(B132:B141)</f>
        <v>11083.75</v>
      </c>
    </row>
    <row r="144" spans="1:2" ht="15.75" x14ac:dyDescent="0.25">
      <c r="A144" s="20"/>
      <c r="B144" s="20"/>
    </row>
    <row r="145" spans="1:6" ht="15.75" customHeight="1" x14ac:dyDescent="0.25">
      <c r="A145" s="20" t="s">
        <v>101</v>
      </c>
    </row>
    <row r="146" spans="1:6" x14ac:dyDescent="0.2">
      <c r="A146" s="18" t="s">
        <v>88</v>
      </c>
      <c r="B146" s="18">
        <v>1375</v>
      </c>
      <c r="D146" s="18">
        <v>1375</v>
      </c>
    </row>
    <row r="147" spans="1:6" x14ac:dyDescent="0.2">
      <c r="A147" s="18" t="s">
        <v>89</v>
      </c>
      <c r="B147" s="18">
        <v>1998</v>
      </c>
      <c r="D147" s="18">
        <v>1998</v>
      </c>
    </row>
    <row r="148" spans="1:6" x14ac:dyDescent="0.2">
      <c r="A148" s="18" t="s">
        <v>90</v>
      </c>
      <c r="B148" s="18">
        <v>750</v>
      </c>
      <c r="D148" s="18">
        <v>750</v>
      </c>
    </row>
    <row r="149" spans="1:6" x14ac:dyDescent="0.2">
      <c r="A149" s="18" t="s">
        <v>91</v>
      </c>
      <c r="B149" s="18">
        <f>F149</f>
        <v>1797.5</v>
      </c>
      <c r="C149" s="18" t="s">
        <v>102</v>
      </c>
      <c r="D149" s="18">
        <v>8987.5</v>
      </c>
      <c r="E149" s="18">
        <f>D149/50</f>
        <v>179.75</v>
      </c>
      <c r="F149" s="18">
        <f>E149*10</f>
        <v>1797.5</v>
      </c>
    </row>
    <row r="150" spans="1:6" x14ac:dyDescent="0.2">
      <c r="A150" s="18" t="s">
        <v>92</v>
      </c>
      <c r="B150" s="18">
        <v>620</v>
      </c>
      <c r="C150" s="18" t="s">
        <v>103</v>
      </c>
      <c r="D150" s="18">
        <v>3100</v>
      </c>
      <c r="E150" s="18">
        <f>D150/50</f>
        <v>62</v>
      </c>
      <c r="F150" s="18">
        <f>E150*10</f>
        <v>620</v>
      </c>
    </row>
    <row r="151" spans="1:6" x14ac:dyDescent="0.2">
      <c r="A151" s="18" t="s">
        <v>93</v>
      </c>
      <c r="B151" s="18">
        <f>599*2</f>
        <v>1198</v>
      </c>
      <c r="C151" s="18" t="s">
        <v>105</v>
      </c>
      <c r="D151" s="18">
        <v>2396</v>
      </c>
    </row>
    <row r="152" spans="1:6" x14ac:dyDescent="0.2">
      <c r="A152" s="18" t="s">
        <v>94</v>
      </c>
      <c r="B152" s="18">
        <v>1497.5</v>
      </c>
      <c r="D152" s="18">
        <v>1497.5</v>
      </c>
    </row>
    <row r="153" spans="1:6" x14ac:dyDescent="0.2">
      <c r="A153" s="18" t="s">
        <v>95</v>
      </c>
      <c r="B153" s="18">
        <v>1095</v>
      </c>
      <c r="C153" s="18" t="s">
        <v>103</v>
      </c>
      <c r="D153" s="18">
        <v>5475</v>
      </c>
      <c r="E153" s="18">
        <f>D153/50</f>
        <v>109.5</v>
      </c>
      <c r="F153" s="18">
        <f>E153*10</f>
        <v>1095</v>
      </c>
    </row>
    <row r="154" spans="1:6" x14ac:dyDescent="0.2">
      <c r="A154" s="18" t="s">
        <v>98</v>
      </c>
      <c r="B154" s="18">
        <v>2865</v>
      </c>
      <c r="C154" s="18" t="s">
        <v>104</v>
      </c>
      <c r="D154" s="18">
        <v>5730</v>
      </c>
      <c r="E154" s="18">
        <f>D154/10</f>
        <v>573</v>
      </c>
      <c r="F154" s="18">
        <f>E154*5</f>
        <v>2865</v>
      </c>
    </row>
    <row r="155" spans="1:6" x14ac:dyDescent="0.2">
      <c r="A155" s="18" t="s">
        <v>99</v>
      </c>
      <c r="B155" s="18">
        <v>358</v>
      </c>
      <c r="D155" s="18">
        <v>358</v>
      </c>
    </row>
    <row r="156" spans="1:6" x14ac:dyDescent="0.2">
      <c r="A156" s="18" t="s">
        <v>100</v>
      </c>
      <c r="B156" s="18">
        <v>245</v>
      </c>
      <c r="D156" s="18">
        <v>245</v>
      </c>
    </row>
    <row r="157" spans="1:6" ht="15.75" x14ac:dyDescent="0.25">
      <c r="B157" s="20">
        <f>SUM(B146:B156)</f>
        <v>13799</v>
      </c>
      <c r="D157" s="20">
        <f>SUM(D146:D156)</f>
        <v>31912</v>
      </c>
    </row>
    <row r="160" spans="1:6" ht="15.75" x14ac:dyDescent="0.25">
      <c r="A160" s="20" t="s">
        <v>107</v>
      </c>
    </row>
    <row r="161" spans="1:5" x14ac:dyDescent="0.2">
      <c r="A161" s="18" t="s">
        <v>108</v>
      </c>
      <c r="B161" s="18">
        <f>((2520)/2)</f>
        <v>1260</v>
      </c>
      <c r="C161" s="28">
        <v>3</v>
      </c>
      <c r="D161" s="18">
        <v>6</v>
      </c>
      <c r="E161" s="18">
        <v>2520</v>
      </c>
    </row>
    <row r="162" spans="1:5" x14ac:dyDescent="0.2">
      <c r="A162" s="18" t="s">
        <v>109</v>
      </c>
      <c r="B162" s="18">
        <v>1410</v>
      </c>
      <c r="C162" s="28">
        <v>5</v>
      </c>
      <c r="D162" s="18">
        <v>5</v>
      </c>
      <c r="E162" s="18">
        <v>1410</v>
      </c>
    </row>
    <row r="163" spans="1:5" x14ac:dyDescent="0.2">
      <c r="A163" s="18" t="s">
        <v>110</v>
      </c>
      <c r="B163" s="18">
        <v>2100</v>
      </c>
      <c r="C163" s="28"/>
      <c r="D163" s="18">
        <v>6</v>
      </c>
      <c r="E163" s="18">
        <v>2100</v>
      </c>
    </row>
    <row r="164" spans="1:5" x14ac:dyDescent="0.2">
      <c r="A164" s="18" t="s">
        <v>111</v>
      </c>
      <c r="B164" s="18">
        <v>850</v>
      </c>
      <c r="C164" s="28"/>
      <c r="D164" s="18">
        <v>2</v>
      </c>
      <c r="E164" s="18">
        <v>850</v>
      </c>
    </row>
    <row r="165" spans="1:5" x14ac:dyDescent="0.2">
      <c r="A165" s="18" t="s">
        <v>112</v>
      </c>
      <c r="B165" s="18">
        <v>429</v>
      </c>
      <c r="C165" s="28"/>
      <c r="D165" s="18">
        <v>3</v>
      </c>
      <c r="E165" s="18">
        <v>429</v>
      </c>
    </row>
    <row r="166" spans="1:5" x14ac:dyDescent="0.2">
      <c r="A166" s="18" t="s">
        <v>113</v>
      </c>
      <c r="B166" s="18">
        <v>518</v>
      </c>
      <c r="C166" s="28"/>
      <c r="D166" s="18">
        <v>2</v>
      </c>
      <c r="E166" s="18">
        <v>518</v>
      </c>
    </row>
    <row r="167" spans="1:5" x14ac:dyDescent="0.2">
      <c r="A167" s="18" t="s">
        <v>114</v>
      </c>
      <c r="B167" s="18">
        <v>2088</v>
      </c>
      <c r="C167" s="28"/>
      <c r="D167" s="18">
        <v>3</v>
      </c>
      <c r="E167" s="18">
        <v>2088</v>
      </c>
    </row>
    <row r="168" spans="1:5" x14ac:dyDescent="0.2">
      <c r="A168" s="18" t="s">
        <v>115</v>
      </c>
      <c r="B168" s="18">
        <v>1575</v>
      </c>
      <c r="C168" s="28"/>
      <c r="D168" s="18" t="s">
        <v>121</v>
      </c>
      <c r="E168" s="18">
        <v>1575</v>
      </c>
    </row>
    <row r="169" spans="1:5" x14ac:dyDescent="0.2">
      <c r="A169" s="18" t="s">
        <v>116</v>
      </c>
      <c r="B169" s="18">
        <v>3012</v>
      </c>
      <c r="C169" s="28"/>
      <c r="D169" s="18">
        <v>2</v>
      </c>
      <c r="E169" s="18">
        <v>3012</v>
      </c>
    </row>
    <row r="170" spans="1:5" x14ac:dyDescent="0.2">
      <c r="A170" s="18" t="s">
        <v>117</v>
      </c>
      <c r="B170" s="18">
        <v>2397</v>
      </c>
      <c r="C170" s="28"/>
      <c r="D170" s="18">
        <v>3</v>
      </c>
      <c r="E170" s="18">
        <v>2397</v>
      </c>
    </row>
    <row r="171" spans="1:5" x14ac:dyDescent="0.2">
      <c r="A171" s="18" t="s">
        <v>120</v>
      </c>
      <c r="B171" s="18">
        <v>297</v>
      </c>
      <c r="C171" s="28"/>
      <c r="D171" s="18">
        <v>3</v>
      </c>
      <c r="E171" s="18">
        <v>297</v>
      </c>
    </row>
    <row r="172" spans="1:5" x14ac:dyDescent="0.2">
      <c r="A172" s="18" t="s">
        <v>118</v>
      </c>
      <c r="B172" s="18">
        <v>137.25</v>
      </c>
      <c r="C172" s="28"/>
      <c r="D172" s="18">
        <v>3</v>
      </c>
      <c r="E172" s="18">
        <v>137.25</v>
      </c>
    </row>
    <row r="173" spans="1:5" x14ac:dyDescent="0.2">
      <c r="A173" s="18" t="s">
        <v>119</v>
      </c>
      <c r="B173" s="18">
        <v>1800</v>
      </c>
      <c r="C173" s="28"/>
      <c r="D173" s="18">
        <v>4</v>
      </c>
      <c r="E173" s="18">
        <v>1800</v>
      </c>
    </row>
    <row r="174" spans="1:5" x14ac:dyDescent="0.2">
      <c r="A174" s="18" t="s">
        <v>138</v>
      </c>
      <c r="B174" s="18">
        <v>630</v>
      </c>
      <c r="C174" s="28"/>
    </row>
    <row r="175" spans="1:5" x14ac:dyDescent="0.2">
      <c r="C175" s="28"/>
    </row>
    <row r="176" spans="1:5" ht="15.75" x14ac:dyDescent="0.25">
      <c r="A176" s="20" t="s">
        <v>6</v>
      </c>
      <c r="B176" s="18">
        <f>SUM(B161:B174)</f>
        <v>18503.25</v>
      </c>
      <c r="C176" s="28"/>
      <c r="E176" s="18">
        <f>SUM(E161:E173)</f>
        <v>19133.25</v>
      </c>
    </row>
    <row r="178" spans="1:4" ht="15.75" x14ac:dyDescent="0.25">
      <c r="A178" s="20" t="s">
        <v>139</v>
      </c>
    </row>
    <row r="179" spans="1:4" x14ac:dyDescent="0.2">
      <c r="A179" s="18" t="s">
        <v>140</v>
      </c>
      <c r="B179" s="18">
        <v>975</v>
      </c>
    </row>
    <row r="180" spans="1:4" x14ac:dyDescent="0.2">
      <c r="A180" s="18" t="s">
        <v>141</v>
      </c>
      <c r="B180" s="18">
        <v>150</v>
      </c>
    </row>
    <row r="181" spans="1:4" x14ac:dyDescent="0.2">
      <c r="A181" s="18" t="s">
        <v>142</v>
      </c>
      <c r="B181" s="18">
        <v>785</v>
      </c>
    </row>
    <row r="182" spans="1:4" x14ac:dyDescent="0.2">
      <c r="A182" s="18" t="s">
        <v>143</v>
      </c>
      <c r="B182" s="18">
        <v>247.5</v>
      </c>
    </row>
    <row r="183" spans="1:4" x14ac:dyDescent="0.2">
      <c r="A183" s="18" t="s">
        <v>144</v>
      </c>
      <c r="B183" s="18">
        <v>180</v>
      </c>
    </row>
    <row r="184" spans="1:4" x14ac:dyDescent="0.2">
      <c r="A184" s="18" t="s">
        <v>145</v>
      </c>
      <c r="B184" s="18">
        <v>118.75</v>
      </c>
    </row>
    <row r="185" spans="1:4" x14ac:dyDescent="0.2">
      <c r="A185" s="18" t="s">
        <v>146</v>
      </c>
      <c r="B185" s="18">
        <v>349.5</v>
      </c>
    </row>
    <row r="186" spans="1:4" x14ac:dyDescent="0.2">
      <c r="A186" s="18" t="s">
        <v>147</v>
      </c>
      <c r="B186" s="18">
        <v>158</v>
      </c>
    </row>
    <row r="187" spans="1:4" x14ac:dyDescent="0.2">
      <c r="A187" s="18" t="s">
        <v>148</v>
      </c>
      <c r="B187" s="18">
        <v>148.5</v>
      </c>
    </row>
    <row r="188" spans="1:4" ht="15.75" x14ac:dyDescent="0.25">
      <c r="A188" s="20" t="s">
        <v>6</v>
      </c>
      <c r="B188" s="20">
        <f>SUM(B179:B187)</f>
        <v>3112.25</v>
      </c>
    </row>
    <row r="191" spans="1:4" ht="15.75" x14ac:dyDescent="0.25">
      <c r="A191" s="20" t="s">
        <v>149</v>
      </c>
    </row>
    <row r="192" spans="1:4" x14ac:dyDescent="0.2">
      <c r="A192" s="31" t="s">
        <v>161</v>
      </c>
      <c r="B192" s="6">
        <v>23.25</v>
      </c>
      <c r="C192" s="18">
        <v>24</v>
      </c>
      <c r="D192" s="18">
        <f t="shared" ref="D192:D198" si="18">B192*C192</f>
        <v>558</v>
      </c>
    </row>
    <row r="193" spans="1:6" x14ac:dyDescent="0.2">
      <c r="A193" s="31" t="s">
        <v>162</v>
      </c>
      <c r="B193" s="6">
        <v>19.5</v>
      </c>
      <c r="C193" s="18">
        <v>24</v>
      </c>
      <c r="D193" s="18">
        <f t="shared" si="18"/>
        <v>468</v>
      </c>
    </row>
    <row r="194" spans="1:6" x14ac:dyDescent="0.2">
      <c r="A194" s="31" t="s">
        <v>163</v>
      </c>
      <c r="B194" s="6">
        <v>33.880000000000003</v>
      </c>
      <c r="C194" s="18">
        <v>24</v>
      </c>
      <c r="D194" s="18">
        <f t="shared" si="18"/>
        <v>813.12000000000012</v>
      </c>
    </row>
    <row r="195" spans="1:6" x14ac:dyDescent="0.2">
      <c r="A195" s="31" t="s">
        <v>164</v>
      </c>
      <c r="B195" s="6">
        <v>33.880000000000003</v>
      </c>
      <c r="C195" s="18">
        <v>24</v>
      </c>
      <c r="D195" s="18">
        <f t="shared" si="18"/>
        <v>813.12000000000012</v>
      </c>
    </row>
    <row r="196" spans="1:6" x14ac:dyDescent="0.2">
      <c r="A196" s="31" t="s">
        <v>165</v>
      </c>
      <c r="B196" s="6">
        <v>33.880000000000003</v>
      </c>
      <c r="C196" s="18">
        <v>24</v>
      </c>
      <c r="D196" s="18">
        <f t="shared" si="18"/>
        <v>813.12000000000012</v>
      </c>
    </row>
    <row r="197" spans="1:6" x14ac:dyDescent="0.2">
      <c r="A197" s="31" t="s">
        <v>166</v>
      </c>
      <c r="B197" s="6">
        <v>9</v>
      </c>
      <c r="C197" s="18">
        <v>24</v>
      </c>
      <c r="D197" s="18">
        <f t="shared" si="18"/>
        <v>216</v>
      </c>
    </row>
    <row r="198" spans="1:6" x14ac:dyDescent="0.2">
      <c r="A198" s="31" t="s">
        <v>167</v>
      </c>
      <c r="B198" s="6">
        <v>30</v>
      </c>
      <c r="C198" s="18">
        <v>24</v>
      </c>
      <c r="D198" s="18">
        <f t="shared" si="18"/>
        <v>720</v>
      </c>
    </row>
    <row r="199" spans="1:6" ht="15.75" x14ac:dyDescent="0.25">
      <c r="A199" s="20" t="s">
        <v>6</v>
      </c>
      <c r="D199" s="20">
        <f>SUM(D192:D198)</f>
        <v>4401.3600000000006</v>
      </c>
      <c r="E199" s="18">
        <v>12</v>
      </c>
      <c r="F199" s="20">
        <f>D199*E199</f>
        <v>52816.320000000007</v>
      </c>
    </row>
    <row r="203" spans="1:6" x14ac:dyDescent="0.2">
      <c r="A203" s="18" t="s">
        <v>190</v>
      </c>
      <c r="B203" s="18">
        <v>540000</v>
      </c>
    </row>
    <row r="206" spans="1:6" x14ac:dyDescent="0.2">
      <c r="A206" s="18" t="s">
        <v>191</v>
      </c>
    </row>
  </sheetData>
  <mergeCells count="6">
    <mergeCell ref="A1:F1"/>
    <mergeCell ref="A17:F17"/>
    <mergeCell ref="A26:F26"/>
    <mergeCell ref="I46:L46"/>
    <mergeCell ref="N46:Q46"/>
    <mergeCell ref="A46:F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FS</vt:lpstr>
      <vt:lpstr>Notes</vt:lpstr>
      <vt:lpstr>Schedule</vt:lpstr>
      <vt:lpstr>Ratios</vt:lpstr>
      <vt:lpstr>Pricing</vt:lpstr>
      <vt:lpstr>Employee Schedule</vt:lpstr>
      <vt:lpstr>Reclass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paulgt</dc:creator>
  <cp:lastModifiedBy>paulgt</cp:lastModifiedBy>
  <dcterms:created xsi:type="dcterms:W3CDTF">2021-09-10T22:46:18Z</dcterms:created>
  <dcterms:modified xsi:type="dcterms:W3CDTF">2021-09-14T02:04:56Z</dcterms:modified>
</cp:coreProperties>
</file>