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/Downloads/"/>
    </mc:Choice>
  </mc:AlternateContent>
  <xr:revisionPtr revIDLastSave="0" documentId="13_ncr:1_{0E0AB1A9-E19C-E743-A382-BD8CE273EF23}" xr6:coauthVersionLast="47" xr6:coauthVersionMax="47" xr10:uidLastSave="{00000000-0000-0000-0000-000000000000}"/>
  <bookViews>
    <workbookView xWindow="0" yWindow="500" windowWidth="25600" windowHeight="14860" tabRatio="797" firstSheet="1" activeTab="2" xr2:uid="{00000000-000D-0000-FFFF-FFFF00000000}"/>
  </bookViews>
  <sheets>
    <sheet name="Homework 2 instructions" sheetId="5" r:id="rId1"/>
    <sheet name="Set-up + preliminary questions" sheetId="4" r:id="rId2"/>
    <sheet name="Analysis" sheetId="1" r:id="rId3"/>
    <sheet name="posterior distribution" sheetId="3" r:id="rId4"/>
    <sheet name="predictive distribution" sheetId="2" r:id="rId5"/>
    <sheet name="historical risk" sheetId="6" r:id="rId6"/>
    <sheet name="Relative View Setup" sheetId="9" r:id="rId7"/>
    <sheet name="Analysis with RELATIVE view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8" l="1" a="1"/>
  <c r="B17" i="8" s="1"/>
  <c r="B13" i="8" a="1"/>
  <c r="B13" i="8" s="1"/>
  <c r="B9" i="8" a="1"/>
  <c r="B9" i="8" s="1"/>
  <c r="B22" i="1" a="1"/>
  <c r="B22" i="1" s="1"/>
  <c r="B21" i="1" a="1"/>
  <c r="B21" i="1" s="1"/>
  <c r="B6" i="1"/>
  <c r="C6" i="1"/>
  <c r="C5" i="1"/>
  <c r="B5" i="1"/>
  <c r="C2" i="1"/>
  <c r="B2" i="1"/>
  <c r="B13" i="2"/>
  <c r="C13" i="2"/>
  <c r="D13" i="2"/>
  <c r="E13" i="2"/>
  <c r="F13" i="2"/>
  <c r="G13" i="2"/>
  <c r="H13" i="2"/>
  <c r="B14" i="2"/>
  <c r="C14" i="2"/>
  <c r="D14" i="2"/>
  <c r="E14" i="2"/>
  <c r="F14" i="2"/>
  <c r="G14" i="2"/>
  <c r="H14" i="2"/>
  <c r="B15" i="2"/>
  <c r="C15" i="2"/>
  <c r="D15" i="2"/>
  <c r="E15" i="2"/>
  <c r="F15" i="2"/>
  <c r="G15" i="2"/>
  <c r="H15" i="2"/>
  <c r="B16" i="2"/>
  <c r="C16" i="2"/>
  <c r="D16" i="2"/>
  <c r="E16" i="2"/>
  <c r="F16" i="2"/>
  <c r="G16" i="2"/>
  <c r="H16" i="2"/>
  <c r="B17" i="2"/>
  <c r="C17" i="2"/>
  <c r="D17" i="2"/>
  <c r="E17" i="2"/>
  <c r="F17" i="2"/>
  <c r="G17" i="2"/>
  <c r="H17" i="2"/>
  <c r="B18" i="2"/>
  <c r="C18" i="2"/>
  <c r="D18" i="2"/>
  <c r="E18" i="2"/>
  <c r="F18" i="2"/>
  <c r="G18" i="2"/>
  <c r="H18" i="2"/>
  <c r="C12" i="2"/>
  <c r="D12" i="2"/>
  <c r="E12" i="2"/>
  <c r="F12" i="2"/>
  <c r="G12" i="2"/>
  <c r="H12" i="2"/>
  <c r="B12" i="2"/>
  <c r="B21" i="2" a="1"/>
  <c r="B21" i="2" s="1"/>
  <c r="C8" i="2" a="1"/>
  <c r="C8" i="2" s="1"/>
  <c r="D8" i="2" a="1"/>
  <c r="D8" i="2"/>
  <c r="E8" i="2" a="1"/>
  <c r="E8" i="2" s="1"/>
  <c r="F8" i="2" a="1"/>
  <c r="F8" i="2"/>
  <c r="G8" i="2" a="1"/>
  <c r="G8" i="2" s="1"/>
  <c r="H8" i="2" a="1"/>
  <c r="H8" i="2"/>
  <c r="B8" i="2" a="1"/>
  <c r="B8" i="2" s="1"/>
  <c r="B23" i="2"/>
  <c r="C23" i="2"/>
  <c r="D23" i="2"/>
  <c r="E23" i="2"/>
  <c r="F23" i="2"/>
  <c r="G23" i="2"/>
  <c r="H23" i="2"/>
  <c r="B24" i="2"/>
  <c r="C24" i="2"/>
  <c r="D24" i="2"/>
  <c r="E24" i="2"/>
  <c r="F24" i="2"/>
  <c r="G24" i="2"/>
  <c r="H24" i="2"/>
  <c r="B25" i="2"/>
  <c r="C25" i="2"/>
  <c r="D25" i="2"/>
  <c r="E25" i="2"/>
  <c r="F25" i="2"/>
  <c r="G25" i="2"/>
  <c r="H25" i="2"/>
  <c r="B26" i="2"/>
  <c r="C26" i="2"/>
  <c r="D26" i="2"/>
  <c r="E26" i="2"/>
  <c r="F26" i="2"/>
  <c r="G26" i="2"/>
  <c r="H26" i="2"/>
  <c r="B27" i="2"/>
  <c r="C27" i="2"/>
  <c r="D27" i="2"/>
  <c r="E27" i="2"/>
  <c r="F27" i="2"/>
  <c r="G27" i="2"/>
  <c r="H27" i="2"/>
  <c r="B28" i="2"/>
  <c r="C28" i="2"/>
  <c r="D28" i="2"/>
  <c r="E28" i="2"/>
  <c r="F28" i="2"/>
  <c r="G28" i="2"/>
  <c r="H28" i="2"/>
  <c r="C22" i="2"/>
  <c r="D22" i="2"/>
  <c r="E22" i="2"/>
  <c r="F22" i="2"/>
  <c r="G22" i="2"/>
  <c r="H22" i="2"/>
  <c r="B22" i="2"/>
  <c r="B10" i="1" a="1"/>
  <c r="B10" i="1" s="1"/>
  <c r="B13" i="3"/>
  <c r="C13" i="3"/>
  <c r="D13" i="3"/>
  <c r="E13" i="3"/>
  <c r="F13" i="3"/>
  <c r="G13" i="3"/>
  <c r="H13" i="3"/>
  <c r="B14" i="3"/>
  <c r="C14" i="3"/>
  <c r="D14" i="3"/>
  <c r="E14" i="3"/>
  <c r="F14" i="3"/>
  <c r="G14" i="3"/>
  <c r="H14" i="3"/>
  <c r="B15" i="3"/>
  <c r="C15" i="3"/>
  <c r="D15" i="3"/>
  <c r="E15" i="3"/>
  <c r="F15" i="3"/>
  <c r="G15" i="3"/>
  <c r="H15" i="3"/>
  <c r="B16" i="3"/>
  <c r="C16" i="3"/>
  <c r="D16" i="3"/>
  <c r="E16" i="3"/>
  <c r="F16" i="3"/>
  <c r="G16" i="3"/>
  <c r="H16" i="3"/>
  <c r="B17" i="3"/>
  <c r="C17" i="3"/>
  <c r="D17" i="3"/>
  <c r="E17" i="3"/>
  <c r="F17" i="3"/>
  <c r="G17" i="3"/>
  <c r="H17" i="3"/>
  <c r="B18" i="3"/>
  <c r="C18" i="3"/>
  <c r="D18" i="3"/>
  <c r="E18" i="3"/>
  <c r="F18" i="3"/>
  <c r="G18" i="3"/>
  <c r="H18" i="3"/>
  <c r="C12" i="3"/>
  <c r="D12" i="3"/>
  <c r="E12" i="3"/>
  <c r="F12" i="3"/>
  <c r="G12" i="3"/>
  <c r="H12" i="3"/>
  <c r="B12" i="3"/>
  <c r="B21" i="3" a="1"/>
  <c r="B21" i="3" s="1"/>
  <c r="C8" i="3" a="1"/>
  <c r="C8" i="3" s="1"/>
  <c r="C20" i="3" s="1"/>
  <c r="D8" i="3" a="1"/>
  <c r="D8" i="3" s="1"/>
  <c r="D20" i="3" s="1"/>
  <c r="E8" i="3" a="1"/>
  <c r="E8" i="3" s="1"/>
  <c r="E20" i="3" s="1"/>
  <c r="F8" i="3" a="1"/>
  <c r="F8" i="3" s="1"/>
  <c r="F20" i="3" s="1"/>
  <c r="G8" i="3" a="1"/>
  <c r="G8" i="3" s="1"/>
  <c r="G20" i="3" s="1"/>
  <c r="H8" i="3" a="1"/>
  <c r="H8" i="3" s="1"/>
  <c r="H20" i="3" s="1"/>
  <c r="D27" i="4"/>
  <c r="C27" i="4"/>
  <c r="C24" i="4"/>
  <c r="D24" i="4"/>
  <c r="D23" i="4"/>
  <c r="C23" i="4"/>
  <c r="D17" i="4"/>
  <c r="D16" i="4"/>
  <c r="D20" i="4"/>
  <c r="C20" i="4"/>
  <c r="C17" i="4" s="1"/>
  <c r="C16" i="4"/>
  <c r="D13" i="4" a="1"/>
  <c r="D13" i="4" s="1"/>
  <c r="C13" i="4" a="1"/>
  <c r="C13" i="4" s="1"/>
  <c r="D12" i="4" a="1"/>
  <c r="D12" i="4" s="1"/>
  <c r="C12" i="4" a="1"/>
  <c r="C12" i="4" s="1"/>
  <c r="D4" i="9"/>
  <c r="D5" i="9"/>
  <c r="C5" i="9"/>
  <c r="C15" i="9" s="1"/>
  <c r="C4" i="9"/>
  <c r="B15" i="9" s="1"/>
  <c r="C5" i="4"/>
  <c r="D5" i="4"/>
  <c r="E5" i="4"/>
  <c r="G5" i="4"/>
  <c r="H5" i="4"/>
  <c r="C6" i="4"/>
  <c r="D6" i="4"/>
  <c r="E6" i="4"/>
  <c r="F6" i="4"/>
  <c r="G6" i="4"/>
  <c r="B6" i="4"/>
  <c r="B5" i="4"/>
  <c r="B10" i="8" l="1" a="1"/>
  <c r="B10" i="8" s="1"/>
  <c r="B14" i="1" a="1"/>
  <c r="B14" i="1" s="1"/>
  <c r="B16" i="9" a="1"/>
  <c r="B14" i="8" a="1"/>
  <c r="B14" i="8" s="1"/>
  <c r="B4" i="3" a="1"/>
  <c r="B4" i="3" s="1"/>
  <c r="B9" i="1" s="1" a="1"/>
  <c r="B9" i="1" s="1"/>
  <c r="B8" i="3" a="1"/>
  <c r="B8" i="3" s="1"/>
  <c r="B20" i="3" s="1"/>
  <c r="B4" i="2" l="1"/>
  <c r="G4" i="2"/>
  <c r="H4" i="2"/>
  <c r="D4" i="2"/>
  <c r="F4" i="2"/>
  <c r="E4" i="2"/>
  <c r="C4" i="2"/>
  <c r="B16" i="9"/>
  <c r="B17" i="9" s="1"/>
  <c r="C17" i="9"/>
  <c r="B17" i="1" a="1"/>
  <c r="B17" i="1" s="1"/>
  <c r="B13" i="1" a="1"/>
  <c r="B13" i="1" s="1"/>
  <c r="B18" i="1" s="1" a="1"/>
  <c r="B18" i="1" s="1"/>
  <c r="B18" i="8" a="1"/>
  <c r="B18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<sst xmlns="http://schemas.openxmlformats.org/spreadsheetml/2006/main" count="310" uniqueCount="96">
  <si>
    <t>Australia</t>
  </si>
  <si>
    <t>Canada</t>
  </si>
  <si>
    <t>France</t>
  </si>
  <si>
    <t>Germany</t>
  </si>
  <si>
    <t>Japan</t>
  </si>
  <si>
    <t>UK</t>
  </si>
  <si>
    <t>USA</t>
  </si>
  <si>
    <t>Black Litterman means</t>
  </si>
  <si>
    <t>PREDICTIVE CORRELATIONS</t>
  </si>
  <si>
    <t>PREDICTIVE VOLATILITIES</t>
  </si>
  <si>
    <t>PREDICTIVE MEANS (EERs), OR BLACK-LITTERMAN MEANS</t>
  </si>
  <si>
    <t>Expected excess returns</t>
  </si>
  <si>
    <t>Predictive volatilities</t>
  </si>
  <si>
    <t>Factor</t>
  </si>
  <si>
    <t>Posterior standard dev</t>
  </si>
  <si>
    <t>POSTERIOR MEANS (EERs), OR BLACK-LITTERMAN MEANS</t>
  </si>
  <si>
    <t>POSTERIOR CORRELATIONS</t>
  </si>
  <si>
    <t>Risk aversion</t>
  </si>
  <si>
    <t>See the spreadsheet He_Litterman_Data.xlsx for needed correlations, volatilities, and the benchmark.</t>
  </si>
  <si>
    <t>equilibrium means</t>
  </si>
  <si>
    <t>Omega describes the "joint" confidence we have in the views.</t>
  </si>
  <si>
    <t>Predictive vol (of future asset returns)</t>
  </si>
  <si>
    <t>Posterior stdev (of estimates of thetas=EERs)</t>
  </si>
  <si>
    <t>POSTERIOR STANDARD DEVIATIONS</t>
  </si>
  <si>
    <t>HISTORICAL VOLATILITIES</t>
  </si>
  <si>
    <t>HISTORICAL CORRELATIONS</t>
  </si>
  <si>
    <t>THIS DOES NOT REQUIRE COMPUTATION.</t>
  </si>
  <si>
    <t>JUST FIND THE CORRECT DATA IN THE FILES YOU HAVE BEEN PROVIDED.</t>
  </si>
  <si>
    <t>VOL</t>
  </si>
  <si>
    <t>2. Omega correlations</t>
  </si>
  <si>
    <t>1. Omega vols (confidence in views)</t>
  </si>
  <si>
    <t>3. Expected excess returns</t>
  </si>
  <si>
    <t>Covariance matrix of the view portfolios</t>
  </si>
  <si>
    <t>rows</t>
  </si>
  <si>
    <t>US versus ROW</t>
  </si>
  <si>
    <t xml:space="preserve"> P * Sigma * P' </t>
  </si>
  <si>
    <t>Parameters</t>
  </si>
  <si>
    <t>tau_prior</t>
  </si>
  <si>
    <t>tau_view</t>
  </si>
  <si>
    <t>'00-Jan-00</t>
  </si>
  <si>
    <t xml:space="preserve">= tau * P * Sigma * P'  </t>
  </si>
  <si>
    <t>Correlation matrix of the view portfolios</t>
  </si>
  <si>
    <t>Volatility</t>
  </si>
  <si>
    <t>Volatilities of view portfolios</t>
  </si>
  <si>
    <t>These are also the predictive means in the Black-Litterman setting.</t>
  </si>
  <si>
    <t xml:space="preserve">As before, please fill in the highlighted yellow cells.  </t>
  </si>
  <si>
    <t>Japan versus ROW</t>
  </si>
  <si>
    <t>4. Optimal portfolios (based on historical risk) with EER=…</t>
  </si>
  <si>
    <t>Predictive optimal</t>
  </si>
  <si>
    <t>BL optimal</t>
  </si>
  <si>
    <t>Standard deviations associated with the views</t>
  </si>
  <si>
    <t>ROW standands for "the rest of the world".  In this case take it to mean the other 6 countries.</t>
  </si>
  <si>
    <t>COVARIANCE associated with views q_1 and q_2</t>
  </si>
  <si>
    <t xml:space="preserve">Omega = tau_view * covariance matrix of view portfolio </t>
  </si>
  <si>
    <t>Every tab except this one has some yellow cells for you to fill in.  Make sure you fill them all!</t>
  </si>
  <si>
    <t>Note that you may be asked to present the same information in more than one place.</t>
  </si>
  <si>
    <t>5. Predictive optimal (true Bayesian) versus BL optimal</t>
  </si>
  <si>
    <t>6. Certain standard deviation calculations</t>
  </si>
  <si>
    <t>(The covariance matrix Omega describes the "joint" confidence we have in the views.)</t>
  </si>
  <si>
    <t>Optimal portfolio using Black Litterman means</t>
  </si>
  <si>
    <t>Optimal portfolio using equilibrium means</t>
  </si>
  <si>
    <t>4. Optimal portfolios (based on historical risk):</t>
  </si>
  <si>
    <t>BL optimal (ignores estimation risk/parameter uncertainty)</t>
  </si>
  <si>
    <t>6. Certain risk calculations</t>
  </si>
  <si>
    <t>View Portfolio 1:  Japan versus ROW</t>
  </si>
  <si>
    <t>View Portfolio 2: US versus ROW view portfolio</t>
  </si>
  <si>
    <t xml:space="preserve">View on View Portfolio 2 =  q_2 = </t>
  </si>
  <si>
    <t xml:space="preserve">View on View Portfolio 1 = q_1 = </t>
  </si>
  <si>
    <t>Up to now you have considered the following views:</t>
  </si>
  <si>
    <t>The US will outperform ROW by 1%</t>
  </si>
  <si>
    <t>Japan will underperform ROW by 2%</t>
  </si>
  <si>
    <t>This is because the equilibrium EER of View Portfolio 1, say, might be -5%, so a view of -2% is more favorable than the equilibrium EER and we might want to overweight Japan.</t>
  </si>
  <si>
    <t>Suppose now that the views above are relative to the impied views, so that the -2% means that the view is that the EER of View Portfolio 1 is 2% below the implied view.</t>
  </si>
  <si>
    <t>Compute the absolute views under that interpretation by filling out the following table</t>
  </si>
  <si>
    <t>View Portfolio 1</t>
  </si>
  <si>
    <t>Portfolio</t>
  </si>
  <si>
    <t>Relative view</t>
  </si>
  <si>
    <t>View Portfolio 2</t>
  </si>
  <si>
    <t>Implied EER</t>
  </si>
  <si>
    <t>Absolute view</t>
  </si>
  <si>
    <t xml:space="preserve">Using the absolute views here, complete the "Analysis with RELATIVE views". </t>
  </si>
  <si>
    <t>Has the weight in Japan increased relative to the benchmark?</t>
  </si>
  <si>
    <t>Has the weight in Japan decreased relative to the benchmark?</t>
  </si>
  <si>
    <t>Note that the last two tabs, "Relative View Setup" and  "Analysis with RELATIVE views", you are asked to repeat the "Analysis" tab,</t>
  </si>
  <si>
    <t>Same as before</t>
  </si>
  <si>
    <t>Skip!</t>
  </si>
  <si>
    <t>Skip! You only have to fill the yellow cells.</t>
  </si>
  <si>
    <t>in the PCON L5 module, which summarizes the discussion we had in class.</t>
  </si>
  <si>
    <t xml:space="preserve">but now interpreting the views as relative to the implied views.  See the document "Black-Litterman relative views.pdf" uploaded </t>
  </si>
  <si>
    <t>As discussed in class, these views do not necessarily imply that it is attractive to underweight Japan or overweight the US.</t>
  </si>
  <si>
    <t>Note that the terms "equilibrium means", "benchmark means", and "implied means" all mean the same thing here.</t>
  </si>
  <si>
    <t>But FYI, "implied means" is the general term, "benchmark means" specifically means "means implied from a benchmark",</t>
  </si>
  <si>
    <t>and "equilibrium means" means "means implied from capitalization weights".</t>
  </si>
  <si>
    <t>"Means" hear refers to EERs (expected excess returns, or "theta").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</si>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</sst>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%"/>
  </numFmts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  <family val="1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quotePrefix="1" applyNumberFormat="1" applyAlignment="1">
      <alignment horizontal="left"/>
    </xf>
    <xf numFmtId="164" fontId="0" fillId="3" borderId="0" xfId="0" applyNumberFormat="1" applyFill="1" applyAlignment="1">
      <alignment horizontal="center"/>
    </xf>
    <xf numFmtId="10" fontId="0" fillId="3" borderId="0" xfId="43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6" fontId="0" fillId="3" borderId="0" xfId="43" applyNumberFormat="1" applyFon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9" fontId="0" fillId="0" borderId="0" xfId="0" applyNumberFormat="1"/>
    <xf numFmtId="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9" fontId="0" fillId="4" borderId="0" xfId="0" applyNumberFormat="1" applyFill="1" applyAlignment="1">
      <alignment horizontal="center"/>
    </xf>
    <xf numFmtId="9" fontId="8" fillId="0" borderId="0" xfId="0" applyNumberFormat="1" applyFont="1" applyAlignment="1">
      <alignment horizontal="left"/>
    </xf>
    <xf numFmtId="166" fontId="0" fillId="0" borderId="0" xfId="43" applyNumberFormat="1" applyFont="1" applyFill="1" applyAlignment="1">
      <alignment horizontal="center"/>
    </xf>
    <xf numFmtId="166" fontId="8" fillId="0" borderId="0" xfId="0" applyNumberFormat="1" applyFont="1" applyAlignment="1">
      <alignment horizontal="center"/>
    </xf>
    <xf numFmtId="166" fontId="0" fillId="0" borderId="0" xfId="43" applyNumberFormat="1" applyFont="1" applyFill="1" applyAlignment="1">
      <alignment horizontal="left"/>
    </xf>
    <xf numFmtId="0" fontId="5" fillId="0" borderId="0" xfId="0" applyFont="1"/>
    <xf numFmtId="10" fontId="0" fillId="0" borderId="0" xfId="0" applyNumberFormat="1"/>
    <xf numFmtId="10" fontId="0" fillId="3" borderId="0" xfId="0" applyNumberFormat="1" applyFill="1"/>
    <xf numFmtId="0" fontId="0" fillId="2" borderId="0" xfId="0" applyFill="1" applyAlignment="1">
      <alignment horizontal="center"/>
    </xf>
  </cellXfs>
  <cellStyles count="1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ormal" xfId="0" builtinId="0"/>
    <cellStyle name="Percent" xfId="4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Black-Litterman portfolio and benchmark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Analysis!$A$13</c:f>
              <c:strCache>
                <c:ptCount val="1"/>
                <c:pt idx="0">
                  <c:v>Optimal portfolio using Black Litterman means</c:v>
                </c:pt>
              </c:strCache>
            </c:strRef>
          </c:tx>
          <c:invertIfNegative val="0"/>
          <c:cat>
            <c:strRef>
              <c:f>Analysis!$B$12:$H$12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Japan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Analysis!$B$13:$H$13</c:f>
              <c:numCache>
                <c:formatCode>0.00%</c:formatCode>
                <c:ptCount val="7"/>
                <c:pt idx="0">
                  <c:v>1.1347394046168358E-2</c:v>
                </c:pt>
                <c:pt idx="1">
                  <c:v>1.7347394046167697E-2</c:v>
                </c:pt>
                <c:pt idx="2">
                  <c:v>4.7347394046168167E-2</c:v>
                </c:pt>
                <c:pt idx="3">
                  <c:v>5.0347394046167837E-2</c:v>
                </c:pt>
                <c:pt idx="4">
                  <c:v>0.15581561833091589</c:v>
                </c:pt>
                <c:pt idx="5">
                  <c:v>0.11934739404616873</c:v>
                </c:pt>
                <c:pt idx="6">
                  <c:v>0.59844741143824343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0D-C848-AE05-77470748DF88}"/>
            </c:ext>
          </c:extLst>
        </c:ser>
        <c:ser>
          <c:idx val="1"/>
          <c:order val="1"/>
          <c:tx>
            <c:strRef>
              <c:f>Analysis!$A$14</c:f>
              <c:strCache>
                <c:ptCount val="1"/>
                <c:pt idx="0">
                  <c:v>Optimal portfolio using equilibrium means</c:v>
                </c:pt>
              </c:strCache>
            </c:strRef>
          </c:tx>
          <c:invertIfNegative val="0"/>
          <c:cat>
            <c:strRef>
              <c:f>Analysis!$B$12:$H$12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Japan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Analysis!$B$14:$H$14</c:f>
              <c:numCache>
                <c:formatCode>0.00%</c:formatCode>
                <c:ptCount val="7"/>
                <c:pt idx="0">
                  <c:v>1.6000000000000097E-2</c:v>
                </c:pt>
                <c:pt idx="1">
                  <c:v>2.1999999999999797E-2</c:v>
                </c:pt>
                <c:pt idx="2">
                  <c:v>5.2000000000000796E-2</c:v>
                </c:pt>
                <c:pt idx="3">
                  <c:v>5.4999999999999667E-2</c:v>
                </c:pt>
                <c:pt idx="4">
                  <c:v>0.1160000000000001</c:v>
                </c:pt>
                <c:pt idx="5">
                  <c:v>0.12399999999999967</c:v>
                </c:pt>
                <c:pt idx="6">
                  <c:v>0.61500000000000021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0D-C848-AE05-77470748D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7485880"/>
        <c:axId val="2047181944"/>
      </c:barChart>
      <c:catAx>
        <c:axId val="2047485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47181944"/>
        <c:crosses val="autoZero"/>
        <c:auto val="1"/>
        <c:lblAlgn val="ctr"/>
        <c:lblOffset val="100"/>
        <c:noMultiLvlLbl val="0"/>
      </c:catAx>
      <c:valAx>
        <c:axId val="20471819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47485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Expected excess returns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Analysis!$A$9</c:f>
              <c:strCache>
                <c:ptCount val="1"/>
                <c:pt idx="0">
                  <c:v>Black Litterman means</c:v>
                </c:pt>
              </c:strCache>
            </c:strRef>
          </c:tx>
          <c:invertIfNegative val="0"/>
          <c:cat>
            <c:strRef>
              <c:f>Analysis!$B$8:$H$8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Japan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Analysis!$B$9:$H$9</c:f>
              <c:numCache>
                <c:formatCode>0.00%</c:formatCode>
                <c:ptCount val="7"/>
                <c:pt idx="0">
                  <c:v>6.2532499072844056E-2</c:v>
                </c:pt>
                <c:pt idx="1">
                  <c:v>0.10797578071834793</c:v>
                </c:pt>
                <c:pt idx="2">
                  <c:v>0.13070335395389759</c:v>
                </c:pt>
                <c:pt idx="3">
                  <c:v>0.14113971554893073</c:v>
                </c:pt>
                <c:pt idx="4">
                  <c:v>7.351678360482039E-2</c:v>
                </c:pt>
                <c:pt idx="5">
                  <c:v>0.10636237496885706</c:v>
                </c:pt>
                <c:pt idx="6">
                  <c:v>0.1180892870917592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3-9B44-8CA6-BAF564AF5D58}"/>
            </c:ext>
          </c:extLst>
        </c:ser>
        <c:ser>
          <c:idx val="1"/>
          <c:order val="1"/>
          <c:tx>
            <c:strRef>
              <c:f>Analysis!$A$10</c:f>
              <c:strCache>
                <c:ptCount val="1"/>
                <c:pt idx="0">
                  <c:v>equilibrium means</c:v>
                </c:pt>
              </c:strCache>
            </c:strRef>
          </c:tx>
          <c:invertIfNegative val="0"/>
          <c:cat>
            <c:strRef>
              <c:f>Analysis!$B$8:$H$8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Japan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Analysis!$B$10:$H$10</c:f>
              <c:numCache>
                <c:formatCode>0.00%</c:formatCode>
                <c:ptCount val="7"/>
                <c:pt idx="0">
                  <c:v>6.3000874240000004E-2</c:v>
                </c:pt>
                <c:pt idx="1">
                  <c:v>0.11064303392800001</c:v>
                </c:pt>
                <c:pt idx="2">
                  <c:v>0.13372938620800001</c:v>
                </c:pt>
                <c:pt idx="3">
                  <c:v>0.14443583584399999</c:v>
                </c:pt>
                <c:pt idx="4">
                  <c:v>6.8844955200000002E-2</c:v>
                </c:pt>
                <c:pt idx="5">
                  <c:v>0.10828308880000001</c:v>
                </c:pt>
                <c:pt idx="6">
                  <c:v>0.120960745796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E3-9B44-8CA6-BAF564AF5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3400536"/>
        <c:axId val="2133829864"/>
      </c:barChart>
      <c:catAx>
        <c:axId val="2133400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3829864"/>
        <c:crosses val="autoZero"/>
        <c:auto val="1"/>
        <c:lblAlgn val="ctr"/>
        <c:lblOffset val="100"/>
        <c:noMultiLvlLbl val="0"/>
      </c:catAx>
      <c:valAx>
        <c:axId val="21338298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133400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BL optimal versus predictive optimal (true Bayesian)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Analysis!$A$17</c:f>
              <c:strCache>
                <c:ptCount val="1"/>
                <c:pt idx="0">
                  <c:v>Predictive optimal</c:v>
                </c:pt>
              </c:strCache>
            </c:strRef>
          </c:tx>
          <c:invertIfNegative val="0"/>
          <c:cat>
            <c:strRef>
              <c:f>Analysis!$B$16:$H$16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Japan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Analysis!$B$17:$H$17</c:f>
              <c:numCache>
                <c:formatCode>0.00%</c:formatCode>
                <c:ptCount val="7"/>
                <c:pt idx="0">
                  <c:v>1.1005412008167209E-2</c:v>
                </c:pt>
                <c:pt idx="1">
                  <c:v>1.6774642777397819E-2</c:v>
                </c:pt>
                <c:pt idx="2">
                  <c:v>4.5620796623551396E-2</c:v>
                </c:pt>
                <c:pt idx="3">
                  <c:v>4.850541200816668E-2</c:v>
                </c:pt>
                <c:pt idx="4">
                  <c:v>0.14754688247785941</c:v>
                </c:pt>
                <c:pt idx="5">
                  <c:v>0.11485156585432116</c:v>
                </c:pt>
                <c:pt idx="6">
                  <c:v>0.57723374978899877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D6-2D42-9182-91001A2ACF17}"/>
            </c:ext>
          </c:extLst>
        </c:ser>
        <c:ser>
          <c:idx val="1"/>
          <c:order val="1"/>
          <c:tx>
            <c:strRef>
              <c:f>Analysis!$A$18</c:f>
              <c:strCache>
                <c:ptCount val="1"/>
                <c:pt idx="0">
                  <c:v>BL optimal (ignores estimation risk/parameter uncertainty)</c:v>
                </c:pt>
              </c:strCache>
            </c:strRef>
          </c:tx>
          <c:invertIfNegative val="0"/>
          <c:cat>
            <c:strRef>
              <c:f>Analysis!$B$16:$H$16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Japan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Analysis!$B$18:$H$18</c:f>
              <c:numCache>
                <c:formatCode>0.00%</c:formatCode>
                <c:ptCount val="7"/>
                <c:pt idx="0">
                  <c:v>1.1347394046168358E-2</c:v>
                </c:pt>
                <c:pt idx="1">
                  <c:v>1.7347394046167697E-2</c:v>
                </c:pt>
                <c:pt idx="2">
                  <c:v>4.7347394046168167E-2</c:v>
                </c:pt>
                <c:pt idx="3">
                  <c:v>5.0347394046167837E-2</c:v>
                </c:pt>
                <c:pt idx="4">
                  <c:v>0.15581561833091589</c:v>
                </c:pt>
                <c:pt idx="5">
                  <c:v>0.11934739404616873</c:v>
                </c:pt>
                <c:pt idx="6">
                  <c:v>0.59844741143824343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D6-2D42-9182-91001A2AC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3771560"/>
        <c:axId val="2133699880"/>
      </c:barChart>
      <c:catAx>
        <c:axId val="2133771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3699880"/>
        <c:crosses val="autoZero"/>
        <c:auto val="1"/>
        <c:lblAlgn val="ctr"/>
        <c:lblOffset val="100"/>
        <c:noMultiLvlLbl val="0"/>
      </c:catAx>
      <c:valAx>
        <c:axId val="213369988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133771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Predictive and posterior volatilities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Analysis!$A$21</c:f>
              <c:strCache>
                <c:ptCount val="1"/>
                <c:pt idx="0">
                  <c:v>Predictive vol (of future asset returns)</c:v>
                </c:pt>
              </c:strCache>
            </c:strRef>
          </c:tx>
          <c:invertIfNegative val="0"/>
          <c:cat>
            <c:strRef>
              <c:f>Analysis!$B$20:$H$20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Japan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Analysis!$B$21:$H$21</c:f>
              <c:numCache>
                <c:formatCode>0.00%</c:formatCode>
                <c:ptCount val="7"/>
                <c:pt idx="0">
                  <c:v>0.16309761420567678</c:v>
                </c:pt>
                <c:pt idx="1">
                  <c:v>0.20684134569518459</c:v>
                </c:pt>
                <c:pt idx="2">
                  <c:v>0.25249875182108084</c:v>
                </c:pt>
                <c:pt idx="3">
                  <c:v>0.2758760791187328</c:v>
                </c:pt>
                <c:pt idx="4">
                  <c:v>0.21364121022414495</c:v>
                </c:pt>
                <c:pt idx="5">
                  <c:v>0.20372590851856676</c:v>
                </c:pt>
                <c:pt idx="6">
                  <c:v>0.19039611601015288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3-6F41-A3AA-116D1BF11C08}"/>
            </c:ext>
          </c:extLst>
        </c:ser>
        <c:ser>
          <c:idx val="1"/>
          <c:order val="1"/>
          <c:tx>
            <c:strRef>
              <c:f>Analysis!$A$22</c:f>
              <c:strCache>
                <c:ptCount val="1"/>
                <c:pt idx="0">
                  <c:v>Posterior stdev (of estimates of thetas=EERs)</c:v>
                </c:pt>
              </c:strCache>
            </c:strRef>
          </c:tx>
          <c:invertIfNegative val="0"/>
          <c:cat>
            <c:strRef>
              <c:f>Analysis!$B$20:$H$20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Japan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Analysis!$B$22:$H$22</c:f>
              <c:numCache>
                <c:formatCode>0.00%</c:formatCode>
                <c:ptCount val="7"/>
                <c:pt idx="0">
                  <c:v>3.1635925141898148E-2</c:v>
                </c:pt>
                <c:pt idx="1">
                  <c:v>3.967798242092014E-2</c:v>
                </c:pt>
                <c:pt idx="2">
                  <c:v>4.7451234664693115E-2</c:v>
                </c:pt>
                <c:pt idx="3">
                  <c:v>5.1639239246190648E-2</c:v>
                </c:pt>
                <c:pt idx="4">
                  <c:v>3.9275522988717851E-2</c:v>
                </c:pt>
                <c:pt idx="5">
                  <c:v>3.8784607793755282E-2</c:v>
                </c:pt>
                <c:pt idx="6">
                  <c:v>3.5800572505919379E-2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03-6F41-A3AA-116D1BF1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3619640"/>
        <c:axId val="2133524536"/>
      </c:barChart>
      <c:catAx>
        <c:axId val="2133619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3524536"/>
        <c:crosses val="autoZero"/>
        <c:auto val="1"/>
        <c:lblAlgn val="ctr"/>
        <c:lblOffset val="100"/>
        <c:noMultiLvlLbl val="0"/>
      </c:catAx>
      <c:valAx>
        <c:axId val="21335245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133619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Black-Litterman portfolio and benchmark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with RELATIVE views'!$A$13</c:f>
              <c:strCache>
                <c:ptCount val="1"/>
                <c:pt idx="0">
                  <c:v>Black Litterman means</c:v>
                </c:pt>
              </c:strCache>
            </c:strRef>
          </c:tx>
          <c:invertIfNegative val="0"/>
          <c:cat>
            <c:strRef>
              <c:f>'Analysis with RELATIVE views'!$B$12:$H$12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Japan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'Analysis with RELATIVE views'!$B$13:$H$13</c:f>
              <c:numCache>
                <c:formatCode>0.00%</c:formatCode>
                <c:ptCount val="7"/>
                <c:pt idx="0">
                  <c:v>1.5202738549912664E-2</c:v>
                </c:pt>
                <c:pt idx="1">
                  <c:v>2.1202738549912059E-2</c:v>
                </c:pt>
                <c:pt idx="2">
                  <c:v>5.1202738549912891E-2</c:v>
                </c:pt>
                <c:pt idx="3">
                  <c:v>5.4202738549911762E-2</c:v>
                </c:pt>
                <c:pt idx="4">
                  <c:v>8.3577598849286949E-2</c:v>
                </c:pt>
                <c:pt idx="5">
                  <c:v>0.1232027385499132</c:v>
                </c:pt>
                <c:pt idx="6">
                  <c:v>0.65140870840115017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3-AA46-9E88-F70A593F5310}"/>
            </c:ext>
          </c:extLst>
        </c:ser>
        <c:ser>
          <c:idx val="1"/>
          <c:order val="1"/>
          <c:tx>
            <c:strRef>
              <c:f>'Analysis with RELATIVE views'!$A$14</c:f>
              <c:strCache>
                <c:ptCount val="1"/>
                <c:pt idx="0">
                  <c:v>equilibrium means</c:v>
                </c:pt>
              </c:strCache>
            </c:strRef>
          </c:tx>
          <c:invertIfNegative val="0"/>
          <c:cat>
            <c:strRef>
              <c:f>'Analysis with RELATIVE views'!$B$12:$H$12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Japan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'Analysis with RELATIVE views'!$B$14:$H$14</c:f>
              <c:numCache>
                <c:formatCode>0.00%</c:formatCode>
                <c:ptCount val="7"/>
                <c:pt idx="0">
                  <c:v>1.6000000000000097E-2</c:v>
                </c:pt>
                <c:pt idx="1">
                  <c:v>2.1999999999999797E-2</c:v>
                </c:pt>
                <c:pt idx="2">
                  <c:v>5.2000000000000796E-2</c:v>
                </c:pt>
                <c:pt idx="3">
                  <c:v>5.4999999999999667E-2</c:v>
                </c:pt>
                <c:pt idx="4">
                  <c:v>0.1160000000000001</c:v>
                </c:pt>
                <c:pt idx="5">
                  <c:v>0.12399999999999967</c:v>
                </c:pt>
                <c:pt idx="6">
                  <c:v>0.61500000000000021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63-AA46-9E88-F70A593F5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478600"/>
        <c:axId val="-2120499096"/>
      </c:barChart>
      <c:catAx>
        <c:axId val="-2120478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120499096"/>
        <c:crosses val="autoZero"/>
        <c:auto val="1"/>
        <c:lblAlgn val="ctr"/>
        <c:lblOffset val="100"/>
        <c:noMultiLvlLbl val="0"/>
      </c:catAx>
      <c:valAx>
        <c:axId val="-21204990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-2120478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Expected excess returns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with RELATIVE views'!$A$9</c:f>
              <c:strCache>
                <c:ptCount val="1"/>
                <c:pt idx="0">
                  <c:v>Black Litterman means</c:v>
                </c:pt>
              </c:strCache>
            </c:strRef>
          </c:tx>
          <c:invertIfNegative val="0"/>
          <c:cat>
            <c:strRef>
              <c:f>'Analysis with RELATIVE views'!$B$8:$H$8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Japan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'Analysis with RELATIVE views'!$B$9:$H$9</c:f>
              <c:numCache>
                <c:formatCode>0.00%</c:formatCode>
                <c:ptCount val="7"/>
                <c:pt idx="0">
                  <c:v>6.2911245791212239E-2</c:v>
                </c:pt>
                <c:pt idx="1">
                  <c:v>0.11275360194197016</c:v>
                </c:pt>
                <c:pt idx="2">
                  <c:v>0.1351716583784725</c:v>
                </c:pt>
                <c:pt idx="3">
                  <c:v>0.1459032795462174</c:v>
                </c:pt>
                <c:pt idx="4">
                  <c:v>6.4609045206465682E-2</c:v>
                </c:pt>
                <c:pt idx="5">
                  <c:v>0.10911165890466006</c:v>
                </c:pt>
                <c:pt idx="6">
                  <c:v>0.1240717745779759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51-FE44-984F-A7F886588EA7}"/>
            </c:ext>
          </c:extLst>
        </c:ser>
        <c:ser>
          <c:idx val="1"/>
          <c:order val="1"/>
          <c:tx>
            <c:strRef>
              <c:f>'Analysis with RELATIVE views'!$A$10</c:f>
              <c:strCache>
                <c:ptCount val="1"/>
                <c:pt idx="0">
                  <c:v>equilibrium means</c:v>
                </c:pt>
              </c:strCache>
            </c:strRef>
          </c:tx>
          <c:invertIfNegative val="0"/>
          <c:cat>
            <c:strRef>
              <c:f>'Analysis with RELATIVE views'!$B$8:$H$8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Japan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'Analysis with RELATIVE views'!$B$10:$H$10</c:f>
              <c:numCache>
                <c:formatCode>0.00%</c:formatCode>
                <c:ptCount val="7"/>
                <c:pt idx="0">
                  <c:v>6.3000874240000004E-2</c:v>
                </c:pt>
                <c:pt idx="1">
                  <c:v>0.11064303392800001</c:v>
                </c:pt>
                <c:pt idx="2">
                  <c:v>0.13372938620800001</c:v>
                </c:pt>
                <c:pt idx="3">
                  <c:v>0.14443583584399999</c:v>
                </c:pt>
                <c:pt idx="4">
                  <c:v>6.8844955200000002E-2</c:v>
                </c:pt>
                <c:pt idx="5">
                  <c:v>0.10828308880000001</c:v>
                </c:pt>
                <c:pt idx="6">
                  <c:v>0.120960745796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51-FE44-984F-A7F886588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528760"/>
        <c:axId val="-2120525784"/>
      </c:barChart>
      <c:catAx>
        <c:axId val="-2120528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120525784"/>
        <c:crosses val="autoZero"/>
        <c:auto val="1"/>
        <c:lblAlgn val="ctr"/>
        <c:lblOffset val="100"/>
        <c:noMultiLvlLbl val="0"/>
      </c:catAx>
      <c:valAx>
        <c:axId val="-212052578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-2120528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BL optimal versus predictive optimal (true Bayesian)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with RELATIVE views'!$A$17</c:f>
              <c:strCache>
                <c:ptCount val="1"/>
                <c:pt idx="0">
                  <c:v>Predictive optimal</c:v>
                </c:pt>
              </c:strCache>
            </c:strRef>
          </c:tx>
          <c:invertIfNegative val="0"/>
          <c:cat>
            <c:strRef>
              <c:f>'Analysis with RELATIVE views'!$B$16:$H$16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Japan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'Analysis with RELATIVE views'!$B$17:$H$17</c:f>
              <c:numCache>
                <c:formatCode>0.00%</c:formatCode>
                <c:ptCount val="7"/>
                <c:pt idx="0">
                  <c:v>1.4753663609029882E-2</c:v>
                </c:pt>
                <c:pt idx="1">
                  <c:v>2.052289437826027E-2</c:v>
                </c:pt>
                <c:pt idx="2">
                  <c:v>4.936904822441468E-2</c:v>
                </c:pt>
                <c:pt idx="3">
                  <c:v>5.2253663609028389E-2</c:v>
                </c:pt>
                <c:pt idx="4">
                  <c:v>7.7315474648498056E-2</c:v>
                </c:pt>
                <c:pt idx="5">
                  <c:v>0.11859981745518361</c:v>
                </c:pt>
                <c:pt idx="6">
                  <c:v>0.62872389961404718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4-6448-8A3F-04F3D31BE4B5}"/>
            </c:ext>
          </c:extLst>
        </c:ser>
        <c:ser>
          <c:idx val="1"/>
          <c:order val="1"/>
          <c:tx>
            <c:strRef>
              <c:f>'Analysis with RELATIVE views'!$A$18</c:f>
              <c:strCache>
                <c:ptCount val="1"/>
                <c:pt idx="0">
                  <c:v>BL optimal</c:v>
                </c:pt>
              </c:strCache>
            </c:strRef>
          </c:tx>
          <c:invertIfNegative val="0"/>
          <c:cat>
            <c:strRef>
              <c:f>'Analysis with RELATIVE views'!$B$16:$H$16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Japan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'Analysis with RELATIVE views'!$B$18:$H$18</c:f>
              <c:numCache>
                <c:formatCode>0.00%</c:formatCode>
                <c:ptCount val="7"/>
                <c:pt idx="0">
                  <c:v>1.5202738549912664E-2</c:v>
                </c:pt>
                <c:pt idx="1">
                  <c:v>2.1202738549912059E-2</c:v>
                </c:pt>
                <c:pt idx="2">
                  <c:v>5.1202738549912891E-2</c:v>
                </c:pt>
                <c:pt idx="3">
                  <c:v>5.4202738549911762E-2</c:v>
                </c:pt>
                <c:pt idx="4">
                  <c:v>8.3577598849286949E-2</c:v>
                </c:pt>
                <c:pt idx="5">
                  <c:v>0.1232027385499132</c:v>
                </c:pt>
                <c:pt idx="6">
                  <c:v>0.65140870840115017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F4-6448-8A3F-04F3D31BE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570696"/>
        <c:axId val="-2120578744"/>
      </c:barChart>
      <c:catAx>
        <c:axId val="-212057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0578744"/>
        <c:crosses val="autoZero"/>
        <c:auto val="1"/>
        <c:lblAlgn val="ctr"/>
        <c:lblOffset val="100"/>
        <c:noMultiLvlLbl val="0"/>
      </c:catAx>
      <c:valAx>
        <c:axId val="-21205787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-2120570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Predictive and posterior volatilities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with RELATIVE views'!$A$21</c:f>
              <c:strCache>
                <c:ptCount val="1"/>
                <c:pt idx="0">
                  <c:v>Predictive vol (of future asset returns)</c:v>
                </c:pt>
              </c:strCache>
            </c:strRef>
          </c:tx>
          <c:invertIfNegative val="0"/>
          <c:cat>
            <c:strRef>
              <c:f>'Analysis with RELATIVE views'!$B$20:$H$20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Japan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'Analysis with RELATIVE views'!$B$21:$H$21</c:f>
              <c:numCache>
                <c:formatCode>0.000%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D7-0C43-AC90-79CA8C6C4A05}"/>
            </c:ext>
          </c:extLst>
        </c:ser>
        <c:ser>
          <c:idx val="1"/>
          <c:order val="1"/>
          <c:tx>
            <c:strRef>
              <c:f>'Analysis with RELATIVE views'!$A$22</c:f>
              <c:strCache>
                <c:ptCount val="1"/>
                <c:pt idx="0">
                  <c:v>Posterior stdev (of estimates of thetas=EERs)</c:v>
                </c:pt>
              </c:strCache>
            </c:strRef>
          </c:tx>
          <c:invertIfNegative val="0"/>
          <c:cat>
            <c:strRef>
              <c:f>'Analysis with RELATIVE views'!$B$20:$H$20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Japan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'Analysis with RELATIVE views'!$B$22:$H$22</c:f>
              <c:numCache>
                <c:formatCode>0.000%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D7-0C43-AC90-79CA8C6C4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625288"/>
        <c:axId val="-2120622312"/>
      </c:barChart>
      <c:catAx>
        <c:axId val="-2120625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120622312"/>
        <c:crosses val="autoZero"/>
        <c:auto val="1"/>
        <c:lblAlgn val="ctr"/>
        <c:lblOffset val="100"/>
        <c:noMultiLvlLbl val="0"/>
      </c:catAx>
      <c:valAx>
        <c:axId val="-2120622312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-2120625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706967</xdr:colOff>
      <xdr:row>23</xdr:row>
      <xdr:rowOff>8468</xdr:rowOff>
    </xdr:from>
    <xdr:to>
      <xdr:col>12</xdr:col>
      <xdr:colOff>59266</xdr:colOff>
      <xdr:row>37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44450</xdr:colOff>
      <xdr:row>23</xdr:row>
      <xdr:rowOff>16933</xdr:rowOff>
    </xdr:from>
    <xdr:to>
      <xdr:col>4</xdr:col>
      <xdr:colOff>609600</xdr:colOff>
      <xdr:row>37</xdr:row>
      <xdr:rowOff>93132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</xdr:colOff>
      <xdr:row>37</xdr:row>
      <xdr:rowOff>146050</xdr:rowOff>
    </xdr:from>
    <xdr:to>
      <xdr:col>4</xdr:col>
      <xdr:colOff>615950</xdr:colOff>
      <xdr:row>52</xdr:row>
      <xdr:rowOff>27517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702733</xdr:colOff>
      <xdr:row>37</xdr:row>
      <xdr:rowOff>135467</xdr:rowOff>
    </xdr:from>
    <xdr:to>
      <xdr:col>14</xdr:col>
      <xdr:colOff>137584</xdr:colOff>
      <xdr:row>52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706967</xdr:colOff>
      <xdr:row>23</xdr:row>
      <xdr:rowOff>8468</xdr:rowOff>
    </xdr:from>
    <xdr:to>
      <xdr:col>12</xdr:col>
      <xdr:colOff>59266</xdr:colOff>
      <xdr:row>37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44450</xdr:colOff>
      <xdr:row>23</xdr:row>
      <xdr:rowOff>16933</xdr:rowOff>
    </xdr:from>
    <xdr:to>
      <xdr:col>4</xdr:col>
      <xdr:colOff>609600</xdr:colOff>
      <xdr:row>37</xdr:row>
      <xdr:rowOff>93132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</xdr:colOff>
      <xdr:row>37</xdr:row>
      <xdr:rowOff>146050</xdr:rowOff>
    </xdr:from>
    <xdr:to>
      <xdr:col>4</xdr:col>
      <xdr:colOff>615950</xdr:colOff>
      <xdr:row>52</xdr:row>
      <xdr:rowOff>27517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717550</xdr:colOff>
      <xdr:row>37</xdr:row>
      <xdr:rowOff>152399</xdr:rowOff>
    </xdr:from>
    <xdr:to>
      <xdr:col>14</xdr:col>
      <xdr:colOff>152401</xdr:colOff>
      <xdr:row>52</xdr:row>
      <xdr:rowOff>29633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414866</xdr:colOff>
      <xdr:row>1</xdr:row>
      <xdr:rowOff>50799</xdr:rowOff>
    </xdr:from>
    <xdr:to>
      <xdr:col>14</xdr:col>
      <xdr:colOff>169333</xdr:colOff>
      <xdr:row>21</xdr:row>
      <xdr:rowOff>169332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 txBox="1"/>
      </xdr:nvSpPr>
      <xdr:spPr>
        <a:xfrm>
          <a:off x="12505266" y="241299"/>
          <a:ext cx="3056467" cy="4690533"/>
        </a:xfrm>
        <a:prstGeom prst="rect">
          <a:avLst/>
        </a:prstGeom>
        <a:solidFill>
          <a:srgbClr val="C3D69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 (</a:t>
          </a:r>
          <a:r>
            <a:rPr lang="en-US" sz="1100" baseline="0"/>
            <a:t>revised Sunday Mar 9 because most of it no longer applied)</a:t>
          </a:r>
          <a:endParaRPr lang="en-US" sz="1100"/>
        </a:p>
        <a:p>
          <a:endParaRPr lang="en-US" sz="1100"/>
        </a:p>
        <a:p>
          <a:r>
            <a:rPr lang="en-US" sz="1100"/>
            <a:t>In 3., "means" is shorthand for expected excess returns.</a:t>
          </a:r>
        </a:p>
        <a:p>
          <a:endParaRPr lang="en-US" sz="110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I17"/>
  <sheetViews>
    <sheetView zoomScale="150" zoomScaleNormal="150" zoomScalePageLayoutView="150" workbookViewId="0">
      <selection activeCell="E18" sqref="E18"/>
    </sheetView>
  </sheetViews>
  <sheetFormatPr baseColWidth="10" defaultRowHeight="16" x14ac:dyDescent="0.2"/>
  <sheetData>
    <row r="1" spans="1:9" x14ac:dyDescent="0.2">
      <c r="A1" s="5" t="s">
        <v>45</v>
      </c>
      <c r="B1" s="5"/>
      <c r="C1" s="5"/>
      <c r="D1" s="5"/>
      <c r="E1" s="5"/>
      <c r="F1" s="5"/>
      <c r="G1" s="5"/>
      <c r="H1" s="5"/>
      <c r="I1" s="5"/>
    </row>
    <row r="2" spans="1:9" s="2" customFormat="1" x14ac:dyDescent="0.2">
      <c r="A2" s="5" t="s">
        <v>18</v>
      </c>
      <c r="B2" s="6"/>
      <c r="C2" s="6"/>
      <c r="D2" s="6"/>
      <c r="E2" s="6"/>
      <c r="F2" s="6"/>
      <c r="G2" s="6"/>
      <c r="H2" s="6"/>
      <c r="I2" s="6"/>
    </row>
    <row r="4" spans="1:9" x14ac:dyDescent="0.2">
      <c r="A4" t="s">
        <v>83</v>
      </c>
    </row>
    <row r="5" spans="1:9" x14ac:dyDescent="0.2">
      <c r="A5" t="s">
        <v>88</v>
      </c>
    </row>
    <row r="6" spans="1:9" x14ac:dyDescent="0.2">
      <c r="A6" t="s">
        <v>87</v>
      </c>
    </row>
    <row r="8" spans="1:9" x14ac:dyDescent="0.2">
      <c r="A8" t="s">
        <v>55</v>
      </c>
    </row>
    <row r="10" spans="1:9" x14ac:dyDescent="0.2">
      <c r="A10" t="s">
        <v>51</v>
      </c>
    </row>
    <row r="12" spans="1:9" x14ac:dyDescent="0.2">
      <c r="A12" t="s">
        <v>54</v>
      </c>
    </row>
    <row r="14" spans="1:9" x14ac:dyDescent="0.2">
      <c r="A14" t="s">
        <v>90</v>
      </c>
    </row>
    <row r="15" spans="1:9" x14ac:dyDescent="0.2">
      <c r="A15" t="s">
        <v>91</v>
      </c>
    </row>
    <row r="16" spans="1:9" x14ac:dyDescent="0.2">
      <c r="A16" t="s">
        <v>92</v>
      </c>
    </row>
    <row r="17" spans="1:1" x14ac:dyDescent="0.2">
      <c r="A17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zoomScale="125" zoomScaleNormal="125" zoomScalePageLayoutView="125" workbookViewId="0">
      <selection activeCell="C3" sqref="C3"/>
    </sheetView>
  </sheetViews>
  <sheetFormatPr baseColWidth="10" defaultRowHeight="16" x14ac:dyDescent="0.2"/>
  <cols>
    <col min="1" max="1" width="47.1640625" bestFit="1" customWidth="1"/>
    <col min="2" max="8" width="18.1640625" style="2" customWidth="1"/>
    <col min="9" max="9" width="8.5" style="2" bestFit="1" customWidth="1"/>
    <col min="10" max="16384" width="10.83203125" style="2"/>
  </cols>
  <sheetData>
    <row r="1" spans="1:11" customFormat="1" x14ac:dyDescent="0.2">
      <c r="A1" t="s">
        <v>36</v>
      </c>
      <c r="B1" t="s">
        <v>33</v>
      </c>
      <c r="C1" s="2" t="s">
        <v>17</v>
      </c>
      <c r="D1" s="2" t="s">
        <v>37</v>
      </c>
      <c r="E1" s="2" t="s">
        <v>38</v>
      </c>
      <c r="F1" s="2" t="s">
        <v>46</v>
      </c>
      <c r="G1" s="2" t="s">
        <v>34</v>
      </c>
      <c r="H1" s="2"/>
    </row>
    <row r="2" spans="1:11" customFormat="1" x14ac:dyDescent="0.2">
      <c r="A2" t="s">
        <v>39</v>
      </c>
      <c r="B2" t="s">
        <v>36</v>
      </c>
      <c r="C2" s="17">
        <v>4</v>
      </c>
      <c r="D2" s="2">
        <v>0.04</v>
      </c>
      <c r="E2" s="17">
        <v>0.1</v>
      </c>
      <c r="F2" s="6">
        <v>-0.02</v>
      </c>
      <c r="G2" s="6">
        <v>0.01</v>
      </c>
      <c r="H2" s="2"/>
    </row>
    <row r="3" spans="1:11" x14ac:dyDescent="0.2">
      <c r="C3" s="16"/>
    </row>
    <row r="4" spans="1:11" x14ac:dyDescent="0.2">
      <c r="B4" s="13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</row>
    <row r="5" spans="1:11" x14ac:dyDescent="0.2">
      <c r="A5" t="s">
        <v>64</v>
      </c>
      <c r="B5" s="15">
        <f>-1/6</f>
        <v>-0.16666666666666666</v>
      </c>
      <c r="C5" s="15">
        <f t="shared" ref="C5:H6" si="0">-1/6</f>
        <v>-0.16666666666666666</v>
      </c>
      <c r="D5" s="15">
        <f t="shared" si="0"/>
        <v>-0.16666666666666666</v>
      </c>
      <c r="E5" s="15">
        <f t="shared" si="0"/>
        <v>-0.16666666666666666</v>
      </c>
      <c r="F5" s="15">
        <v>1</v>
      </c>
      <c r="G5" s="15">
        <f t="shared" si="0"/>
        <v>-0.16666666666666666</v>
      </c>
      <c r="H5" s="15">
        <f t="shared" si="0"/>
        <v>-0.16666666666666666</v>
      </c>
    </row>
    <row r="6" spans="1:11" x14ac:dyDescent="0.2">
      <c r="A6" t="s">
        <v>65</v>
      </c>
      <c r="B6" s="15">
        <f>-1/6</f>
        <v>-0.16666666666666666</v>
      </c>
      <c r="C6" s="15">
        <f t="shared" si="0"/>
        <v>-0.16666666666666666</v>
      </c>
      <c r="D6" s="15">
        <f t="shared" si="0"/>
        <v>-0.16666666666666666</v>
      </c>
      <c r="E6" s="15">
        <f t="shared" si="0"/>
        <v>-0.16666666666666666</v>
      </c>
      <c r="F6" s="15">
        <f t="shared" si="0"/>
        <v>-0.16666666666666666</v>
      </c>
      <c r="G6" s="15">
        <f t="shared" si="0"/>
        <v>-0.16666666666666666</v>
      </c>
      <c r="H6" s="15">
        <v>1</v>
      </c>
    </row>
    <row r="8" spans="1:11" x14ac:dyDescent="0.2">
      <c r="A8" t="s">
        <v>67</v>
      </c>
      <c r="C8" s="29">
        <v>-0.02</v>
      </c>
      <c r="D8" s="8" t="s">
        <v>70</v>
      </c>
    </row>
    <row r="9" spans="1:11" x14ac:dyDescent="0.2">
      <c r="A9" t="s">
        <v>66</v>
      </c>
      <c r="C9" s="29">
        <v>0.01</v>
      </c>
      <c r="D9" s="8" t="s">
        <v>69</v>
      </c>
    </row>
    <row r="10" spans="1:11" x14ac:dyDescent="0.2">
      <c r="C10" s="7"/>
      <c r="D10" s="8"/>
    </row>
    <row r="11" spans="1:11" x14ac:dyDescent="0.2">
      <c r="A11" t="s">
        <v>32</v>
      </c>
      <c r="B11" s="18" t="s">
        <v>33</v>
      </c>
      <c r="C11" s="18" t="s">
        <v>46</v>
      </c>
      <c r="D11" s="18" t="s">
        <v>34</v>
      </c>
      <c r="H11" s="9"/>
      <c r="J11" s="10"/>
      <c r="K11" s="8"/>
    </row>
    <row r="12" spans="1:11" x14ac:dyDescent="0.2">
      <c r="A12" t="s">
        <v>35</v>
      </c>
      <c r="B12" s="18" t="s">
        <v>46</v>
      </c>
      <c r="C12" s="21" cm="1">
        <f t="array" ref="C12">MMULT(B5:H5, MMULT('historical risk'!$B$18:$H$24, TRANSPOSE(B5:H5)))</f>
        <v>4.4311857055555556E-2</v>
      </c>
      <c r="D12" s="21" cm="1">
        <f t="array" ref="D12">MMULT(B6:H6, MMULT('historical risk'!$B$18:$H$24, TRANSPOSE(B5:H5)))</f>
        <v>-7.130522277777775E-3</v>
      </c>
    </row>
    <row r="13" spans="1:11" x14ac:dyDescent="0.2">
      <c r="B13" s="18" t="s">
        <v>34</v>
      </c>
      <c r="C13" s="21" cm="1">
        <f t="array" ref="C13">MMULT(B5:H5, MMULT('historical risk'!$B$18:$H$24, TRANSPOSE(B6:H6)))</f>
        <v>-7.130522277777775E-3</v>
      </c>
      <c r="D13" s="21" cm="1">
        <f t="array" ref="D13">MMULT(B6:H6, MMULT('historical risk'!$B$18:$H$24, TRANSPOSE(B6:H6)))</f>
        <v>1.6336882833333333E-2</v>
      </c>
      <c r="H13" s="9"/>
      <c r="J13" s="8"/>
      <c r="K13" s="8"/>
    </row>
    <row r="14" spans="1:11" x14ac:dyDescent="0.2">
      <c r="B14" s="8"/>
      <c r="C14" s="14"/>
      <c r="D14" s="14"/>
      <c r="H14"/>
      <c r="K14" s="8"/>
    </row>
    <row r="15" spans="1:11" x14ac:dyDescent="0.2">
      <c r="A15" t="s">
        <v>41</v>
      </c>
      <c r="B15" s="18" t="s">
        <v>33</v>
      </c>
      <c r="C15" s="18" t="s">
        <v>46</v>
      </c>
      <c r="D15" s="18" t="s">
        <v>34</v>
      </c>
      <c r="H15"/>
      <c r="K15" s="8"/>
    </row>
    <row r="16" spans="1:11" x14ac:dyDescent="0.2">
      <c r="B16" s="18" t="s">
        <v>46</v>
      </c>
      <c r="C16" s="21">
        <f>C12/C12</f>
        <v>1</v>
      </c>
      <c r="D16" s="21">
        <f>D12/C20/D20</f>
        <v>-0.26501885196724256</v>
      </c>
    </row>
    <row r="17" spans="1:4" x14ac:dyDescent="0.2">
      <c r="B17" s="18" t="s">
        <v>34</v>
      </c>
      <c r="C17" s="21">
        <f>C13/C20/D20</f>
        <v>-0.26501885196724256</v>
      </c>
      <c r="D17" s="21">
        <f>D13/D20/D20</f>
        <v>1</v>
      </c>
    </row>
    <row r="18" spans="1:4" x14ac:dyDescent="0.2">
      <c r="B18" s="8"/>
      <c r="C18" s="7"/>
      <c r="D18" s="8"/>
    </row>
    <row r="19" spans="1:4" x14ac:dyDescent="0.2">
      <c r="A19" t="s">
        <v>43</v>
      </c>
      <c r="B19" s="19" t="s">
        <v>33</v>
      </c>
      <c r="C19" s="15" t="s">
        <v>46</v>
      </c>
      <c r="D19" s="15" t="s">
        <v>34</v>
      </c>
    </row>
    <row r="20" spans="1:4" x14ac:dyDescent="0.2">
      <c r="B20" s="19" t="s">
        <v>42</v>
      </c>
      <c r="C20" s="22">
        <f>SQRT(C12)</f>
        <v>0.21050381719948824</v>
      </c>
      <c r="D20" s="22">
        <f>SQRT(D13)</f>
        <v>0.12781581605315256</v>
      </c>
    </row>
    <row r="21" spans="1:4" x14ac:dyDescent="0.2">
      <c r="A21" s="2"/>
      <c r="B21" s="8"/>
    </row>
    <row r="22" spans="1:4" x14ac:dyDescent="0.2">
      <c r="A22" t="s">
        <v>52</v>
      </c>
      <c r="B22" t="s">
        <v>33</v>
      </c>
      <c r="C22" t="s">
        <v>46</v>
      </c>
      <c r="D22" t="s">
        <v>34</v>
      </c>
    </row>
    <row r="23" spans="1:4" x14ac:dyDescent="0.2">
      <c r="A23" s="8" t="s">
        <v>53</v>
      </c>
      <c r="B23" t="s">
        <v>46</v>
      </c>
      <c r="C23" s="21">
        <f>$E$2*C12</f>
        <v>4.4311857055555556E-3</v>
      </c>
      <c r="D23" s="21">
        <f>$E$2*D12</f>
        <v>-7.1305222777777759E-4</v>
      </c>
    </row>
    <row r="24" spans="1:4" x14ac:dyDescent="0.2">
      <c r="A24" s="2" t="s">
        <v>40</v>
      </c>
      <c r="B24" t="s">
        <v>34</v>
      </c>
      <c r="C24" s="21">
        <f>$E$2*C13</f>
        <v>-7.1305222777777759E-4</v>
      </c>
      <c r="D24" s="21">
        <f>$E$2*D13</f>
        <v>1.6336882833333335E-3</v>
      </c>
    </row>
    <row r="25" spans="1:4" x14ac:dyDescent="0.2">
      <c r="A25" s="2"/>
      <c r="C25" s="15"/>
      <c r="D25" s="15"/>
    </row>
    <row r="26" spans="1:4" x14ac:dyDescent="0.2">
      <c r="A26" s="8" t="s">
        <v>50</v>
      </c>
      <c r="B26" t="s">
        <v>33</v>
      </c>
      <c r="C26" s="18" t="s">
        <v>46</v>
      </c>
      <c r="D26" s="18" t="s">
        <v>34</v>
      </c>
    </row>
    <row r="27" spans="1:4" x14ac:dyDescent="0.2">
      <c r="A27" s="2"/>
      <c r="B27" t="s">
        <v>42</v>
      </c>
      <c r="C27" s="22">
        <f>SQRT(C23)</f>
        <v>6.6567151851010989E-2</v>
      </c>
      <c r="D27" s="22">
        <f>SQRT(D24)</f>
        <v>4.0418909972107529E-2</v>
      </c>
    </row>
    <row r="28" spans="1:4" x14ac:dyDescent="0.2">
      <c r="A28" s="2"/>
    </row>
    <row r="29" spans="1:4" x14ac:dyDescent="0.2">
      <c r="A2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abSelected="1" zoomScale="110" zoomScaleNormal="110" zoomScalePageLayoutView="150" workbookViewId="0"/>
  </sheetViews>
  <sheetFormatPr baseColWidth="10" defaultRowHeight="16" x14ac:dyDescent="0.2"/>
  <cols>
    <col min="1" max="1" width="52.6640625" bestFit="1" customWidth="1"/>
    <col min="2" max="2" width="16.5" bestFit="1" customWidth="1"/>
    <col min="3" max="3" width="13.6640625" bestFit="1" customWidth="1"/>
  </cols>
  <sheetData>
    <row r="1" spans="1:8" x14ac:dyDescent="0.2">
      <c r="A1" t="s">
        <v>30</v>
      </c>
      <c r="B1" s="2" t="s">
        <v>46</v>
      </c>
      <c r="C1" s="2" t="s">
        <v>34</v>
      </c>
      <c r="D1" s="23" t="s">
        <v>58</v>
      </c>
    </row>
    <row r="2" spans="1:8" x14ac:dyDescent="0.2">
      <c r="B2" s="20">
        <f>'Set-up + preliminary questions'!C27</f>
        <v>6.6567151851010989E-2</v>
      </c>
      <c r="C2" s="20">
        <f>'Set-up + preliminary questions'!D27</f>
        <v>4.0418909972107529E-2</v>
      </c>
    </row>
    <row r="3" spans="1:8" x14ac:dyDescent="0.2">
      <c r="B3" s="2"/>
      <c r="C3" s="2"/>
    </row>
    <row r="4" spans="1:8" x14ac:dyDescent="0.2">
      <c r="A4" t="s">
        <v>29</v>
      </c>
      <c r="B4" s="2" t="s">
        <v>46</v>
      </c>
      <c r="C4" s="2" t="s">
        <v>34</v>
      </c>
    </row>
    <row r="5" spans="1:8" x14ac:dyDescent="0.2">
      <c r="A5" t="s">
        <v>46</v>
      </c>
      <c r="B5" s="11">
        <f>'Set-up + preliminary questions'!C23/Analysis!B2/Analysis!B2</f>
        <v>1</v>
      </c>
      <c r="C5" s="11">
        <f>'Set-up + preliminary questions'!D23/Analysis!B2/Analysis!C2</f>
        <v>-0.26501885196724256</v>
      </c>
    </row>
    <row r="6" spans="1:8" x14ac:dyDescent="0.2">
      <c r="A6" t="s">
        <v>34</v>
      </c>
      <c r="B6" s="11">
        <f>'Set-up + preliminary questions'!C24/Analysis!C2/Analysis!B2</f>
        <v>-0.26501885196724256</v>
      </c>
      <c r="C6" s="11">
        <f>'Set-up + preliminary questions'!D24/Analysis!C2/Analysis!C2</f>
        <v>1</v>
      </c>
    </row>
    <row r="8" spans="1:8" x14ac:dyDescent="0.2">
      <c r="A8" t="s">
        <v>31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</row>
    <row r="9" spans="1:8" x14ac:dyDescent="0.2">
      <c r="A9" t="s">
        <v>7</v>
      </c>
      <c r="B9" s="12" cm="1">
        <f t="array" ref="B9:H9">_xlfn.ANCHORARRAY('posterior distribution'!B4)</f>
        <v>6.2532499072844056E-2</v>
      </c>
      <c r="C9" s="12">
        <v>0.10797578071834793</v>
      </c>
      <c r="D9" s="12">
        <v>0.13070335395389759</v>
      </c>
      <c r="E9" s="12">
        <v>0.14113971554893073</v>
      </c>
      <c r="F9" s="12">
        <v>7.351678360482039E-2</v>
      </c>
      <c r="G9" s="12">
        <v>0.10636237496885706</v>
      </c>
      <c r="H9" s="12">
        <v>0.1180892870917592</v>
      </c>
    </row>
    <row r="10" spans="1:8" x14ac:dyDescent="0.2">
      <c r="A10" t="s">
        <v>19</v>
      </c>
      <c r="B10" s="12" cm="1">
        <f t="array" ref="B10:H10">'Set-up + preliminary questions'!$C$2*TRANSPOSE(MMULT('historical risk'!B18:H24, 'historical risk'!J7:J13))</f>
        <v>6.3000874240000004E-2</v>
      </c>
      <c r="C10" s="12">
        <v>0.11064303392800001</v>
      </c>
      <c r="D10" s="12">
        <v>0.13372938620800001</v>
      </c>
      <c r="E10" s="12">
        <v>0.14443583584399999</v>
      </c>
      <c r="F10" s="12">
        <v>6.8844955200000002E-2</v>
      </c>
      <c r="G10" s="12">
        <v>0.10828308880000001</v>
      </c>
      <c r="H10" s="12">
        <v>0.120960745796</v>
      </c>
    </row>
    <row r="12" spans="1:8" x14ac:dyDescent="0.2">
      <c r="A12" t="s">
        <v>61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</row>
    <row r="13" spans="1:8" x14ac:dyDescent="0.2">
      <c r="A13" t="s">
        <v>59</v>
      </c>
      <c r="B13" s="12" cm="1">
        <f t="array" ref="B13:H13">MMULT(_xlfn.ANCHORARRAY(Analysis!B9),MINVERSE('Set-up + preliminary questions'!C2*'historical risk'!B18:H24))</f>
        <v>1.1347394046168358E-2</v>
      </c>
      <c r="C13" s="12">
        <v>1.7347394046167697E-2</v>
      </c>
      <c r="D13" s="12">
        <v>4.7347394046168167E-2</v>
      </c>
      <c r="E13" s="12">
        <v>5.0347394046167837E-2</v>
      </c>
      <c r="F13" s="12">
        <v>0.15581561833091589</v>
      </c>
      <c r="G13" s="12">
        <v>0.11934739404616873</v>
      </c>
      <c r="H13" s="12">
        <v>0.59844741143824343</v>
      </c>
    </row>
    <row r="14" spans="1:8" x14ac:dyDescent="0.2">
      <c r="A14" t="s">
        <v>60</v>
      </c>
      <c r="B14" s="12" cm="1">
        <f t="array" ref="B14:H14">MMULT(_xlfn.ANCHORARRAY(Analysis!B10),MINVERSE('Set-up + preliminary questions'!C2*'historical risk'!B18:H24))</f>
        <v>1.6000000000000097E-2</v>
      </c>
      <c r="C14" s="12">
        <v>2.1999999999999797E-2</v>
      </c>
      <c r="D14" s="12">
        <v>5.2000000000000796E-2</v>
      </c>
      <c r="E14" s="12">
        <v>5.4999999999999667E-2</v>
      </c>
      <c r="F14" s="12">
        <v>0.1160000000000001</v>
      </c>
      <c r="G14" s="12">
        <v>0.12399999999999967</v>
      </c>
      <c r="H14" s="12">
        <v>0.61500000000000021</v>
      </c>
    </row>
    <row r="16" spans="1:8" x14ac:dyDescent="0.2">
      <c r="A16" t="s">
        <v>56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x14ac:dyDescent="0.2">
      <c r="A17" t="s">
        <v>48</v>
      </c>
      <c r="B17" s="12" cm="1">
        <f t="array" ref="B17:H17">MMULT(_xlfn.ANCHORARRAY(Analysis!B9),MINVERSE('Set-up + preliminary questions'!C2*'predictive distribution'!B22:H28))</f>
        <v>1.1005412008167209E-2</v>
      </c>
      <c r="C17" s="12">
        <v>1.6774642777397819E-2</v>
      </c>
      <c r="D17" s="12">
        <v>4.5620796623551396E-2</v>
      </c>
      <c r="E17" s="12">
        <v>4.850541200816668E-2</v>
      </c>
      <c r="F17" s="12">
        <v>0.14754688247785941</v>
      </c>
      <c r="G17" s="12">
        <v>0.11485156585432116</v>
      </c>
      <c r="H17" s="12">
        <v>0.57723374978899877</v>
      </c>
    </row>
    <row r="18" spans="1:8" x14ac:dyDescent="0.2">
      <c r="A18" t="s">
        <v>62</v>
      </c>
      <c r="B18" s="12" cm="1">
        <f t="array" ref="B18:H18">_xlfn.ANCHORARRAY(B13)</f>
        <v>1.1347394046168358E-2</v>
      </c>
      <c r="C18" s="12">
        <v>1.7347394046167697E-2</v>
      </c>
      <c r="D18" s="12">
        <v>4.7347394046168167E-2</v>
      </c>
      <c r="E18" s="12">
        <v>5.0347394046167837E-2</v>
      </c>
      <c r="F18" s="12">
        <v>0.15581561833091589</v>
      </c>
      <c r="G18" s="12">
        <v>0.11934739404616873</v>
      </c>
      <c r="H18" s="12">
        <v>0.59844741143824343</v>
      </c>
    </row>
    <row r="20" spans="1:8" x14ac:dyDescent="0.2">
      <c r="A20" t="s">
        <v>57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</row>
    <row r="21" spans="1:8" x14ac:dyDescent="0.2">
      <c r="A21" t="s">
        <v>21</v>
      </c>
      <c r="B21" s="12" cm="1">
        <f t="array" ref="B21:H21">'predictive distribution'!B8:H8</f>
        <v>0.16309761420567678</v>
      </c>
      <c r="C21" s="12">
        <v>0.20684134569518459</v>
      </c>
      <c r="D21" s="12">
        <v>0.25249875182108084</v>
      </c>
      <c r="E21" s="12">
        <v>0.2758760791187328</v>
      </c>
      <c r="F21" s="12">
        <v>0.21364121022414495</v>
      </c>
      <c r="G21" s="12">
        <v>0.20372590851856676</v>
      </c>
      <c r="H21" s="12">
        <v>0.19039611601015288</v>
      </c>
    </row>
    <row r="22" spans="1:8" x14ac:dyDescent="0.2">
      <c r="A22" t="s">
        <v>22</v>
      </c>
      <c r="B22" s="12" cm="1">
        <f t="array" ref="B22:H22">'posterior distribution'!B8:H8</f>
        <v>3.1635925141898148E-2</v>
      </c>
      <c r="C22" s="12">
        <v>3.967798242092014E-2</v>
      </c>
      <c r="D22" s="12">
        <v>4.7451234664693115E-2</v>
      </c>
      <c r="E22" s="12">
        <v>5.1639239246190648E-2</v>
      </c>
      <c r="F22" s="12">
        <v>3.9275522988717851E-2</v>
      </c>
      <c r="G22" s="12">
        <v>3.8784607793755282E-2</v>
      </c>
      <c r="H22" s="12">
        <v>3.5800572505919379E-2</v>
      </c>
    </row>
    <row r="46" spans="1:5" x14ac:dyDescent="0.2">
      <c r="B46" s="3" t="s">
        <v>0</v>
      </c>
      <c r="C46" t="s">
        <v>1</v>
      </c>
      <c r="D46" t="s">
        <v>2</v>
      </c>
      <c r="E46" t="s">
        <v>3</v>
      </c>
    </row>
    <row r="47" spans="1:5" x14ac:dyDescent="0.2">
      <c r="A47" t="s">
        <v>13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P27"/>
  <sheetViews>
    <sheetView topLeftCell="A12" zoomScale="150" zoomScaleNormal="150" zoomScalePageLayoutView="150" workbookViewId="0">
      <selection activeCell="B4" sqref="B4"/>
    </sheetView>
  </sheetViews>
  <sheetFormatPr baseColWidth="10" defaultRowHeight="16" x14ac:dyDescent="0.2"/>
  <cols>
    <col min="1" max="1" width="22.1640625" customWidth="1"/>
  </cols>
  <sheetData>
    <row r="2" spans="1:9" x14ac:dyDescent="0.2">
      <c r="A2" s="37" t="s">
        <v>15</v>
      </c>
      <c r="B2" s="37"/>
      <c r="C2" s="37"/>
      <c r="D2" s="37"/>
      <c r="E2" s="37"/>
      <c r="F2" s="37"/>
      <c r="G2" s="37"/>
      <c r="H2" s="37"/>
      <c r="I2" t="s">
        <v>44</v>
      </c>
    </row>
    <row r="3" spans="1:9" s="1" customFormat="1" x14ac:dyDescent="0.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9" x14ac:dyDescent="0.2">
      <c r="A4" t="s">
        <v>11</v>
      </c>
      <c r="B4" s="12" cm="1">
        <f t="array" ref="B4:H4">TRANSPOSE(MMULT(_xlfn.ANCHORARRAY(B21), MMULT(MINVERSE('Set-up + preliminary questions'!D2*'historical risk'!B18:H24),TRANSPOSE(_xlfn.ANCHORARRAY(Analysis!B10)))+MMULT(TRANSPOSE('Set-up + preliminary questions'!B5:H6),MMULT(MINVERSE('Set-up + preliminary questions'!C23:D24),'Set-up + preliminary questions'!C8:C9))))</f>
        <v>6.2532499072844056E-2</v>
      </c>
      <c r="C4" s="12">
        <v>0.10797578071834793</v>
      </c>
      <c r="D4" s="12">
        <v>0.13070335395389759</v>
      </c>
      <c r="E4" s="12">
        <v>0.14113971554893073</v>
      </c>
      <c r="F4" s="12">
        <v>7.351678360482039E-2</v>
      </c>
      <c r="G4" s="12">
        <v>0.10636237496885706</v>
      </c>
      <c r="H4" s="12">
        <v>0.1180892870917592</v>
      </c>
    </row>
    <row r="6" spans="1:9" x14ac:dyDescent="0.2">
      <c r="A6" s="37" t="s">
        <v>23</v>
      </c>
      <c r="B6" s="37"/>
      <c r="C6" s="37"/>
      <c r="D6" s="37"/>
      <c r="E6" s="37"/>
      <c r="F6" s="37"/>
      <c r="G6" s="37"/>
      <c r="H6" s="37"/>
    </row>
    <row r="7" spans="1:9" s="2" customForma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</row>
    <row r="8" spans="1:9" x14ac:dyDescent="0.2">
      <c r="A8" t="s">
        <v>14</v>
      </c>
      <c r="B8" s="12" cm="1">
        <f t="array" ref="B8">SQRT(INDEX(B21:B27, COLUMN()-1))</f>
        <v>3.1635925141898148E-2</v>
      </c>
      <c r="C8" s="12" cm="1">
        <f t="array" ref="C8">SQRT(INDEX(C21:C27, COLUMN()-1))</f>
        <v>3.967798242092014E-2</v>
      </c>
      <c r="D8" s="12" cm="1">
        <f t="array" ref="D8">SQRT(INDEX(D21:D27, COLUMN()-1))</f>
        <v>4.7451234664693115E-2</v>
      </c>
      <c r="E8" s="12" cm="1">
        <f t="array" ref="E8">SQRT(INDEX(E21:E27, COLUMN()-1))</f>
        <v>5.1639239246190648E-2</v>
      </c>
      <c r="F8" s="12" cm="1">
        <f t="array" ref="F8">SQRT(INDEX(F21:F27, COLUMN()-1))</f>
        <v>3.9275522988717851E-2</v>
      </c>
      <c r="G8" s="12" cm="1">
        <f t="array" ref="G8">SQRT(INDEX(G21:G27, COLUMN()-1))</f>
        <v>3.8784607793755282E-2</v>
      </c>
      <c r="H8" s="12" cm="1">
        <f t="array" ref="H8">SQRT(INDEX(H21:H27, COLUMN()-1))</f>
        <v>3.5800572505919379E-2</v>
      </c>
    </row>
    <row r="10" spans="1:9" x14ac:dyDescent="0.2">
      <c r="A10" s="37" t="s">
        <v>16</v>
      </c>
      <c r="B10" s="37"/>
      <c r="C10" s="37"/>
      <c r="D10" s="37"/>
      <c r="E10" s="37"/>
      <c r="F10" s="37"/>
      <c r="G10" s="37"/>
      <c r="H10" s="37"/>
    </row>
    <row r="11" spans="1:9" s="2" customFormat="1" x14ac:dyDescent="0.2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</row>
    <row r="12" spans="1:9" x14ac:dyDescent="0.2">
      <c r="A12" t="s">
        <v>0</v>
      </c>
      <c r="B12" s="11">
        <f>B21/B$20/$A21</f>
        <v>1</v>
      </c>
      <c r="C12" s="11">
        <f t="shared" ref="C12:H12" si="0">C21/C$20/$A21</f>
        <v>0.48877143732456768</v>
      </c>
      <c r="D12" s="11">
        <f t="shared" si="0"/>
        <v>0.46294453158913335</v>
      </c>
      <c r="E12" s="11">
        <f t="shared" si="0"/>
        <v>0.50157359613493935</v>
      </c>
      <c r="F12" s="11">
        <f t="shared" si="0"/>
        <v>0.48527259433498782</v>
      </c>
      <c r="G12" s="11">
        <f t="shared" si="0"/>
        <v>0.49814420108054058</v>
      </c>
      <c r="H12" s="11">
        <f t="shared" si="0"/>
        <v>0.53086961083183581</v>
      </c>
    </row>
    <row r="13" spans="1:9" x14ac:dyDescent="0.2">
      <c r="A13" t="s">
        <v>1</v>
      </c>
      <c r="B13" s="11">
        <f t="shared" ref="B13:H13" si="1">B22/B$20/$A22</f>
        <v>0.48877143732456763</v>
      </c>
      <c r="C13" s="11">
        <f t="shared" si="1"/>
        <v>1.0000000000000002</v>
      </c>
      <c r="D13" s="11">
        <f t="shared" si="1"/>
        <v>0.65737416583305264</v>
      </c>
      <c r="E13" s="11">
        <f t="shared" si="1"/>
        <v>0.6497638869746114</v>
      </c>
      <c r="F13" s="11">
        <f t="shared" si="1"/>
        <v>0.41677652297732987</v>
      </c>
      <c r="G13" s="11">
        <f t="shared" si="1"/>
        <v>0.59968611913192127</v>
      </c>
      <c r="H13" s="11">
        <f t="shared" si="1"/>
        <v>0.78621698561519049</v>
      </c>
    </row>
    <row r="14" spans="1:9" x14ac:dyDescent="0.2">
      <c r="A14" t="s">
        <v>2</v>
      </c>
      <c r="B14" s="11">
        <f t="shared" ref="B14:H14" si="2">B23/B$20/$A23</f>
        <v>0.46294453158913329</v>
      </c>
      <c r="C14" s="11">
        <f t="shared" si="2"/>
        <v>0.65737416583305264</v>
      </c>
      <c r="D14" s="11">
        <f t="shared" si="2"/>
        <v>1.0000000000000002</v>
      </c>
      <c r="E14" s="11">
        <f t="shared" si="2"/>
        <v>0.84766848060702615</v>
      </c>
      <c r="F14" s="11">
        <f t="shared" si="2"/>
        <v>0.46120797561678301</v>
      </c>
      <c r="G14" s="11">
        <f t="shared" si="2"/>
        <v>0.76743605203117859</v>
      </c>
      <c r="H14" s="11">
        <f t="shared" si="2"/>
        <v>0.71605418231639695</v>
      </c>
    </row>
    <row r="15" spans="1:9" x14ac:dyDescent="0.2">
      <c r="A15" t="s">
        <v>3</v>
      </c>
      <c r="B15" s="11">
        <f t="shared" ref="B15:H15" si="3">B24/B$20/$A24</f>
        <v>0.50157359613493935</v>
      </c>
      <c r="C15" s="11">
        <f t="shared" si="3"/>
        <v>0.6497638869746114</v>
      </c>
      <c r="D15" s="11">
        <f t="shared" si="3"/>
        <v>0.84766848060702638</v>
      </c>
      <c r="E15" s="11">
        <f t="shared" si="3"/>
        <v>1</v>
      </c>
      <c r="F15" s="11">
        <f t="shared" si="3"/>
        <v>0.46086011982381286</v>
      </c>
      <c r="G15" s="11">
        <f t="shared" si="3"/>
        <v>0.76066200170011589</v>
      </c>
      <c r="H15" s="11">
        <f t="shared" si="3"/>
        <v>0.7056694515820664</v>
      </c>
    </row>
    <row r="16" spans="1:9" x14ac:dyDescent="0.2">
      <c r="A16" t="s">
        <v>4</v>
      </c>
      <c r="B16" s="11">
        <f t="shared" ref="B16:H16" si="4">B25/B$20/$A25</f>
        <v>0.48527259433498782</v>
      </c>
      <c r="C16" s="11">
        <f t="shared" si="4"/>
        <v>0.41677652297732976</v>
      </c>
      <c r="D16" s="11">
        <f t="shared" si="4"/>
        <v>0.46120797561678306</v>
      </c>
      <c r="E16" s="11">
        <f t="shared" si="4"/>
        <v>0.46086011982381281</v>
      </c>
      <c r="F16" s="11">
        <f t="shared" si="4"/>
        <v>0.99999999999999978</v>
      </c>
      <c r="G16" s="11">
        <f t="shared" si="4"/>
        <v>0.49564352989007188</v>
      </c>
      <c r="H16" s="11">
        <f t="shared" si="4"/>
        <v>0.44513537098153189</v>
      </c>
    </row>
    <row r="17" spans="1:16" x14ac:dyDescent="0.2">
      <c r="A17" t="s">
        <v>5</v>
      </c>
      <c r="B17" s="11">
        <f t="shared" ref="B17:H17" si="5">B26/B$20/$A26</f>
        <v>0.49814420108054064</v>
      </c>
      <c r="C17" s="11">
        <f t="shared" si="5"/>
        <v>0.59968611913192127</v>
      </c>
      <c r="D17" s="11">
        <f t="shared" si="5"/>
        <v>0.76743605203117882</v>
      </c>
      <c r="E17" s="11">
        <f t="shared" si="5"/>
        <v>0.76066200170011589</v>
      </c>
      <c r="F17" s="11">
        <f t="shared" si="5"/>
        <v>0.49564352989007188</v>
      </c>
      <c r="G17" s="11">
        <f t="shared" si="5"/>
        <v>1.0000000000000002</v>
      </c>
      <c r="H17" s="11">
        <f t="shared" si="5"/>
        <v>0.69550416698534423</v>
      </c>
    </row>
    <row r="18" spans="1:16" x14ac:dyDescent="0.2">
      <c r="A18" t="s">
        <v>6</v>
      </c>
      <c r="B18" s="11">
        <f t="shared" ref="B18:H18" si="6">B27/B$20/$A27</f>
        <v>0.53086961083183581</v>
      </c>
      <c r="C18" s="11">
        <f t="shared" si="6"/>
        <v>0.78621698561519049</v>
      </c>
      <c r="D18" s="11">
        <f t="shared" si="6"/>
        <v>0.71605418231639706</v>
      </c>
      <c r="E18" s="11">
        <f t="shared" si="6"/>
        <v>0.70566945158206651</v>
      </c>
      <c r="F18" s="11">
        <f t="shared" si="6"/>
        <v>0.44513537098153194</v>
      </c>
      <c r="G18" s="11">
        <f t="shared" si="6"/>
        <v>0.69550416698534434</v>
      </c>
      <c r="H18" s="11">
        <f t="shared" si="6"/>
        <v>1</v>
      </c>
    </row>
    <row r="20" spans="1:16" x14ac:dyDescent="0.2">
      <c r="B20" s="35">
        <f>B8</f>
        <v>3.1635925141898148E-2</v>
      </c>
      <c r="C20" s="35">
        <f t="shared" ref="C20:H20" si="7">C8</f>
        <v>3.967798242092014E-2</v>
      </c>
      <c r="D20" s="35">
        <f t="shared" si="7"/>
        <v>4.7451234664693115E-2</v>
      </c>
      <c r="E20" s="35">
        <f t="shared" si="7"/>
        <v>5.1639239246190648E-2</v>
      </c>
      <c r="F20" s="35">
        <f t="shared" si="7"/>
        <v>3.9275522988717851E-2</v>
      </c>
      <c r="G20" s="35">
        <f t="shared" si="7"/>
        <v>3.8784607793755282E-2</v>
      </c>
      <c r="H20" s="35">
        <f t="shared" si="7"/>
        <v>3.5800572505919379E-2</v>
      </c>
      <c r="J20">
        <v>3.1635925141898148E-2</v>
      </c>
      <c r="K20">
        <v>3.967798242092014E-2</v>
      </c>
      <c r="L20">
        <v>4.7451234664693115E-2</v>
      </c>
      <c r="M20">
        <v>5.1639239246190648E-2</v>
      </c>
      <c r="N20">
        <v>3.9275522988717851E-2</v>
      </c>
      <c r="O20">
        <v>3.8784607793755282E-2</v>
      </c>
      <c r="P20">
        <v>3.5800572505919379E-2</v>
      </c>
    </row>
    <row r="21" spans="1:16" x14ac:dyDescent="0.2">
      <c r="A21">
        <v>3.1635925141898148E-2</v>
      </c>
      <c r="B21" cm="1">
        <f t="array" ref="B21:H27">TRANSPOSE(MINVERSE(MINVERSE('Set-up + preliminary questions'!D2*'historical risk'!B18:H24)+(MMULT(TRANSPOSE('Set-up + preliminary questions'!B5:H6),MMULT(MINVERSE('Set-up + preliminary questions'!C23:D24),'Set-up + preliminary questions'!B5:H6)))))</f>
        <v>1.0008317595837834E-3</v>
      </c>
      <c r="C21">
        <v>6.1353019110116911E-4</v>
      </c>
      <c r="D21">
        <v>6.9495552951963141E-4</v>
      </c>
      <c r="E21">
        <v>8.1939826695100583E-4</v>
      </c>
      <c r="F21">
        <v>6.0295969324532445E-4</v>
      </c>
      <c r="G21">
        <v>6.1121643335674777E-4</v>
      </c>
      <c r="H21">
        <v>6.0125455038818171E-4</v>
      </c>
    </row>
    <row r="22" spans="1:16" x14ac:dyDescent="0.2">
      <c r="A22">
        <v>3.967798242092014E-2</v>
      </c>
      <c r="B22">
        <v>6.13530191101169E-4</v>
      </c>
      <c r="C22">
        <v>1.5743422889948479E-3</v>
      </c>
      <c r="D22">
        <v>1.2376838683806556E-3</v>
      </c>
      <c r="E22">
        <v>1.3313277559585126E-3</v>
      </c>
      <c r="F22">
        <v>6.4949349329735263E-4</v>
      </c>
      <c r="G22">
        <v>9.2285396205157866E-4</v>
      </c>
      <c r="H22">
        <v>1.1168168932973528E-3</v>
      </c>
    </row>
    <row r="23" spans="1:16" x14ac:dyDescent="0.2">
      <c r="A23">
        <v>4.7451234664693115E-2</v>
      </c>
      <c r="B23">
        <v>6.949555295196313E-4</v>
      </c>
      <c r="C23">
        <v>1.2376838683806556E-3</v>
      </c>
      <c r="D23">
        <v>2.2516196712037738E-3</v>
      </c>
      <c r="E23">
        <v>2.0770807820463121E-3</v>
      </c>
      <c r="F23">
        <v>8.5954041704509453E-4</v>
      </c>
      <c r="G23">
        <v>1.4123720626465284E-3</v>
      </c>
      <c r="H23">
        <v>1.2164195027593804E-3</v>
      </c>
    </row>
    <row r="24" spans="1:16" x14ac:dyDescent="0.2">
      <c r="A24">
        <v>5.1639239246190648E-2</v>
      </c>
      <c r="B24">
        <v>8.1939826695100583E-4</v>
      </c>
      <c r="C24">
        <v>1.3313277559585126E-3</v>
      </c>
      <c r="D24">
        <v>2.0770807820463125E-3</v>
      </c>
      <c r="E24">
        <v>2.6666110299253163E-3</v>
      </c>
      <c r="F24">
        <v>9.3469719795331938E-4</v>
      </c>
      <c r="G24">
        <v>1.5234596691711651E-3</v>
      </c>
      <c r="H24">
        <v>1.3045812265247479E-3</v>
      </c>
    </row>
    <row r="25" spans="1:16" x14ac:dyDescent="0.2">
      <c r="A25">
        <v>3.9275522988717851E-2</v>
      </c>
      <c r="B25">
        <v>6.0295969324532445E-4</v>
      </c>
      <c r="C25">
        <v>6.4949349329735252E-4</v>
      </c>
      <c r="D25">
        <v>8.5954041704509464E-4</v>
      </c>
      <c r="E25">
        <v>9.3469719795331938E-4</v>
      </c>
      <c r="F25">
        <v>1.5425667060373041E-3</v>
      </c>
      <c r="G25">
        <v>7.5500672864543133E-4</v>
      </c>
      <c r="H25">
        <v>6.2589870603730442E-4</v>
      </c>
    </row>
    <row r="26" spans="1:16" x14ac:dyDescent="0.2">
      <c r="A26">
        <v>3.8784607793755282E-2</v>
      </c>
      <c r="B26">
        <v>6.1121643335674777E-4</v>
      </c>
      <c r="C26">
        <v>9.2285396205157866E-4</v>
      </c>
      <c r="D26">
        <v>1.4123720626465289E-3</v>
      </c>
      <c r="E26">
        <v>1.5234596691711651E-3</v>
      </c>
      <c r="F26">
        <v>7.5500672864543133E-4</v>
      </c>
      <c r="G26">
        <v>1.5042458017154232E-3</v>
      </c>
      <c r="H26">
        <v>9.6571530007400277E-4</v>
      </c>
    </row>
    <row r="27" spans="1:16" x14ac:dyDescent="0.2">
      <c r="A27">
        <v>3.5800572505919379E-2</v>
      </c>
      <c r="B27">
        <v>6.0125455038818171E-4</v>
      </c>
      <c r="C27">
        <v>1.1168168932973528E-3</v>
      </c>
      <c r="D27">
        <v>1.2164195027593806E-3</v>
      </c>
      <c r="E27">
        <v>1.3045812265247484E-3</v>
      </c>
      <c r="F27">
        <v>6.2589870603730452E-4</v>
      </c>
      <c r="G27">
        <v>9.6571530007400288E-4</v>
      </c>
      <c r="H27">
        <v>1.2816809917515905E-3</v>
      </c>
    </row>
  </sheetData>
  <mergeCells count="3">
    <mergeCell ref="A2:H2"/>
    <mergeCell ref="A6:H6"/>
    <mergeCell ref="A10:H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P28"/>
  <sheetViews>
    <sheetView topLeftCell="A11" zoomScale="150" zoomScaleNormal="150" zoomScalePageLayoutView="150" workbookViewId="0">
      <selection activeCell="B4" sqref="B4:H4"/>
    </sheetView>
  </sheetViews>
  <sheetFormatPr baseColWidth="10" defaultRowHeight="16" x14ac:dyDescent="0.2"/>
  <cols>
    <col min="1" max="1" width="22.1640625" customWidth="1"/>
  </cols>
  <sheetData>
    <row r="2" spans="1:8" x14ac:dyDescent="0.2">
      <c r="A2" s="37" t="s">
        <v>10</v>
      </c>
      <c r="B2" s="37"/>
      <c r="C2" s="37"/>
      <c r="D2" s="37"/>
      <c r="E2" s="37"/>
      <c r="F2" s="37"/>
      <c r="G2" s="37"/>
      <c r="H2" s="37"/>
    </row>
    <row r="3" spans="1:8" s="1" customFormat="1" x14ac:dyDescent="0.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">
      <c r="A4" t="s">
        <v>11</v>
      </c>
      <c r="B4" s="12">
        <f>'posterior distribution'!B4</f>
        <v>6.2532499072844056E-2</v>
      </c>
      <c r="C4" s="12">
        <f>'posterior distribution'!C4</f>
        <v>0.10797578071834793</v>
      </c>
      <c r="D4" s="12">
        <f>'posterior distribution'!D4</f>
        <v>0.13070335395389759</v>
      </c>
      <c r="E4" s="12">
        <f>'posterior distribution'!E4</f>
        <v>0.14113971554893073</v>
      </c>
      <c r="F4" s="12">
        <f>'posterior distribution'!F4</f>
        <v>7.351678360482039E-2</v>
      </c>
      <c r="G4" s="12">
        <f>'posterior distribution'!G4</f>
        <v>0.10636237496885706</v>
      </c>
      <c r="H4" s="12">
        <f>'posterior distribution'!H4</f>
        <v>0.1180892870917592</v>
      </c>
    </row>
    <row r="6" spans="1:8" x14ac:dyDescent="0.2">
      <c r="A6" s="37" t="s">
        <v>9</v>
      </c>
      <c r="B6" s="37"/>
      <c r="C6" s="37"/>
      <c r="D6" s="37"/>
      <c r="E6" s="37"/>
      <c r="F6" s="37"/>
      <c r="G6" s="37"/>
      <c r="H6" s="37"/>
    </row>
    <row r="7" spans="1:8" s="2" customForma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</row>
    <row r="8" spans="1:8" x14ac:dyDescent="0.2">
      <c r="A8" t="s">
        <v>12</v>
      </c>
      <c r="B8" s="12" cm="1">
        <f t="array" ref="B8">SQRT(INDEX(B22:B28, COLUMN()-1))</f>
        <v>0.16309761420567678</v>
      </c>
      <c r="C8" s="12" cm="1">
        <f t="array" ref="C8">SQRT(INDEX(C22:C28, COLUMN()-1))</f>
        <v>0.20684134569518459</v>
      </c>
      <c r="D8" s="12" cm="1">
        <f t="array" ref="D8">SQRT(INDEX(D22:D28, COLUMN()-1))</f>
        <v>0.25249875182108084</v>
      </c>
      <c r="E8" s="12" cm="1">
        <f t="array" ref="E8">SQRT(INDEX(E22:E28, COLUMN()-1))</f>
        <v>0.2758760791187328</v>
      </c>
      <c r="F8" s="12" cm="1">
        <f t="array" ref="F8">SQRT(INDEX(F22:F28, COLUMN()-1))</f>
        <v>0.21364121022414495</v>
      </c>
      <c r="G8" s="12" cm="1">
        <f t="array" ref="G8">SQRT(INDEX(G22:G28, COLUMN()-1))</f>
        <v>0.20372590851856676</v>
      </c>
      <c r="H8" s="12" cm="1">
        <f t="array" ref="H8">SQRT(INDEX(H22:H28, COLUMN()-1))</f>
        <v>0.19039611601015288</v>
      </c>
    </row>
    <row r="10" spans="1:8" x14ac:dyDescent="0.2">
      <c r="A10" s="37" t="s">
        <v>8</v>
      </c>
      <c r="B10" s="37"/>
      <c r="C10" s="37"/>
      <c r="D10" s="37"/>
      <c r="E10" s="37"/>
      <c r="F10" s="37"/>
      <c r="G10" s="37"/>
      <c r="H10" s="37"/>
    </row>
    <row r="11" spans="1:8" s="2" customFormat="1" x14ac:dyDescent="0.2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</row>
    <row r="12" spans="1:8" x14ac:dyDescent="0.2">
      <c r="A12" t="s">
        <v>0</v>
      </c>
      <c r="B12" s="11">
        <f>B22/B$21/$A22</f>
        <v>1</v>
      </c>
      <c r="C12" s="11">
        <f t="shared" ref="C12:H12" si="0">C22/C$21/$A22</f>
        <v>0.48802754234616086</v>
      </c>
      <c r="D12" s="11">
        <f t="shared" si="0"/>
        <v>0.47744214124092715</v>
      </c>
      <c r="E12" s="11">
        <f t="shared" si="0"/>
        <v>0.51450021151277336</v>
      </c>
      <c r="F12" s="11">
        <f t="shared" si="0"/>
        <v>0.44062667660281463</v>
      </c>
      <c r="G12" s="11">
        <f t="shared" si="0"/>
        <v>0.51148491317689848</v>
      </c>
      <c r="H12" s="11">
        <f t="shared" si="0"/>
        <v>0.49244516031178748</v>
      </c>
    </row>
    <row r="13" spans="1:8" x14ac:dyDescent="0.2">
      <c r="A13" t="s">
        <v>1</v>
      </c>
      <c r="B13" s="11">
        <f t="shared" ref="B13:H13" si="1">B23/B$21/$A23</f>
        <v>0.48802754234616091</v>
      </c>
      <c r="C13" s="11">
        <f t="shared" si="1"/>
        <v>0.99999999999999989</v>
      </c>
      <c r="D13" s="11">
        <f t="shared" si="1"/>
        <v>0.66375589870493878</v>
      </c>
      <c r="E13" s="11">
        <f t="shared" si="1"/>
        <v>0.654804656853607</v>
      </c>
      <c r="F13" s="11">
        <f t="shared" si="1"/>
        <v>0.31375526434812195</v>
      </c>
      <c r="G13" s="11">
        <f t="shared" si="1"/>
        <v>0.60769571591590033</v>
      </c>
      <c r="H13" s="11">
        <f t="shared" si="1"/>
        <v>0.77925449272145453</v>
      </c>
    </row>
    <row r="14" spans="1:8" x14ac:dyDescent="0.2">
      <c r="A14" t="s">
        <v>2</v>
      </c>
      <c r="B14" s="11">
        <f t="shared" ref="B14:H14" si="2">B24/B$21/$A24</f>
        <v>0.47744214124092704</v>
      </c>
      <c r="C14" s="11">
        <f t="shared" si="2"/>
        <v>0.66375589870493878</v>
      </c>
      <c r="D14" s="11">
        <f t="shared" si="2"/>
        <v>1</v>
      </c>
      <c r="E14" s="11">
        <f t="shared" si="2"/>
        <v>0.86053079534387489</v>
      </c>
      <c r="F14" s="11">
        <f t="shared" si="2"/>
        <v>0.35866622036633528</v>
      </c>
      <c r="G14" s="11">
        <f t="shared" si="2"/>
        <v>0.7824407350528747</v>
      </c>
      <c r="H14" s="11">
        <f t="shared" si="2"/>
        <v>0.66969804961517188</v>
      </c>
    </row>
    <row r="15" spans="1:8" x14ac:dyDescent="0.2">
      <c r="A15" t="s">
        <v>3</v>
      </c>
      <c r="B15" s="11">
        <f t="shared" ref="B15:H15" si="3">B25/B$21/$A25</f>
        <v>0.51450021151277336</v>
      </c>
      <c r="C15" s="11">
        <f t="shared" si="3"/>
        <v>0.65480465685360711</v>
      </c>
      <c r="D15" s="11">
        <f t="shared" si="3"/>
        <v>0.86053079534387489</v>
      </c>
      <c r="E15" s="11">
        <f t="shared" si="3"/>
        <v>1</v>
      </c>
      <c r="F15" s="11">
        <f t="shared" si="3"/>
        <v>0.35767515982351722</v>
      </c>
      <c r="G15" s="11">
        <f t="shared" si="3"/>
        <v>0.77641368355352169</v>
      </c>
      <c r="H15" s="11">
        <f t="shared" si="3"/>
        <v>0.65485352855597034</v>
      </c>
    </row>
    <row r="16" spans="1:8" x14ac:dyDescent="0.2">
      <c r="A16" t="s">
        <v>4</v>
      </c>
      <c r="B16" s="11">
        <f t="shared" ref="B16:H16" si="4">B26/B$21/$A26</f>
        <v>0.44062667660281457</v>
      </c>
      <c r="C16" s="11">
        <f t="shared" si="4"/>
        <v>0.31375526434812201</v>
      </c>
      <c r="D16" s="11">
        <f t="shared" si="4"/>
        <v>0.35866622036633528</v>
      </c>
      <c r="E16" s="11">
        <f t="shared" si="4"/>
        <v>0.35767515982351722</v>
      </c>
      <c r="F16" s="11">
        <f t="shared" si="4"/>
        <v>1.0000000000000002</v>
      </c>
      <c r="G16" s="11">
        <f t="shared" si="4"/>
        <v>0.40816342318443782</v>
      </c>
      <c r="H16" s="11">
        <f t="shared" si="4"/>
        <v>0.31080678476847207</v>
      </c>
    </row>
    <row r="17" spans="1:16" x14ac:dyDescent="0.2">
      <c r="A17" t="s">
        <v>5</v>
      </c>
      <c r="B17" s="11">
        <f t="shared" ref="B17:H17" si="5">B27/B$21/$A27</f>
        <v>0.51148491317689837</v>
      </c>
      <c r="C17" s="11">
        <f t="shared" si="5"/>
        <v>0.60769571591590044</v>
      </c>
      <c r="D17" s="11">
        <f t="shared" si="5"/>
        <v>0.7824407350528747</v>
      </c>
      <c r="E17" s="11">
        <f t="shared" si="5"/>
        <v>0.77641368355352158</v>
      </c>
      <c r="F17" s="11">
        <f t="shared" si="5"/>
        <v>0.40816342318443777</v>
      </c>
      <c r="G17" s="11">
        <f t="shared" si="5"/>
        <v>1</v>
      </c>
      <c r="H17" s="11">
        <f t="shared" si="5"/>
        <v>0.65355545468777654</v>
      </c>
    </row>
    <row r="18" spans="1:16" x14ac:dyDescent="0.2">
      <c r="A18" t="s">
        <v>6</v>
      </c>
      <c r="B18" s="11">
        <f t="shared" ref="B18:H18" si="6">B28/B$21/$A28</f>
        <v>0.49244516031178753</v>
      </c>
      <c r="C18" s="11">
        <f t="shared" si="6"/>
        <v>0.77925449272145464</v>
      </c>
      <c r="D18" s="11">
        <f t="shared" si="6"/>
        <v>0.66969804961517188</v>
      </c>
      <c r="E18" s="11">
        <f t="shared" si="6"/>
        <v>0.65485352855597034</v>
      </c>
      <c r="F18" s="11">
        <f t="shared" si="6"/>
        <v>0.31080678476847201</v>
      </c>
      <c r="G18" s="11">
        <f t="shared" si="6"/>
        <v>0.65355545468777654</v>
      </c>
      <c r="H18" s="11">
        <f t="shared" si="6"/>
        <v>0.99999999999999989</v>
      </c>
    </row>
    <row r="21" spans="1:16" x14ac:dyDescent="0.2">
      <c r="B21" s="35" cm="1">
        <f t="array" ref="B21:H21">B8:H8</f>
        <v>0.16309761420567678</v>
      </c>
      <c r="C21">
        <v>0.20684134569518459</v>
      </c>
      <c r="D21">
        <v>0.25249875182108084</v>
      </c>
      <c r="E21">
        <v>0.2758760791187328</v>
      </c>
      <c r="F21">
        <v>0.21364121022414495</v>
      </c>
      <c r="G21">
        <v>0.20372590851856676</v>
      </c>
      <c r="H21">
        <v>0.19039611601015288</v>
      </c>
      <c r="J21">
        <v>0.16309761420567678</v>
      </c>
      <c r="K21">
        <v>0.20684134569518459</v>
      </c>
      <c r="L21">
        <v>0.25249875182108084</v>
      </c>
      <c r="M21">
        <v>0.2758760791187328</v>
      </c>
      <c r="N21">
        <v>0.21364121022414495</v>
      </c>
      <c r="O21">
        <v>0.20372590851856676</v>
      </c>
      <c r="P21">
        <v>0.19039611601015288</v>
      </c>
    </row>
    <row r="22" spans="1:16" x14ac:dyDescent="0.2">
      <c r="A22">
        <v>0.16309761420567678</v>
      </c>
      <c r="B22">
        <f>'posterior distribution'!B21+'historical risk'!B18</f>
        <v>2.6600831759583783E-2</v>
      </c>
      <c r="C22">
        <f>'posterior distribution'!C21+'historical risk'!C18</f>
        <v>1.6463770191101172E-2</v>
      </c>
      <c r="D22">
        <f>'posterior distribution'!D21+'historical risk'!D18</f>
        <v>1.9661995529519631E-2</v>
      </c>
      <c r="E22">
        <f>'posterior distribution'!E21+'historical risk'!E18</f>
        <v>2.3149798266951009E-2</v>
      </c>
      <c r="F22">
        <f>'posterior distribution'!F21+'historical risk'!F18</f>
        <v>1.5353359693245323E-2</v>
      </c>
      <c r="G22">
        <f>'posterior distribution'!G21+'historical risk'!G18</f>
        <v>1.699521643335675E-2</v>
      </c>
      <c r="H22">
        <f>'posterior distribution'!H21+'historical risk'!H18</f>
        <v>1.5291974550388181E-2</v>
      </c>
    </row>
    <row r="23" spans="1:16" x14ac:dyDescent="0.2">
      <c r="A23">
        <v>0.20684134569518459</v>
      </c>
      <c r="B23">
        <f>'posterior distribution'!B22+'historical risk'!B19</f>
        <v>1.6463770191101172E-2</v>
      </c>
      <c r="C23">
        <f>'posterior distribution'!C22+'historical risk'!C19</f>
        <v>4.2783342288994851E-2</v>
      </c>
      <c r="D23">
        <f>'posterior distribution'!D22+'historical risk'!D19</f>
        <v>3.4666099868380658E-2</v>
      </c>
      <c r="E23">
        <f>'posterior distribution'!E22+'historical risk'!E19</f>
        <v>3.736484275595852E-2</v>
      </c>
      <c r="F23">
        <f>'posterior distribution'!F22+'historical risk'!F19</f>
        <v>1.3864793493297351E-2</v>
      </c>
      <c r="G23">
        <f>'posterior distribution'!G22+'historical risk'!G19</f>
        <v>2.5607653962051582E-2</v>
      </c>
      <c r="H23">
        <f>'posterior distribution'!H22+'historical risk'!H19</f>
        <v>3.0688435893297353E-2</v>
      </c>
    </row>
    <row r="24" spans="1:16" x14ac:dyDescent="0.2">
      <c r="A24">
        <v>0.25249875182108084</v>
      </c>
      <c r="B24">
        <f>'posterior distribution'!B23+'historical risk'!B20</f>
        <v>1.9661995529519628E-2</v>
      </c>
      <c r="C24">
        <f>'posterior distribution'!C23+'historical risk'!C20</f>
        <v>3.4666099868380658E-2</v>
      </c>
      <c r="D24">
        <f>'posterior distribution'!D23+'historical risk'!D20</f>
        <v>6.3755619671203773E-2</v>
      </c>
      <c r="E24">
        <f>'posterior distribution'!E23+'historical risk'!E20</f>
        <v>5.9943168782046315E-2</v>
      </c>
      <c r="F24">
        <f>'posterior distribution'!F23+'historical risk'!F20</f>
        <v>1.9347940417045094E-2</v>
      </c>
      <c r="G24">
        <f>'posterior distribution'!G23+'historical risk'!G20</f>
        <v>4.0249172062646534E-2</v>
      </c>
      <c r="H24">
        <f>'posterior distribution'!H23+'historical risk'!H20</f>
        <v>3.219558750275938E-2</v>
      </c>
    </row>
    <row r="25" spans="1:16" x14ac:dyDescent="0.2">
      <c r="A25">
        <v>0.2758760791187328</v>
      </c>
      <c r="B25">
        <f>'posterior distribution'!B24+'historical risk'!B21</f>
        <v>2.3149798266951006E-2</v>
      </c>
      <c r="C25">
        <f>'posterior distribution'!C24+'historical risk'!C21</f>
        <v>3.736484275595852E-2</v>
      </c>
      <c r="D25">
        <f>'posterior distribution'!D24+'historical risk'!D21</f>
        <v>5.9943168782046315E-2</v>
      </c>
      <c r="E25">
        <f>'posterior distribution'!E24+'historical risk'!E21</f>
        <v>7.6107611029925318E-2</v>
      </c>
      <c r="F25">
        <f>'posterior distribution'!F24+'historical risk'!F21</f>
        <v>2.1080837197953319E-2</v>
      </c>
      <c r="G25">
        <f>'posterior distribution'!G24+'historical risk'!G21</f>
        <v>4.3636859669171177E-2</v>
      </c>
      <c r="H25">
        <f>'posterior distribution'!H24+'historical risk'!H21</f>
        <v>3.4396662226524752E-2</v>
      </c>
    </row>
    <row r="26" spans="1:16" x14ac:dyDescent="0.2">
      <c r="A26">
        <v>0.21364121022414495</v>
      </c>
      <c r="B26">
        <f>'posterior distribution'!B25+'historical risk'!B22</f>
        <v>1.5353359693245323E-2</v>
      </c>
      <c r="C26">
        <f>'posterior distribution'!C25+'historical risk'!C22</f>
        <v>1.3864793493297351E-2</v>
      </c>
      <c r="D26">
        <f>'posterior distribution'!D25+'historical risk'!D22</f>
        <v>1.9347940417045094E-2</v>
      </c>
      <c r="E26">
        <f>'posterior distribution'!E25+'historical risk'!E22</f>
        <v>2.1080837197953319E-2</v>
      </c>
      <c r="F26">
        <f>'posterior distribution'!F25+'historical risk'!F22</f>
        <v>4.5642566706037301E-2</v>
      </c>
      <c r="G26">
        <f>'posterior distribution'!G25+'historical risk'!G22</f>
        <v>1.7765006728645436E-2</v>
      </c>
      <c r="H26">
        <f>'posterior distribution'!H25+'historical risk'!H22</f>
        <v>1.2642518706037305E-2</v>
      </c>
    </row>
    <row r="27" spans="1:16" x14ac:dyDescent="0.2">
      <c r="A27">
        <v>0.20372590851856676</v>
      </c>
      <c r="B27">
        <f>'posterior distribution'!B26+'historical risk'!B23</f>
        <v>1.699521643335675E-2</v>
      </c>
      <c r="C27">
        <f>'posterior distribution'!C26+'historical risk'!C23</f>
        <v>2.5607653962051582E-2</v>
      </c>
      <c r="D27">
        <f>'posterior distribution'!D26+'historical risk'!D23</f>
        <v>4.0249172062646534E-2</v>
      </c>
      <c r="E27">
        <f>'posterior distribution'!E26+'historical risk'!E23</f>
        <v>4.3636859669171177E-2</v>
      </c>
      <c r="F27">
        <f>'posterior distribution'!F26+'historical risk'!F23</f>
        <v>1.7765006728645432E-2</v>
      </c>
      <c r="G27">
        <f>'posterior distribution'!G26+'historical risk'!G23</f>
        <v>4.1504245801715432E-2</v>
      </c>
      <c r="H27">
        <f>'posterior distribution'!H26+'historical risk'!H23</f>
        <v>2.5350515300074004E-2</v>
      </c>
    </row>
    <row r="28" spans="1:16" x14ac:dyDescent="0.2">
      <c r="A28">
        <v>0.19039611601015288</v>
      </c>
      <c r="B28">
        <f>'posterior distribution'!B27+'historical risk'!B24</f>
        <v>1.5291974550388183E-2</v>
      </c>
      <c r="C28">
        <f>'posterior distribution'!C27+'historical risk'!C24</f>
        <v>3.0688435893297356E-2</v>
      </c>
      <c r="D28">
        <f>'posterior distribution'!D27+'historical risk'!D24</f>
        <v>3.219558750275938E-2</v>
      </c>
      <c r="E28">
        <f>'posterior distribution'!E27+'historical risk'!E24</f>
        <v>3.4396662226524752E-2</v>
      </c>
      <c r="F28">
        <f>'posterior distribution'!F27+'historical risk'!F24</f>
        <v>1.2642518706037303E-2</v>
      </c>
      <c r="G28">
        <f>'posterior distribution'!G27+'historical risk'!G24</f>
        <v>2.5350515300074004E-2</v>
      </c>
      <c r="H28">
        <f>'posterior distribution'!H27+'historical risk'!H24</f>
        <v>3.6250680991751591E-2</v>
      </c>
    </row>
  </sheetData>
  <mergeCells count="3">
    <mergeCell ref="A6:H6"/>
    <mergeCell ref="A2:H2"/>
    <mergeCell ref="A10:H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4"/>
  <sheetViews>
    <sheetView topLeftCell="A8" zoomScale="150" zoomScaleNormal="150" zoomScalePageLayoutView="150" workbookViewId="0">
      <selection activeCell="J5" sqref="J5:J6"/>
    </sheetView>
  </sheetViews>
  <sheetFormatPr baseColWidth="10" defaultRowHeight="16" x14ac:dyDescent="0.2"/>
  <cols>
    <col min="1" max="1" width="18.1640625" bestFit="1" customWidth="1"/>
  </cols>
  <sheetData>
    <row r="1" spans="1:17" x14ac:dyDescent="0.2">
      <c r="A1" s="37" t="s">
        <v>24</v>
      </c>
      <c r="B1" s="37"/>
      <c r="C1" s="37"/>
      <c r="D1" s="37"/>
      <c r="E1" s="37"/>
      <c r="F1" s="37"/>
      <c r="G1" s="37"/>
      <c r="H1" s="37"/>
      <c r="J1" t="s">
        <v>26</v>
      </c>
    </row>
    <row r="2" spans="1:17" x14ac:dyDescent="0.2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J2" s="8" t="s">
        <v>27</v>
      </c>
    </row>
    <row r="3" spans="1:17" x14ac:dyDescent="0.2">
      <c r="A3" t="s">
        <v>28</v>
      </c>
      <c r="B3" s="12">
        <v>0.16</v>
      </c>
      <c r="C3" s="12">
        <v>0.20300000000000001</v>
      </c>
      <c r="D3" s="12">
        <v>0.248</v>
      </c>
      <c r="E3" s="12">
        <v>0.27100000000000002</v>
      </c>
      <c r="F3" s="12">
        <v>0.21</v>
      </c>
      <c r="G3" s="12">
        <v>0.2</v>
      </c>
      <c r="H3" s="12">
        <v>0.187</v>
      </c>
    </row>
    <row r="5" spans="1:17" x14ac:dyDescent="0.2">
      <c r="A5" s="37" t="s">
        <v>25</v>
      </c>
      <c r="B5" s="37"/>
      <c r="C5" s="37"/>
      <c r="D5" s="37"/>
      <c r="E5" s="37"/>
      <c r="F5" s="37"/>
      <c r="G5" s="37"/>
      <c r="H5" s="37"/>
      <c r="K5">
        <v>0.16</v>
      </c>
      <c r="L5">
        <v>0.20300000000000001</v>
      </c>
      <c r="M5">
        <v>0.248</v>
      </c>
      <c r="N5">
        <v>0.27100000000000002</v>
      </c>
      <c r="O5">
        <v>0.21</v>
      </c>
      <c r="P5">
        <v>0.2</v>
      </c>
      <c r="Q5">
        <v>0.187</v>
      </c>
    </row>
    <row r="6" spans="1:17" x14ac:dyDescent="0.2">
      <c r="A6" t="s">
        <v>13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 spans="1:17" x14ac:dyDescent="0.2">
      <c r="A7" t="s">
        <v>0</v>
      </c>
      <c r="B7" s="4">
        <v>1</v>
      </c>
      <c r="C7" s="4">
        <v>0.48799999999999999</v>
      </c>
      <c r="D7" s="4">
        <v>0.47799999999999998</v>
      </c>
      <c r="E7" s="4">
        <v>0.51500000000000001</v>
      </c>
      <c r="F7" s="4">
        <v>0.439</v>
      </c>
      <c r="G7" s="4">
        <v>0.51200000000000001</v>
      </c>
      <c r="H7" s="4">
        <v>0.49099999999999999</v>
      </c>
      <c r="J7">
        <v>1.6E-2</v>
      </c>
    </row>
    <row r="8" spans="1:17" x14ac:dyDescent="0.2">
      <c r="A8" t="s">
        <v>1</v>
      </c>
      <c r="B8" s="4">
        <v>0.48799999999999999</v>
      </c>
      <c r="C8" s="4">
        <v>1</v>
      </c>
      <c r="D8" s="4">
        <v>0.66400000000000003</v>
      </c>
      <c r="E8" s="4">
        <v>0.65500000000000003</v>
      </c>
      <c r="F8" s="4">
        <v>0.31</v>
      </c>
      <c r="G8" s="4">
        <v>0.60799999999999998</v>
      </c>
      <c r="H8" s="4">
        <v>0.77900000000000003</v>
      </c>
      <c r="J8">
        <v>2.2000000000000002E-2</v>
      </c>
    </row>
    <row r="9" spans="1:17" x14ac:dyDescent="0.2">
      <c r="A9" t="s">
        <v>2</v>
      </c>
      <c r="B9" s="4">
        <v>0.47799999999999998</v>
      </c>
      <c r="C9" s="4">
        <v>0.66400000000000003</v>
      </c>
      <c r="D9" s="4">
        <v>1</v>
      </c>
      <c r="E9" s="4">
        <v>0.86099999999999999</v>
      </c>
      <c r="F9" s="4">
        <v>0.35499999999999998</v>
      </c>
      <c r="G9" s="4">
        <v>0.78300000000000003</v>
      </c>
      <c r="H9" s="4">
        <v>0.66800000000000004</v>
      </c>
      <c r="J9">
        <v>5.2000000000000005E-2</v>
      </c>
    </row>
    <row r="10" spans="1:17" x14ac:dyDescent="0.2">
      <c r="A10" t="s">
        <v>3</v>
      </c>
      <c r="B10" s="4">
        <v>0.51500000000000001</v>
      </c>
      <c r="C10" s="4">
        <v>0.65500000000000003</v>
      </c>
      <c r="D10" s="4">
        <v>0.86099999999999999</v>
      </c>
      <c r="E10" s="4">
        <v>1</v>
      </c>
      <c r="F10" s="4">
        <v>0.35399999999999998</v>
      </c>
      <c r="G10" s="4">
        <v>0.77700000000000002</v>
      </c>
      <c r="H10" s="4">
        <v>0.65300000000000002</v>
      </c>
      <c r="J10">
        <v>5.5E-2</v>
      </c>
    </row>
    <row r="11" spans="1:17" x14ac:dyDescent="0.2">
      <c r="A11" t="s">
        <v>4</v>
      </c>
      <c r="B11" s="4">
        <v>0.439</v>
      </c>
      <c r="C11" s="4">
        <v>0.31</v>
      </c>
      <c r="D11" s="4">
        <v>0.35499999999999998</v>
      </c>
      <c r="E11" s="4">
        <v>0.35399999999999998</v>
      </c>
      <c r="F11" s="4">
        <v>1</v>
      </c>
      <c r="G11" s="4">
        <v>0.40500000000000003</v>
      </c>
      <c r="H11" s="4">
        <v>0.30599999999999999</v>
      </c>
      <c r="J11">
        <v>0.11599999999999999</v>
      </c>
    </row>
    <row r="12" spans="1:17" x14ac:dyDescent="0.2">
      <c r="A12" t="s">
        <v>5</v>
      </c>
      <c r="B12" s="4">
        <v>0.51200000000000001</v>
      </c>
      <c r="C12" s="4">
        <v>0.60799999999999998</v>
      </c>
      <c r="D12" s="4">
        <v>0.78300000000000003</v>
      </c>
      <c r="E12" s="4">
        <v>0.77700000000000002</v>
      </c>
      <c r="F12" s="4">
        <v>0.40500000000000003</v>
      </c>
      <c r="G12" s="4">
        <v>1</v>
      </c>
      <c r="H12" s="4">
        <v>0.65200000000000002</v>
      </c>
      <c r="J12">
        <v>0.124</v>
      </c>
    </row>
    <row r="13" spans="1:17" x14ac:dyDescent="0.2">
      <c r="A13" t="s">
        <v>6</v>
      </c>
      <c r="B13" s="4">
        <v>0.49099999999999999</v>
      </c>
      <c r="C13" s="4">
        <v>0.77900000000000003</v>
      </c>
      <c r="D13" s="4">
        <v>0.66800000000000004</v>
      </c>
      <c r="E13" s="4">
        <v>0.65300000000000002</v>
      </c>
      <c r="F13" s="4">
        <v>0.30599999999999999</v>
      </c>
      <c r="G13" s="4">
        <v>0.65200000000000002</v>
      </c>
      <c r="H13" s="4">
        <v>1</v>
      </c>
      <c r="J13">
        <v>0.61499999999999999</v>
      </c>
    </row>
    <row r="18" spans="2:8" x14ac:dyDescent="0.2">
      <c r="B18">
        <v>2.5600000000000001E-2</v>
      </c>
      <c r="C18">
        <v>1.5850240000000002E-2</v>
      </c>
      <c r="D18">
        <v>1.8967040000000001E-2</v>
      </c>
      <c r="E18">
        <v>2.2330400000000004E-2</v>
      </c>
      <c r="F18">
        <v>1.4750399999999999E-2</v>
      </c>
      <c r="G18">
        <v>1.6384000000000003E-2</v>
      </c>
      <c r="H18">
        <v>1.4690719999999999E-2</v>
      </c>
    </row>
    <row r="19" spans="2:8" x14ac:dyDescent="0.2">
      <c r="B19">
        <v>1.5850240000000002E-2</v>
      </c>
      <c r="C19">
        <v>4.1209000000000003E-2</v>
      </c>
      <c r="D19">
        <v>3.3428416000000002E-2</v>
      </c>
      <c r="E19">
        <v>3.6033515000000009E-2</v>
      </c>
      <c r="F19">
        <v>1.3215299999999999E-2</v>
      </c>
      <c r="G19">
        <v>2.4684800000000003E-2</v>
      </c>
      <c r="H19">
        <v>2.9571619E-2</v>
      </c>
    </row>
    <row r="20" spans="2:8" x14ac:dyDescent="0.2">
      <c r="B20">
        <v>1.8967039999999998E-2</v>
      </c>
      <c r="C20">
        <v>3.3428416000000002E-2</v>
      </c>
      <c r="D20">
        <v>6.1503999999999996E-2</v>
      </c>
      <c r="E20">
        <v>5.7866088000000003E-2</v>
      </c>
      <c r="F20">
        <v>1.8488399999999999E-2</v>
      </c>
      <c r="G20">
        <v>3.8836800000000005E-2</v>
      </c>
      <c r="H20">
        <v>3.0979168000000001E-2</v>
      </c>
    </row>
    <row r="21" spans="2:8" x14ac:dyDescent="0.2">
      <c r="B21">
        <v>2.23304E-2</v>
      </c>
      <c r="C21">
        <v>3.6033515000000009E-2</v>
      </c>
      <c r="D21">
        <v>5.7866088000000003E-2</v>
      </c>
      <c r="E21">
        <v>7.3441000000000006E-2</v>
      </c>
      <c r="F21">
        <v>2.014614E-2</v>
      </c>
      <c r="G21">
        <v>4.2113400000000009E-2</v>
      </c>
      <c r="H21">
        <v>3.3092081000000002E-2</v>
      </c>
    </row>
    <row r="22" spans="2:8" x14ac:dyDescent="0.2">
      <c r="B22">
        <v>1.4750399999999999E-2</v>
      </c>
      <c r="C22">
        <v>1.3215299999999999E-2</v>
      </c>
      <c r="D22">
        <v>1.8488399999999999E-2</v>
      </c>
      <c r="E22">
        <v>2.014614E-2</v>
      </c>
      <c r="F22">
        <v>4.4099999999999993E-2</v>
      </c>
      <c r="G22">
        <v>1.7010000000000004E-2</v>
      </c>
      <c r="H22">
        <v>1.201662E-2</v>
      </c>
    </row>
    <row r="23" spans="2:8" x14ac:dyDescent="0.2">
      <c r="B23">
        <v>1.6384000000000003E-2</v>
      </c>
      <c r="C23">
        <v>2.4684800000000003E-2</v>
      </c>
      <c r="D23">
        <v>3.8836800000000005E-2</v>
      </c>
      <c r="E23">
        <v>4.2113400000000009E-2</v>
      </c>
      <c r="F23">
        <v>1.7010000000000001E-2</v>
      </c>
      <c r="G23">
        <v>4.0000000000000008E-2</v>
      </c>
      <c r="H23">
        <v>2.4384800000000002E-2</v>
      </c>
    </row>
    <row r="24" spans="2:8" x14ac:dyDescent="0.2">
      <c r="B24">
        <v>1.4690720000000001E-2</v>
      </c>
      <c r="C24">
        <v>2.9571619000000004E-2</v>
      </c>
      <c r="D24">
        <v>3.0979168000000001E-2</v>
      </c>
      <c r="E24">
        <v>3.3092081000000002E-2</v>
      </c>
      <c r="F24">
        <v>1.2016619999999999E-2</v>
      </c>
      <c r="G24">
        <v>2.4384800000000002E-2</v>
      </c>
      <c r="H24">
        <v>3.4969E-2</v>
      </c>
    </row>
  </sheetData>
  <mergeCells count="2">
    <mergeCell ref="A1:H1"/>
    <mergeCell ref="A5:H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2:E22"/>
  <sheetViews>
    <sheetView workbookViewId="0"/>
  </sheetViews>
  <sheetFormatPr baseColWidth="10" defaultRowHeight="16" x14ac:dyDescent="0.2"/>
  <cols>
    <col min="1" max="1" width="43.6640625" bestFit="1" customWidth="1"/>
    <col min="2" max="3" width="14.1640625" bestFit="1" customWidth="1"/>
  </cols>
  <sheetData>
    <row r="2" spans="1:5" x14ac:dyDescent="0.2">
      <c r="A2" t="s">
        <v>68</v>
      </c>
    </row>
    <row r="4" spans="1:5" x14ac:dyDescent="0.2">
      <c r="A4" s="24" t="s">
        <v>67</v>
      </c>
      <c r="B4" s="25"/>
      <c r="C4" s="27">
        <f>'Set-up + preliminary questions'!C8</f>
        <v>-0.02</v>
      </c>
      <c r="D4" s="30" t="str">
        <f>'Set-up + preliminary questions'!D8</f>
        <v>Japan will underperform ROW by 2%</v>
      </c>
      <c r="E4" s="28"/>
    </row>
    <row r="5" spans="1:5" x14ac:dyDescent="0.2">
      <c r="A5" s="24" t="s">
        <v>66</v>
      </c>
      <c r="B5" s="25"/>
      <c r="C5" s="27">
        <f>'Set-up + preliminary questions'!C9</f>
        <v>0.01</v>
      </c>
      <c r="D5" s="30" t="str">
        <f>'Set-up + preliminary questions'!D9</f>
        <v>The US will outperform ROW by 1%</v>
      </c>
      <c r="E5" s="28"/>
    </row>
    <row r="7" spans="1:5" x14ac:dyDescent="0.2">
      <c r="A7" t="s">
        <v>89</v>
      </c>
    </row>
    <row r="8" spans="1:5" x14ac:dyDescent="0.2">
      <c r="A8" t="s">
        <v>71</v>
      </c>
    </row>
    <row r="10" spans="1:5" x14ac:dyDescent="0.2">
      <c r="A10" t="s">
        <v>72</v>
      </c>
    </row>
    <row r="12" spans="1:5" x14ac:dyDescent="0.2">
      <c r="A12" t="s">
        <v>73</v>
      </c>
    </row>
    <row r="14" spans="1:5" x14ac:dyDescent="0.2">
      <c r="A14" s="9" t="s">
        <v>75</v>
      </c>
      <c r="B14" t="s">
        <v>74</v>
      </c>
      <c r="C14" t="s">
        <v>77</v>
      </c>
    </row>
    <row r="15" spans="1:5" x14ac:dyDescent="0.2">
      <c r="A15" s="9" t="s">
        <v>76</v>
      </c>
      <c r="B15" s="26">
        <f>C4</f>
        <v>-0.02</v>
      </c>
      <c r="C15" s="26">
        <f>C5</f>
        <v>0.01</v>
      </c>
    </row>
    <row r="16" spans="1:5" x14ac:dyDescent="0.2">
      <c r="A16" s="9" t="s">
        <v>78</v>
      </c>
      <c r="B16" s="4" cm="1">
        <f t="array" ref="B16:C16">TRANSPOSE(MMULT('Set-up + preliminary questions'!B5:H6, TRANSPOSE(_xlfn.ANCHORARRAY(Analysis!B10))))</f>
        <v>-4.4663872269333327E-2</v>
      </c>
      <c r="C16" s="4">
        <v>1.6137883426000005E-2</v>
      </c>
    </row>
    <row r="17" spans="1:3" x14ac:dyDescent="0.2">
      <c r="A17" s="9" t="s">
        <v>79</v>
      </c>
      <c r="B17" s="36">
        <f>B15+B16</f>
        <v>-6.4663872269333331E-2</v>
      </c>
      <c r="C17" s="36">
        <f>C15+C16</f>
        <v>2.6137883426000007E-2</v>
      </c>
    </row>
    <row r="19" spans="1:3" x14ac:dyDescent="0.2">
      <c r="A19" s="8" t="s">
        <v>80</v>
      </c>
    </row>
    <row r="21" spans="1:3" x14ac:dyDescent="0.2">
      <c r="A21" t="s">
        <v>82</v>
      </c>
      <c r="C21" s="4" t="s">
        <v>94</v>
      </c>
    </row>
    <row r="22" spans="1:3" x14ac:dyDescent="0.2">
      <c r="A22" t="s">
        <v>81</v>
      </c>
      <c r="C22" s="4" t="s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I47"/>
  <sheetViews>
    <sheetView zoomScale="110" zoomScaleNormal="110" zoomScalePageLayoutView="150" workbookViewId="0">
      <selection activeCell="G17" sqref="G17"/>
    </sheetView>
  </sheetViews>
  <sheetFormatPr baseColWidth="10" defaultRowHeight="16" x14ac:dyDescent="0.2"/>
  <cols>
    <col min="1" max="1" width="52.6640625" bestFit="1" customWidth="1"/>
    <col min="2" max="2" width="16.5" bestFit="1" customWidth="1"/>
    <col min="3" max="3" width="13.6640625" bestFit="1" customWidth="1"/>
  </cols>
  <sheetData>
    <row r="1" spans="1:8" x14ac:dyDescent="0.2">
      <c r="A1" t="s">
        <v>30</v>
      </c>
      <c r="B1" s="2" t="s">
        <v>46</v>
      </c>
      <c r="C1" s="2" t="s">
        <v>34</v>
      </c>
      <c r="D1" t="s">
        <v>20</v>
      </c>
    </row>
    <row r="2" spans="1:8" x14ac:dyDescent="0.2">
      <c r="B2" s="31" t="s">
        <v>84</v>
      </c>
      <c r="C2" s="31" t="s">
        <v>84</v>
      </c>
      <c r="D2" s="34" t="s">
        <v>86</v>
      </c>
    </row>
    <row r="3" spans="1:8" x14ac:dyDescent="0.2">
      <c r="B3" s="2"/>
      <c r="C3" s="2"/>
    </row>
    <row r="4" spans="1:8" x14ac:dyDescent="0.2">
      <c r="A4" t="s">
        <v>29</v>
      </c>
      <c r="B4" s="2" t="s">
        <v>46</v>
      </c>
      <c r="C4" s="2" t="s">
        <v>34</v>
      </c>
    </row>
    <row r="5" spans="1:8" x14ac:dyDescent="0.2">
      <c r="A5" t="s">
        <v>46</v>
      </c>
      <c r="B5" s="31" t="s">
        <v>84</v>
      </c>
      <c r="C5" s="32" t="s">
        <v>84</v>
      </c>
      <c r="D5" s="34" t="s">
        <v>85</v>
      </c>
    </row>
    <row r="6" spans="1:8" x14ac:dyDescent="0.2">
      <c r="A6" t="s">
        <v>34</v>
      </c>
      <c r="B6" s="32" t="s">
        <v>84</v>
      </c>
      <c r="C6" s="32" t="s">
        <v>84</v>
      </c>
      <c r="D6" s="34" t="s">
        <v>85</v>
      </c>
    </row>
    <row r="8" spans="1:8" x14ac:dyDescent="0.2">
      <c r="A8" t="s">
        <v>31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</row>
    <row r="9" spans="1:8" x14ac:dyDescent="0.2">
      <c r="A9" t="s">
        <v>7</v>
      </c>
      <c r="B9" s="12" cm="1">
        <f t="array" ref="B9:H9">TRANSPOSE(MMULT(_xlfn.ANCHORARRAY('posterior distribution'!B21), MMULT(MINVERSE('Set-up + preliminary questions'!D2*'historical risk'!B18:H24),TRANSPOSE(_xlfn.ANCHORARRAY(Analysis!B10)))+MMULT(TRANSPOSE('Set-up + preliminary questions'!B5:H6),MMULT(MINVERSE('Set-up + preliminary questions'!C23:D24),TRANSPOSE('Relative View Setup'!B17:C17)))))</f>
        <v>6.2911245791212239E-2</v>
      </c>
      <c r="C9" s="12">
        <v>0.11275360194197016</v>
      </c>
      <c r="D9" s="12">
        <v>0.1351716583784725</v>
      </c>
      <c r="E9" s="12">
        <v>0.1459032795462174</v>
      </c>
      <c r="F9" s="12">
        <v>6.4609045206465682E-2</v>
      </c>
      <c r="G9" s="12">
        <v>0.10911165890466006</v>
      </c>
      <c r="H9" s="12">
        <v>0.1240717745779759</v>
      </c>
    </row>
    <row r="10" spans="1:8" x14ac:dyDescent="0.2">
      <c r="A10" t="s">
        <v>19</v>
      </c>
      <c r="B10" s="12" cm="1">
        <f t="array" ref="B10:H10">_xlfn.ANCHORARRAY(Analysis!B10)</f>
        <v>6.3000874240000004E-2</v>
      </c>
      <c r="C10" s="12">
        <v>0.11064303392800001</v>
      </c>
      <c r="D10" s="12">
        <v>0.13372938620800001</v>
      </c>
      <c r="E10" s="12">
        <v>0.14443583584399999</v>
      </c>
      <c r="F10" s="12">
        <v>6.8844955200000002E-2</v>
      </c>
      <c r="G10" s="12">
        <v>0.10828308880000001</v>
      </c>
      <c r="H10" s="12">
        <v>0.120960745796</v>
      </c>
    </row>
    <row r="12" spans="1:8" x14ac:dyDescent="0.2">
      <c r="A12" t="s">
        <v>47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</row>
    <row r="13" spans="1:8" x14ac:dyDescent="0.2">
      <c r="A13" t="s">
        <v>7</v>
      </c>
      <c r="B13" s="12" cm="1">
        <f t="array" ref="B13:H13">MMULT(_xlfn.ANCHORARRAY(B9),MINVERSE('Set-up + preliminary questions'!C2*'historical risk'!B18:H24))</f>
        <v>1.5202738549912664E-2</v>
      </c>
      <c r="C13" s="12">
        <v>2.1202738549912059E-2</v>
      </c>
      <c r="D13" s="12">
        <v>5.1202738549912891E-2</v>
      </c>
      <c r="E13" s="12">
        <v>5.4202738549911762E-2</v>
      </c>
      <c r="F13" s="12">
        <v>8.3577598849286949E-2</v>
      </c>
      <c r="G13" s="12">
        <v>0.1232027385499132</v>
      </c>
      <c r="H13" s="12">
        <v>0.65140870840115017</v>
      </c>
    </row>
    <row r="14" spans="1:8" x14ac:dyDescent="0.2">
      <c r="A14" t="s">
        <v>19</v>
      </c>
      <c r="B14" s="12" cm="1">
        <f t="array" ref="B14:H14">MMULT(_xlfn.ANCHORARRAY(Analysis!B10),MINVERSE('Set-up + preliminary questions'!C2*'historical risk'!B18:H24))</f>
        <v>1.6000000000000097E-2</v>
      </c>
      <c r="C14" s="12">
        <v>2.1999999999999797E-2</v>
      </c>
      <c r="D14" s="12">
        <v>5.2000000000000796E-2</v>
      </c>
      <c r="E14" s="12">
        <v>5.4999999999999667E-2</v>
      </c>
      <c r="F14" s="12">
        <v>0.1160000000000001</v>
      </c>
      <c r="G14" s="12">
        <v>0.12399999999999967</v>
      </c>
      <c r="H14" s="12">
        <v>0.61500000000000021</v>
      </c>
    </row>
    <row r="16" spans="1:8" x14ac:dyDescent="0.2">
      <c r="A16" t="s">
        <v>56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9" x14ac:dyDescent="0.2">
      <c r="A17" t="s">
        <v>48</v>
      </c>
      <c r="B17" s="12" cm="1">
        <f t="array" ref="B17:H17">MMULT(_xlfn.ANCHORARRAY(B9),MINVERSE('Set-up + preliminary questions'!C2*'predictive distribution'!B22:H28))</f>
        <v>1.4753663609029882E-2</v>
      </c>
      <c r="C17" s="12">
        <v>2.052289437826027E-2</v>
      </c>
      <c r="D17" s="12">
        <v>4.936904822441468E-2</v>
      </c>
      <c r="E17" s="12">
        <v>5.2253663609028389E-2</v>
      </c>
      <c r="F17" s="12">
        <v>7.7315474648498056E-2</v>
      </c>
      <c r="G17" s="12">
        <v>0.11859981745518361</v>
      </c>
      <c r="H17" s="12">
        <v>0.62872389961404718</v>
      </c>
    </row>
    <row r="18" spans="1:9" x14ac:dyDescent="0.2">
      <c r="A18" t="s">
        <v>49</v>
      </c>
      <c r="B18" s="12" cm="1">
        <f t="array" ref="B18:H18">_xlfn.ANCHORARRAY(B13)</f>
        <v>1.5202738549912664E-2</v>
      </c>
      <c r="C18" s="12">
        <v>2.1202738549912059E-2</v>
      </c>
      <c r="D18" s="12">
        <v>5.1202738549912891E-2</v>
      </c>
      <c r="E18" s="12">
        <v>5.4202738549911762E-2</v>
      </c>
      <c r="F18" s="12">
        <v>8.3577598849286949E-2</v>
      </c>
      <c r="G18" s="12">
        <v>0.1232027385499132</v>
      </c>
      <c r="H18" s="12">
        <v>0.65140870840115017</v>
      </c>
    </row>
    <row r="20" spans="1:9" x14ac:dyDescent="0.2">
      <c r="A20" t="s">
        <v>63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</row>
    <row r="21" spans="1:9" x14ac:dyDescent="0.2">
      <c r="A21" t="s">
        <v>21</v>
      </c>
      <c r="B21" s="33" t="s">
        <v>84</v>
      </c>
      <c r="C21" s="33" t="s">
        <v>84</v>
      </c>
      <c r="D21" s="33" t="s">
        <v>84</v>
      </c>
      <c r="E21" s="33" t="s">
        <v>84</v>
      </c>
      <c r="F21" s="33" t="s">
        <v>84</v>
      </c>
      <c r="G21" s="33" t="s">
        <v>84</v>
      </c>
      <c r="H21" s="33" t="s">
        <v>84</v>
      </c>
      <c r="I21" s="34" t="s">
        <v>85</v>
      </c>
    </row>
    <row r="22" spans="1:9" x14ac:dyDescent="0.2">
      <c r="A22" t="s">
        <v>22</v>
      </c>
      <c r="B22" s="33" t="s">
        <v>84</v>
      </c>
      <c r="C22" s="33" t="s">
        <v>84</v>
      </c>
      <c r="D22" s="33" t="s">
        <v>84</v>
      </c>
      <c r="E22" s="33" t="s">
        <v>84</v>
      </c>
      <c r="F22" s="33" t="s">
        <v>84</v>
      </c>
      <c r="G22" s="33" t="s">
        <v>84</v>
      </c>
      <c r="H22" s="33" t="s">
        <v>84</v>
      </c>
      <c r="I22" s="34" t="s">
        <v>85</v>
      </c>
    </row>
    <row r="46" spans="1:5" x14ac:dyDescent="0.2">
      <c r="B46" s="3" t="s">
        <v>0</v>
      </c>
      <c r="C46" t="s">
        <v>1</v>
      </c>
      <c r="D46" t="s">
        <v>2</v>
      </c>
      <c r="E46" t="s">
        <v>3</v>
      </c>
    </row>
    <row r="47" spans="1:5" x14ac:dyDescent="0.2">
      <c r="A47" t="s">
        <v>13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Homework 2 instructions</vt:lpstr>
      <vt:lpstr>Set-up + preliminary questions</vt:lpstr>
      <vt:lpstr>Analysis</vt:lpstr>
      <vt:lpstr>posterior distribution</vt:lpstr>
      <vt:lpstr>predictive distribution</vt:lpstr>
      <vt:lpstr>historical risk</vt:lpstr>
      <vt:lpstr>Relative View Setup</vt:lpstr>
      <vt:lpstr>Analysis with RELATIVE 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O'Cinneide</dc:creator>
  <cp:lastModifiedBy>ph2715</cp:lastModifiedBy>
  <dcterms:created xsi:type="dcterms:W3CDTF">2015-02-22T17:34:13Z</dcterms:created>
  <dcterms:modified xsi:type="dcterms:W3CDTF">2025-03-15T00:29:06Z</dcterms:modified>
</cp:coreProperties>
</file>