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eld Reference Guide" sheetId="1" r:id="rId4"/>
    <sheet state="visible" name="Term Reference Guide" sheetId="2" r:id="rId5"/>
    <sheet state="hidden" name="Vocabulary Lists (pending)" sheetId="3" r:id="rId6"/>
  </sheets>
  <definedNames>
    <definedName hidden="1" localSheetId="0" name="_xlnm._FilterDatabase">'Field Reference Guide'!$A$6:$AB$285</definedName>
    <definedName hidden="1" localSheetId="1" name="_xlnm._FilterDatabase">'Term Reference Guide'!$A$3:$K$1829</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Formula in the cells below combines the term label and the ontology identifier columns from the `Term Reference Guide` tab into the appropriate picklist format.</t>
      </text>
    </comment>
    <comment authorId="0" ref="C1">
      <text>
        <t xml:space="preserve">Formula in the cells below combines the term label and the ontology identifier columns from the `Term Reference Guide` tab into the appropriate picklist format.</t>
      </text>
    </comment>
    <comment authorId="0" ref="E1">
      <text>
        <t xml:space="preserve">Formula in the cells below combines the term label and the ontology identifier columns from the `Term Reference Guide` tab into the appropriate picklist format.</t>
      </text>
    </comment>
    <comment authorId="0" ref="G1">
      <text>
        <t xml:space="preserve">Formula in the cells below combines the term label and the ontology identifier columns from the `Term Reference Guide` tab into the appropriate picklist format.</t>
      </text>
    </comment>
    <comment authorId="0" ref="K1">
      <text>
        <t xml:space="preserve">Formula in the cells below combines the term label and the ontology identifier columns from the `Term Reference Guide` tab into the appropriate picklist format.</t>
      </text>
    </comment>
    <comment authorId="0" ref="M1">
      <text>
        <t xml:space="preserve">Formula in the cells below combines the term label and the ontology identifier columns from the `Term Reference Guide` tab into the appropriate picklist format.</t>
      </text>
    </comment>
    <comment authorId="0" ref="O1">
      <text>
        <t xml:space="preserve">Formula in the cells below combines the term label and the ontology identifier columns from the `Term Reference Guide` tab into the appropriate picklist format.</t>
      </text>
    </comment>
    <comment authorId="0" ref="Q1">
      <text>
        <t xml:space="preserve">Formula in the cells below combines the term label and the ontology identifier columns from the `Term Reference Guide` tab into the appropriate picklist format.</t>
      </text>
    </comment>
    <comment authorId="0" ref="S1">
      <text>
        <t xml:space="preserve">Formula in the cells below combines the term label and the ontology identifier columns from the `Term Reference Guide` tab into the appropriate picklist format.</t>
      </text>
    </comment>
    <comment authorId="0" ref="U1">
      <text>
        <t xml:space="preserve">Formula in the cells below combines the term label and the ontology identifier columns from the `Term Reference Guide` tab into the appropriate picklist format.</t>
      </text>
    </comment>
    <comment authorId="0" ref="W1">
      <text>
        <t xml:space="preserve">Formula in the cells below combines the term label and the ontology identifier columns from the `Term Reference Guide` tab into the appropriate picklist format.</t>
      </text>
    </comment>
    <comment authorId="0" ref="Y1">
      <text>
        <t xml:space="preserve">Formula in the cells below combines the term label and the ontology identifier columns from the `Term Reference Guide` tab into the appropriate picklist format.</t>
      </text>
    </comment>
    <comment authorId="0" ref="AA1">
      <text>
        <t xml:space="preserve">Formula in the cells below combines the term label and the ontology identifier columns from the `Term Reference Guide` tab into the appropriate picklist format.</t>
      </text>
    </comment>
    <comment authorId="0" ref="AC1">
      <text>
        <t xml:space="preserve">Formula in the cells below combines the term label and the ontology identifier columns from the `Term Reference Guide` tab into the appropriate picklist format.</t>
      </text>
    </comment>
    <comment authorId="0" ref="AE1">
      <text>
        <t xml:space="preserve">Formula in the cells below combines the term label and the ontology identifier columns from the `Term Reference Guide` tab into the appropriate picklist format.</t>
      </text>
    </comment>
    <comment authorId="0" ref="AG1">
      <text>
        <t xml:space="preserve">Formula in the cells below combines the term label and the ontology identifier columns from the `Term Reference Guide` tab into the appropriate picklist format.</t>
      </text>
    </comment>
    <comment authorId="0" ref="AI1">
      <text>
        <t xml:space="preserve">Formula in the cells below combines the term label and the ontology identifier columns from the `Term Reference Guide` tab into the appropriate picklist format.</t>
      </text>
    </comment>
    <comment authorId="0" ref="AK1">
      <text>
        <t xml:space="preserve">Formula in the cells below combines the term label and the ontology identifier columns from the `Term Reference Guide` tab into the appropriate picklist format.
</t>
      </text>
    </comment>
    <comment authorId="0" ref="AM1">
      <text>
        <t xml:space="preserve">Formula in the cells below combines the term label and the ontology identifier columns from the `Term Reference Guide` tab into the appropriate picklist format.</t>
      </text>
    </comment>
    <comment authorId="0" ref="AO1">
      <text>
        <t xml:space="preserve">Formula in the cells below combines the term label and the ontology identifier columns from the `Term Reference Guide` tab into the appropriate picklist format.</t>
      </text>
    </comment>
    <comment authorId="0" ref="AQ1">
      <text>
        <t xml:space="preserve">Formula in the cells below combines the term label and the ontology identifier columns from the `Term Reference Guide` tab into the appropriate picklist format.</t>
      </text>
    </comment>
    <comment authorId="0" ref="AS1">
      <text>
        <t xml:space="preserve">Formula in the cells below combines the term label and the ontology identifier columns from the `Term Reference Guide` tab into the appropriate picklist format.</t>
      </text>
    </comment>
    <comment authorId="0" ref="AU1">
      <text>
        <t xml:space="preserve">Formula in the cells below combines the term label and the ontology identifier columns from the `Term Reference Guide` tab into the appropriate picklist format.</t>
      </text>
    </comment>
    <comment authorId="0" ref="AW1">
      <text>
        <t xml:space="preserve">Formula in the cells below combines the term label and the ontology identifier columns from the `Term Reference Guide` tab into the appropriate picklist format.</t>
      </text>
    </comment>
    <comment authorId="0" ref="AY1">
      <text>
        <t xml:space="preserve">Formula in the cells below combines the term label and the ontology identifier columns from the `Term Reference Guide` tab into the appropriate picklist format.</t>
      </text>
    </comment>
    <comment authorId="0" ref="BA1">
      <text>
        <t xml:space="preserve">Formula in the cells below combines the term label and the ontology identifier columns from the `Term Reference Guide` tab into the appropriate picklist format.</t>
      </text>
    </comment>
    <comment authorId="0" ref="BC1">
      <text>
        <t xml:space="preserve">Formula in the cells below combines the term label and the ontology identifier columns from the `Term Reference Guide` tab into the appropriate picklist format.</t>
      </text>
    </comment>
    <comment authorId="0" ref="BE1">
      <text>
        <t xml:space="preserve">Formula in the cells below combines the term label and the ontology identifier columns from the `Term Reference Guide` tab into the appropriate picklist format.</t>
      </text>
    </comment>
    <comment authorId="0" ref="BG1">
      <text>
        <t xml:space="preserve">Formula in the cells below combines the term label and the ontology identifier columns from the `Term Reference Guide` tab into the appropriate picklist format.</t>
      </text>
    </comment>
    <comment authorId="0" ref="BI1">
      <text>
        <t xml:space="preserve">Formula in the cells below combines the term label and the ontology identifier columns from the `Term Reference Guide` tab into the appropriate picklist format.</t>
      </text>
    </comment>
    <comment authorId="0" ref="BK1">
      <text>
        <t xml:space="preserve">Formula in the cells below combines the term label and the ontology identifier columns from the `Term Reference Guide` tab into the appropriate picklist format.</t>
      </text>
    </comment>
    <comment authorId="0" ref="BM1">
      <text>
        <t xml:space="preserve">Formula in the cells below combines the term label and the ontology identifier columns from the `Term Reference Guide` tab into the appropriate picklist format.</t>
      </text>
    </comment>
    <comment authorId="0" ref="BO1">
      <text>
        <t xml:space="preserve">Formula in the cells below combines the term label and the ontology identifier columns from the `Term Reference Guide` tab into the appropriate picklist format.</t>
      </text>
    </comment>
    <comment authorId="0" ref="BQ1">
      <text>
        <t xml:space="preserve">Formula in the cells below combines the term label and the ontology identifier columns from the `Term Reference Guide` tab into the appropriate picklist format.</t>
      </text>
    </comment>
    <comment authorId="0" ref="BS1">
      <text>
        <t xml:space="preserve">Formula in the cells below combines the term label and the ontology identifier columns from the `Term Reference Guide` tab into the appropriate picklist format.</t>
      </text>
    </comment>
    <comment authorId="0" ref="BU1">
      <text>
        <t xml:space="preserve">Formula in the cells below combines the term label and the ontology identifier columns from the `Term Reference Guide` tab into the appropriate picklist format.</t>
      </text>
    </comment>
    <comment authorId="0" ref="BW1">
      <text>
        <t xml:space="preserve">Formula in the cells below combines the term label and the ontology identifier columns from the `Term Reference Guide` tab into the appropriate picklist format.</t>
      </text>
    </comment>
  </commentList>
</comments>
</file>

<file path=xl/sharedStrings.xml><?xml version="1.0" encoding="utf-8"?>
<sst xmlns="http://schemas.openxmlformats.org/spreadsheetml/2006/main" count="897" uniqueCount="85">
  <si>
    <t>Parent Class</t>
  </si>
  <si>
    <t>Field</t>
  </si>
  <si>
    <t>Ontology Identifier</t>
  </si>
  <si>
    <t>Definition</t>
  </si>
  <si>
    <t>Guidance</t>
  </si>
  <si>
    <t>Examples</t>
  </si>
  <si>
    <t>Deprecated Label</t>
  </si>
  <si>
    <t>Deprecated ID</t>
  </si>
  <si>
    <t>Version Tracking</t>
  </si>
  <si>
    <t>Editor Notes</t>
  </si>
  <si>
    <t>Subset</t>
  </si>
  <si>
    <t>Colour Code Legend</t>
  </si>
  <si>
    <r>
      <rPr>
        <rFont val="Arial"/>
        <b/>
        <color theme="1"/>
      </rPr>
      <t xml:space="preserve">IMPORTANT: </t>
    </r>
    <r>
      <rPr>
        <rFont val="Arial"/>
        <b val="0"/>
        <color theme="1"/>
      </rPr>
      <t>Only labels and/or IDs will be deprecated, always with replacement version provided. If a term changes in its meaning, a new term will be created.</t>
    </r>
  </si>
  <si>
    <t>Label</t>
  </si>
  <si>
    <t>ID</t>
  </si>
  <si>
    <t>Description/Guidance</t>
  </si>
  <si>
    <t>field name in yellow = required</t>
  </si>
  <si>
    <t>field name in purple = recommended</t>
  </si>
  <si>
    <t>field name in white = optional</t>
  </si>
  <si>
    <t>1.0.0</t>
  </si>
  <si>
    <t>Term</t>
  </si>
  <si>
    <r>
      <rPr>
        <rFont val="Arial"/>
        <b/>
        <color theme="1"/>
      </rPr>
      <t xml:space="preserve">IMPORTANT: </t>
    </r>
    <r>
      <rPr>
        <rFont val="Arial"/>
        <b val="0"/>
        <color theme="1"/>
      </rPr>
      <t>Only labels and/or IDs will be deprecated, always with replacement version provided. If a term changes in its meaning, a new term will be created.</t>
    </r>
  </si>
  <si>
    <t>geo_loc name (country)</t>
  </si>
  <si>
    <t>organism</t>
  </si>
  <si>
    <t>purpose of sampling</t>
  </si>
  <si>
    <t>purpose of sequencing</t>
  </si>
  <si>
    <t>purpose of sequencing details</t>
  </si>
  <si>
    <t>sample collected in quarantine</t>
  </si>
  <si>
    <t>anatomical material</t>
  </si>
  <si>
    <t>anatomical part</t>
  </si>
  <si>
    <t>body product</t>
  </si>
  <si>
    <t>environmental material</t>
  </si>
  <si>
    <t>environmental site</t>
  </si>
  <si>
    <t>collection device</t>
  </si>
  <si>
    <t>collection method</t>
  </si>
  <si>
    <t>specimen processing</t>
  </si>
  <si>
    <t>lab host</t>
  </si>
  <si>
    <t>biomaterial extracted</t>
  </si>
  <si>
    <t>host (common name)</t>
  </si>
  <si>
    <t>host (scientific name)</t>
  </si>
  <si>
    <t>host health state</t>
  </si>
  <si>
    <t>host health status details</t>
  </si>
  <si>
    <t>host health outcome</t>
  </si>
  <si>
    <t>host disease</t>
  </si>
  <si>
    <t>host age unit</t>
  </si>
  <si>
    <t>host age bin</t>
  </si>
  <si>
    <t>host gender</t>
  </si>
  <si>
    <t>signs and symptoms</t>
  </si>
  <si>
    <t>pre-existing conditions and risk factors</t>
  </si>
  <si>
    <t>complications</t>
  </si>
  <si>
    <t>host vaccination status</t>
  </si>
  <si>
    <t>exposure event</t>
  </si>
  <si>
    <t>exposure contact level</t>
  </si>
  <si>
    <t>host role</t>
  </si>
  <si>
    <t>exposure setting</t>
  </si>
  <si>
    <t>prior SARS-CoV-2 antiviral treatment</t>
  </si>
  <si>
    <t>prior SARS_CoV-2 infection</t>
  </si>
  <si>
    <t>sequencing instrument</t>
  </si>
  <si>
    <t>gene name</t>
  </si>
  <si>
    <t>variant designation</t>
  </si>
  <si>
    <t>Screened for S gene target failure (S dropout)</t>
  </si>
  <si>
    <t>Yes [NCIT:C49488]</t>
  </si>
  <si>
    <t>Contact with infected individual</t>
  </si>
  <si>
    <t>Screened for mink variants</t>
  </si>
  <si>
    <t>No [NCIT:C49487]</t>
  </si>
  <si>
    <t>Screened for B.1.1.7 variant</t>
  </si>
  <si>
    <t>Not Vaccinated [GENEPIO:0100102]</t>
  </si>
  <si>
    <t>Not Applicable [GENEPIO:0001619]</t>
  </si>
  <si>
    <t>Screened for B.1.135 variant</t>
  </si>
  <si>
    <t>Not Collected [GENEPIO:0001620]</t>
  </si>
  <si>
    <t>Screened for P.1 variant</t>
  </si>
  <si>
    <t>Not Provided [GENEPIO:0001668]</t>
  </si>
  <si>
    <t>Screened due to travel history</t>
  </si>
  <si>
    <t>Missing [GENEPIO:0001618]</t>
  </si>
  <si>
    <t>Screened due to close contact with infected individual</t>
  </si>
  <si>
    <t>Restricted Access [GENEPIO:0001810]</t>
  </si>
  <si>
    <t>Assessing public health control measures</t>
  </si>
  <si>
    <t>Determining early introductions and spread</t>
  </si>
  <si>
    <t>Investigating airline-related exposures</t>
  </si>
  <si>
    <t>Investigating temporary foreign worker</t>
  </si>
  <si>
    <t>Investigating remote regions</t>
  </si>
  <si>
    <t>Investigating health care workers</t>
  </si>
  <si>
    <t>Investigating schools/universities</t>
  </si>
  <si>
    <t>Investigating reinfection</t>
  </si>
  <si>
    <t>Other Host Role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</si>
</sst>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2">
    <font>
      <sz val="10.0"/>
      <color rgb="FF000000"/>
      <name val="Arial"/>
      <scheme val="minor"/>
    </font>
    <font>
      <b/>
      <sz val="12.0"/>
      <color rgb="FFFFFFFF"/>
      <name val="Arial"/>
    </font>
    <font>
      <b/>
      <sz val="12.0"/>
      <color theme="0"/>
      <name val="Arial"/>
    </font>
    <font>
      <b/>
      <color rgb="FFFFFFFF"/>
      <name val="Arial"/>
    </font>
    <font>
      <color theme="1"/>
      <name val="Arial"/>
    </font>
    <font>
      <b/>
      <color theme="1"/>
      <name val="Arial"/>
    </font>
    <font>
      <color rgb="FFFFFFFF"/>
      <name val="Arial"/>
      <scheme val="minor"/>
    </font>
    <font>
      <color theme="0"/>
      <name val="Arial"/>
      <scheme val="minor"/>
    </font>
    <font>
      <sz val="12.0"/>
      <color rgb="FFFFFFFF"/>
      <name val="Arial"/>
    </font>
    <font>
      <color rgb="FFFFFFFF"/>
      <name val="Arial"/>
    </font>
    <font/>
    <font>
      <b/>
      <color rgb="FFFFFFFF"/>
      <name val="Arial"/>
      <scheme val="minor"/>
    </font>
    <font>
      <color theme="1"/>
      <name val="Arial"/>
      <scheme val="minor"/>
    </font>
    <font>
      <b/>
      <color theme="1"/>
      <name val="Arial"/>
      <scheme val="minor"/>
    </font>
    <font>
      <u/>
      <color rgb="FF0000FF"/>
    </font>
    <font>
      <b/>
      <sz val="10.0"/>
      <color rgb="FFFFFFFF"/>
      <name val="Arial"/>
    </font>
    <font>
      <color rgb="FF000000"/>
      <name val="Arial"/>
    </font>
    <font>
      <b/>
      <sz val="11.0"/>
      <color rgb="FF000000"/>
      <name val="Arial"/>
    </font>
    <font>
      <sz val="11.0"/>
      <color rgb="FF000000"/>
      <name val="Arial"/>
    </font>
    <font>
      <sz val="11.0"/>
      <color theme="1"/>
      <name val="Arial"/>
      <scheme val="minor"/>
    </font>
    <font>
      <sz val="11.0"/>
      <color rgb="FF0000FF"/>
      <name val="Arial"/>
    </font>
    <font>
      <b/>
      <sz val="11.0"/>
      <color rgb="FFFF0000"/>
      <name val="Arial"/>
    </font>
  </fonts>
  <fills count="9">
    <fill>
      <patternFill patternType="none"/>
    </fill>
    <fill>
      <patternFill patternType="lightGray"/>
    </fill>
    <fill>
      <patternFill patternType="solid">
        <fgColor rgb="FF000000"/>
        <bgColor rgb="FF000000"/>
      </patternFill>
    </fill>
    <fill>
      <patternFill patternType="solid">
        <fgColor rgb="FFFFFF00"/>
        <bgColor rgb="FFFFFF00"/>
      </patternFill>
    </fill>
    <fill>
      <patternFill patternType="solid">
        <fgColor rgb="FF00FFFF"/>
        <bgColor rgb="FF00FFFF"/>
      </patternFill>
    </fill>
    <fill>
      <patternFill patternType="solid">
        <fgColor rgb="FFB4A7D6"/>
        <bgColor rgb="FFB4A7D6"/>
      </patternFill>
    </fill>
    <fill>
      <patternFill patternType="solid">
        <fgColor rgb="FFFFFFFF"/>
        <bgColor rgb="FFFFFFFF"/>
      </patternFill>
    </fill>
    <fill>
      <patternFill patternType="solid">
        <fgColor rgb="FFFF0000"/>
        <bgColor rgb="FFFF0000"/>
      </patternFill>
    </fill>
    <fill>
      <patternFill patternType="solid">
        <fgColor rgb="FFFCE5CD"/>
        <bgColor rgb="FFFCE5CD"/>
      </patternFill>
    </fill>
  </fills>
  <borders count="2">
    <border/>
    <border>
      <bottom style="medium">
        <color rgb="FF000000"/>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1"/>
    </xf>
    <xf borderId="0" fillId="2" fontId="2" numFmtId="0" xfId="0" applyAlignment="1" applyFont="1">
      <alignment readingOrder="0" shrinkToFit="0" vertical="bottom" wrapText="1"/>
    </xf>
    <xf borderId="0" fillId="2" fontId="1" numFmtId="0" xfId="0" applyAlignment="1" applyFont="1">
      <alignment shrinkToFit="0" vertical="top" wrapText="1"/>
    </xf>
    <xf borderId="0" fillId="2" fontId="3" numFmtId="0" xfId="0" applyAlignment="1" applyFont="1">
      <alignment shrinkToFit="0" vertical="top" wrapText="1"/>
    </xf>
    <xf borderId="0" fillId="2" fontId="4" numFmtId="0" xfId="0" applyAlignment="1" applyFont="1">
      <alignment shrinkToFit="0" vertical="top" wrapText="1"/>
    </xf>
    <xf borderId="0" fillId="3" fontId="5" numFmtId="0" xfId="0" applyAlignment="1" applyFill="1" applyFont="1">
      <alignment shrinkToFit="0" vertical="top" wrapText="1"/>
    </xf>
    <xf borderId="0" fillId="2" fontId="6" numFmtId="0" xfId="0" applyAlignment="1" applyFont="1">
      <alignment readingOrder="0"/>
    </xf>
    <xf borderId="0" fillId="2" fontId="7" numFmtId="0" xfId="0" applyFont="1"/>
    <xf borderId="0" fillId="2" fontId="4" numFmtId="0" xfId="0" applyAlignment="1" applyFont="1">
      <alignment shrinkToFit="0" vertical="bottom" wrapText="1"/>
    </xf>
    <xf borderId="0" fillId="2" fontId="8" numFmtId="0" xfId="0" applyAlignment="1" applyFont="1">
      <alignment shrinkToFit="0" vertical="bottom" wrapText="1"/>
    </xf>
    <xf borderId="0" fillId="2" fontId="4" numFmtId="0" xfId="0" applyAlignment="1" applyFont="1">
      <alignment shrinkToFit="0" vertical="bottom" wrapText="1"/>
    </xf>
    <xf borderId="0" fillId="4" fontId="5" numFmtId="0" xfId="0" applyAlignment="1" applyFill="1" applyFont="1">
      <alignment shrinkToFit="0" vertical="top" wrapText="1"/>
    </xf>
    <xf borderId="0" fillId="2" fontId="9" numFmtId="0" xfId="0" applyAlignment="1" applyFont="1">
      <alignment shrinkToFit="0" vertical="top" wrapText="1"/>
    </xf>
    <xf borderId="0" fillId="3" fontId="4" numFmtId="0" xfId="0" applyAlignment="1" applyFont="1">
      <alignment vertical="bottom"/>
    </xf>
    <xf borderId="0" fillId="0" fontId="4" numFmtId="0" xfId="0" applyAlignment="1" applyFont="1">
      <alignment vertical="bottom"/>
    </xf>
    <xf borderId="0" fillId="3" fontId="4" numFmtId="0" xfId="0" applyAlignment="1" applyFont="1">
      <alignment shrinkToFit="0" vertical="top" wrapText="1"/>
    </xf>
    <xf borderId="0" fillId="5" fontId="4" numFmtId="0" xfId="0" applyAlignment="1" applyFill="1" applyFont="1">
      <alignment shrinkToFit="0" vertical="top" wrapText="1"/>
    </xf>
    <xf borderId="0" fillId="3" fontId="4" numFmtId="0" xfId="0" applyAlignment="1" applyFont="1">
      <alignment vertical="top"/>
    </xf>
    <xf borderId="1" fillId="2" fontId="4" numFmtId="0" xfId="0" applyAlignment="1" applyBorder="1" applyFont="1">
      <alignment shrinkToFit="0" vertical="bottom" wrapText="1"/>
    </xf>
    <xf borderId="1" fillId="6" fontId="4" numFmtId="0" xfId="0" applyAlignment="1" applyBorder="1" applyFill="1" applyFont="1">
      <alignment shrinkToFit="0" vertical="top" wrapText="1"/>
    </xf>
    <xf borderId="1" fillId="2" fontId="4" numFmtId="0" xfId="0" applyAlignment="1" applyBorder="1" applyFont="1">
      <alignment shrinkToFit="0" vertical="bottom" wrapText="1"/>
    </xf>
    <xf borderId="1" fillId="2" fontId="4" numFmtId="0" xfId="0" applyAlignment="1" applyBorder="1" applyFont="1">
      <alignment shrinkToFit="0" vertical="top" wrapText="1"/>
    </xf>
    <xf borderId="1" fillId="0" fontId="10" numFmtId="0" xfId="0" applyBorder="1" applyFont="1"/>
    <xf borderId="1" fillId="3" fontId="4" numFmtId="0" xfId="0" applyAlignment="1" applyBorder="1" applyFont="1">
      <alignment vertical="bottom"/>
    </xf>
    <xf borderId="1" fillId="0" fontId="4" numFmtId="0" xfId="0" applyAlignment="1" applyBorder="1" applyFont="1">
      <alignment vertical="bottom"/>
    </xf>
    <xf borderId="0" fillId="2" fontId="11" numFmtId="0" xfId="0" applyAlignment="1" applyFont="1">
      <alignment readingOrder="0" shrinkToFit="0" wrapText="1"/>
    </xf>
    <xf borderId="0" fillId="2" fontId="11" numFmtId="0" xfId="0" applyAlignment="1" applyFont="1">
      <alignment shrinkToFit="0" wrapText="1"/>
    </xf>
    <xf borderId="0" fillId="0" fontId="12" numFmtId="0" xfId="0" applyFont="1"/>
    <xf borderId="0" fillId="2" fontId="6" numFmtId="0" xfId="0" applyAlignment="1" applyFont="1">
      <alignment readingOrder="0" shrinkToFit="0" wrapText="1"/>
    </xf>
    <xf borderId="0" fillId="2" fontId="6" numFmtId="0" xfId="0" applyAlignment="1" applyFont="1">
      <alignment shrinkToFit="0" wrapText="1"/>
    </xf>
    <xf borderId="0" fillId="2" fontId="6" numFmtId="0" xfId="0" applyFont="1"/>
    <xf borderId="0" fillId="2" fontId="12" numFmtId="0" xfId="0" applyAlignment="1" applyFont="1">
      <alignment shrinkToFit="0" wrapText="1"/>
    </xf>
    <xf borderId="0" fillId="0" fontId="12" numFmtId="0" xfId="0" applyAlignment="1" applyFont="1">
      <alignment shrinkToFit="0" wrapText="1"/>
    </xf>
    <xf borderId="0" fillId="0" fontId="12" numFmtId="0" xfId="0" applyAlignment="1" applyFont="1">
      <alignment readingOrder="0" shrinkToFit="0" wrapText="1"/>
    </xf>
    <xf borderId="0" fillId="0" fontId="12" numFmtId="49" xfId="0" applyAlignment="1" applyFont="1" applyNumberFormat="1">
      <alignment shrinkToFit="0" wrapText="1"/>
    </xf>
    <xf borderId="0" fillId="0" fontId="13" numFmtId="0" xfId="0" applyAlignment="1" applyFont="1">
      <alignment shrinkToFit="0" wrapText="1"/>
    </xf>
    <xf borderId="0" fillId="0" fontId="12" numFmtId="49" xfId="0" applyAlignment="1" applyFont="1" applyNumberFormat="1">
      <alignment readingOrder="0" shrinkToFit="0" wrapText="1"/>
    </xf>
    <xf borderId="0" fillId="0" fontId="12" numFmtId="164" xfId="0" applyAlignment="1" applyFont="1" applyNumberFormat="1">
      <alignment shrinkToFit="0" wrapText="1"/>
    </xf>
    <xf borderId="0" fillId="0" fontId="12" numFmtId="0" xfId="0" applyAlignment="1" applyFont="1">
      <alignment readingOrder="0"/>
    </xf>
    <xf borderId="0" fillId="0" fontId="12" numFmtId="3" xfId="0" applyAlignment="1" applyFont="1" applyNumberFormat="1">
      <alignment shrinkToFit="0" wrapText="1"/>
    </xf>
    <xf borderId="0" fillId="0" fontId="14" numFmtId="0" xfId="0" applyAlignment="1" applyFont="1">
      <alignment shrinkToFit="0" wrapText="1"/>
    </xf>
    <xf borderId="0" fillId="0" fontId="13" numFmtId="0" xfId="0" applyFont="1"/>
    <xf borderId="0" fillId="2" fontId="1" numFmtId="0" xfId="0" applyAlignment="1" applyFont="1">
      <alignment readingOrder="0" shrinkToFit="0" vertical="center" wrapText="0"/>
    </xf>
    <xf borderId="0" fillId="2" fontId="15" numFmtId="0" xfId="0" applyAlignment="1" applyFont="1">
      <alignment readingOrder="0" shrinkToFit="0" vertical="center" wrapText="0"/>
    </xf>
    <xf borderId="0" fillId="2" fontId="1" numFmtId="0" xfId="0" applyAlignment="1" applyFont="1">
      <alignment readingOrder="0" shrinkToFit="0" vertical="center" wrapText="1"/>
    </xf>
    <xf borderId="0" fillId="2" fontId="1" numFmtId="0" xfId="0" applyAlignment="1" applyFont="1">
      <alignment vertical="top"/>
    </xf>
    <xf borderId="0" fillId="2" fontId="3" numFmtId="0" xfId="0" applyAlignment="1" applyFont="1">
      <alignment shrinkToFit="0" vertical="top" wrapText="1"/>
    </xf>
    <xf borderId="0" fillId="2" fontId="4" numFmtId="0" xfId="0" applyAlignment="1" applyFont="1">
      <alignment vertical="top"/>
    </xf>
    <xf borderId="0" fillId="2" fontId="3" numFmtId="0" xfId="0" applyAlignment="1" applyFont="1">
      <alignment readingOrder="0" shrinkToFit="0" vertical="top" wrapText="0"/>
    </xf>
    <xf borderId="0" fillId="2" fontId="16" numFmtId="0" xfId="0" applyAlignment="1" applyFont="1">
      <alignment shrinkToFit="0" vertical="top" wrapText="0"/>
    </xf>
    <xf borderId="0" fillId="2" fontId="16" numFmtId="0" xfId="0" applyAlignment="1" applyFont="1">
      <alignment shrinkToFit="0" vertical="top" wrapText="1"/>
    </xf>
    <xf borderId="0" fillId="2" fontId="9" numFmtId="0" xfId="0" applyAlignment="1" applyFont="1">
      <alignment readingOrder="0" shrinkToFit="0" vertical="top" wrapText="1"/>
    </xf>
    <xf borderId="0" fillId="0" fontId="4" numFmtId="0" xfId="0" applyAlignment="1" applyFont="1">
      <alignment readingOrder="0" shrinkToFit="0" vertical="top" wrapText="0"/>
    </xf>
    <xf borderId="0" fillId="0" fontId="16" numFmtId="0" xfId="0" applyAlignment="1" applyFont="1">
      <alignment shrinkToFit="0" vertical="top" wrapText="0"/>
    </xf>
    <xf borderId="0" fillId="0" fontId="16" numFmtId="0" xfId="0" applyAlignment="1" applyFont="1">
      <alignment readingOrder="0" shrinkToFit="0" vertical="top" wrapText="1"/>
    </xf>
    <xf borderId="0" fillId="0" fontId="16" numFmtId="0" xfId="0" applyAlignment="1" applyFont="1">
      <alignment shrinkToFit="0" vertical="top" wrapText="1"/>
    </xf>
    <xf borderId="0" fillId="0" fontId="16" numFmtId="0" xfId="0" applyAlignment="1" applyFont="1">
      <alignment readingOrder="0" shrinkToFit="0" vertical="top" wrapText="0"/>
    </xf>
    <xf borderId="0" fillId="0" fontId="16" numFmtId="0" xfId="0" applyAlignment="1" applyFont="1">
      <alignment readingOrder="0" shrinkToFit="0" vertical="top" wrapText="1"/>
    </xf>
    <xf borderId="0" fillId="0" fontId="4" numFmtId="0" xfId="0" applyAlignment="1" applyFont="1">
      <alignment shrinkToFit="0" vertical="top" wrapText="0"/>
    </xf>
    <xf borderId="0" fillId="0" fontId="17" numFmtId="0" xfId="0" applyAlignment="1" applyFont="1">
      <alignment readingOrder="0" shrinkToFit="0" vertical="bottom" wrapText="0"/>
    </xf>
    <xf borderId="0" fillId="0" fontId="18" numFmtId="0" xfId="0" applyAlignment="1" applyFont="1">
      <alignment shrinkToFit="0" vertical="bottom" wrapText="0"/>
    </xf>
    <xf borderId="0" fillId="0" fontId="18" numFmtId="0" xfId="0" applyAlignment="1" applyFont="1">
      <alignment readingOrder="0" shrinkToFit="0" vertical="bottom" wrapText="0"/>
    </xf>
    <xf borderId="0" fillId="0" fontId="18" numFmtId="0" xfId="0" applyAlignment="1" applyFont="1">
      <alignment shrinkToFit="0" vertical="bottom" wrapText="0"/>
    </xf>
    <xf borderId="0" fillId="7" fontId="19" numFmtId="0" xfId="0" applyAlignment="1" applyFill="1" applyFont="1">
      <alignment readingOrder="0"/>
    </xf>
    <xf borderId="0" fillId="0" fontId="18" numFmtId="0" xfId="0" applyAlignment="1" applyFont="1">
      <alignment readingOrder="0" shrinkToFit="0" vertical="bottom" wrapText="0"/>
    </xf>
    <xf borderId="0" fillId="6" fontId="16" numFmtId="0" xfId="0" applyAlignment="1" applyFont="1">
      <alignment horizontal="left"/>
    </xf>
    <xf borderId="0" fillId="6" fontId="18" numFmtId="0" xfId="0" applyFont="1"/>
    <xf borderId="0" fillId="8" fontId="19" numFmtId="0" xfId="0" applyAlignment="1" applyFill="1" applyFont="1">
      <alignment readingOrder="0"/>
    </xf>
    <xf borderId="0" fillId="0" fontId="20" numFmtId="0" xfId="0" applyAlignment="1" applyFont="1">
      <alignment readingOrder="0" shrinkToFit="0" vertical="bottom" wrapText="0"/>
    </xf>
    <xf borderId="0" fillId="0" fontId="20" numFmtId="0" xfId="0" applyAlignment="1" applyFont="1">
      <alignment shrinkToFit="0" vertical="bottom" wrapText="0"/>
    </xf>
    <xf borderId="0" fillId="6" fontId="20" numFmtId="0" xfId="0" applyAlignment="1" applyFont="1">
      <alignment horizontal="left" readingOrder="0"/>
    </xf>
    <xf borderId="0" fillId="0" fontId="21" numFmtId="0" xfId="0" applyAlignment="1" applyFont="1">
      <alignment readingOrder="0" shrinkToFit="0" vertical="bottom" wrapText="0"/>
    </xf>
  </cellXfs>
  <cellStyles count="1">
    <cellStyle xfId="0" name="Normal" builtinId="0"/>
  </cellStyles>
  <dxfs count="3">
    <dxf>
      <font>
        <b/>
        <color rgb="FFFFFFFF"/>
      </font>
      <fill>
        <patternFill patternType="solid">
          <fgColor rgb="FF000000"/>
          <bgColor rgb="FF000000"/>
        </patternFill>
      </fill>
      <border/>
    </dxf>
    <dxf>
      <font/>
      <fill>
        <patternFill patternType="solid">
          <fgColor rgb="FFFFFF00"/>
          <bgColor rgb="FFFFFF00"/>
        </patternFill>
      </fill>
      <border/>
    </dxf>
    <dxf>
      <font/>
      <fill>
        <patternFill patternType="solid">
          <fgColor rgb="FFD9D2E9"/>
          <bgColor rgb="FFD9D2E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joshquick/artic-ncov2019/blob/master/primer_schemes/nCoV-2019/V3/nCoV-2019.tsv" TargetMode="External"/><Relationship Id="rId2" Type="http://schemas.openxmlformats.org/officeDocument/2006/relationships/hyperlink" Target="https://www.protocols.io/view/ncov-2019-sequencing-protocol-bbmuik6w?version_warning=no" TargetMode="External"/><Relationship Id="rId3" Type="http://schemas.openxmlformats.org/officeDocument/2006/relationships/hyperlink" Target="https://github.com/BCCDC-PHL/ncov2019-artic-nf" TargetMode="External"/><Relationship Id="rId4" Type="http://schemas.openxmlformats.org/officeDocument/2006/relationships/hyperlink" Target="https://bit.ly/2Sq1LbI"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13"/>
    <col customWidth="1" min="2" max="2" width="51.13"/>
    <col customWidth="1" hidden="1" min="3" max="4" width="12.88"/>
    <col customWidth="1" min="5" max="5" width="18.13"/>
    <col customWidth="1" min="6" max="6" width="54.13"/>
    <col customWidth="1" min="7" max="7" width="37.0"/>
    <col customWidth="1" min="9" max="9" width="19.13"/>
    <col customWidth="1" min="10" max="10" width="15.88"/>
  </cols>
  <sheetData>
    <row r="1">
      <c r="A1" s="1" t="s">
        <v>0</v>
      </c>
      <c r="B1" s="2" t="s">
        <v>1</v>
      </c>
      <c r="C1" s="2"/>
      <c r="D1" s="2"/>
      <c r="E1" s="2" t="s">
        <v>2</v>
      </c>
      <c r="F1" s="2" t="s">
        <v>3</v>
      </c>
      <c r="G1" s="2" t="s">
        <v>4</v>
      </c>
      <c r="H1" s="2" t="s">
        <v>5</v>
      </c>
      <c r="I1" s="3" t="s">
        <v>6</v>
      </c>
      <c r="J1" s="3" t="s">
        <v>7</v>
      </c>
      <c r="K1" s="4" t="s">
        <v>8</v>
      </c>
      <c r="L1" s="5"/>
      <c r="M1" s="5"/>
      <c r="N1" s="6" t="s">
        <v>9</v>
      </c>
      <c r="O1" s="7" t="s">
        <v>10</v>
      </c>
      <c r="P1" s="8"/>
      <c r="Q1" s="8"/>
      <c r="R1" s="8"/>
      <c r="S1" s="8"/>
      <c r="T1" s="8"/>
      <c r="U1" s="8"/>
      <c r="V1" s="8"/>
      <c r="W1" s="8"/>
      <c r="X1" s="8"/>
      <c r="Y1" s="8"/>
      <c r="Z1" s="8"/>
      <c r="AA1" s="8"/>
      <c r="AB1" s="8"/>
    </row>
    <row r="2">
      <c r="A2" s="9"/>
      <c r="B2" s="10" t="s">
        <v>11</v>
      </c>
      <c r="C2" s="10"/>
      <c r="D2" s="10"/>
      <c r="E2" s="9"/>
      <c r="F2" s="11"/>
      <c r="G2" s="11"/>
      <c r="H2" s="5"/>
      <c r="I2" s="12" t="s">
        <v>12</v>
      </c>
      <c r="K2" s="13" t="s">
        <v>13</v>
      </c>
      <c r="L2" s="13" t="s">
        <v>14</v>
      </c>
      <c r="M2" s="13" t="s">
        <v>15</v>
      </c>
      <c r="N2" s="14"/>
      <c r="O2" s="15"/>
      <c r="P2" s="15"/>
      <c r="Q2" s="15"/>
      <c r="R2" s="15"/>
      <c r="S2" s="15"/>
      <c r="T2" s="15"/>
      <c r="U2" s="15"/>
      <c r="V2" s="15"/>
      <c r="W2" s="15"/>
      <c r="X2" s="15"/>
      <c r="Y2" s="15"/>
      <c r="Z2" s="15"/>
      <c r="AA2" s="15"/>
      <c r="AB2" s="15"/>
    </row>
    <row r="3">
      <c r="A3" s="9"/>
      <c r="B3" s="16" t="s">
        <v>16</v>
      </c>
      <c r="C3" s="16"/>
      <c r="D3" s="17"/>
      <c r="E3" s="9"/>
      <c r="F3" s="11"/>
      <c r="G3" s="11"/>
      <c r="H3" s="5"/>
      <c r="K3" s="5"/>
      <c r="L3" s="5"/>
      <c r="M3" s="5"/>
      <c r="N3" s="18"/>
      <c r="O3" s="15"/>
      <c r="P3" s="15"/>
      <c r="Q3" s="15"/>
      <c r="R3" s="15"/>
      <c r="S3" s="15"/>
      <c r="T3" s="15"/>
      <c r="U3" s="15"/>
      <c r="V3" s="15"/>
      <c r="W3" s="15"/>
      <c r="X3" s="15"/>
      <c r="Y3" s="15"/>
      <c r="Z3" s="15"/>
      <c r="AA3" s="15"/>
      <c r="AB3" s="15"/>
    </row>
    <row r="4">
      <c r="A4" s="9"/>
      <c r="B4" s="17" t="s">
        <v>17</v>
      </c>
      <c r="C4" s="16"/>
      <c r="D4" s="17"/>
      <c r="E4" s="9"/>
      <c r="F4" s="11"/>
      <c r="G4" s="11"/>
      <c r="H4" s="5"/>
      <c r="K4" s="11"/>
      <c r="L4" s="11"/>
      <c r="M4" s="11"/>
      <c r="N4" s="14"/>
      <c r="O4" s="15"/>
      <c r="P4" s="15"/>
      <c r="Q4" s="15"/>
      <c r="R4" s="15"/>
      <c r="S4" s="15"/>
      <c r="T4" s="15"/>
      <c r="U4" s="15"/>
      <c r="V4" s="15"/>
      <c r="W4" s="15"/>
      <c r="X4" s="15"/>
      <c r="Y4" s="15"/>
      <c r="Z4" s="15"/>
      <c r="AA4" s="15"/>
      <c r="AB4" s="15"/>
    </row>
    <row r="5">
      <c r="A5" s="19"/>
      <c r="B5" s="20" t="s">
        <v>18</v>
      </c>
      <c r="C5" s="20"/>
      <c r="D5" s="20"/>
      <c r="E5" s="19"/>
      <c r="F5" s="21"/>
      <c r="G5" s="21"/>
      <c r="H5" s="22"/>
      <c r="I5" s="23"/>
      <c r="J5" s="23"/>
      <c r="K5" s="21"/>
      <c r="L5" s="21"/>
      <c r="M5" s="21"/>
      <c r="N5" s="24"/>
      <c r="O5" s="25"/>
      <c r="P5" s="25"/>
      <c r="Q5" s="25"/>
      <c r="R5" s="25"/>
      <c r="S5" s="25"/>
      <c r="T5" s="25"/>
      <c r="U5" s="25"/>
      <c r="V5" s="25"/>
      <c r="W5" s="25"/>
      <c r="X5" s="25"/>
      <c r="Y5" s="25"/>
      <c r="Z5" s="25"/>
      <c r="AA5" s="25"/>
      <c r="AB5" s="25"/>
    </row>
    <row r="6" ht="26.25" customHeight="1">
      <c r="A6" s="26" t="str">
        <f>IFERROR(__xludf.DUMMYFUNCTION("IMPORTRANGE(""https://docs.google.com/spreadsheets/d/1jPQAIJcL_xa3oBVFEsYRGLGf7ESTOwzsTSjKZ-0CTYE/edit?gid=1995294799#gid=1995294799"",""HPAI-slots!B2:B"")"),"")</f>
        <v/>
      </c>
      <c r="B6" s="27" t="str">
        <f>IFERROR(__xludf.DUMMYFUNCTION("IMPORTRANGE(""https://docs.google.com/spreadsheets/d/1jPQAIJcL_xa3oBVFEsYRGLGf7ESTOwzsTSjKZ-0CTYE/edit?gid=1995294799#gid=1995294799"",""HPAI-slots!D2:D"")"),"Database Identifiers")</f>
        <v>Database Identifiers</v>
      </c>
      <c r="C6" s="28" t="str">
        <f>IFERROR(__xludf.DUMMYFUNCTION("IMPORTRANGE(""https://docs.google.com/spreadsheets/d/1jPQAIJcL_xa3oBVFEsYRGLGf7ESTOwzsTSjKZ-0CTYE/edit?gid=1995294799#gid=1995294799"",""HPAI-slots!J2:J"")"),"")</f>
        <v/>
      </c>
      <c r="D6" s="26" t="str">
        <f>IFERROR(__xludf.DUMMYFUNCTION("IMPORTRANGE(""https://docs.google.com/spreadsheets/d/1jPQAIJcL_xa3oBVFEsYRGLGf7ESTOwzsTSjKZ-0CTYE/edit?gid=1995294799#gid=1995294799"",""HPAI-slots!K2:K"")
"),"")</f>
        <v/>
      </c>
      <c r="E6" s="29" t="str">
        <f>IFERROR(__xludf.DUMMYFUNCTION("IMPORTRANGE(""https://docs.google.com/spreadsheets/d/1jPQAIJcL_xa3oBVFEsYRGLGf7ESTOwzsTSjKZ-0CTYE/edit?gid=1995294799#gid=1995294799"",""HPAI-slots!C2:C"")"),"GENEPIO:0001122")</f>
        <v>GENEPIO:0001122</v>
      </c>
      <c r="F6" s="29" t="str">
        <f>IFERROR(__xludf.DUMMYFUNCTION("IMPORTRANGE(""https://docs.google.com/spreadsheets/d/1jPQAIJcL_xa3oBVFEsYRGLGf7ESTOwzsTSjKZ-0CTYE/edit?gid=1995294799#gid=1995294799"",""HPAI-slots!P2:P"")"),"")</f>
        <v/>
      </c>
      <c r="G6" s="29" t="str">
        <f>IFERROR(__xludf.DUMMYFUNCTION("IMPORTRANGE(""https://docs.google.com/spreadsheets/d/1jPQAIJcL_xa3oBVFEsYRGLGf7ESTOwzsTSjKZ-0CTYE/edit?gid=1995294799#gid=1995294799"",""HPAI-slots!Q2:Q"")"),"")</f>
        <v/>
      </c>
      <c r="H6" s="29" t="str">
        <f>IFERROR(__xludf.DUMMYFUNCTION("IMPORTRANGE(""https://docs.google.com/spreadsheets/d/1jPQAIJcL_xa3oBVFEsYRGLGf7ESTOwzsTSjKZ-0CTYE/edit?gid=1995294799#gid=1995294799"",""HPAI-slots!R2:R"")"),"")</f>
        <v/>
      </c>
      <c r="I6" s="30"/>
      <c r="J6" s="30"/>
      <c r="K6" s="30"/>
      <c r="L6" s="30"/>
      <c r="M6" s="30"/>
      <c r="N6" s="31"/>
      <c r="O6" s="32" t="str">
        <f>IFERROR(__xludf.DUMMYFUNCTION("IMPORTRANGE(""https://docs.google.com/spreadsheets/d/1jPQAIJcL_xa3oBVFEsYRGLGf7ESTOwzsTSjKZ-0CTYE/edit?gid=208305190#gid=208305190"",""HPAI-slots!A2:A"")"),"HPAI;HPAI_Food;HPAI_WW;HPAI_Enviro;HPAI_Host")</f>
        <v>HPAI;HPAI_Food;HPAI_WW;HPAI_Enviro;HPAI_Host</v>
      </c>
      <c r="P6" s="31"/>
      <c r="Q6" s="31"/>
      <c r="R6" s="31"/>
      <c r="S6" s="31"/>
      <c r="T6" s="31"/>
      <c r="U6" s="31"/>
      <c r="V6" s="31"/>
      <c r="W6" s="31"/>
      <c r="X6" s="31"/>
      <c r="Y6" s="31"/>
      <c r="Z6" s="31"/>
      <c r="AA6" s="31"/>
      <c r="AB6" s="31"/>
    </row>
    <row r="7">
      <c r="A7" s="33" t="str">
        <f>IFERROR(__xludf.DUMMYFUNCTION("""COMPUTED_VALUE"""),"Database identifiers")</f>
        <v>Database identifiers</v>
      </c>
      <c r="B7" s="33" t="str">
        <f>IFERROR(__xludf.DUMMYFUNCTION("""COMPUTED_VALUE"""),"specimen_collector_sample_ID")</f>
        <v>specimen_collector_sample_ID</v>
      </c>
      <c r="C7" s="33" t="b">
        <f>IFERROR(__xludf.DUMMYFUNCTION("""COMPUTED_VALUE"""),TRUE)</f>
        <v>1</v>
      </c>
      <c r="D7" s="33"/>
      <c r="E7" s="33" t="str">
        <f>IFERROR(__xludf.DUMMYFUNCTION("""COMPUTED_VALUE"""),"GENEPIO:0001123")</f>
        <v>GENEPIO:0001123</v>
      </c>
      <c r="F7" s="33" t="str">
        <f>IFERROR(__xludf.DUMMYFUNCTION("""COMPUTED_VALUE"""),"The user-defined name for the sample.")</f>
        <v>The user-defined name for the sample.</v>
      </c>
      <c r="G7" s="33" t="str">
        <f>IFERROR(__xludf.DUMMYFUNCTION("""COMPUTED_VALUE"""),"Store the collector sample ID. If this number is considered identifiable information, provide an alternative ID. Be sure to store the key that maps between the original and alternative IDs for traceability and follow up if necessary. Every collector sampl"&amp;"e ID from a single submitter must be unique. It can have any format, but we suggest that you make it concise, unique and consistent within your lab.")</f>
        <v>Store the collector sample ID. If this number is considered identifiable information, provide an alternative ID. Be sure to store the key that maps between the original and alternative IDs for traceability and follow up if necessary. Every collector sample ID from a single submitter must be unique. It can have any format, but we suggest that you make it concise, unique and consistent within your lab.</v>
      </c>
      <c r="H7" s="33" t="str">
        <f>IFERROR(__xludf.DUMMYFUNCTION("""COMPUTED_VALUE"""),"ASDFG123")</f>
        <v>ASDFG123</v>
      </c>
      <c r="I7" s="33"/>
      <c r="J7" s="33"/>
      <c r="K7" s="34" t="s">
        <v>19</v>
      </c>
      <c r="L7" s="34" t="s">
        <v>19</v>
      </c>
      <c r="M7" s="34" t="s">
        <v>19</v>
      </c>
      <c r="N7" s="33"/>
      <c r="O7" s="33" t="str">
        <f>IFERROR(__xludf.DUMMYFUNCTION("""COMPUTED_VALUE"""),"HPAI;HPAI_Food;HPAI_WW;HPAI_Enviro;HPAI_Host")</f>
        <v>HPAI;HPAI_Food;HPAI_WW;HPAI_Enviro;HPAI_Host</v>
      </c>
      <c r="P7" s="33"/>
      <c r="Q7" s="33"/>
      <c r="R7" s="33"/>
      <c r="S7" s="33"/>
      <c r="T7" s="33"/>
      <c r="U7" s="33"/>
      <c r="V7" s="33"/>
      <c r="W7" s="33"/>
      <c r="X7" s="33"/>
      <c r="Y7" s="33"/>
      <c r="Z7" s="33"/>
      <c r="AA7" s="33"/>
      <c r="AB7" s="33"/>
    </row>
    <row r="8">
      <c r="A8" s="33" t="str">
        <f>IFERROR(__xludf.DUMMYFUNCTION("""COMPUTED_VALUE"""),"Database identifiers")</f>
        <v>Database identifiers</v>
      </c>
      <c r="B8" s="33" t="str">
        <f>IFERROR(__xludf.DUMMYFUNCTION("""COMPUTED_VALUE"""),"specimen_collector_subsample_ID")</f>
        <v>specimen_collector_subsample_ID</v>
      </c>
      <c r="C8" s="33"/>
      <c r="D8" s="33"/>
      <c r="E8" s="33" t="str">
        <f>IFERROR(__xludf.DUMMYFUNCTION("""COMPUTED_VALUE"""),"GENEPIO:0100752")</f>
        <v>GENEPIO:0100752</v>
      </c>
      <c r="F8" s="33" t="str">
        <f>IFERROR(__xludf.DUMMYFUNCTION("""COMPUTED_VALUE"""),"The user-defined identifier assigned to a portion of the original sample.")</f>
        <v>The user-defined identifier assigned to a portion of the original sample.</v>
      </c>
      <c r="G8" s="33" t="str">
        <f>IFERROR(__xludf.DUMMYFUNCTION("""COMPUTED_VALUE"""),"Store the ID for the subsample/aliquot. ")</f>
        <v>Store the ID for the subsample/aliquot. </v>
      </c>
      <c r="H8" s="33" t="str">
        <f>IFERROR(__xludf.DUMMYFUNCTION("""COMPUTED_VALUE"""),"ASDFG123_12")</f>
        <v>ASDFG123_12</v>
      </c>
      <c r="I8" s="33"/>
      <c r="J8" s="33"/>
      <c r="K8" s="34" t="s">
        <v>19</v>
      </c>
      <c r="L8" s="34" t="s">
        <v>19</v>
      </c>
      <c r="M8" s="34" t="s">
        <v>19</v>
      </c>
      <c r="N8" s="33"/>
      <c r="O8" s="33" t="str">
        <f>IFERROR(__xludf.DUMMYFUNCTION("""COMPUTED_VALUE"""),"HPAI;HPAI_Food;HPAI_WW;HPAI_Enviro;HPAI_Host")</f>
        <v>HPAI;HPAI_Food;HPAI_WW;HPAI_Enviro;HPAI_Host</v>
      </c>
      <c r="P8" s="33"/>
      <c r="Q8" s="33"/>
      <c r="R8" s="33"/>
      <c r="S8" s="33"/>
      <c r="T8" s="33"/>
      <c r="U8" s="33"/>
      <c r="V8" s="33"/>
      <c r="W8" s="33"/>
      <c r="X8" s="33"/>
      <c r="Y8" s="33"/>
      <c r="Z8" s="33"/>
      <c r="AA8" s="33"/>
      <c r="AB8" s="33"/>
    </row>
    <row r="9">
      <c r="A9" s="33" t="str">
        <f>IFERROR(__xludf.DUMMYFUNCTION("""COMPUTED_VALUE"""),"Database identifiers")</f>
        <v>Database identifiers</v>
      </c>
      <c r="B9" s="33" t="str">
        <f>IFERROR(__xludf.DUMMYFUNCTION("""COMPUTED_VALUE"""),"pooled_sample_ID")</f>
        <v>pooled_sample_ID</v>
      </c>
      <c r="C9" s="33"/>
      <c r="D9" s="33"/>
      <c r="E9" s="33" t="str">
        <f>IFERROR(__xludf.DUMMYFUNCTION("""COMPUTED_VALUE"""),"GENEPIO:0100996")</f>
        <v>GENEPIO:0100996</v>
      </c>
      <c r="F9" s="33" t="str">
        <f>IFERROR(__xludf.DUMMYFUNCTION("""COMPUTED_VALUE"""),"The user-defined identifier assigned to a combined (pooled) set of samples.")</f>
        <v>The user-defined identifier assigned to a combined (pooled) set of samples.</v>
      </c>
      <c r="G9" s="33" t="str">
        <f>IFERROR(__xludf.DUMMYFUNCTION("""COMPUTED_VALUE"""),"If the sample being analyzed is the result of pooling individual samples, rename the pooled sample with a new identifier. Store the pooled sample ID.")</f>
        <v>If the sample being analyzed is the result of pooling individual samples, rename the pooled sample with a new identifier. Store the pooled sample ID.</v>
      </c>
      <c r="H9" s="33" t="str">
        <f>IFERROR(__xludf.DUMMYFUNCTION("""COMPUTED_VALUE"""),"12345AYZ")</f>
        <v>12345AYZ</v>
      </c>
      <c r="I9" s="33"/>
      <c r="J9" s="33"/>
      <c r="K9" s="34" t="s">
        <v>19</v>
      </c>
      <c r="L9" s="34" t="s">
        <v>19</v>
      </c>
      <c r="M9" s="34" t="s">
        <v>19</v>
      </c>
      <c r="N9" s="33"/>
      <c r="O9" s="33" t="str">
        <f>IFERROR(__xludf.DUMMYFUNCTION("""COMPUTED_VALUE"""),"HPAI;HPAI_Food;HPAI_WW;HPAI_Enviro;HPAI_Host")</f>
        <v>HPAI;HPAI_Food;HPAI_WW;HPAI_Enviro;HPAI_Host</v>
      </c>
      <c r="P9" s="33"/>
      <c r="Q9" s="33"/>
      <c r="R9" s="33"/>
      <c r="S9" s="33"/>
      <c r="T9" s="33"/>
      <c r="U9" s="33"/>
      <c r="V9" s="33"/>
      <c r="W9" s="33"/>
      <c r="X9" s="33"/>
      <c r="Y9" s="33"/>
      <c r="Z9" s="33"/>
      <c r="AA9" s="33"/>
      <c r="AB9" s="33"/>
    </row>
    <row r="10">
      <c r="A10" s="33" t="str">
        <f>IFERROR(__xludf.DUMMYFUNCTION("""COMPUTED_VALUE"""),"Database identifiers")</f>
        <v>Database identifiers</v>
      </c>
      <c r="B10" s="33" t="str">
        <f>IFERROR(__xludf.DUMMYFUNCTION("""COMPUTED_VALUE"""),"sampling_site_ID")</f>
        <v>sampling_site_ID</v>
      </c>
      <c r="C10" s="33"/>
      <c r="D10" s="33" t="b">
        <f>IFERROR(__xludf.DUMMYFUNCTION("""COMPUTED_VALUE"""),TRUE)</f>
        <v>1</v>
      </c>
      <c r="E10" s="35" t="str">
        <f>IFERROR(__xludf.DUMMYFUNCTION("""COMPUTED_VALUE"""),"GENEPIO:0100760")</f>
        <v>GENEPIO:0100760</v>
      </c>
      <c r="F10" s="33" t="str">
        <f>IFERROR(__xludf.DUMMYFUNCTION("""COMPUTED_VALUE"""),"The user-defined identifier assigned to a specific location from which samples are taken.")</f>
        <v>The user-defined identifier assigned to a specific location from which samples are taken.</v>
      </c>
      <c r="G10" s="33" t="str">
        <f>IFERROR(__xludf.DUMMYFUNCTION("""COMPUTED_VALUE"""),"Store the ID for the site from which a sample was taken. The ""site"" is user defined (e.g. it may be a building and its environs, a specific entity within an environment). Please use the same site ID for all samples from a given site, regardless of when "&amp;"these samples were taken. Any important changes in site location, should be represented with a new site ID.")</f>
        <v>Store the ID for the site from which a sample was taken. The "site" is user defined (e.g. it may be a building and its environs, a specific entity within an environment). Please use the same site ID for all samples from a given site, regardless of when these samples were taken. Any important changes in site location, should be represented with a new site ID.</v>
      </c>
      <c r="H10" s="33" t="str">
        <f>IFERROR(__xludf.DUMMYFUNCTION("""COMPUTED_VALUE"""),"Site 12A")</f>
        <v>Site 12A</v>
      </c>
      <c r="I10" s="33"/>
      <c r="J10" s="33"/>
      <c r="K10" s="34" t="s">
        <v>19</v>
      </c>
      <c r="L10" s="34" t="s">
        <v>19</v>
      </c>
      <c r="M10" s="34" t="s">
        <v>19</v>
      </c>
      <c r="N10" s="33"/>
      <c r="O10" s="33" t="str">
        <f>IFERROR(__xludf.DUMMYFUNCTION("""COMPUTED_VALUE"""),"HPAI;HPAI_Food;HPAI_WW;HPAI_Enviro;HPAI_Host")</f>
        <v>HPAI;HPAI_Food;HPAI_WW;HPAI_Enviro;HPAI_Host</v>
      </c>
      <c r="P10" s="33"/>
      <c r="Q10" s="33"/>
      <c r="R10" s="33"/>
      <c r="S10" s="33"/>
      <c r="T10" s="33"/>
      <c r="U10" s="33"/>
      <c r="V10" s="33"/>
      <c r="W10" s="33"/>
      <c r="X10" s="33"/>
      <c r="Y10" s="33"/>
      <c r="Z10" s="33"/>
      <c r="AA10" s="33"/>
      <c r="AB10" s="33"/>
    </row>
    <row r="11">
      <c r="A11" s="33" t="str">
        <f>IFERROR(__xludf.DUMMYFUNCTION("""COMPUTED_VALUE"""),"Database identifiers")</f>
        <v>Database identifiers</v>
      </c>
      <c r="B11" s="33" t="str">
        <f>IFERROR(__xludf.DUMMYFUNCTION("""COMPUTED_VALUE"""),"sampling_event_ID")</f>
        <v>sampling_event_ID</v>
      </c>
      <c r="C11" s="33"/>
      <c r="D11" s="33" t="b">
        <f>IFERROR(__xludf.DUMMYFUNCTION("""COMPUTED_VALUE"""),TRUE)</f>
        <v>1</v>
      </c>
      <c r="E11" s="35" t="str">
        <f>IFERROR(__xludf.DUMMYFUNCTION("""COMPUTED_VALUE"""),"GENEPIO:0100761")</f>
        <v>GENEPIO:0100761</v>
      </c>
      <c r="F11" s="33" t="str">
        <f>IFERROR(__xludf.DUMMYFUNCTION("""COMPUTED_VALUE"""),"The user-defined identifier assigned to a specific event during which one or more samples are taken, from one or more sites.")</f>
        <v>The user-defined identifier assigned to a specific event during which one or more samples are taken, from one or more sites.</v>
      </c>
      <c r="G11" s="33" t="str">
        <f>IFERROR(__xludf.DUMMYFUNCTION("""COMPUTED_VALUE"""),"Store the ID for the event during which a sample or samples were taken. For example, an event could be one person taking samples from multiple sites, or multiple people taking samples from one site.")</f>
        <v>Store the ID for the event during which a sample or samples were taken. For example, an event could be one person taking samples from multiple sites, or multiple people taking samples from one site.</v>
      </c>
      <c r="H11" s="33" t="str">
        <f>IFERROR(__xludf.DUMMYFUNCTION("""COMPUTED_VALUE"""),"Event 120522.1")</f>
        <v>Event 120522.1</v>
      </c>
      <c r="I11" s="33"/>
      <c r="J11" s="33"/>
      <c r="K11" s="34" t="s">
        <v>19</v>
      </c>
      <c r="L11" s="34" t="s">
        <v>19</v>
      </c>
      <c r="M11" s="34" t="s">
        <v>19</v>
      </c>
      <c r="N11" s="33"/>
      <c r="O11" s="33" t="str">
        <f>IFERROR(__xludf.DUMMYFUNCTION("""COMPUTED_VALUE"""),"HPAI;HPAI_Food;HPAI_WW;HPAI_Enviro;HPAI_Host")</f>
        <v>HPAI;HPAI_Food;HPAI_WW;HPAI_Enviro;HPAI_Host</v>
      </c>
      <c r="P11" s="33"/>
      <c r="Q11" s="33"/>
      <c r="R11" s="33"/>
      <c r="S11" s="33"/>
      <c r="T11" s="33"/>
      <c r="U11" s="33"/>
      <c r="V11" s="33"/>
      <c r="W11" s="33"/>
      <c r="X11" s="33"/>
      <c r="Y11" s="33"/>
      <c r="Z11" s="33"/>
      <c r="AA11" s="33"/>
      <c r="AB11" s="33"/>
    </row>
    <row r="12">
      <c r="A12" s="33" t="str">
        <f>IFERROR(__xludf.DUMMYFUNCTION("""COMPUTED_VALUE"""),"Database identifiers")</f>
        <v>Database identifiers</v>
      </c>
      <c r="B12" s="33" t="str">
        <f>IFERROR(__xludf.DUMMYFUNCTION("""COMPUTED_VALUE"""),"BioProject_accession")</f>
        <v>BioProject_accession</v>
      </c>
      <c r="C12" s="33"/>
      <c r="D12" s="33"/>
      <c r="E12" s="33" t="str">
        <f>IFERROR(__xludf.DUMMYFUNCTION("""COMPUTED_VALUE"""),"GENEPIO:0001136")</f>
        <v>GENEPIO:0001136</v>
      </c>
      <c r="F12" s="33" t="str">
        <f>IFERROR(__xludf.DUMMYFUNCTION("""COMPUTED_VALUE"""),"The INSDC (i.e., ENA, NCBI, or DDBJ) accession number of the BioProject(s) to which the BioSample belongs.")</f>
        <v>The INSDC (i.e., ENA, NCBI, or DDBJ) accession number of the BioProject(s) to which the BioSample belongs.</v>
      </c>
      <c r="G12" s="33" t="str">
        <f>IFERROR(__xludf.DUMMYFUNCTION("""COMPUTED_VALUE"""),"Store the BioProject accession number. BioProjects are an organizing tool that links together raw sequence data, assemblies, and their associated metadata. Each province will be assigned a different bioproject accession number by the National Microbiology"&amp;" Lab. A valid NCBI BioProject accession has prefix PRJN e.g., PRJNA12345, and is created once at the beginning of a new sequencing project.")</f>
        <v>Store the BioProject accession number. BioProjects are an organizing tool that links together raw sequence data, assemblies, and their associated metadata. Each province will be assigned a different bioproject accession number by the National Microbiology Lab. A valid NCBI BioProject accession has prefix PRJN e.g., PRJNA12345, and is created once at the beginning of a new sequencing project.</v>
      </c>
      <c r="H12" s="33" t="str">
        <f>IFERROR(__xludf.DUMMYFUNCTION("""COMPUTED_VALUE"""),"PRJNA608651")</f>
        <v>PRJNA608651</v>
      </c>
      <c r="I12" s="33"/>
      <c r="J12" s="33"/>
      <c r="K12" s="34" t="s">
        <v>19</v>
      </c>
      <c r="L12" s="34" t="s">
        <v>19</v>
      </c>
      <c r="M12" s="34" t="s">
        <v>19</v>
      </c>
      <c r="N12" s="33"/>
      <c r="O12" s="33" t="str">
        <f>IFERROR(__xludf.DUMMYFUNCTION("""COMPUTED_VALUE"""),"HPAI;HPAI_Food;HPAI_WW;HPAI_Enviro;HPAI_Host")</f>
        <v>HPAI;HPAI_Food;HPAI_WW;HPAI_Enviro;HPAI_Host</v>
      </c>
      <c r="P12" s="33"/>
      <c r="Q12" s="33"/>
      <c r="R12" s="33"/>
      <c r="S12" s="33"/>
      <c r="T12" s="33"/>
      <c r="U12" s="33"/>
      <c r="V12" s="33"/>
      <c r="W12" s="33"/>
      <c r="X12" s="33"/>
      <c r="Y12" s="33"/>
      <c r="Z12" s="33"/>
      <c r="AA12" s="33"/>
      <c r="AB12" s="33"/>
    </row>
    <row r="13">
      <c r="A13" s="33" t="str">
        <f>IFERROR(__xludf.DUMMYFUNCTION("""COMPUTED_VALUE"""),"Database identifiers")</f>
        <v>Database identifiers</v>
      </c>
      <c r="B13" s="33" t="str">
        <f>IFERROR(__xludf.DUMMYFUNCTION("""COMPUTED_VALUE"""),"BioSample_accession")</f>
        <v>BioSample_accession</v>
      </c>
      <c r="C13" s="33"/>
      <c r="D13" s="33" t="b">
        <f>IFERROR(__xludf.DUMMYFUNCTION("""COMPUTED_VALUE"""),TRUE)</f>
        <v>1</v>
      </c>
      <c r="E13" s="33" t="str">
        <f>IFERROR(__xludf.DUMMYFUNCTION("""COMPUTED_VALUE"""),"GENEPIO:0001139")</f>
        <v>GENEPIO:0001139</v>
      </c>
      <c r="F13" s="33" t="str">
        <f>IFERROR(__xludf.DUMMYFUNCTION("""COMPUTED_VALUE"""),"The identifier assigned to a BioSample in INSDC (i.e., ENA, NCBI, or DDBJ) archives.")</f>
        <v>The identifier assigned to a BioSample in INSDC (i.e., ENA, NCBI, or DDBJ) archives.</v>
      </c>
      <c r="G13" s="33" t="str">
        <f>IFERROR(__xludf.DUMMYFUNCTION("""COMPUTED_VALUE"""),"Store the accession returned from the BioSample submission. NCBI BioSamples will have the prefix SAMN, ENA have the prefix SAMEA, DDBJ have SAMD")</f>
        <v>Store the accession returned from the BioSample submission. NCBI BioSamples will have the prefix SAMN, ENA have the prefix SAMEA, DDBJ have SAMD</v>
      </c>
      <c r="H13" s="33" t="str">
        <f>IFERROR(__xludf.DUMMYFUNCTION("""COMPUTED_VALUE"""),"SAMN14180202, SAMD00000001")</f>
        <v>SAMN14180202, SAMD00000001</v>
      </c>
      <c r="I13" s="33"/>
      <c r="J13" s="33"/>
      <c r="K13" s="34" t="s">
        <v>19</v>
      </c>
      <c r="L13" s="34" t="s">
        <v>19</v>
      </c>
      <c r="M13" s="34" t="s">
        <v>19</v>
      </c>
      <c r="N13" s="33"/>
      <c r="O13" s="33" t="str">
        <f>IFERROR(__xludf.DUMMYFUNCTION("""COMPUTED_VALUE"""),"HPAI;HPAI_Food;HPAI_WW;HPAI_Enviro;HPAI_Host")</f>
        <v>HPAI;HPAI_Food;HPAI_WW;HPAI_Enviro;HPAI_Host</v>
      </c>
      <c r="P13" s="33"/>
      <c r="Q13" s="33"/>
      <c r="R13" s="33"/>
      <c r="S13" s="33"/>
      <c r="T13" s="33"/>
      <c r="U13" s="33"/>
      <c r="V13" s="33"/>
      <c r="W13" s="33"/>
      <c r="X13" s="33"/>
      <c r="Y13" s="33"/>
      <c r="Z13" s="33"/>
      <c r="AA13" s="33"/>
      <c r="AB13" s="33"/>
    </row>
    <row r="14">
      <c r="A14" s="33" t="str">
        <f>IFERROR(__xludf.DUMMYFUNCTION("""COMPUTED_VALUE"""),"Database identifiers")</f>
        <v>Database identifiers</v>
      </c>
      <c r="B14" s="33" t="str">
        <f>IFERROR(__xludf.DUMMYFUNCTION("""COMPUTED_VALUE"""),"INSDC sequence read accession")</f>
        <v>INSDC sequence read accession</v>
      </c>
      <c r="C14" s="33"/>
      <c r="D14" s="33"/>
      <c r="E14" s="35" t="str">
        <f>IFERROR(__xludf.DUMMYFUNCTION("""COMPUTED_VALUE"""),"GENEPIO:0101203")</f>
        <v>GENEPIO:0101203</v>
      </c>
      <c r="F14" s="33" t="str">
        <f>IFERROR(__xludf.DUMMYFUNCTION("""COMPUTED_VALUE"""),"The identifier assigned to a sequence in one of the International Nucleotide Sequence Database Collaboration (INSDC) repositories.")</f>
        <v>The identifier assigned to a sequence in one of the International Nucleotide Sequence Database Collaboration (INSDC) repositories.</v>
      </c>
      <c r="G14" s="33" t="str">
        <f>IFERROR(__xludf.DUMMYFUNCTION("""COMPUTED_VALUE"""),"Store the accession assigned to the submitted sequence. European Nucleotide Archive (ENA) sequence accessions start with ERR, NCBI-SRA accessions start with SRR,  DNA Data Bank of Japan (DDBJ) accessions start with DRR and Genome Sequence Archive (GSA) ac"&amp;"cessions start with CRR.")</f>
        <v>Store the accession assigned to the submitted sequence. European Nucleotide Archive (ENA) sequence accessions start with ERR, NCBI-SRA accessions start with SRR,  DNA Data Bank of Japan (DDBJ) accessions start with DRR and Genome Sequence Archive (GSA) accessions start with CRR.</v>
      </c>
      <c r="H14" s="33" t="str">
        <f>IFERROR(__xludf.DUMMYFUNCTION("""COMPUTED_VALUE"""),"ERR123456, DRR123456, CRR123456")</f>
        <v>ERR123456, DRR123456, CRR123456</v>
      </c>
      <c r="I14" s="33"/>
      <c r="J14" s="33"/>
      <c r="K14" s="34" t="s">
        <v>19</v>
      </c>
      <c r="L14" s="34" t="s">
        <v>19</v>
      </c>
      <c r="M14" s="34" t="s">
        <v>19</v>
      </c>
      <c r="N14" s="33"/>
      <c r="O14" s="33" t="str">
        <f>IFERROR(__xludf.DUMMYFUNCTION("""COMPUTED_VALUE"""),"HPAI;HPAI_Food;HPAI_WW;HPAI_Enviro;HPAI_Host")</f>
        <v>HPAI;HPAI_Food;HPAI_WW;HPAI_Enviro;HPAI_Host</v>
      </c>
      <c r="P14" s="33"/>
      <c r="Q14" s="33"/>
      <c r="R14" s="33"/>
      <c r="S14" s="33"/>
      <c r="T14" s="33"/>
      <c r="U14" s="33"/>
      <c r="V14" s="33"/>
      <c r="W14" s="33"/>
      <c r="X14" s="33"/>
      <c r="Y14" s="33"/>
      <c r="Z14" s="33"/>
      <c r="AA14" s="33"/>
      <c r="AB14" s="33"/>
    </row>
    <row r="15">
      <c r="A15" s="33" t="str">
        <f>IFERROR(__xludf.DUMMYFUNCTION("""COMPUTED_VALUE"""),"Database identifiers")</f>
        <v>Database identifiers</v>
      </c>
      <c r="B15" s="33" t="str">
        <f>IFERROR(__xludf.DUMMYFUNCTION("""COMPUTED_VALUE"""),"INSDC assembly accession")</f>
        <v>INSDC assembly accession</v>
      </c>
      <c r="C15" s="33"/>
      <c r="D15" s="33"/>
      <c r="E15" s="35" t="str">
        <f>IFERROR(__xludf.DUMMYFUNCTION("""COMPUTED_VALUE"""),"GENEPIO:0101204")</f>
        <v>GENEPIO:0101204</v>
      </c>
      <c r="F15" s="33" t="str">
        <f>IFERROR(__xludf.DUMMYFUNCTION("""COMPUTED_VALUE"""),"The versioned identifier assigned to an assembly or consensus sequence in  one of the International Nucleotide Sequence Database Collaboration (INSDC) repositories.")</f>
        <v>The versioned identifier assigned to an assembly or consensus sequence in  one of the International Nucleotide Sequence Database Collaboration (INSDC) repositories.</v>
      </c>
      <c r="G15" s="33" t="str">
        <f>IFERROR(__xludf.DUMMYFUNCTION("""COMPUTED_VALUE"""),"Store the versioned accession assigned to the submitted sequence e.g. the GenBank accession version.")</f>
        <v>Store the versioned accession assigned to the submitted sequence e.g. the GenBank accession version.</v>
      </c>
      <c r="H15" s="33" t="str">
        <f>IFERROR(__xludf.DUMMYFUNCTION("""COMPUTED_VALUE"""),"LZ986655.1")</f>
        <v>LZ986655.1</v>
      </c>
      <c r="I15" s="33"/>
      <c r="J15" s="33"/>
      <c r="K15" s="34" t="s">
        <v>19</v>
      </c>
      <c r="L15" s="34" t="s">
        <v>19</v>
      </c>
      <c r="M15" s="34" t="s">
        <v>19</v>
      </c>
      <c r="N15" s="33"/>
      <c r="O15" s="33" t="str">
        <f>IFERROR(__xludf.DUMMYFUNCTION("""COMPUTED_VALUE"""),"HPAI;HPAI_Food;HPAI_WW;HPAI_Enviro;HPAI_Host")</f>
        <v>HPAI;HPAI_Food;HPAI_WW;HPAI_Enviro;HPAI_Host</v>
      </c>
      <c r="P15" s="33"/>
      <c r="Q15" s="33"/>
      <c r="R15" s="33"/>
      <c r="S15" s="33"/>
      <c r="T15" s="33"/>
      <c r="U15" s="33"/>
      <c r="V15" s="33"/>
      <c r="W15" s="33"/>
      <c r="X15" s="33"/>
      <c r="Y15" s="33"/>
      <c r="Z15" s="33"/>
      <c r="AA15" s="33"/>
      <c r="AB15" s="33"/>
    </row>
    <row r="16">
      <c r="A16" s="33"/>
      <c r="B16" s="36" t="str">
        <f>IFERROR(__xludf.DUMMYFUNCTION("""COMPUTED_VALUE"""),"Sample collection and processing")</f>
        <v>Sample collection and processing</v>
      </c>
      <c r="C16" s="33" t="str">
        <f>IFERROR(__xludf.DUMMYFUNCTION("""COMPUTED_VALUE"""),"")</f>
        <v/>
      </c>
      <c r="D16" s="33" t="str">
        <f>IFERROR(__xludf.DUMMYFUNCTION("""COMPUTED_VALUE"""),"")</f>
        <v/>
      </c>
      <c r="E16" s="33" t="str">
        <f>IFERROR(__xludf.DUMMYFUNCTION("""COMPUTED_VALUE"""),"GENEPIO:0001150")</f>
        <v>GENEPIO:0001150</v>
      </c>
      <c r="F16" s="33"/>
      <c r="G16" s="33"/>
      <c r="H16" s="33"/>
      <c r="I16" s="33"/>
      <c r="J16" s="33"/>
      <c r="K16" s="34"/>
      <c r="L16" s="34"/>
      <c r="M16" s="34"/>
      <c r="N16" s="33"/>
      <c r="O16" s="33" t="str">
        <f>IFERROR(__xludf.DUMMYFUNCTION("""COMPUTED_VALUE"""),"HPAI;HPAI_Food;HPAI_WW;HPAI_Enviro;HPAI_Host")</f>
        <v>HPAI;HPAI_Food;HPAI_WW;HPAI_Enviro;HPAI_Host</v>
      </c>
      <c r="P16" s="33"/>
      <c r="Q16" s="33"/>
      <c r="R16" s="33"/>
      <c r="S16" s="33"/>
      <c r="T16" s="33"/>
      <c r="U16" s="33"/>
      <c r="V16" s="33"/>
      <c r="W16" s="33"/>
      <c r="X16" s="33"/>
      <c r="Y16" s="33"/>
      <c r="Z16" s="33"/>
      <c r="AA16" s="33"/>
      <c r="AB16" s="33"/>
    </row>
    <row r="17">
      <c r="A17" s="33" t="str">
        <f>IFERROR(__xludf.DUMMYFUNCTION("""COMPUTED_VALUE"""),"Sample collection and processing")</f>
        <v>Sample collection and processing</v>
      </c>
      <c r="B17" s="33" t="str">
        <f>IFERROR(__xludf.DUMMYFUNCTION("""COMPUTED_VALUE"""),"sample_collection_data_steward_name")</f>
        <v>sample_collection_data_steward_name</v>
      </c>
      <c r="C17" s="33"/>
      <c r="D17" s="33"/>
      <c r="E17" s="35" t="str">
        <f>IFERROR(__xludf.DUMMYFUNCTION("""COMPUTED_VALUE"""),"GENEPIO:0100762")</f>
        <v>GENEPIO:0100762</v>
      </c>
      <c r="F17" s="33" t="str">
        <f>IFERROR(__xludf.DUMMYFUNCTION("""COMPUTED_VALUE"""),"The name of the individual responsible for the data governance, (meta)data usage and distribution of the sample.")</f>
        <v>The name of the individual responsible for the data governance, (meta)data usage and distribution of the sample.</v>
      </c>
      <c r="G17" s="33" t="str">
        <f>IFERROR(__xludf.DUMMYFUNCTION("""COMPUTED_VALUE"""),"Provide the name of the sample collection data steward.")</f>
        <v>Provide the name of the sample collection data steward.</v>
      </c>
      <c r="H17" s="33" t="str">
        <f>IFERROR(__xludf.DUMMYFUNCTION("""COMPUTED_VALUE"""),"Joe Bloggs")</f>
        <v>Joe Bloggs</v>
      </c>
      <c r="I17" s="33"/>
      <c r="J17" s="33"/>
      <c r="K17" s="34" t="s">
        <v>19</v>
      </c>
      <c r="L17" s="34" t="s">
        <v>19</v>
      </c>
      <c r="M17" s="34" t="s">
        <v>19</v>
      </c>
      <c r="N17" s="33"/>
      <c r="O17" s="33" t="str">
        <f>IFERROR(__xludf.DUMMYFUNCTION("""COMPUTED_VALUE"""),"HPAI;HPAI_Food;HPAI_WW;HPAI_Enviro;HPAI_Host")</f>
        <v>HPAI;HPAI_Food;HPAI_WW;HPAI_Enviro;HPAI_Host</v>
      </c>
      <c r="P17" s="33"/>
      <c r="Q17" s="33"/>
      <c r="R17" s="33"/>
      <c r="S17" s="33"/>
      <c r="T17" s="33"/>
      <c r="U17" s="33"/>
      <c r="V17" s="33"/>
      <c r="W17" s="33"/>
      <c r="X17" s="33"/>
      <c r="Y17" s="33"/>
      <c r="Z17" s="33"/>
      <c r="AA17" s="33"/>
      <c r="AB17" s="33"/>
    </row>
    <row r="18">
      <c r="A18" s="34" t="str">
        <f>IFERROR(__xludf.DUMMYFUNCTION("""COMPUTED_VALUE"""),"Sample collection and processing")</f>
        <v>Sample collection and processing</v>
      </c>
      <c r="B18" s="33" t="str">
        <f>IFERROR(__xludf.DUMMYFUNCTION("""COMPUTED_VALUE"""),"sample_collection_data_steward_contact_email")</f>
        <v>sample_collection_data_steward_contact_email</v>
      </c>
      <c r="C18" s="33"/>
      <c r="D18" s="33"/>
      <c r="E18" s="37" t="str">
        <f>IFERROR(__xludf.DUMMYFUNCTION("""COMPUTED_VALUE"""),"GENEPIO:0101107")</f>
        <v>GENEPIO:0101107</v>
      </c>
      <c r="F18" s="33" t="str">
        <f>IFERROR(__xludf.DUMMYFUNCTION("""COMPUTED_VALUE"""),"The email address of the individual responsible for the data governance, (meta)data usage and distribution of the sample.")</f>
        <v>The email address of the individual responsible for the data governance, (meta)data usage and distribution of the sample.</v>
      </c>
      <c r="G18" s="33" t="str">
        <f>IFERROR(__xludf.DUMMYFUNCTION("""COMPUTED_VALUE"""),"Provide the email address of the sample collection data steward. This may or may not be the same individual/organization that collected the sample. If the contact is the same, provide the same address as the ""sample collector contact email"".")</f>
        <v>Provide the email address of the sample collection data steward. This may or may not be the same individual/organization that collected the sample. If the contact is the same, provide the same address as the "sample collector contact email".</v>
      </c>
      <c r="H18" s="33" t="str">
        <f>IFERROR(__xludf.DUMMYFUNCTION("""COMPUTED_VALUE"""),"bloggsj@aglab.ca")</f>
        <v>bloggsj@aglab.ca</v>
      </c>
      <c r="I18" s="33"/>
      <c r="J18" s="33"/>
      <c r="K18" s="33"/>
      <c r="L18" s="33"/>
      <c r="M18" s="33"/>
      <c r="N18" s="33"/>
      <c r="O18" s="33" t="str">
        <f>IFERROR(__xludf.DUMMYFUNCTION("""COMPUTED_VALUE"""),"HPAI;HPAI_Food;HPAI_WW;HPAI_Enviro;HPAI_Host")</f>
        <v>HPAI;HPAI_Food;HPAI_WW;HPAI_Enviro;HPAI_Host</v>
      </c>
      <c r="P18" s="33"/>
      <c r="Q18" s="33"/>
      <c r="R18" s="33"/>
      <c r="S18" s="33"/>
      <c r="T18" s="33"/>
      <c r="U18" s="33"/>
      <c r="V18" s="33"/>
      <c r="W18" s="33"/>
      <c r="X18" s="33"/>
      <c r="Y18" s="33"/>
      <c r="Z18" s="33"/>
      <c r="AA18" s="33"/>
      <c r="AB18" s="33"/>
    </row>
    <row r="19">
      <c r="A19" s="33" t="str">
        <f>IFERROR(__xludf.DUMMYFUNCTION("""COMPUTED_VALUE"""),"Sample collection and processing")</f>
        <v>Sample collection and processing</v>
      </c>
      <c r="B19" s="33" t="str">
        <f>IFERROR(__xludf.DUMMYFUNCTION("""COMPUTED_VALUE"""),"sample_collected_by")</f>
        <v>sample_collected_by</v>
      </c>
      <c r="C19" s="33" t="b">
        <f>IFERROR(__xludf.DUMMYFUNCTION("""COMPUTED_VALUE"""),TRUE)</f>
        <v>1</v>
      </c>
      <c r="D19" s="33"/>
      <c r="E19" s="33" t="str">
        <f>IFERROR(__xludf.DUMMYFUNCTION("""COMPUTED_VALUE"""),"GENEPIO:0001153")</f>
        <v>GENEPIO:0001153</v>
      </c>
      <c r="F19" s="33" t="str">
        <f>IFERROR(__xludf.DUMMYFUNCTION("""COMPUTED_VALUE"""),"The name of the organization with which the sample collector is affiliated.")</f>
        <v>The name of the organization with which the sample collector is affiliated.</v>
      </c>
      <c r="G19" s="33" t="str">
        <f>IFERROR(__xludf.DUMMYFUNCTION("""COMPUTED_VALUE"""),"The name of the agency should be written out in full, (with minor exceptions) and be consistent across multiple submissions.")</f>
        <v>The name of the agency should be written out in full, (with minor exceptions) and be consistent across multiple submissions.</v>
      </c>
      <c r="H19" s="33" t="str">
        <f>IFERROR(__xludf.DUMMYFUNCTION("""COMPUTED_VALUE"""),"Public Health Agency of Canada")</f>
        <v>Public Health Agency of Canada</v>
      </c>
      <c r="I19" s="33"/>
      <c r="J19" s="33"/>
      <c r="K19" s="34" t="s">
        <v>19</v>
      </c>
      <c r="L19" s="34" t="s">
        <v>19</v>
      </c>
      <c r="M19" s="34" t="s">
        <v>19</v>
      </c>
      <c r="N19" s="33"/>
      <c r="O19" s="33" t="str">
        <f>IFERROR(__xludf.DUMMYFUNCTION("""COMPUTED_VALUE"""),"HPAI;HPAI_Food;HPAI_WW;HPAI_Enviro;HPAI_Host")</f>
        <v>HPAI;HPAI_Food;HPAI_WW;HPAI_Enviro;HPAI_Host</v>
      </c>
      <c r="P19" s="33"/>
      <c r="Q19" s="33"/>
      <c r="R19" s="33"/>
      <c r="S19" s="33"/>
      <c r="T19" s="33"/>
      <c r="U19" s="33"/>
      <c r="V19" s="33"/>
      <c r="W19" s="33"/>
      <c r="X19" s="33"/>
      <c r="Y19" s="33"/>
      <c r="Z19" s="33"/>
      <c r="AA19" s="33"/>
      <c r="AB19" s="33"/>
    </row>
    <row r="20">
      <c r="A20" s="33" t="str">
        <f>IFERROR(__xludf.DUMMYFUNCTION("""COMPUTED_VALUE"""),"Sample collection and processing")</f>
        <v>Sample collection and processing</v>
      </c>
      <c r="B20" s="33" t="str">
        <f>IFERROR(__xludf.DUMMYFUNCTION("""COMPUTED_VALUE"""),"sample_collector_contact_email")</f>
        <v>sample_collector_contact_email</v>
      </c>
      <c r="C20" s="33"/>
      <c r="D20" s="33"/>
      <c r="E20" s="33" t="str">
        <f>IFERROR(__xludf.DUMMYFUNCTION("""COMPUTED_VALUE"""),"GENEPIO:0001156")</f>
        <v>GENEPIO:0001156</v>
      </c>
      <c r="F20" s="33" t="str">
        <f>IFERROR(__xludf.DUMMYFUNCTION("""COMPUTED_VALUE"""),"The email address of the contact responsible for follow-up regarding the sample.")</f>
        <v>The email address of the contact responsible for follow-up regarding the sample.</v>
      </c>
      <c r="G20" s="33" t="str">
        <f>IFERROR(__xludf.DUMMYFUNCTION("""COMPUTED_VALUE"""),"The email address can represent a specific individual or lab e.g. johnnyblogs@lab.ca, or RespLab@lab.ca")</f>
        <v>The email address can represent a specific individual or lab e.g. johnnyblogs@lab.ca, or RespLab@lab.ca</v>
      </c>
      <c r="H20" s="33" t="str">
        <f>IFERROR(__xludf.DUMMYFUNCTION("""COMPUTED_VALUE"""),"WaterTester@facility.ca")</f>
        <v>WaterTester@facility.ca</v>
      </c>
      <c r="I20" s="33"/>
      <c r="J20" s="33"/>
      <c r="K20" s="34" t="s">
        <v>19</v>
      </c>
      <c r="L20" s="34" t="s">
        <v>19</v>
      </c>
      <c r="M20" s="34" t="s">
        <v>19</v>
      </c>
      <c r="N20" s="33"/>
      <c r="O20" s="33" t="str">
        <f>IFERROR(__xludf.DUMMYFUNCTION("""COMPUTED_VALUE"""),"HPAI;HPAI_Food;HPAI_WW;HPAI_Enviro;HPAI_Host")</f>
        <v>HPAI;HPAI_Food;HPAI_WW;HPAI_Enviro;HPAI_Host</v>
      </c>
      <c r="P20" s="33"/>
      <c r="Q20" s="33"/>
      <c r="R20" s="33"/>
      <c r="S20" s="33"/>
      <c r="T20" s="33"/>
      <c r="U20" s="33"/>
      <c r="V20" s="33"/>
      <c r="W20" s="33"/>
      <c r="X20" s="33"/>
      <c r="Y20" s="33"/>
      <c r="Z20" s="33"/>
      <c r="AA20" s="33"/>
      <c r="AB20" s="33"/>
    </row>
    <row r="21">
      <c r="A21" s="33" t="str">
        <f>IFERROR(__xludf.DUMMYFUNCTION("""COMPUTED_VALUE"""),"Sample collection and processing")</f>
        <v>Sample collection and processing</v>
      </c>
      <c r="B21" s="33" t="str">
        <f>IFERROR(__xludf.DUMMYFUNCTION("""COMPUTED_VALUE"""),"geo_loc_name_(country)")</f>
        <v>geo_loc_name_(country)</v>
      </c>
      <c r="C21" s="33" t="b">
        <f>IFERROR(__xludf.DUMMYFUNCTION("""COMPUTED_VALUE"""),TRUE)</f>
        <v>1</v>
      </c>
      <c r="D21" s="33"/>
      <c r="E21" s="33" t="str">
        <f>IFERROR(__xludf.DUMMYFUNCTION("""COMPUTED_VALUE"""),"GENEPIO:0001181")</f>
        <v>GENEPIO:0001181</v>
      </c>
      <c r="F21" s="33" t="str">
        <f>IFERROR(__xludf.DUMMYFUNCTION("""COMPUTED_VALUE"""),"The country of origin of the sample.")</f>
        <v>The country of origin of the sample.</v>
      </c>
      <c r="G21" s="33" t="str">
        <f>IFERROR(__xludf.DUMMYFUNCTION("""COMPUTED_VALUE"""),"If known, select a value from the pick list.")</f>
        <v>If known, select a value from the pick list.</v>
      </c>
      <c r="H21" s="33" t="str">
        <f>IFERROR(__xludf.DUMMYFUNCTION("""COMPUTED_VALUE"""),"Canada")</f>
        <v>Canada</v>
      </c>
      <c r="I21" s="33"/>
      <c r="J21" s="33"/>
      <c r="K21" s="34" t="s">
        <v>19</v>
      </c>
      <c r="L21" s="34" t="s">
        <v>19</v>
      </c>
      <c r="M21" s="34" t="s">
        <v>19</v>
      </c>
      <c r="N21" s="33"/>
      <c r="O21" s="33" t="str">
        <f>IFERROR(__xludf.DUMMYFUNCTION("""COMPUTED_VALUE"""),"HPAI;HPAI_Food;HPAI_WW;HPAI_Enviro;HPAI_Host")</f>
        <v>HPAI;HPAI_Food;HPAI_WW;HPAI_Enviro;HPAI_Host</v>
      </c>
      <c r="P21" s="33"/>
      <c r="Q21" s="33"/>
      <c r="R21" s="33"/>
      <c r="S21" s="33"/>
      <c r="T21" s="33"/>
      <c r="U21" s="33"/>
      <c r="V21" s="33"/>
      <c r="W21" s="33"/>
      <c r="X21" s="33"/>
      <c r="Y21" s="33"/>
      <c r="Z21" s="33"/>
      <c r="AA21" s="33"/>
      <c r="AB21" s="33"/>
    </row>
    <row r="22">
      <c r="A22" s="33" t="str">
        <f>IFERROR(__xludf.DUMMYFUNCTION("""COMPUTED_VALUE"""),"Sample collection and processing")</f>
        <v>Sample collection and processing</v>
      </c>
      <c r="B22" s="33" t="str">
        <f>IFERROR(__xludf.DUMMYFUNCTION("""COMPUTED_VALUE"""),"geo_loc_name_(state/province/territory)")</f>
        <v>geo_loc_name_(state/province/territory)</v>
      </c>
      <c r="C22" s="33" t="b">
        <f>IFERROR(__xludf.DUMMYFUNCTION("""COMPUTED_VALUE"""),TRUE)</f>
        <v>1</v>
      </c>
      <c r="D22" s="33"/>
      <c r="E22" s="33" t="str">
        <f>IFERROR(__xludf.DUMMYFUNCTION("""COMPUTED_VALUE"""),"GENEPIO:0001185")</f>
        <v>GENEPIO:0001185</v>
      </c>
      <c r="F22" s="33" t="str">
        <f>IFERROR(__xludf.DUMMYFUNCTION("""COMPUTED_VALUE"""),"The state/province/territory of origin of the sample.")</f>
        <v>The state/province/territory of origin of the sample.</v>
      </c>
      <c r="G22" s="33" t="str">
        <f>IFERROR(__xludf.DUMMYFUNCTION("""COMPUTED_VALUE"""),"Provide the state/province/territory name from the GAZ geography ontology. Search for geography terms here: https://www.ebi.ac.uk/ols/ontologies/ga")</f>
        <v>Provide the state/province/territory name from the GAZ geography ontology. Search for geography terms here: https://www.ebi.ac.uk/ols/ontologies/ga</v>
      </c>
      <c r="H22" s="33" t="str">
        <f>IFERROR(__xludf.DUMMYFUNCTION("""COMPUTED_VALUE"""),"Western Cape")</f>
        <v>Western Cape</v>
      </c>
      <c r="I22" s="33"/>
      <c r="J22" s="33"/>
      <c r="K22" s="34" t="s">
        <v>19</v>
      </c>
      <c r="L22" s="34" t="s">
        <v>19</v>
      </c>
      <c r="M22" s="34" t="s">
        <v>19</v>
      </c>
      <c r="N22" s="33"/>
      <c r="O22" s="33" t="str">
        <f>IFERROR(__xludf.DUMMYFUNCTION("""COMPUTED_VALUE"""),"HPAI;HPAI_Food;HPAI_WW;HPAI_Enviro;HPAI_Host")</f>
        <v>HPAI;HPAI_Food;HPAI_WW;HPAI_Enviro;HPAI_Host</v>
      </c>
      <c r="P22" s="33"/>
      <c r="Q22" s="33"/>
      <c r="R22" s="33"/>
      <c r="S22" s="33"/>
      <c r="T22" s="33"/>
      <c r="U22" s="33"/>
      <c r="V22" s="33"/>
      <c r="W22" s="33"/>
      <c r="X22" s="33"/>
      <c r="Y22" s="33"/>
      <c r="Z22" s="33"/>
      <c r="AA22" s="33"/>
      <c r="AB22" s="33"/>
    </row>
    <row r="23">
      <c r="A23" s="33" t="str">
        <f>IFERROR(__xludf.DUMMYFUNCTION("""COMPUTED_VALUE"""),"Sample collection and processing")</f>
        <v>Sample collection and processing</v>
      </c>
      <c r="B23" s="33" t="str">
        <f>IFERROR(__xludf.DUMMYFUNCTION("""COMPUTED_VALUE"""),"geo_loc_name_(county/region)")</f>
        <v>geo_loc_name_(county/region)</v>
      </c>
      <c r="C23" s="33"/>
      <c r="D23" s="33"/>
      <c r="E23" s="33" t="str">
        <f>IFERROR(__xludf.DUMMYFUNCTION("""COMPUTED_VALUE"""),"GENEPIO:0100280")</f>
        <v>GENEPIO:0100280</v>
      </c>
      <c r="F23" s="33" t="str">
        <f>IFERROR(__xludf.DUMMYFUNCTION("""COMPUTED_VALUE"""),"The county/region of origin of the sample.")</f>
        <v>The county/region of origin of the sample.</v>
      </c>
      <c r="G23" s="33" t="str">
        <f>IFERROR(__xludf.DUMMYFUNCTION("""COMPUTED_VALUE"""),"Provide the county/region name from the GAZ geography ontology. Search for geography terms here: https://www.ebi.ac.uk/ols/ontologies/gaz")</f>
        <v>Provide the county/region name from the GAZ geography ontology. Search for geography terms here: https://www.ebi.ac.uk/ols/ontologies/gaz</v>
      </c>
      <c r="H23" s="33" t="str">
        <f>IFERROR(__xludf.DUMMYFUNCTION("""COMPUTED_VALUE"""),"Derbyshire")</f>
        <v>Derbyshire</v>
      </c>
      <c r="I23" s="33"/>
      <c r="J23" s="33"/>
      <c r="K23" s="34" t="s">
        <v>19</v>
      </c>
      <c r="L23" s="34" t="s">
        <v>19</v>
      </c>
      <c r="M23" s="34" t="s">
        <v>19</v>
      </c>
      <c r="N23" s="33"/>
      <c r="O23" s="33" t="str">
        <f>IFERROR(__xludf.DUMMYFUNCTION("""COMPUTED_VALUE"""),"HPAI;HPAI_Food;HPAI_WW;HPAI_Enviro;HPAI_Host")</f>
        <v>HPAI;HPAI_Food;HPAI_WW;HPAI_Enviro;HPAI_Host</v>
      </c>
      <c r="P23" s="33"/>
      <c r="Q23" s="33"/>
      <c r="R23" s="33"/>
      <c r="S23" s="33"/>
      <c r="T23" s="33"/>
      <c r="U23" s="33"/>
      <c r="V23" s="33"/>
      <c r="W23" s="33"/>
      <c r="X23" s="33"/>
      <c r="Y23" s="33"/>
      <c r="Z23" s="33"/>
      <c r="AA23" s="33"/>
      <c r="AB23" s="33"/>
    </row>
    <row r="24">
      <c r="A24" s="33" t="str">
        <f>IFERROR(__xludf.DUMMYFUNCTION("""COMPUTED_VALUE"""),"Sample collection and processing")</f>
        <v>Sample collection and processing</v>
      </c>
      <c r="B24" s="33" t="str">
        <f>IFERROR(__xludf.DUMMYFUNCTION("""COMPUTED_VALUE"""),"geo_loc_name_(city)")</f>
        <v>geo_loc_name_(city)</v>
      </c>
      <c r="C24" s="33"/>
      <c r="D24" s="33"/>
      <c r="E24" s="33" t="str">
        <f>IFERROR(__xludf.DUMMYFUNCTION("""COMPUTED_VALUE"""),"GENEPIO:0001189")</f>
        <v>GENEPIO:0001189</v>
      </c>
      <c r="F24" s="33" t="str">
        <f>IFERROR(__xludf.DUMMYFUNCTION("""COMPUTED_VALUE"""),"The city of origin of the sample.")</f>
        <v>The city of origin of the sample.</v>
      </c>
      <c r="G24" s="33" t="str">
        <f>IFERROR(__xludf.DUMMYFUNCTION("""COMPUTED_VALUE"""),"Provide the city name from the GAZ geography ontology. Search for geography terms here: https://www.ebi.ac.uk/ols/ontologies/gaz")</f>
        <v>Provide the city name from the GAZ geography ontology. Search for geography terms here: https://www.ebi.ac.uk/ols/ontologies/gaz</v>
      </c>
      <c r="H24" s="33" t="str">
        <f>IFERROR(__xludf.DUMMYFUNCTION("""COMPUTED_VALUE"""),"Vancouver")</f>
        <v>Vancouver</v>
      </c>
      <c r="I24" s="33"/>
      <c r="J24" s="33"/>
      <c r="K24" s="34" t="s">
        <v>19</v>
      </c>
      <c r="L24" s="34" t="s">
        <v>19</v>
      </c>
      <c r="M24" s="34" t="s">
        <v>19</v>
      </c>
      <c r="N24" s="33"/>
      <c r="O24" s="33" t="str">
        <f>IFERROR(__xludf.DUMMYFUNCTION("""COMPUTED_VALUE"""),"HPAI;HPAI_Food;HPAI_WW;HPAI_Enviro;HPAI_Host")</f>
        <v>HPAI;HPAI_Food;HPAI_WW;HPAI_Enviro;HPAI_Host</v>
      </c>
      <c r="P24" s="33"/>
      <c r="Q24" s="33"/>
      <c r="R24" s="33"/>
      <c r="S24" s="33"/>
      <c r="T24" s="33"/>
      <c r="U24" s="33"/>
      <c r="V24" s="33"/>
      <c r="W24" s="33"/>
      <c r="X24" s="33"/>
      <c r="Y24" s="33"/>
      <c r="Z24" s="33"/>
      <c r="AA24" s="33"/>
      <c r="AB24" s="33"/>
    </row>
    <row r="25">
      <c r="A25" s="33" t="str">
        <f>IFERROR(__xludf.DUMMYFUNCTION("""COMPUTED_VALUE"""),"Sample collection and processing")</f>
        <v>Sample collection and processing</v>
      </c>
      <c r="B25" s="33" t="str">
        <f>IFERROR(__xludf.DUMMYFUNCTION("""COMPUTED_VALUE"""),"geo_loc_name_(site)  ")</f>
        <v>geo_loc_name_(site)  </v>
      </c>
      <c r="C25" s="33"/>
      <c r="D25" s="33"/>
      <c r="E25" s="33" t="str">
        <f>IFERROR(__xludf.DUMMYFUNCTION("""COMPUTED_VALUE"""),"GENEPIO:0100436")</f>
        <v>GENEPIO:0100436</v>
      </c>
      <c r="F25" s="33" t="str">
        <f>IFERROR(__xludf.DUMMYFUNCTION("""COMPUTED_VALUE"""),"The name of a specific geographical location e.g. Credit River (rather than river).")</f>
        <v>The name of a specific geographical location e.g. Credit River (rather than river).</v>
      </c>
      <c r="G25" s="33" t="str">
        <f>IFERROR(__xludf.DUMMYFUNCTION("""COMPUTED_VALUE"""),"Provide the name of the specific geographical site using a specific noun (a word that names a certain place, thing).")</f>
        <v>Provide the name of the specific geographical site using a specific noun (a word that names a certain place, thing).</v>
      </c>
      <c r="H25" s="33" t="str">
        <f>IFERROR(__xludf.DUMMYFUNCTION("""COMPUTED_VALUE"""),"Credit River")</f>
        <v>Credit River</v>
      </c>
      <c r="I25" s="33"/>
      <c r="J25" s="33"/>
      <c r="K25" s="34" t="s">
        <v>19</v>
      </c>
      <c r="L25" s="34" t="s">
        <v>19</v>
      </c>
      <c r="M25" s="34" t="s">
        <v>19</v>
      </c>
      <c r="N25" s="33"/>
      <c r="O25" s="33" t="str">
        <f>IFERROR(__xludf.DUMMYFUNCTION("""COMPUTED_VALUE"""),"HPAI;HPAI_Food;HPAI_WW;HPAI_Enviro;HPAI_Host")</f>
        <v>HPAI;HPAI_Food;HPAI_WW;HPAI_Enviro;HPAI_Host</v>
      </c>
      <c r="P25" s="33"/>
      <c r="Q25" s="33"/>
      <c r="R25" s="33"/>
      <c r="S25" s="33"/>
      <c r="T25" s="33"/>
      <c r="U25" s="33"/>
      <c r="V25" s="33"/>
      <c r="W25" s="33"/>
      <c r="X25" s="33"/>
      <c r="Y25" s="33"/>
      <c r="Z25" s="33"/>
      <c r="AA25" s="33"/>
      <c r="AB25" s="33"/>
    </row>
    <row r="26">
      <c r="A26" s="33" t="str">
        <f>IFERROR(__xludf.DUMMYFUNCTION("""COMPUTED_VALUE"""),"Sample collection and processing")</f>
        <v>Sample collection and processing</v>
      </c>
      <c r="B26" s="33" t="str">
        <f>IFERROR(__xludf.DUMMYFUNCTION("""COMPUTED_VALUE"""),"geo_loc_latitude")</f>
        <v>geo_loc_latitude</v>
      </c>
      <c r="C26" s="33"/>
      <c r="D26" s="33"/>
      <c r="E26" s="33" t="str">
        <f>IFERROR(__xludf.DUMMYFUNCTION("""COMPUTED_VALUE"""),"GENEPIO:0100309")</f>
        <v>GENEPIO:0100309</v>
      </c>
      <c r="F26" s="33" t="str">
        <f>IFERROR(__xludf.DUMMYFUNCTION("""COMPUTED_VALUE"""),"The latitude coordinates of the geographical location of sample collection.")</f>
        <v>The latitude coordinates of the geographical location of sample collection.</v>
      </c>
      <c r="G26" s="33" t="str">
        <f>IFERROR(__xludf.DUMMYFUNCTION("""COMPUTED_VALUE"""),"Provide latitude coordinates if available. Do not use the centre of the city/region/province/state/country or the location of your agency as a proxy, as this implicates a real location and is misleading. Specify as degrees latitude in format ""d[d.dddd] N"&amp;"|S"".")</f>
        <v>Provide latitude coordinates if available. Do not use the centre of the city/region/province/state/country or the location of your agency as a proxy, as this implicates a real location and is misleading. Specify as degrees latitude in format "d[d.dddd] N|S".</v>
      </c>
      <c r="H26" s="33" t="str">
        <f>IFERROR(__xludf.DUMMYFUNCTION("""COMPUTED_VALUE"""),"38.98 N")</f>
        <v>38.98 N</v>
      </c>
      <c r="I26" s="33"/>
      <c r="J26" s="33"/>
      <c r="K26" s="34" t="s">
        <v>19</v>
      </c>
      <c r="L26" s="34" t="s">
        <v>19</v>
      </c>
      <c r="M26" s="34" t="s">
        <v>19</v>
      </c>
      <c r="N26" s="33"/>
      <c r="O26" s="33" t="str">
        <f>IFERROR(__xludf.DUMMYFUNCTION("""COMPUTED_VALUE"""),"HPAI;HPAI_Food;HPAI_WW;HPAI_Enviro;HPAI_Host")</f>
        <v>HPAI;HPAI_Food;HPAI_WW;HPAI_Enviro;HPAI_Host</v>
      </c>
      <c r="P26" s="33"/>
      <c r="Q26" s="33"/>
      <c r="R26" s="33"/>
      <c r="S26" s="33"/>
      <c r="T26" s="33"/>
      <c r="U26" s="33"/>
      <c r="V26" s="33"/>
      <c r="W26" s="33"/>
      <c r="X26" s="33"/>
      <c r="Y26" s="33"/>
      <c r="Z26" s="33"/>
      <c r="AA26" s="33"/>
      <c r="AB26" s="33"/>
    </row>
    <row r="27">
      <c r="A27" s="33" t="str">
        <f>IFERROR(__xludf.DUMMYFUNCTION("""COMPUTED_VALUE"""),"Sample collection and processing")</f>
        <v>Sample collection and processing</v>
      </c>
      <c r="B27" s="33" t="str">
        <f>IFERROR(__xludf.DUMMYFUNCTION("""COMPUTED_VALUE"""),"geo_loc_longitude")</f>
        <v>geo_loc_longitude</v>
      </c>
      <c r="C27" s="33"/>
      <c r="D27" s="33"/>
      <c r="E27" s="33" t="str">
        <f>IFERROR(__xludf.DUMMYFUNCTION("""COMPUTED_VALUE"""),"GENEPIO:0100310")</f>
        <v>GENEPIO:0100310</v>
      </c>
      <c r="F27" s="33" t="str">
        <f>IFERROR(__xludf.DUMMYFUNCTION("""COMPUTED_VALUE"""),"The longitude coordinates of the geographical location of sample collection.")</f>
        <v>The longitude coordinates of the geographical location of sample collection.</v>
      </c>
      <c r="G27" s="33" t="str">
        <f>IFERROR(__xludf.DUMMYFUNCTION("""COMPUTED_VALUE"""),"Provide longitude coordinates if available. Do not use the centre of the city/region/province/state/country or the location of your agency as a proxy, as this implicates a real location and is misleading. Specify as degrees longitude in format ""d[dd.dddd"&amp;"] W|E"".")</f>
        <v>Provide longitude coordinates if available. Do not use the centre of the city/region/province/state/country or the location of your agency as a proxy, as this implicates a real location and is misleading. Specify as degrees longitude in format "d[dd.dddd] W|E".</v>
      </c>
      <c r="H27" s="33" t="str">
        <f>IFERROR(__xludf.DUMMYFUNCTION("""COMPUTED_VALUE"""),"77.11 W")</f>
        <v>77.11 W</v>
      </c>
      <c r="I27" s="33"/>
      <c r="J27" s="33"/>
      <c r="K27" s="34" t="s">
        <v>19</v>
      </c>
      <c r="L27" s="34" t="s">
        <v>19</v>
      </c>
      <c r="M27" s="34" t="s">
        <v>19</v>
      </c>
      <c r="N27" s="33"/>
      <c r="O27" s="33" t="str">
        <f>IFERROR(__xludf.DUMMYFUNCTION("""COMPUTED_VALUE"""),"HPAI;HPAI_Food;HPAI_WW;HPAI_Enviro;HPAI_Host")</f>
        <v>HPAI;HPAI_Food;HPAI_WW;HPAI_Enviro;HPAI_Host</v>
      </c>
      <c r="P27" s="33"/>
      <c r="Q27" s="33"/>
      <c r="R27" s="33"/>
      <c r="S27" s="33"/>
      <c r="T27" s="33"/>
      <c r="U27" s="33"/>
      <c r="V27" s="33"/>
      <c r="W27" s="33"/>
      <c r="X27" s="33"/>
      <c r="Y27" s="33"/>
      <c r="Z27" s="33"/>
      <c r="AA27" s="33"/>
      <c r="AB27" s="33"/>
    </row>
    <row r="28">
      <c r="A28" s="33" t="str">
        <f>IFERROR(__xludf.DUMMYFUNCTION("""COMPUTED_VALUE"""),"Sample collection and processing")</f>
        <v>Sample collection and processing</v>
      </c>
      <c r="B28" s="33" t="str">
        <f>IFERROR(__xludf.DUMMYFUNCTION("""COMPUTED_VALUE"""),"organism")</f>
        <v>organism</v>
      </c>
      <c r="C28" s="33" t="b">
        <f>IFERROR(__xludf.DUMMYFUNCTION("""COMPUTED_VALUE"""),TRUE)</f>
        <v>1</v>
      </c>
      <c r="D28" s="33"/>
      <c r="E28" s="33" t="str">
        <f>IFERROR(__xludf.DUMMYFUNCTION("""COMPUTED_VALUE"""),"GENEPIO:0001191")</f>
        <v>GENEPIO:0001191</v>
      </c>
      <c r="F28" s="33" t="str">
        <f>IFERROR(__xludf.DUMMYFUNCTION("""COMPUTED_VALUE"""),"Taxonomic name of the organism.")</f>
        <v>Taxonomic name of the organism.</v>
      </c>
      <c r="G28" s="33" t="str">
        <f>IFERROR(__xludf.DUMMYFUNCTION("""COMPUTED_VALUE"""),"Provide the official nomenclature for the organism(s) present in the sample. Multiple organisms can be entered, separated by semicolons. Avoid abbreviations. Search for taxonomic names here: ncbi.nlm.nih.gov/taxonomy.")</f>
        <v>Provide the official nomenclature for the organism(s) present in the sample. Multiple organisms can be entered, separated by semicolons. Avoid abbreviations. Search for taxonomic names here: ncbi.nlm.nih.gov/taxonomy.</v>
      </c>
      <c r="H28" s="33" t="str">
        <f>IFERROR(__xludf.DUMMYFUNCTION("""COMPUTED_VALUE"""),"Vibrio cholerae")</f>
        <v>Vibrio cholerae</v>
      </c>
      <c r="I28" s="33"/>
      <c r="J28" s="33"/>
      <c r="K28" s="34" t="s">
        <v>19</v>
      </c>
      <c r="L28" s="34" t="s">
        <v>19</v>
      </c>
      <c r="M28" s="34" t="s">
        <v>19</v>
      </c>
      <c r="N28" s="33"/>
      <c r="O28" s="33" t="str">
        <f>IFERROR(__xludf.DUMMYFUNCTION("""COMPUTED_VALUE"""),"HPAI;HPAI_Food;HPAI_WW;HPAI_Enviro;HPAI_Host")</f>
        <v>HPAI;HPAI_Food;HPAI_WW;HPAI_Enviro;HPAI_Host</v>
      </c>
      <c r="P28" s="33"/>
      <c r="Q28" s="33"/>
      <c r="R28" s="33"/>
      <c r="S28" s="33"/>
      <c r="T28" s="33"/>
      <c r="U28" s="33"/>
      <c r="V28" s="33"/>
      <c r="W28" s="33"/>
      <c r="X28" s="33"/>
      <c r="Y28" s="33"/>
      <c r="Z28" s="33"/>
      <c r="AA28" s="33"/>
      <c r="AB28" s="33"/>
    </row>
    <row r="29">
      <c r="A29" s="33" t="str">
        <f>IFERROR(__xludf.DUMMYFUNCTION("""COMPUTED_VALUE"""),"Sample collection and processing")</f>
        <v>Sample collection and processing</v>
      </c>
      <c r="B29" s="33" t="str">
        <f>IFERROR(__xludf.DUMMYFUNCTION("""COMPUTED_VALUE"""),"influenza_subtype")</f>
        <v>influenza_subtype</v>
      </c>
      <c r="C29" s="33" t="b">
        <f>IFERROR(__xludf.DUMMYFUNCTION("""COMPUTED_VALUE"""),TRUE)</f>
        <v>1</v>
      </c>
      <c r="D29" s="33"/>
      <c r="E29" s="35" t="str">
        <f>IFERROR(__xludf.DUMMYFUNCTION("""COMPUTED_VALUE"""),"GENEPIO:0101108")</f>
        <v>GENEPIO:0101108</v>
      </c>
      <c r="F29" s="33"/>
      <c r="G29" s="33"/>
      <c r="H29" s="33"/>
      <c r="I29" s="33"/>
      <c r="J29" s="33"/>
      <c r="K29" s="34" t="s">
        <v>19</v>
      </c>
      <c r="L29" s="34" t="s">
        <v>19</v>
      </c>
      <c r="M29" s="34" t="s">
        <v>19</v>
      </c>
      <c r="N29" s="33"/>
      <c r="O29" s="33" t="str">
        <f>IFERROR(__xludf.DUMMYFUNCTION("""COMPUTED_VALUE"""),"HPAI;HPAI_Food;HPAI_WW;HPAI_Enviro;HPAI_Host")</f>
        <v>HPAI;HPAI_Food;HPAI_WW;HPAI_Enviro;HPAI_Host</v>
      </c>
      <c r="P29" s="33"/>
      <c r="Q29" s="33"/>
      <c r="R29" s="33"/>
      <c r="S29" s="33"/>
      <c r="T29" s="33"/>
      <c r="U29" s="33"/>
      <c r="V29" s="33"/>
      <c r="W29" s="33"/>
      <c r="X29" s="33"/>
      <c r="Y29" s="33"/>
      <c r="Z29" s="33"/>
      <c r="AA29" s="33"/>
      <c r="AB29" s="33"/>
    </row>
    <row r="30">
      <c r="A30" s="33" t="str">
        <f>IFERROR(__xludf.DUMMYFUNCTION("""COMPUTED_VALUE"""),"Sample collection and processing")</f>
        <v>Sample collection and processing</v>
      </c>
      <c r="B30" s="33" t="str">
        <f>IFERROR(__xludf.DUMMYFUNCTION("""COMPUTED_VALUE"""),"influenza_subtyping_scheme_name")</f>
        <v>influenza_subtyping_scheme_name</v>
      </c>
      <c r="C30" s="33"/>
      <c r="D30" s="33"/>
      <c r="E30" s="35" t="str">
        <f>IFERROR(__xludf.DUMMYFUNCTION("""COMPUTED_VALUE"""),"GENEPIO:0101109")</f>
        <v>GENEPIO:0101109</v>
      </c>
      <c r="F30" s="33"/>
      <c r="G30" s="33"/>
      <c r="H30" s="33"/>
      <c r="I30" s="33"/>
      <c r="J30" s="33"/>
      <c r="K30" s="34" t="s">
        <v>19</v>
      </c>
      <c r="L30" s="34" t="s">
        <v>19</v>
      </c>
      <c r="M30" s="34" t="s">
        <v>19</v>
      </c>
      <c r="N30" s="33"/>
      <c r="O30" s="33" t="str">
        <f>IFERROR(__xludf.DUMMYFUNCTION("""COMPUTED_VALUE"""),"HPAI;HPAI_Food;HPAI_WW;HPAI_Enviro;HPAI_Host")</f>
        <v>HPAI;HPAI_Food;HPAI_WW;HPAI_Enviro;HPAI_Host</v>
      </c>
      <c r="P30" s="33"/>
      <c r="Q30" s="33"/>
      <c r="R30" s="33"/>
      <c r="S30" s="33"/>
      <c r="T30" s="33"/>
      <c r="U30" s="33"/>
      <c r="V30" s="33"/>
      <c r="W30" s="33"/>
      <c r="X30" s="33"/>
      <c r="Y30" s="33"/>
      <c r="Z30" s="33"/>
      <c r="AA30" s="33"/>
      <c r="AB30" s="33"/>
    </row>
    <row r="31">
      <c r="A31" s="33" t="str">
        <f>IFERROR(__xludf.DUMMYFUNCTION("""COMPUTED_VALUE"""),"Sample collection and processing")</f>
        <v>Sample collection and processing</v>
      </c>
      <c r="B31" s="33" t="str">
        <f>IFERROR(__xludf.DUMMYFUNCTION("""COMPUTED_VALUE"""),"taxonomic_identification_process")</f>
        <v>taxonomic_identification_process</v>
      </c>
      <c r="C31" s="33"/>
      <c r="D31" s="33"/>
      <c r="E31" s="33" t="str">
        <f>IFERROR(__xludf.DUMMYFUNCTION("""COMPUTED_VALUE"""),"GENEPIO:0100583")</f>
        <v>GENEPIO:0100583</v>
      </c>
      <c r="F31" s="33"/>
      <c r="G31" s="33"/>
      <c r="H31" s="33"/>
      <c r="I31" s="33"/>
      <c r="J31" s="33"/>
      <c r="K31" s="34" t="s">
        <v>19</v>
      </c>
      <c r="L31" s="34" t="s">
        <v>19</v>
      </c>
      <c r="M31" s="34" t="s">
        <v>19</v>
      </c>
      <c r="N31" s="33"/>
      <c r="O31" s="33" t="str">
        <f>IFERROR(__xludf.DUMMYFUNCTION("""COMPUTED_VALUE"""),"HPAI;HPAI_Food;HPAI_WW;HPAI_Enviro;HPAI_Host")</f>
        <v>HPAI;HPAI_Food;HPAI_WW;HPAI_Enviro;HPAI_Host</v>
      </c>
      <c r="P31" s="33"/>
      <c r="Q31" s="33"/>
      <c r="R31" s="33"/>
      <c r="S31" s="33"/>
      <c r="T31" s="33"/>
      <c r="U31" s="33"/>
      <c r="V31" s="33"/>
      <c r="W31" s="33"/>
      <c r="X31" s="33"/>
      <c r="Y31" s="33"/>
      <c r="Z31" s="33"/>
      <c r="AA31" s="33"/>
      <c r="AB31" s="33"/>
    </row>
    <row r="32">
      <c r="A32" s="33" t="str">
        <f>IFERROR(__xludf.DUMMYFUNCTION("""COMPUTED_VALUE"""),"Sample collection and processing")</f>
        <v>Sample collection and processing</v>
      </c>
      <c r="B32" s="33" t="str">
        <f>IFERROR(__xludf.DUMMYFUNCTION("""COMPUTED_VALUE"""),"virus_identifier")</f>
        <v>virus_identifier</v>
      </c>
      <c r="C32" s="33"/>
      <c r="D32" s="33"/>
      <c r="E32" s="35" t="str">
        <f>IFERROR(__xludf.DUMMYFUNCTION("""COMPUTED_VALUE"""),"GENEPIO:0101110")</f>
        <v>GENEPIO:0101110</v>
      </c>
      <c r="F32" s="33"/>
      <c r="G32" s="33"/>
      <c r="H32" s="33"/>
      <c r="I32" s="33"/>
      <c r="J32" s="33"/>
      <c r="K32" s="34" t="s">
        <v>19</v>
      </c>
      <c r="L32" s="34" t="s">
        <v>19</v>
      </c>
      <c r="M32" s="34" t="s">
        <v>19</v>
      </c>
      <c r="N32" s="33"/>
      <c r="O32" s="33" t="str">
        <f>IFERROR(__xludf.DUMMYFUNCTION("""COMPUTED_VALUE"""),"HPAI;HPAI_Food;HPAI_WW;HPAI_Enviro;HPAI_Host")</f>
        <v>HPAI;HPAI_Food;HPAI_WW;HPAI_Enviro;HPAI_Host</v>
      </c>
      <c r="P32" s="33"/>
      <c r="Q32" s="33"/>
      <c r="R32" s="33"/>
      <c r="S32" s="33"/>
      <c r="T32" s="33"/>
      <c r="U32" s="33"/>
      <c r="V32" s="33"/>
      <c r="W32" s="33"/>
      <c r="X32" s="33"/>
      <c r="Y32" s="33"/>
      <c r="Z32" s="33"/>
      <c r="AA32" s="33"/>
      <c r="AB32" s="33"/>
    </row>
    <row r="33">
      <c r="A33" s="33" t="str">
        <f>IFERROR(__xludf.DUMMYFUNCTION("""COMPUTED_VALUE"""),"Sample collection and processing")</f>
        <v>Sample collection and processing</v>
      </c>
      <c r="B33" s="33" t="str">
        <f>IFERROR(__xludf.DUMMYFUNCTION("""COMPUTED_VALUE"""),"WHO/OIE/FAO_H5_clade")</f>
        <v>WHO/OIE/FAO_H5_clade</v>
      </c>
      <c r="C33" s="33"/>
      <c r="D33" s="33"/>
      <c r="E33" s="35" t="str">
        <f>IFERROR(__xludf.DUMMYFUNCTION("""COMPUTED_VALUE"""),"GENEPIO:0101111")</f>
        <v>GENEPIO:0101111</v>
      </c>
      <c r="F33" s="33"/>
      <c r="G33" s="33"/>
      <c r="H33" s="33"/>
      <c r="I33" s="33"/>
      <c r="J33" s="33"/>
      <c r="K33" s="34" t="s">
        <v>19</v>
      </c>
      <c r="L33" s="34" t="s">
        <v>19</v>
      </c>
      <c r="M33" s="34" t="s">
        <v>19</v>
      </c>
      <c r="N33" s="33"/>
      <c r="O33" s="33" t="str">
        <f>IFERROR(__xludf.DUMMYFUNCTION("""COMPUTED_VALUE"""),"HPAI;HPAI_Food;HPAI_WW;HPAI_Enviro;HPAI_Host")</f>
        <v>HPAI;HPAI_Food;HPAI_WW;HPAI_Enviro;HPAI_Host</v>
      </c>
      <c r="P33" s="33"/>
      <c r="Q33" s="33"/>
      <c r="R33" s="33"/>
      <c r="S33" s="33"/>
      <c r="T33" s="33"/>
      <c r="U33" s="33"/>
      <c r="V33" s="33"/>
      <c r="W33" s="33"/>
      <c r="X33" s="33"/>
      <c r="Y33" s="33"/>
      <c r="Z33" s="33"/>
      <c r="AA33" s="33"/>
      <c r="AB33" s="33"/>
    </row>
    <row r="34">
      <c r="A34" s="33" t="str">
        <f>IFERROR(__xludf.DUMMYFUNCTION("""COMPUTED_VALUE"""),"Sample collection and processing")</f>
        <v>Sample collection and processing</v>
      </c>
      <c r="B34" s="33" t="str">
        <f>IFERROR(__xludf.DUMMYFUNCTION("""COMPUTED_VALUE"""),"sample_collection_date")</f>
        <v>sample_collection_date</v>
      </c>
      <c r="C34" s="33" t="b">
        <f>IFERROR(__xludf.DUMMYFUNCTION("""COMPUTED_VALUE"""),TRUE)</f>
        <v>1</v>
      </c>
      <c r="D34" s="33"/>
      <c r="E34" s="33" t="str">
        <f>IFERROR(__xludf.DUMMYFUNCTION("""COMPUTED_VALUE"""),"GENEPIO:0001174")</f>
        <v>GENEPIO:0001174</v>
      </c>
      <c r="F34" s="33" t="str">
        <f>IFERROR(__xludf.DUMMYFUNCTION("""COMPUTED_VALUE"""),"The date on which the sample was collected, or sampling began for a continuous sample.")</f>
        <v>The date on which the sample was collected, or sampling began for a continuous sample.</v>
      </c>
      <c r="G34" s="33" t="str">
        <f>IFERROR(__xludf.DUMMYFUNCTION("""COMPUTED_VALUE"""),"If your sample is a continuous sample please use this field to capture your start date. Sample collection date is critical for surveillance and many types of analyses. Required granularity includes year, month and day. The date should be provided in ISO 8"&amp;"601 standard format ""YYYY-MM-DD"".")</f>
        <v>If your sample is a continuous sample please use this field to capture your start date. Sample collection date is critical for surveillance and many types of analyses. Required granularity includes year, month and day. The date should be provided in ISO 8601 standard format "YYYY-MM-DD".</v>
      </c>
      <c r="H34" s="38">
        <f>IFERROR(__xludf.DUMMYFUNCTION("""COMPUTED_VALUE"""),43906.0)</f>
        <v>43906</v>
      </c>
      <c r="I34" s="33"/>
      <c r="J34" s="33"/>
      <c r="K34" s="34" t="s">
        <v>19</v>
      </c>
      <c r="L34" s="34" t="s">
        <v>19</v>
      </c>
      <c r="M34" s="34" t="s">
        <v>19</v>
      </c>
      <c r="N34" s="33"/>
      <c r="O34" s="33" t="str">
        <f>IFERROR(__xludf.DUMMYFUNCTION("""COMPUTED_VALUE"""),"HPAI;HPAI_Food;HPAI_WW;HPAI_Enviro;HPAI_Host")</f>
        <v>HPAI;HPAI_Food;HPAI_WW;HPAI_Enviro;HPAI_Host</v>
      </c>
      <c r="P34" s="33"/>
      <c r="Q34" s="33"/>
      <c r="R34" s="33"/>
      <c r="S34" s="33"/>
      <c r="T34" s="33"/>
      <c r="U34" s="33"/>
      <c r="V34" s="33"/>
      <c r="W34" s="33"/>
      <c r="X34" s="33"/>
      <c r="Y34" s="33"/>
      <c r="Z34" s="33"/>
      <c r="AA34" s="33"/>
      <c r="AB34" s="33"/>
    </row>
    <row r="35">
      <c r="A35" s="33" t="str">
        <f>IFERROR(__xludf.DUMMYFUNCTION("""COMPUTED_VALUE"""),"Sample collection and processing")</f>
        <v>Sample collection and processing</v>
      </c>
      <c r="B35" s="33" t="str">
        <f>IFERROR(__xludf.DUMMYFUNCTION("""COMPUTED_VALUE"""),"sample_collection_end_date")</f>
        <v>sample_collection_end_date</v>
      </c>
      <c r="C35" s="33"/>
      <c r="D35" s="33" t="b">
        <f>IFERROR(__xludf.DUMMYFUNCTION("""COMPUTED_VALUE"""),TRUE)</f>
        <v>1</v>
      </c>
      <c r="E35" s="35" t="str">
        <f>IFERROR(__xludf.DUMMYFUNCTION("""COMPUTED_VALUE"""),"GENEPIO:0101071")</f>
        <v>GENEPIO:0101071</v>
      </c>
      <c r="F35" s="33" t="str">
        <f>IFERROR(__xludf.DUMMYFUNCTION("""COMPUTED_VALUE"""),"The date on which sample collection ended for a continuous sample.")</f>
        <v>The date on which sample collection ended for a continuous sample.</v>
      </c>
      <c r="G35" s="33" t="str">
        <f>IFERROR(__xludf.DUMMYFUNCTION("""COMPUTED_VALUE"""),"Provide the date that sample collection ended in ISO 8601 format i.e. YYYY-MM-DD")</f>
        <v>Provide the date that sample collection ended in ISO 8601 format i.e. YYYY-MM-DD</v>
      </c>
      <c r="H35" s="38">
        <f>IFERROR(__xludf.DUMMYFUNCTION("""COMPUTED_VALUE"""),43908.0)</f>
        <v>43908</v>
      </c>
      <c r="I35" s="33"/>
      <c r="J35" s="33"/>
      <c r="K35" s="34" t="s">
        <v>19</v>
      </c>
      <c r="L35" s="34" t="s">
        <v>19</v>
      </c>
      <c r="M35" s="34" t="s">
        <v>19</v>
      </c>
      <c r="N35" s="33"/>
      <c r="O35" s="33" t="str">
        <f>IFERROR(__xludf.DUMMYFUNCTION("""COMPUTED_VALUE"""),"HPAI;HPAI_WW;HPAI_Enviro")</f>
        <v>HPAI;HPAI_WW;HPAI_Enviro</v>
      </c>
      <c r="P35" s="33"/>
      <c r="Q35" s="33"/>
      <c r="R35" s="33"/>
      <c r="S35" s="33"/>
      <c r="T35" s="33"/>
      <c r="U35" s="33"/>
      <c r="V35" s="33"/>
      <c r="W35" s="33"/>
      <c r="X35" s="33"/>
      <c r="Y35" s="33"/>
      <c r="Z35" s="33"/>
      <c r="AA35" s="33"/>
      <c r="AB35" s="33"/>
    </row>
    <row r="36">
      <c r="A36" s="33" t="str">
        <f>IFERROR(__xludf.DUMMYFUNCTION("""COMPUTED_VALUE"""),"Sample collection and processing")</f>
        <v>Sample collection and processing</v>
      </c>
      <c r="B36" s="33" t="str">
        <f>IFERROR(__xludf.DUMMYFUNCTION("""COMPUTED_VALUE"""),"sample_collection_start_time")</f>
        <v>sample_collection_start_time</v>
      </c>
      <c r="C36" s="33"/>
      <c r="D36" s="33" t="b">
        <f>IFERROR(__xludf.DUMMYFUNCTION("""COMPUTED_VALUE"""),TRUE)</f>
        <v>1</v>
      </c>
      <c r="E36" s="35" t="str">
        <f>IFERROR(__xludf.DUMMYFUNCTION("""COMPUTED_VALUE"""),"GENEPIO:0101072")</f>
        <v>GENEPIO:0101072</v>
      </c>
      <c r="F36" s="33" t="str">
        <f>IFERROR(__xludf.DUMMYFUNCTION("""COMPUTED_VALUE"""),"The time at which sample collection began.")</f>
        <v>The time at which sample collection began.</v>
      </c>
      <c r="G36" s="33" t="str">
        <f>IFERROR(__xludf.DUMMYFUNCTION("""COMPUTED_VALUE"""),"Provide this time in ISO 8601 24hr format, in your local time.")</f>
        <v>Provide this time in ISO 8601 24hr format, in your local time.</v>
      </c>
      <c r="H36" s="33" t="str">
        <f>IFERROR(__xludf.DUMMYFUNCTION("""COMPUTED_VALUE"""),"17:15 PST")</f>
        <v>17:15 PST</v>
      </c>
      <c r="I36" s="33"/>
      <c r="J36" s="33"/>
      <c r="K36" s="34" t="s">
        <v>19</v>
      </c>
      <c r="L36" s="34" t="s">
        <v>19</v>
      </c>
      <c r="M36" s="34" t="s">
        <v>19</v>
      </c>
      <c r="N36" s="33"/>
      <c r="O36" s="33" t="str">
        <f>IFERROR(__xludf.DUMMYFUNCTION("""COMPUTED_VALUE"""),"HPAI;HPAI_WW;HPAI_Enviro")</f>
        <v>HPAI;HPAI_WW;HPAI_Enviro</v>
      </c>
      <c r="P36" s="33"/>
      <c r="Q36" s="33"/>
      <c r="R36" s="33"/>
      <c r="S36" s="33"/>
      <c r="T36" s="33"/>
      <c r="U36" s="33"/>
      <c r="V36" s="33"/>
      <c r="W36" s="33"/>
      <c r="X36" s="33"/>
      <c r="Y36" s="33"/>
      <c r="Z36" s="33"/>
      <c r="AA36" s="33"/>
      <c r="AB36" s="33"/>
    </row>
    <row r="37">
      <c r="A37" s="33" t="str">
        <f>IFERROR(__xludf.DUMMYFUNCTION("""COMPUTED_VALUE"""),"Sample collection and processing")</f>
        <v>Sample collection and processing</v>
      </c>
      <c r="B37" s="33" t="str">
        <f>IFERROR(__xludf.DUMMYFUNCTION("""COMPUTED_VALUE"""),"sample_collection_end_time")</f>
        <v>sample_collection_end_time</v>
      </c>
      <c r="C37" s="33"/>
      <c r="D37" s="33" t="b">
        <f>IFERROR(__xludf.DUMMYFUNCTION("""COMPUTED_VALUE"""),TRUE)</f>
        <v>1</v>
      </c>
      <c r="E37" s="35" t="str">
        <f>IFERROR(__xludf.DUMMYFUNCTION("""COMPUTED_VALUE"""),"GENEPIO:0101073")</f>
        <v>GENEPIO:0101073</v>
      </c>
      <c r="F37" s="33" t="str">
        <f>IFERROR(__xludf.DUMMYFUNCTION("""COMPUTED_VALUE"""),"The time at which sample collection ended.")</f>
        <v>The time at which sample collection ended.</v>
      </c>
      <c r="G37" s="33" t="str">
        <f>IFERROR(__xludf.DUMMYFUNCTION("""COMPUTED_VALUE"""),"Provide this time in ISO 8601 24hr format, in your local time.")</f>
        <v>Provide this time in ISO 8601 24hr format, in your local time.</v>
      </c>
      <c r="H37" s="33" t="str">
        <f>IFERROR(__xludf.DUMMYFUNCTION("""COMPUTED_VALUE"""),"19:15 PST")</f>
        <v>19:15 PST</v>
      </c>
      <c r="I37" s="33"/>
      <c r="J37" s="33"/>
      <c r="K37" s="34" t="s">
        <v>19</v>
      </c>
      <c r="L37" s="34" t="s">
        <v>19</v>
      </c>
      <c r="M37" s="34" t="s">
        <v>19</v>
      </c>
      <c r="N37" s="33"/>
      <c r="O37" s="33" t="str">
        <f>IFERROR(__xludf.DUMMYFUNCTION("""COMPUTED_VALUE"""),"HPAI;HPAI_WW;HPAI_Enviro")</f>
        <v>HPAI;HPAI_WW;HPAI_Enviro</v>
      </c>
      <c r="P37" s="33"/>
      <c r="Q37" s="33"/>
      <c r="R37" s="33"/>
      <c r="S37" s="33"/>
      <c r="T37" s="33"/>
      <c r="U37" s="33"/>
      <c r="V37" s="33"/>
      <c r="W37" s="33"/>
      <c r="X37" s="33"/>
      <c r="Y37" s="33"/>
      <c r="Z37" s="33"/>
      <c r="AA37" s="33"/>
      <c r="AB37" s="33"/>
    </row>
    <row r="38">
      <c r="A38" s="33" t="str">
        <f>IFERROR(__xludf.DUMMYFUNCTION("""COMPUTED_VALUE"""),"Sample collection and processing")</f>
        <v>Sample collection and processing</v>
      </c>
      <c r="B38" s="33" t="str">
        <f>IFERROR(__xludf.DUMMYFUNCTION("""COMPUTED_VALUE"""),"sample_collection_time_of_day")</f>
        <v>sample_collection_time_of_day</v>
      </c>
      <c r="C38" s="33"/>
      <c r="D38" s="33"/>
      <c r="E38" s="35" t="str">
        <f>IFERROR(__xludf.DUMMYFUNCTION("""COMPUTED_VALUE"""),"GENEPIO:0100765")</f>
        <v>GENEPIO:0100765</v>
      </c>
      <c r="F38" s="33" t="str">
        <f>IFERROR(__xludf.DUMMYFUNCTION("""COMPUTED_VALUE"""),"The descriptive time of day during which the sample was collected.")</f>
        <v>The descriptive time of day during which the sample was collected.</v>
      </c>
      <c r="G38" s="33" t="str">
        <f>IFERROR(__xludf.DUMMYFUNCTION("""COMPUTED_VALUE"""),"If known, select a value from the pick list. The time of sample processing matters especially for grab samples, as fecal concentration in wastewater fluctuates over the course of the day.")</f>
        <v>If known, select a value from the pick list. The time of sample processing matters especially for grab samples, as fecal concentration in wastewater fluctuates over the course of the day.</v>
      </c>
      <c r="H38" s="33" t="str">
        <f>IFERROR(__xludf.DUMMYFUNCTION("""COMPUTED_VALUE"""),"Morning")</f>
        <v>Morning</v>
      </c>
      <c r="K38" s="39" t="s">
        <v>19</v>
      </c>
      <c r="L38" s="39" t="s">
        <v>19</v>
      </c>
      <c r="M38" s="39" t="s">
        <v>19</v>
      </c>
      <c r="O38" s="28" t="str">
        <f>IFERROR(__xludf.DUMMYFUNCTION("""COMPUTED_VALUE"""),"HPAI;HPAI_WW;HPAI_Enviro")</f>
        <v>HPAI;HPAI_WW;HPAI_Enviro</v>
      </c>
    </row>
    <row r="39">
      <c r="A39" s="33" t="str">
        <f>IFERROR(__xludf.DUMMYFUNCTION("""COMPUTED_VALUE"""),"Sample collection and processing")</f>
        <v>Sample collection and processing</v>
      </c>
      <c r="B39" s="33" t="str">
        <f>IFERROR(__xludf.DUMMYFUNCTION("""COMPUTED_VALUE"""),"sample_collection_time_duration_value")</f>
        <v>sample_collection_time_duration_value</v>
      </c>
      <c r="C39" s="33"/>
      <c r="D39" s="33" t="b">
        <f>IFERROR(__xludf.DUMMYFUNCTION("""COMPUTED_VALUE"""),TRUE)</f>
        <v>1</v>
      </c>
      <c r="E39" s="35" t="str">
        <f>IFERROR(__xludf.DUMMYFUNCTION("""COMPUTED_VALUE"""),"GENEPIO:0100766")</f>
        <v>GENEPIO:0100766</v>
      </c>
      <c r="F39" s="33" t="str">
        <f>IFERROR(__xludf.DUMMYFUNCTION("""COMPUTED_VALUE"""),"The amount of time over which the sample was collected.")</f>
        <v>The amount of time over which the sample was collected.</v>
      </c>
      <c r="G39" s="33" t="str">
        <f>IFERROR(__xludf.DUMMYFUNCTION("""COMPUTED_VALUE"""),"Provide the numerical value of time.")</f>
        <v>Provide the numerical value of time.</v>
      </c>
      <c r="H39" s="33">
        <f>IFERROR(__xludf.DUMMYFUNCTION("""COMPUTED_VALUE"""),4.0)</f>
        <v>4</v>
      </c>
      <c r="K39" s="39" t="s">
        <v>19</v>
      </c>
      <c r="L39" s="39" t="s">
        <v>19</v>
      </c>
      <c r="M39" s="39" t="s">
        <v>19</v>
      </c>
      <c r="O39" s="28" t="str">
        <f>IFERROR(__xludf.DUMMYFUNCTION("""COMPUTED_VALUE"""),"HPAI;HPAI_WW;HPAI_Enviro")</f>
        <v>HPAI;HPAI_WW;HPAI_Enviro</v>
      </c>
    </row>
    <row r="40">
      <c r="A40" s="33" t="str">
        <f>IFERROR(__xludf.DUMMYFUNCTION("""COMPUTED_VALUE"""),"Sample collection and processing")</f>
        <v>Sample collection and processing</v>
      </c>
      <c r="B40" s="33" t="str">
        <f>IFERROR(__xludf.DUMMYFUNCTION("""COMPUTED_VALUE"""),"sample_collection_time_duration_unit")</f>
        <v>sample_collection_time_duration_unit</v>
      </c>
      <c r="C40" s="33"/>
      <c r="D40" s="33" t="b">
        <f>IFERROR(__xludf.DUMMYFUNCTION("""COMPUTED_VALUE"""),TRUE)</f>
        <v>1</v>
      </c>
      <c r="E40" s="35" t="str">
        <f>IFERROR(__xludf.DUMMYFUNCTION("""COMPUTED_VALUE"""),"GENEPIO:0100767")</f>
        <v>GENEPIO:0100767</v>
      </c>
      <c r="F40" s="33" t="str">
        <f>IFERROR(__xludf.DUMMYFUNCTION("""COMPUTED_VALUE"""),"The units of the time duration measurement of sample collection.")</f>
        <v>The units of the time duration measurement of sample collection.</v>
      </c>
      <c r="G40" s="33" t="str">
        <f>IFERROR(__xludf.DUMMYFUNCTION("""COMPUTED_VALUE"""),"Provide the units from the pick list.")</f>
        <v>Provide the units from the pick list.</v>
      </c>
      <c r="H40" s="33" t="str">
        <f>IFERROR(__xludf.DUMMYFUNCTION("""COMPUTED_VALUE"""),"Hour")</f>
        <v>Hour</v>
      </c>
      <c r="K40" s="39" t="s">
        <v>19</v>
      </c>
      <c r="L40" s="39" t="s">
        <v>19</v>
      </c>
      <c r="M40" s="39" t="s">
        <v>19</v>
      </c>
      <c r="O40" s="28" t="str">
        <f>IFERROR(__xludf.DUMMYFUNCTION("""COMPUTED_VALUE"""),"HPAI;HPAI_WW;HPAI_Enviro")</f>
        <v>HPAI;HPAI_WW;HPAI_Enviro</v>
      </c>
    </row>
    <row r="41">
      <c r="A41" s="33" t="str">
        <f>IFERROR(__xludf.DUMMYFUNCTION("""COMPUTED_VALUE"""),"Sample collection and processing")</f>
        <v>Sample collection and processing</v>
      </c>
      <c r="B41" s="33" t="str">
        <f>IFERROR(__xludf.DUMMYFUNCTION("""COMPUTED_VALUE"""),"sample received date")</f>
        <v>sample received date</v>
      </c>
      <c r="C41" s="33"/>
      <c r="D41" s="33"/>
      <c r="E41" s="33" t="str">
        <f>IFERROR(__xludf.DUMMYFUNCTION("""COMPUTED_VALUE"""),"GENEPIO:0001179")</f>
        <v>GENEPIO:0001179</v>
      </c>
      <c r="F41" s="33" t="str">
        <f>IFERROR(__xludf.DUMMYFUNCTION("""COMPUTED_VALUE"""),"The date on which the sample was received.")</f>
        <v>The date on which the sample was received.</v>
      </c>
      <c r="G41" s="33" t="str">
        <f>IFERROR(__xludf.DUMMYFUNCTION("""COMPUTED_VALUE"""),"Provide the sample received date in ISO 8601 format, i.e. ""YYYY-MM-DD"".")</f>
        <v>Provide the sample received date in ISO 8601 format, i.e. "YYYY-MM-DD".</v>
      </c>
      <c r="H41" s="38">
        <f>IFERROR(__xludf.DUMMYFUNCTION("""COMPUTED_VALUE"""),43918.0)</f>
        <v>43918</v>
      </c>
      <c r="K41" s="39" t="s">
        <v>19</v>
      </c>
      <c r="L41" s="39" t="s">
        <v>19</v>
      </c>
      <c r="M41" s="39" t="s">
        <v>19</v>
      </c>
      <c r="O41" s="28" t="str">
        <f>IFERROR(__xludf.DUMMYFUNCTION("""COMPUTED_VALUE"""),"HPAI;HPAI_Food;HPAI_WW;HPAI_Enviro;HPAI_Host")</f>
        <v>HPAI;HPAI_Food;HPAI_WW;HPAI_Enviro;HPAI_Host</v>
      </c>
    </row>
    <row r="42">
      <c r="A42" s="33" t="str">
        <f>IFERROR(__xludf.DUMMYFUNCTION("""COMPUTED_VALUE"""),"Sample collection and processing")</f>
        <v>Sample collection and processing</v>
      </c>
      <c r="B42" s="33" t="str">
        <f>IFERROR(__xludf.DUMMYFUNCTION("""COMPUTED_VALUE"""),"sample processing date")</f>
        <v>sample processing date</v>
      </c>
      <c r="C42" s="33"/>
      <c r="D42" s="33"/>
      <c r="E42" s="35" t="str">
        <f>IFERROR(__xludf.DUMMYFUNCTION("""COMPUTED_VALUE"""),"GENEPIO:0100763")</f>
        <v>GENEPIO:0100763</v>
      </c>
      <c r="F42" s="33" t="str">
        <f>IFERROR(__xludf.DUMMYFUNCTION("""COMPUTED_VALUE"""),"The date on which the sample was processed.")</f>
        <v>The date on which the sample was processed.</v>
      </c>
      <c r="G42" s="33" t="str">
        <f>IFERROR(__xludf.DUMMYFUNCTION("""COMPUTED_VALUE"""),"Provide the sample processed date in ISO 8601 format, i.e. ""YYYY-MM-DD"". The sample may be collected and processed (e.g. filtered, extraction) on the same day, or on different dates.")</f>
        <v>Provide the sample processed date in ISO 8601 format, i.e. "YYYY-MM-DD". The sample may be collected and processed (e.g. filtered, extraction) on the same day, or on different dates.</v>
      </c>
      <c r="H42" s="38">
        <f>IFERROR(__xludf.DUMMYFUNCTION("""COMPUTED_VALUE"""),43906.0)</f>
        <v>43906</v>
      </c>
      <c r="K42" s="39" t="s">
        <v>19</v>
      </c>
      <c r="L42" s="39" t="s">
        <v>19</v>
      </c>
      <c r="M42" s="39" t="s">
        <v>19</v>
      </c>
      <c r="O42" s="28" t="str">
        <f>IFERROR(__xludf.DUMMYFUNCTION("""COMPUTED_VALUE"""),"HPAI;HPAI_Food;HPAI_WW;HPAI_Enviro;HPAI_Host")</f>
        <v>HPAI;HPAI_Food;HPAI_WW;HPAI_Enviro;HPAI_Host</v>
      </c>
    </row>
    <row r="43">
      <c r="A43" s="33" t="str">
        <f>IFERROR(__xludf.DUMMYFUNCTION("""COMPUTED_VALUE"""),"Sample collection and processing")</f>
        <v>Sample collection and processing</v>
      </c>
      <c r="B43" s="33" t="str">
        <f>IFERROR(__xludf.DUMMYFUNCTION("""COMPUTED_VALUE"""),"host_origin_geo_loc_name (country)")</f>
        <v>host_origin_geo_loc_name (country)</v>
      </c>
      <c r="C43" s="33"/>
      <c r="D43" s="33"/>
      <c r="E43" s="33" t="str">
        <f>IFERROR(__xludf.DUMMYFUNCTION("""COMPUTED_VALUE"""),"GENEPIO:0100438")</f>
        <v>GENEPIO:0100438</v>
      </c>
      <c r="F43" s="33" t="str">
        <f>IFERROR(__xludf.DUMMYFUNCTION("""COMPUTED_VALUE"""),"The country of origin of the host.")</f>
        <v>The country of origin of the host.</v>
      </c>
      <c r="G43" s="33" t="str">
        <f>IFERROR(__xludf.DUMMYFUNCTION("""COMPUTED_VALUE"""),"If a sample is from a human or animal host that originated from outside of Canada, provide the the name of the country where the host originated by selecting a value from the template pick list. If the information is unknown or cannot be provided, leave b"&amp;"lank or provide a null value.")</f>
        <v>If a sample is from a human or animal host that originated from outside of Canada, provide the the name of the country where the host originated by selecting a value from the template pick list. If the information is unknown or cannot be provided, leave blank or provide a null value.</v>
      </c>
      <c r="H43" s="33" t="str">
        <f>IFERROR(__xludf.DUMMYFUNCTION("""COMPUTED_VALUE"""),"South Africa [GAZ:00001094]")</f>
        <v>South Africa [GAZ:00001094]</v>
      </c>
      <c r="K43" s="39" t="s">
        <v>19</v>
      </c>
      <c r="L43" s="39" t="s">
        <v>19</v>
      </c>
      <c r="M43" s="39" t="s">
        <v>19</v>
      </c>
      <c r="O43" s="28" t="str">
        <f>IFERROR(__xludf.DUMMYFUNCTION("""COMPUTED_VALUE"""),"HPAI;HPAI_Host")</f>
        <v>HPAI;HPAI_Host</v>
      </c>
    </row>
    <row r="44">
      <c r="A44" s="33" t="str">
        <f>IFERROR(__xludf.DUMMYFUNCTION("""COMPUTED_VALUE"""),"Sample collection and processing")</f>
        <v>Sample collection and processing</v>
      </c>
      <c r="B44" s="33" t="str">
        <f>IFERROR(__xludf.DUMMYFUNCTION("""COMPUTED_VALUE"""),"food_product_origin_geo_loc_name (country)")</f>
        <v>food_product_origin_geo_loc_name (country)</v>
      </c>
      <c r="C44" s="33"/>
      <c r="D44" s="33"/>
      <c r="E44" s="33" t="str">
        <f>IFERROR(__xludf.DUMMYFUNCTION("""COMPUTED_VALUE"""),"GENEPIO:0100437")</f>
        <v>GENEPIO:0100437</v>
      </c>
      <c r="F44" s="33" t="str">
        <f>IFERROR(__xludf.DUMMYFUNCTION("""COMPUTED_VALUE"""),"The country of origin of a food product.")</f>
        <v>The country of origin of a food product.</v>
      </c>
      <c r="G44" s="33" t="str">
        <f>IFERROR(__xludf.DUMMYFUNCTION("""COMPUTED_VALUE"""),"If a food product was sampled and the food product was manufactured outside of Canada, provide the name of the country where the food product originated by selecting a value from the template pick list. If the information is unknown or cannot be provided,"&amp;" leave blank or provide a null value.")</f>
        <v>If a food product was sampled and the food product was manufactured outside of Canada, provide the name of the country where the food product originated by selecting a value from the template pick list. If the information is unknown or cannot be provided, leave blank or provide a null value.</v>
      </c>
      <c r="H44" s="33" t="str">
        <f>IFERROR(__xludf.DUMMYFUNCTION("""COMPUTED_VALUE"""),"United States of America [GAZ:00002459]")</f>
        <v>United States of America [GAZ:00002459]</v>
      </c>
      <c r="I44" s="33"/>
      <c r="J44" s="33"/>
      <c r="K44" s="34" t="s">
        <v>19</v>
      </c>
      <c r="L44" s="34" t="s">
        <v>19</v>
      </c>
      <c r="M44" s="34" t="s">
        <v>19</v>
      </c>
      <c r="N44" s="33"/>
      <c r="O44" s="33" t="str">
        <f>IFERROR(__xludf.DUMMYFUNCTION("""COMPUTED_VALUE"""),"HPAI;HPAI_Food ")</f>
        <v>HPAI;HPAI_Food </v>
      </c>
      <c r="P44" s="33"/>
      <c r="Q44" s="33"/>
      <c r="R44" s="33"/>
      <c r="S44" s="33"/>
      <c r="T44" s="33"/>
      <c r="U44" s="33"/>
      <c r="V44" s="33"/>
      <c r="W44" s="33"/>
      <c r="X44" s="33"/>
      <c r="Y44" s="33"/>
      <c r="Z44" s="33"/>
      <c r="AA44" s="33"/>
      <c r="AB44" s="33"/>
    </row>
    <row r="45">
      <c r="A45" s="33" t="str">
        <f>IFERROR(__xludf.DUMMYFUNCTION("""COMPUTED_VALUE"""),"Sample collection and processing")</f>
        <v>Sample collection and processing</v>
      </c>
      <c r="B45" s="33" t="str">
        <f>IFERROR(__xludf.DUMMYFUNCTION("""COMPUTED_VALUE"""),"food_product")</f>
        <v>food_product</v>
      </c>
      <c r="C45" s="33" t="b">
        <f>IFERROR(__xludf.DUMMYFUNCTION("""COMPUTED_VALUE"""),TRUE)</f>
        <v>1</v>
      </c>
      <c r="D45" s="33"/>
      <c r="E45" s="33" t="str">
        <f>IFERROR(__xludf.DUMMYFUNCTION("""COMPUTED_VALUE"""),"GENEPIO:0100444")</f>
        <v>GENEPIO:0100444</v>
      </c>
      <c r="F45" s="33" t="str">
        <f>IFERROR(__xludf.DUMMYFUNCTION("""COMPUTED_VALUE"""),"A material consumed and digested for nutritional value or enjoyment.")</f>
        <v>A material consumed and digested for nutritional value or enjoyment.</v>
      </c>
      <c r="G45" s="33" t="str">
        <f>IFERROR(__xludf.DUMMYFUNCTION("""COMPUTED_VALUE"""),"This field includes animal feed. If applicable, select the standardized term and ontology ID for the anatomical material from the picklist provided. Multiple values can be provided, separated by a semi-colon.")</f>
        <v>This field includes animal feed. If applicable, select the standardized term and ontology ID for the anatomical material from the picklist provided. Multiple values can be provided, separated by a semi-colon.</v>
      </c>
      <c r="H45" s="33" t="str">
        <f>IFERROR(__xludf.DUMMYFUNCTION("""COMPUTED_VALUE"""),"Feather meal [FOODON:00003927]; Bone meal [ENVO:02000054]; Chicken breast [FOODON:00002703]")</f>
        <v>Feather meal [FOODON:00003927]; Bone meal [ENVO:02000054]; Chicken breast [FOODON:00002703]</v>
      </c>
      <c r="I45" s="33"/>
      <c r="J45" s="33"/>
      <c r="K45" s="34" t="s">
        <v>19</v>
      </c>
      <c r="L45" s="34" t="s">
        <v>19</v>
      </c>
      <c r="M45" s="34" t="s">
        <v>19</v>
      </c>
      <c r="N45" s="33"/>
      <c r="O45" s="33" t="str">
        <f>IFERROR(__xludf.DUMMYFUNCTION("""COMPUTED_VALUE"""),"HPAI;HPAI_Food ")</f>
        <v>HPAI;HPAI_Food </v>
      </c>
      <c r="P45" s="33"/>
      <c r="Q45" s="33"/>
      <c r="R45" s="33"/>
      <c r="S45" s="33"/>
      <c r="T45" s="33"/>
      <c r="U45" s="33"/>
      <c r="V45" s="33"/>
      <c r="W45" s="33"/>
      <c r="X45" s="33"/>
      <c r="Y45" s="33"/>
      <c r="Z45" s="33"/>
      <c r="AA45" s="33"/>
      <c r="AB45" s="33"/>
    </row>
    <row r="46">
      <c r="A46" s="33" t="str">
        <f>IFERROR(__xludf.DUMMYFUNCTION("""COMPUTED_VALUE"""),"Sample collection and processing")</f>
        <v>Sample collection and processing</v>
      </c>
      <c r="B46" s="33" t="str">
        <f>IFERROR(__xludf.DUMMYFUNCTION("""COMPUTED_VALUE"""),"food_product_properties")</f>
        <v>food_product_properties</v>
      </c>
      <c r="C46" s="33"/>
      <c r="D46" s="33" t="b">
        <f>IFERROR(__xludf.DUMMYFUNCTION("""COMPUTED_VALUE"""),TRUE)</f>
        <v>1</v>
      </c>
      <c r="E46" s="33" t="str">
        <f>IFERROR(__xludf.DUMMYFUNCTION("""COMPUTED_VALUE"""),"GENEPIO:0100445")</f>
        <v>GENEPIO:0100445</v>
      </c>
      <c r="F46" s="33" t="str">
        <f>IFERROR(__xludf.DUMMYFUNCTION("""COMPUTED_VALUE"""),"Any characteristic of the food product pertaining to its state, processing, a label claim, or implications for consumers.")</f>
        <v>Any characteristic of the food product pertaining to its state, processing, a label claim, or implications for consumers.</v>
      </c>
      <c r="G46" s="33" t="str">
        <f>IFERROR(__xludf.DUMMYFUNCTION("""COMPUTED_VALUE"""),"Provide any characteristics of the food product including whether it has been cooked, processed, preserved, any known information about its state (e.g. raw, ready-to-eat), any known information about its containment (e.g. canned), and any information abou"&amp;"t a label claim (e.g. organic, fat-free).")</f>
        <v>Provide any characteristics of the food product including whether it has been cooked, processed, preserved, any known information about its state (e.g. raw, ready-to-eat), any known information about its containment (e.g. canned), and any information about a label claim (e.g. organic, fat-free).</v>
      </c>
      <c r="H46" s="33" t="str">
        <f>IFERROR(__xludf.DUMMYFUNCTION("""COMPUTED_VALUE"""),"Food (chopped) [FOODON:00002777]; Ready-to-eat (RTE) [FOODON:03316636]")</f>
        <v>Food (chopped) [FOODON:00002777]; Ready-to-eat (RTE) [FOODON:03316636]</v>
      </c>
      <c r="I46" s="33"/>
      <c r="J46" s="33"/>
      <c r="K46" s="34" t="s">
        <v>19</v>
      </c>
      <c r="L46" s="34" t="s">
        <v>19</v>
      </c>
      <c r="M46" s="34" t="s">
        <v>19</v>
      </c>
      <c r="O46" s="28" t="str">
        <f>IFERROR(__xludf.DUMMYFUNCTION("""COMPUTED_VALUE"""),"HPAI;HPAI_Food ")</f>
        <v>HPAI;HPAI_Food </v>
      </c>
    </row>
    <row r="47">
      <c r="A47" s="33" t="str">
        <f>IFERROR(__xludf.DUMMYFUNCTION("""COMPUTED_VALUE"""),"Sample collection and processing")</f>
        <v>Sample collection and processing</v>
      </c>
      <c r="B47" s="33" t="str">
        <f>IFERROR(__xludf.DUMMYFUNCTION("""COMPUTED_VALUE"""),"food_packaging")</f>
        <v>food_packaging</v>
      </c>
      <c r="C47" s="33"/>
      <c r="D47" s="33" t="b">
        <f>IFERROR(__xludf.DUMMYFUNCTION("""COMPUTED_VALUE"""),TRUE)</f>
        <v>1</v>
      </c>
      <c r="E47" s="33" t="str">
        <f>IFERROR(__xludf.DUMMYFUNCTION("""COMPUTED_VALUE"""),"GENEPIO:0100447")</f>
        <v>GENEPIO:0100447</v>
      </c>
      <c r="F47" s="33" t="str">
        <f>IFERROR(__xludf.DUMMYFUNCTION("""COMPUTED_VALUE"""),"The type of packaging used to contain a food product.")</f>
        <v>The type of packaging used to contain a food product.</v>
      </c>
      <c r="G47" s="33" t="str">
        <f>IFERROR(__xludf.DUMMYFUNCTION("""COMPUTED_VALUE"""),"If known, provide information regarding how the food product was packaged.")</f>
        <v>If known, provide information regarding how the food product was packaged.</v>
      </c>
      <c r="H47" s="33" t="str">
        <f>IFERROR(__xludf.DUMMYFUNCTION("""COMPUTED_VALUE"""),"Plastic tray or pan [FOODON:03490126]")</f>
        <v>Plastic tray or pan [FOODON:03490126]</v>
      </c>
      <c r="I47" s="33"/>
      <c r="J47" s="33"/>
      <c r="K47" s="34" t="s">
        <v>19</v>
      </c>
      <c r="L47" s="34" t="s">
        <v>19</v>
      </c>
      <c r="M47" s="34" t="s">
        <v>19</v>
      </c>
      <c r="N47" s="33"/>
      <c r="O47" s="33" t="str">
        <f>IFERROR(__xludf.DUMMYFUNCTION("""COMPUTED_VALUE"""),"HPAI;HPAI_Food ")</f>
        <v>HPAI;HPAI_Food </v>
      </c>
      <c r="P47" s="33"/>
      <c r="Q47" s="33"/>
      <c r="R47" s="33"/>
      <c r="S47" s="33"/>
      <c r="T47" s="33"/>
      <c r="U47" s="33"/>
      <c r="V47" s="33"/>
      <c r="W47" s="33"/>
      <c r="X47" s="33"/>
      <c r="Y47" s="33"/>
      <c r="Z47" s="33"/>
      <c r="AA47" s="33"/>
      <c r="AB47" s="33"/>
    </row>
    <row r="48">
      <c r="A48" s="33" t="str">
        <f>IFERROR(__xludf.DUMMYFUNCTION("""COMPUTED_VALUE"""),"Sample collection and processing")</f>
        <v>Sample collection and processing</v>
      </c>
      <c r="B48" s="35" t="str">
        <f>IFERROR(__xludf.DUMMYFUNCTION("""COMPUTED_VALUE"""),"food_quality_date")</f>
        <v>food_quality_date</v>
      </c>
      <c r="C48" s="33"/>
      <c r="D48" s="33"/>
      <c r="E48" s="35" t="str">
        <f>IFERROR(__xludf.DUMMYFUNCTION("""COMPUTED_VALUE"""),"GENEPIO:0100615")</f>
        <v>GENEPIO:0100615</v>
      </c>
      <c r="F48" s="33" t="str">
        <f>IFERROR(__xludf.DUMMYFUNCTION("""COMPUTED_VALUE"""),"A date recommended for the use of a product while at peak quality, this date is not a reflection of safety unless used on infant formula.")</f>
        <v>A date recommended for the use of a product while at peak quality, this date is not a reflection of safety unless used on infant formula.</v>
      </c>
      <c r="G48" s="33" t="str">
        <f>IFERROR(__xludf.DUMMYFUNCTION("""COMPUTED_VALUE"""),"This date is typically labeled on a food product as ""best if used by"", best by"", ""use by"", or ""freeze by"" e.g. 5/24/2020. If the date is known, leave blank or provide a null value.")</f>
        <v>This date is typically labeled on a food product as "best if used by", best by", "use by", or "freeze by" e.g. 5/24/2020. If the date is known, leave blank or provide a null value.</v>
      </c>
      <c r="H48" s="38">
        <f>IFERROR(__xludf.DUMMYFUNCTION("""COMPUTED_VALUE"""),43976.0)</f>
        <v>43976</v>
      </c>
      <c r="I48" s="33"/>
      <c r="J48" s="33"/>
      <c r="K48" s="34" t="s">
        <v>19</v>
      </c>
      <c r="L48" s="34" t="s">
        <v>19</v>
      </c>
      <c r="M48" s="34" t="s">
        <v>19</v>
      </c>
      <c r="N48" s="33"/>
      <c r="O48" s="33" t="str">
        <f>IFERROR(__xludf.DUMMYFUNCTION("""COMPUTED_VALUE"""),"HPAI;HPAI_Food ")</f>
        <v>HPAI;HPAI_Food </v>
      </c>
      <c r="P48" s="33"/>
      <c r="Q48" s="33"/>
      <c r="R48" s="33"/>
      <c r="S48" s="33"/>
      <c r="T48" s="33"/>
      <c r="U48" s="33"/>
      <c r="V48" s="33"/>
      <c r="W48" s="33"/>
      <c r="X48" s="33"/>
      <c r="Y48" s="33"/>
      <c r="Z48" s="33"/>
      <c r="AA48" s="33"/>
      <c r="AB48" s="33"/>
    </row>
    <row r="49">
      <c r="A49" s="33" t="str">
        <f>IFERROR(__xludf.DUMMYFUNCTION("""COMPUTED_VALUE"""),"Sample collection and processing")</f>
        <v>Sample collection and processing</v>
      </c>
      <c r="B49" s="35" t="str">
        <f>IFERROR(__xludf.DUMMYFUNCTION("""COMPUTED_VALUE"""),"food_packaging_date")</f>
        <v>food_packaging_date</v>
      </c>
      <c r="C49" s="33"/>
      <c r="D49" s="33"/>
      <c r="E49" s="35" t="str">
        <f>IFERROR(__xludf.DUMMYFUNCTION("""COMPUTED_VALUE"""),"GENEPIO:0100616")</f>
        <v>GENEPIO:0100616</v>
      </c>
      <c r="F49" s="33" t="str">
        <f>IFERROR(__xludf.DUMMYFUNCTION("""COMPUTED_VALUE"""),"A food product's packaging date as marked by a food manufacturer or retailer.")</f>
        <v>A food product's packaging date as marked by a food manufacturer or retailer.</v>
      </c>
      <c r="G49" s="33" t="str">
        <f>IFERROR(__xludf.DUMMYFUNCTION("""COMPUTED_VALUE"""),"The packaging date should not be confused with, nor replaced by a Best Before date or other food quality date. If the date is known, leave blank or provide a null value.")</f>
        <v>The packaging date should not be confused with, nor replaced by a Best Before date or other food quality date. If the date is known, leave blank or provide a null value.</v>
      </c>
      <c r="H49" s="38">
        <f>IFERROR(__xludf.DUMMYFUNCTION("""COMPUTED_VALUE"""),43976.0)</f>
        <v>43976</v>
      </c>
      <c r="I49" s="33"/>
      <c r="J49" s="33"/>
      <c r="K49" s="34" t="s">
        <v>19</v>
      </c>
      <c r="L49" s="34" t="s">
        <v>19</v>
      </c>
      <c r="M49" s="34" t="s">
        <v>19</v>
      </c>
      <c r="N49" s="33"/>
      <c r="O49" s="33" t="str">
        <f>IFERROR(__xludf.DUMMYFUNCTION("""COMPUTED_VALUE"""),"HPAI;HPAI_Food ")</f>
        <v>HPAI;HPAI_Food </v>
      </c>
      <c r="P49" s="33"/>
      <c r="Q49" s="33"/>
      <c r="R49" s="33"/>
      <c r="S49" s="33"/>
      <c r="T49" s="33"/>
      <c r="U49" s="33"/>
      <c r="V49" s="33"/>
      <c r="W49" s="33"/>
      <c r="X49" s="33"/>
      <c r="Y49" s="33"/>
      <c r="Z49" s="33"/>
      <c r="AA49" s="33"/>
      <c r="AB49" s="33"/>
    </row>
    <row r="50">
      <c r="A50" s="33" t="str">
        <f>IFERROR(__xludf.DUMMYFUNCTION("""COMPUTED_VALUE"""),"Sample collection and processing")</f>
        <v>Sample collection and processing</v>
      </c>
      <c r="B50" s="33" t="str">
        <f>IFERROR(__xludf.DUMMYFUNCTION("""COMPUTED_VALUE"""),"environmental_site")</f>
        <v>environmental_site</v>
      </c>
      <c r="C50" s="33"/>
      <c r="D50" s="33" t="b">
        <f>IFERROR(__xludf.DUMMYFUNCTION("""COMPUTED_VALUE"""),TRUE)</f>
        <v>1</v>
      </c>
      <c r="E50" s="33" t="str">
        <f>IFERROR(__xludf.DUMMYFUNCTION("""COMPUTED_VALUE"""),"GENEPIO:0001232")</f>
        <v>GENEPIO:0001232</v>
      </c>
      <c r="F50" s="33" t="str">
        <f>IFERROR(__xludf.DUMMYFUNCTION("""COMPUTED_VALUE"""),"An environmental location may describe a site in the natural or built environment e.g. hospital, wet market, bat cave.")</f>
        <v>An environmental location may describe a site in the natural or built environment e.g. hospital, wet market, bat cave.</v>
      </c>
      <c r="G50" s="33" t="str">
        <f>IFERROR(__xludf.DUMMYFUNCTION("""COMPUTED_VALUE"""),"If applicable, select the standardized term and ontology ID for the environmental site from the picklist provided. Multiple values can be provided, separated by a semi-colon.")</f>
        <v>If applicable, select the standardized term and ontology ID for the environmental site from the picklist provided. Multiple values can be provided, separated by a semi-colon.</v>
      </c>
      <c r="H50" s="33" t="str">
        <f>IFERROR(__xludf.DUMMYFUNCTION("""COMPUTED_VALUE"""),"Poultry hatchery [ENVO:01001874]")</f>
        <v>Poultry hatchery [ENVO:01001874]</v>
      </c>
      <c r="I50" s="33"/>
      <c r="J50" s="33"/>
      <c r="K50" s="34" t="s">
        <v>19</v>
      </c>
      <c r="L50" s="34" t="s">
        <v>19</v>
      </c>
      <c r="M50" s="34" t="s">
        <v>19</v>
      </c>
      <c r="N50" s="33"/>
      <c r="O50" s="33" t="str">
        <f>IFERROR(__xludf.DUMMYFUNCTION("""COMPUTED_VALUE"""),"HPAI;HPAI_WW;HPAI_Enviro;HPAI_Food")</f>
        <v>HPAI;HPAI_WW;HPAI_Enviro;HPAI_Food</v>
      </c>
      <c r="P50" s="33"/>
      <c r="Q50" s="33"/>
      <c r="R50" s="33"/>
      <c r="S50" s="33"/>
      <c r="T50" s="33"/>
      <c r="U50" s="33"/>
      <c r="V50" s="33"/>
      <c r="W50" s="33"/>
      <c r="X50" s="33"/>
      <c r="Y50" s="33"/>
      <c r="Z50" s="33"/>
      <c r="AA50" s="33"/>
      <c r="AB50" s="33"/>
    </row>
    <row r="51">
      <c r="A51" s="33" t="str">
        <f>IFERROR(__xludf.DUMMYFUNCTION("""COMPUTED_VALUE"""),"Sample collection and processing")</f>
        <v>Sample collection and processing</v>
      </c>
      <c r="B51" s="33" t="str">
        <f>IFERROR(__xludf.DUMMYFUNCTION("""COMPUTED_VALUE"""),"environmental_material")</f>
        <v>environmental_material</v>
      </c>
      <c r="C51" s="33"/>
      <c r="D51" s="33" t="b">
        <f>IFERROR(__xludf.DUMMYFUNCTION("""COMPUTED_VALUE"""),TRUE)</f>
        <v>1</v>
      </c>
      <c r="E51" s="33" t="str">
        <f>IFERROR(__xludf.DUMMYFUNCTION("""COMPUTED_VALUE"""),"GENEPIO:0001223")</f>
        <v>GENEPIO:0001223</v>
      </c>
      <c r="F51" s="33" t="str">
        <f>IFERROR(__xludf.DUMMYFUNCTION("""COMPUTED_VALUE"""),"A substance obtained from the natural or man-made environment e.g. soil, water, sewage, door handle, bed handrail, face mask.")</f>
        <v>A substance obtained from the natural or man-made environment e.g. soil, water, sewage, door handle, bed handrail, face mask.</v>
      </c>
      <c r="G51" s="33" t="str">
        <f>IFERROR(__xludf.DUMMYFUNCTION("""COMPUTED_VALUE"""),"If applicable, select the standardized term and ontology ID for the environmental material from the picklist provided. Multiple values can be provided, separated by a semi-colon.")</f>
        <v>If applicable, select the standardized term and ontology ID for the environmental material from the picklist provided. Multiple values can be provided, separated by a semi-colon.</v>
      </c>
      <c r="H51" s="33" t="str">
        <f>IFERROR(__xludf.DUMMYFUNCTION("""COMPUTED_VALUE"""),"Soil [ENVO:00001998]; Water [CHEBI:15377]; Wastewater [ENVO:00002001]; Broom [ENVO:03501377]")</f>
        <v>Soil [ENVO:00001998]; Water [CHEBI:15377]; Wastewater [ENVO:00002001]; Broom [ENVO:03501377]</v>
      </c>
      <c r="I51" s="33"/>
      <c r="J51" s="33"/>
      <c r="K51" s="34" t="s">
        <v>19</v>
      </c>
      <c r="L51" s="34" t="s">
        <v>19</v>
      </c>
      <c r="M51" s="34" t="s">
        <v>19</v>
      </c>
      <c r="N51" s="33"/>
      <c r="O51" s="33" t="str">
        <f>IFERROR(__xludf.DUMMYFUNCTION("""COMPUTED_VALUE"""),"HPAI;HPAI_WW;HPAI_Enviro;HPAI_Food")</f>
        <v>HPAI;HPAI_WW;HPAI_Enviro;HPAI_Food</v>
      </c>
      <c r="P51" s="33"/>
      <c r="Q51" s="33"/>
      <c r="R51" s="33"/>
      <c r="S51" s="33"/>
      <c r="T51" s="33"/>
      <c r="U51" s="33"/>
      <c r="V51" s="33"/>
      <c r="W51" s="33"/>
      <c r="X51" s="33"/>
      <c r="Y51" s="33"/>
      <c r="Z51" s="33"/>
      <c r="AA51" s="33"/>
      <c r="AB51" s="33"/>
    </row>
    <row r="52">
      <c r="A52" s="33" t="str">
        <f>IFERROR(__xludf.DUMMYFUNCTION("""COMPUTED_VALUE"""),"Sample collection and processing")</f>
        <v>Sample collection and processing</v>
      </c>
      <c r="B52" s="33" t="str">
        <f>IFERROR(__xludf.DUMMYFUNCTION("""COMPUTED_VALUE"""),"anatomical_material")</f>
        <v>anatomical_material</v>
      </c>
      <c r="C52" s="33"/>
      <c r="D52" s="33" t="b">
        <f>IFERROR(__xludf.DUMMYFUNCTION("""COMPUTED_VALUE"""),TRUE)</f>
        <v>1</v>
      </c>
      <c r="E52" s="33" t="str">
        <f>IFERROR(__xludf.DUMMYFUNCTION("""COMPUTED_VALUE"""),"GENEPIO:0001211")</f>
        <v>GENEPIO:0001211</v>
      </c>
      <c r="F52" s="33" t="str">
        <f>IFERROR(__xludf.DUMMYFUNCTION("""COMPUTED_VALUE"""),"A substance obtained from an anatomical part of an organism e.g. tissue, blood.")</f>
        <v>A substance obtained from an anatomical part of an organism e.g. tissue, blood.</v>
      </c>
      <c r="G52" s="33" t="str">
        <f>IFERROR(__xludf.DUMMYFUNCTION("""COMPUTED_VALUE"""),"An anatomical material is a substance taken from the body. If applicable, select the standardized term and ontology ID for the anatomical material from the picklist provided. Multiple values can be provided, separated by a semi-colon.")</f>
        <v>An anatomical material is a substance taken from the body. If applicable, select the standardized term and ontology ID for the anatomical material from the picklist provided. Multiple values can be provided, separated by a semi-colon.</v>
      </c>
      <c r="H52" s="33" t="str">
        <f>IFERROR(__xludf.DUMMYFUNCTION("""COMPUTED_VALUE"""),"Tissue [UBERON:0000479]; Blood [UBERON:0000178]")</f>
        <v>Tissue [UBERON:0000479]; Blood [UBERON:0000178]</v>
      </c>
      <c r="I52" s="33"/>
      <c r="J52" s="33"/>
      <c r="K52" s="34" t="s">
        <v>19</v>
      </c>
      <c r="L52" s="34" t="s">
        <v>19</v>
      </c>
      <c r="M52" s="34" t="s">
        <v>19</v>
      </c>
      <c r="N52" s="33"/>
      <c r="O52" s="33" t="str">
        <f>IFERROR(__xludf.DUMMYFUNCTION("""COMPUTED_VALUE"""),"HPAI;HPAI_Host")</f>
        <v>HPAI;HPAI_Host</v>
      </c>
      <c r="P52" s="33"/>
      <c r="Q52" s="33"/>
      <c r="R52" s="33"/>
      <c r="S52" s="33"/>
      <c r="T52" s="33"/>
      <c r="U52" s="33"/>
      <c r="V52" s="33"/>
      <c r="W52" s="33"/>
      <c r="X52" s="33"/>
      <c r="Y52" s="33"/>
      <c r="Z52" s="33"/>
      <c r="AA52" s="33"/>
      <c r="AB52" s="33"/>
    </row>
    <row r="53">
      <c r="A53" s="33" t="str">
        <f>IFERROR(__xludf.DUMMYFUNCTION("""COMPUTED_VALUE"""),"Sample collection and processing")</f>
        <v>Sample collection and processing</v>
      </c>
      <c r="B53" s="33" t="str">
        <f>IFERROR(__xludf.DUMMYFUNCTION("""COMPUTED_VALUE"""),"body_product")</f>
        <v>body_product</v>
      </c>
      <c r="C53" s="33"/>
      <c r="D53" s="33" t="b">
        <f>IFERROR(__xludf.DUMMYFUNCTION("""COMPUTED_VALUE"""),TRUE)</f>
        <v>1</v>
      </c>
      <c r="E53" s="33" t="str">
        <f>IFERROR(__xludf.DUMMYFUNCTION("""COMPUTED_VALUE"""),"GENEPIO:0001216")</f>
        <v>GENEPIO:0001216</v>
      </c>
      <c r="F53" s="33" t="str">
        <f>IFERROR(__xludf.DUMMYFUNCTION("""COMPUTED_VALUE"""),"A substance excreted/secreted from an organism e.g. feces, urine, sweat.")</f>
        <v>A substance excreted/secreted from an organism e.g. feces, urine, sweat.</v>
      </c>
      <c r="G53" s="33" t="str">
        <f>IFERROR(__xludf.DUMMYFUNCTION("""COMPUTED_VALUE"""),"A body product is a substance produced by the body but meant to be excreted/secreted (i.e. not part of the body). If applicable, select the standardized term and ontology ID for the body product from the picklist provided. Multiple values can be provided,"&amp;" separated by a semi-colon.")</f>
        <v>A body product is a substance produced by the body but meant to be excreted/secreted (i.e. not part of the body). If applicable, select the standardized term and ontology ID for the body product from the picklist provided. Multiple values can be provided, separated by a semi-colon.</v>
      </c>
      <c r="H53" s="33" t="str">
        <f>IFERROR(__xludf.DUMMYFUNCTION("""COMPUTED_VALUE"""),"Feces [UBERON:0001988]; Urine [UBERON:0001088]")</f>
        <v>Feces [UBERON:0001988]; Urine [UBERON:0001088]</v>
      </c>
      <c r="I53" s="33"/>
      <c r="J53" s="33"/>
      <c r="K53" s="34" t="s">
        <v>19</v>
      </c>
      <c r="L53" s="34" t="s">
        <v>19</v>
      </c>
      <c r="M53" s="34" t="s">
        <v>19</v>
      </c>
      <c r="N53" s="33"/>
      <c r="O53" s="33" t="str">
        <f>IFERROR(__xludf.DUMMYFUNCTION("""COMPUTED_VALUE"""),"HPAI;HPAI_Host")</f>
        <v>HPAI;HPAI_Host</v>
      </c>
      <c r="P53" s="33"/>
      <c r="Q53" s="33"/>
      <c r="R53" s="33"/>
      <c r="S53" s="33"/>
      <c r="T53" s="33"/>
      <c r="U53" s="33"/>
      <c r="V53" s="33"/>
      <c r="W53" s="33"/>
      <c r="X53" s="33"/>
      <c r="Y53" s="33"/>
      <c r="Z53" s="33"/>
      <c r="AA53" s="33"/>
      <c r="AB53" s="33"/>
    </row>
    <row r="54">
      <c r="A54" s="33" t="str">
        <f>IFERROR(__xludf.DUMMYFUNCTION("""COMPUTED_VALUE"""),"Sample collection and processing")</f>
        <v>Sample collection and processing</v>
      </c>
      <c r="B54" s="33" t="str">
        <f>IFERROR(__xludf.DUMMYFUNCTION("""COMPUTED_VALUE"""),"anatomical_part")</f>
        <v>anatomical_part</v>
      </c>
      <c r="C54" s="33"/>
      <c r="D54" s="33" t="b">
        <f>IFERROR(__xludf.DUMMYFUNCTION("""COMPUTED_VALUE"""),TRUE)</f>
        <v>1</v>
      </c>
      <c r="E54" s="33" t="str">
        <f>IFERROR(__xludf.DUMMYFUNCTION("""COMPUTED_VALUE"""),"GENEPIO:0001214")</f>
        <v>GENEPIO:0001214</v>
      </c>
      <c r="F54" s="33" t="str">
        <f>IFERROR(__xludf.DUMMYFUNCTION("""COMPUTED_VALUE"""),"An anatomical part of an organism e.g. oropharynx.")</f>
        <v>An anatomical part of an organism e.g. oropharynx.</v>
      </c>
      <c r="G54" s="33" t="str">
        <f>IFERROR(__xludf.DUMMYFUNCTION("""COMPUTED_VALUE"""),"An anatomical part is a structure or location in the body. If applicable, select the standardized term and ontology ID for the anatomical material from the picklist provided. Multiple values can be provided, separated by a semi-colon.")</f>
        <v>An anatomical part is a structure or location in the body. If applicable, select the standardized term and ontology ID for the anatomical material from the picklist provided. Multiple values can be provided, separated by a semi-colon.</v>
      </c>
      <c r="H54" s="33" t="str">
        <f>IFERROR(__xludf.DUMMYFUNCTION("""COMPUTED_VALUE"""),"Snout [UBERON:0006333]")</f>
        <v>Snout [UBERON:0006333]</v>
      </c>
      <c r="I54" s="33"/>
      <c r="J54" s="33"/>
      <c r="K54" s="34" t="s">
        <v>19</v>
      </c>
      <c r="L54" s="34" t="s">
        <v>19</v>
      </c>
      <c r="M54" s="34" t="s">
        <v>19</v>
      </c>
      <c r="N54" s="33"/>
      <c r="O54" s="33" t="str">
        <f>IFERROR(__xludf.DUMMYFUNCTION("""COMPUTED_VALUE"""),"HPAI;HPAI_Host")</f>
        <v>HPAI;HPAI_Host</v>
      </c>
      <c r="P54" s="33"/>
      <c r="Q54" s="33"/>
      <c r="R54" s="33"/>
      <c r="S54" s="33"/>
      <c r="T54" s="33"/>
      <c r="U54" s="33"/>
      <c r="V54" s="33"/>
      <c r="W54" s="33"/>
      <c r="X54" s="33"/>
      <c r="Y54" s="33"/>
      <c r="Z54" s="33"/>
      <c r="AA54" s="33"/>
      <c r="AB54" s="33"/>
    </row>
    <row r="55">
      <c r="A55" s="33" t="str">
        <f>IFERROR(__xludf.DUMMYFUNCTION("""COMPUTED_VALUE"""),"Sample collection and processing")</f>
        <v>Sample collection and processing</v>
      </c>
      <c r="B55" s="33" t="str">
        <f>IFERROR(__xludf.DUMMYFUNCTION("""COMPUTED_VALUE"""),"collection_device")</f>
        <v>collection_device</v>
      </c>
      <c r="C55" s="33"/>
      <c r="D55" s="33" t="b">
        <f>IFERROR(__xludf.DUMMYFUNCTION("""COMPUTED_VALUE"""),TRUE)</f>
        <v>1</v>
      </c>
      <c r="E55" s="33" t="str">
        <f>IFERROR(__xludf.DUMMYFUNCTION("""COMPUTED_VALUE"""),"GENEPIO:0001234")</f>
        <v>GENEPIO:0001234</v>
      </c>
      <c r="F55" s="33" t="str">
        <f>IFERROR(__xludf.DUMMYFUNCTION("""COMPUTED_VALUE"""),"The instrument or container used to collect the sample e.g. swab.")</f>
        <v>The instrument or container used to collect the sample e.g. swab.</v>
      </c>
      <c r="G55" s="33" t="str">
        <f>IFERROR(__xludf.DUMMYFUNCTION("""COMPUTED_VALUE"""),"This field includes animal feed. If applicable, select the standardized term and ontology ID for the anatomical material from the picklist provided. Multiple values can be provided, separated by a semi-colon.")</f>
        <v>This field includes animal feed. If applicable, select the standardized term and ontology ID for the anatomical material from the picklist provided. Multiple values can be provided, separated by a semi-colon.</v>
      </c>
      <c r="H55" s="33" t="str">
        <f>IFERROR(__xludf.DUMMYFUNCTION("""COMPUTED_VALUE"""),"Drag swab [OBI:0002822]")</f>
        <v>Drag swab [OBI:0002822]</v>
      </c>
      <c r="I55" s="33"/>
      <c r="J55" s="33"/>
      <c r="K55" s="34" t="s">
        <v>19</v>
      </c>
      <c r="L55" s="34" t="s">
        <v>19</v>
      </c>
      <c r="M55" s="34" t="s">
        <v>19</v>
      </c>
      <c r="O55" s="28" t="str">
        <f>IFERROR(__xludf.DUMMYFUNCTION("""COMPUTED_VALUE"""),"HPAI;HPAI_Food;HPAI_WW;HPAI_Enviro;HPAI_Host")</f>
        <v>HPAI;HPAI_Food;HPAI_WW;HPAI_Enviro;HPAI_Host</v>
      </c>
    </row>
    <row r="56">
      <c r="A56" s="33" t="str">
        <f>IFERROR(__xludf.DUMMYFUNCTION("""COMPUTED_VALUE"""),"Sample collection and processing")</f>
        <v>Sample collection and processing</v>
      </c>
      <c r="B56" s="33" t="str">
        <f>IFERROR(__xludf.DUMMYFUNCTION("""COMPUTED_VALUE"""),"collection_method")</f>
        <v>collection_method</v>
      </c>
      <c r="C56" s="33"/>
      <c r="D56" s="33" t="b">
        <f>IFERROR(__xludf.DUMMYFUNCTION("""COMPUTED_VALUE"""),TRUE)</f>
        <v>1</v>
      </c>
      <c r="E56" s="33" t="str">
        <f>IFERROR(__xludf.DUMMYFUNCTION("""COMPUTED_VALUE"""),"GENEPIO:0001241")</f>
        <v>GENEPIO:0001241</v>
      </c>
      <c r="F56" s="33" t="str">
        <f>IFERROR(__xludf.DUMMYFUNCTION("""COMPUTED_VALUE"""),"The process used to collect the sample e.g. phlebotomy, necropsy.")</f>
        <v>The process used to collect the sample e.g. phlebotomy, necropsy.</v>
      </c>
      <c r="G56" s="33" t="str">
        <f>IFERROR(__xludf.DUMMYFUNCTION("""COMPUTED_VALUE"""),"If applicable, provide the standardized term and ontology ID for the anatomical material from the picklist provided. Multiple values can be provided, separated by a semi-colon.")</f>
        <v>If applicable, provide the standardized term and ontology ID for the anatomical material from the picklist provided. Multiple values can be provided, separated by a semi-colon.</v>
      </c>
      <c r="H56" s="33" t="str">
        <f>IFERROR(__xludf.DUMMYFUNCTION("""COMPUTED_VALUE"""),"Rinsing for specimen collection [GENEPIO_0002116]")</f>
        <v>Rinsing for specimen collection [GENEPIO_0002116]</v>
      </c>
      <c r="I56" s="33"/>
      <c r="J56" s="33"/>
      <c r="K56" s="34" t="s">
        <v>19</v>
      </c>
      <c r="L56" s="34" t="s">
        <v>19</v>
      </c>
      <c r="M56" s="34" t="s">
        <v>19</v>
      </c>
      <c r="O56" s="28" t="str">
        <f>IFERROR(__xludf.DUMMYFUNCTION("""COMPUTED_VALUE"""),"HPAI;HPAI_Food;HPAI_WW;HPAI_Enviro;HPAI_Host")</f>
        <v>HPAI;HPAI_Food;HPAI_WW;HPAI_Enviro;HPAI_Host</v>
      </c>
    </row>
    <row r="57">
      <c r="A57" s="33" t="str">
        <f>IFERROR(__xludf.DUMMYFUNCTION("""COMPUTED_VALUE"""),"Sample collection and processing")</f>
        <v>Sample collection and processing</v>
      </c>
      <c r="B57" s="33" t="str">
        <f>IFERROR(__xludf.DUMMYFUNCTION("""COMPUTED_VALUE"""),"sample_volume_measurement_value")</f>
        <v>sample_volume_measurement_value</v>
      </c>
      <c r="C57" s="33"/>
      <c r="D57" s="33"/>
      <c r="E57" s="35" t="str">
        <f>IFERROR(__xludf.DUMMYFUNCTION("""COMPUTED_VALUE"""),"GENEPIO:0100768")</f>
        <v>GENEPIO:0100768</v>
      </c>
      <c r="F57" s="33" t="str">
        <f>IFERROR(__xludf.DUMMYFUNCTION("""COMPUTED_VALUE"""),"The numerical value of the volume measurement of the sample collected.")</f>
        <v>The numerical value of the volume measurement of the sample collected.</v>
      </c>
      <c r="G57" s="33" t="str">
        <f>IFERROR(__xludf.DUMMYFUNCTION("""COMPUTED_VALUE"""),"Provide the numerical value of volume.")</f>
        <v>Provide the numerical value of volume.</v>
      </c>
      <c r="H57" s="33">
        <f>IFERROR(__xludf.DUMMYFUNCTION("""COMPUTED_VALUE"""),5.0)</f>
        <v>5</v>
      </c>
      <c r="I57" s="33"/>
      <c r="J57" s="33"/>
      <c r="K57" s="34" t="s">
        <v>19</v>
      </c>
      <c r="L57" s="34" t="s">
        <v>19</v>
      </c>
      <c r="M57" s="34" t="s">
        <v>19</v>
      </c>
      <c r="O57" s="28" t="str">
        <f>IFERROR(__xludf.DUMMYFUNCTION("""COMPUTED_VALUE"""),"HPAI;HPAI_Food;HPAI_WW;HPAI_Enviro;HPAI_Host")</f>
        <v>HPAI;HPAI_Food;HPAI_WW;HPAI_Enviro;HPAI_Host</v>
      </c>
    </row>
    <row r="58">
      <c r="A58" s="33" t="str">
        <f>IFERROR(__xludf.DUMMYFUNCTION("""COMPUTED_VALUE"""),"Sample collection and processing")</f>
        <v>Sample collection and processing</v>
      </c>
      <c r="B58" s="33" t="str">
        <f>IFERROR(__xludf.DUMMYFUNCTION("""COMPUTED_VALUE"""),"sample_volume_measurement_unit")</f>
        <v>sample_volume_measurement_unit</v>
      </c>
      <c r="C58" s="33"/>
      <c r="D58" s="33"/>
      <c r="E58" s="35" t="str">
        <f>IFERROR(__xludf.DUMMYFUNCTION("""COMPUTED_VALUE"""),"GENEPIO:0100769")</f>
        <v>GENEPIO:0100769</v>
      </c>
      <c r="F58" s="33" t="str">
        <f>IFERROR(__xludf.DUMMYFUNCTION("""COMPUTED_VALUE"""),"The units of the volume measurement of the sample collected.")</f>
        <v>The units of the volume measurement of the sample collected.</v>
      </c>
      <c r="G58" s="33" t="str">
        <f>IFERROR(__xludf.DUMMYFUNCTION("""COMPUTED_VALUE"""),"Provide the units from the pick list.")</f>
        <v>Provide the units from the pick list.</v>
      </c>
      <c r="H58" s="33" t="str">
        <f>IFERROR(__xludf.DUMMYFUNCTION("""COMPUTED_VALUE"""),"milliliter (mL) [UO:0000098]")</f>
        <v>milliliter (mL) [UO:0000098]</v>
      </c>
      <c r="I58" s="33"/>
      <c r="J58" s="33"/>
      <c r="K58" s="34" t="s">
        <v>19</v>
      </c>
      <c r="L58" s="34" t="s">
        <v>19</v>
      </c>
      <c r="M58" s="34" t="s">
        <v>19</v>
      </c>
      <c r="N58" s="33"/>
      <c r="O58" s="33" t="str">
        <f>IFERROR(__xludf.DUMMYFUNCTION("""COMPUTED_VALUE"""),"HPAI;HPAI_Food;HPAI_WW;HPAI_Enviro;HPAI_Host")</f>
        <v>HPAI;HPAI_Food;HPAI_WW;HPAI_Enviro;HPAI_Host</v>
      </c>
      <c r="P58" s="33"/>
      <c r="Q58" s="33"/>
      <c r="R58" s="33"/>
      <c r="S58" s="33"/>
      <c r="T58" s="33"/>
      <c r="U58" s="33"/>
      <c r="V58" s="33"/>
      <c r="W58" s="33"/>
      <c r="X58" s="33"/>
      <c r="Y58" s="33"/>
      <c r="Z58" s="33"/>
      <c r="AA58" s="33"/>
      <c r="AB58" s="33"/>
    </row>
    <row r="59">
      <c r="A59" s="33" t="str">
        <f>IFERROR(__xludf.DUMMYFUNCTION("""COMPUTED_VALUE"""),"Sample collection and processing")</f>
        <v>Sample collection and processing</v>
      </c>
      <c r="B59" s="33" t="str">
        <f>IFERROR(__xludf.DUMMYFUNCTION("""COMPUTED_VALUE"""),"residual_sample_status")</f>
        <v>residual_sample_status</v>
      </c>
      <c r="C59" s="33"/>
      <c r="D59" s="33"/>
      <c r="E59" s="35" t="str">
        <f>IFERROR(__xludf.DUMMYFUNCTION("""COMPUTED_VALUE"""),"GENEPIO:0101090")</f>
        <v>GENEPIO:0101090</v>
      </c>
      <c r="F59" s="33" t="str">
        <f>IFERROR(__xludf.DUMMYFUNCTION("""COMPUTED_VALUE"""),"The status of the residual sample (whether any sample remains after its original use).")</f>
        <v>The status of the residual sample (whether any sample remains after its original use).</v>
      </c>
      <c r="G59" s="33" t="str">
        <f>IFERROR(__xludf.DUMMYFUNCTION("""COMPUTED_VALUE"""),"Residual samples are samples that remain after the sample material was used for its original purpose. Select a residual sample status from the picklist. If sample still exists, select ""Residual sample remaining (some sample left)"".")</f>
        <v>Residual samples are samples that remain after the sample material was used for its original purpose. Select a residual sample status from the picklist. If sample still exists, select "Residual sample remaining (some sample left)".</v>
      </c>
      <c r="H59" s="33" t="str">
        <f>IFERROR(__xludf.DUMMYFUNCTION("""COMPUTED_VALUE"""),"No residual sample (sample all used) [GENEPIO:0101088]")</f>
        <v>No residual sample (sample all used) [GENEPIO:0101088]</v>
      </c>
      <c r="I59" s="33"/>
      <c r="J59" s="33"/>
      <c r="K59" s="34" t="s">
        <v>19</v>
      </c>
      <c r="L59" s="34" t="s">
        <v>19</v>
      </c>
      <c r="M59" s="34" t="s">
        <v>19</v>
      </c>
      <c r="N59" s="33"/>
      <c r="O59" s="33" t="str">
        <f>IFERROR(__xludf.DUMMYFUNCTION("""COMPUTED_VALUE"""),"HPAI;HPAI_Food;HPAI_WW;HPAI_Enviro;HPAI_Host")</f>
        <v>HPAI;HPAI_Food;HPAI_WW;HPAI_Enviro;HPAI_Host</v>
      </c>
      <c r="P59" s="33"/>
      <c r="Q59" s="33"/>
      <c r="R59" s="33"/>
      <c r="S59" s="33"/>
      <c r="T59" s="33"/>
      <c r="U59" s="33"/>
      <c r="V59" s="33"/>
      <c r="W59" s="33"/>
      <c r="X59" s="33"/>
      <c r="Y59" s="33"/>
      <c r="Z59" s="33"/>
      <c r="AA59" s="33"/>
      <c r="AB59" s="33"/>
    </row>
    <row r="60">
      <c r="A60" s="33" t="str">
        <f>IFERROR(__xludf.DUMMYFUNCTION("""COMPUTED_VALUE"""),"Sample collection and processing")</f>
        <v>Sample collection and processing</v>
      </c>
      <c r="B60" s="33" t="str">
        <f>IFERROR(__xludf.DUMMYFUNCTION("""COMPUTED_VALUE"""),"purpose_of_sampling")</f>
        <v>purpose_of_sampling</v>
      </c>
      <c r="C60" s="33" t="b">
        <f>IFERROR(__xludf.DUMMYFUNCTION("""COMPUTED_VALUE"""),TRUE)</f>
        <v>1</v>
      </c>
      <c r="D60" s="33"/>
      <c r="E60" s="33" t="str">
        <f>IFERROR(__xludf.DUMMYFUNCTION("""COMPUTED_VALUE"""),"GENEPIO:0001198")</f>
        <v>GENEPIO:0001198</v>
      </c>
      <c r="F60" s="33" t="str">
        <f>IFERROR(__xludf.DUMMYFUNCTION("""COMPUTED_VALUE"""),"The reason that the sample was collected.")</f>
        <v>The reason that the sample was collected.</v>
      </c>
      <c r="G60" s="33" t="str">
        <f>IFERROR(__xludf.DUMMYFUNCTION("""COMPUTED_VALUE"""),"The reason a sample was collected may provide information about potential biases in sampling strategy. Provide the purpose of sampling from the picklist in the template. Most likely, the sample was collected for Public health surveillance. The reason why "&amp;"a sample was originally collected may differ from the reason why it was selected for sequencing, which should be indicated in the ""purpose of sequencing"" field.")</f>
        <v>The reason a sample was collected may provide information about potential biases in sampling strategy. Provide the purpose of sampling from the picklist in the template. Most likely, the sample was collected for Public health surveillance. The reason why a sample was originally collected may differ from the reason why it was selected for sequencing, which should be indicated in the "purpose of sequencing" field.</v>
      </c>
      <c r="H60" s="33" t="str">
        <f>IFERROR(__xludf.DUMMYFUNCTION("""COMPUTED_VALUE"""),"Public health surveillance")</f>
        <v>Public health surveillance</v>
      </c>
      <c r="I60" s="33"/>
      <c r="J60" s="33"/>
      <c r="K60" s="34" t="s">
        <v>19</v>
      </c>
      <c r="L60" s="34" t="s">
        <v>19</v>
      </c>
      <c r="M60" s="34" t="s">
        <v>19</v>
      </c>
      <c r="N60" s="33"/>
      <c r="O60" s="33" t="str">
        <f>IFERROR(__xludf.DUMMYFUNCTION("""COMPUTED_VALUE"""),"HPAI;HPAI_Food;HPAI_WW;HPAI_Enviro;HPAI_Host")</f>
        <v>HPAI;HPAI_Food;HPAI_WW;HPAI_Enviro;HPAI_Host</v>
      </c>
      <c r="P60" s="33"/>
      <c r="Q60" s="33"/>
      <c r="R60" s="33"/>
      <c r="S60" s="33"/>
      <c r="T60" s="33"/>
      <c r="U60" s="33"/>
      <c r="V60" s="33"/>
      <c r="W60" s="33"/>
      <c r="X60" s="33"/>
      <c r="Y60" s="33"/>
      <c r="Z60" s="33"/>
      <c r="AA60" s="33"/>
      <c r="AB60" s="33"/>
    </row>
    <row r="61">
      <c r="A61" s="33" t="str">
        <f>IFERROR(__xludf.DUMMYFUNCTION("""COMPUTED_VALUE"""),"Sample collection and processing")</f>
        <v>Sample collection and processing</v>
      </c>
      <c r="B61" s="33" t="str">
        <f>IFERROR(__xludf.DUMMYFUNCTION("""COMPUTED_VALUE"""),"presampling_activity")</f>
        <v>presampling_activity</v>
      </c>
      <c r="C61" s="33"/>
      <c r="D61" s="33"/>
      <c r="E61" s="33" t="str">
        <f>IFERROR(__xludf.DUMMYFUNCTION("""COMPUTED_VALUE"""),"GENEPIO:0100433")</f>
        <v>GENEPIO:0100433</v>
      </c>
      <c r="F61" s="33" t="str">
        <f>IFERROR(__xludf.DUMMYFUNCTION("""COMPUTED_VALUE"""),"The activities or variables upstream of sample collection that may affect the sample.")</f>
        <v>The activities or variables upstream of sample collection that may affect the sample.</v>
      </c>
      <c r="G61" s="33" t="str">
        <f>IFERROR(__xludf.DUMMYFUNCTION("""COMPUTED_VALUE"""),"If there was an activity that would affect the sample prior to collection (this is different than sample processing), provide the activities by selecting one or more values from the template pick list. If the information is unknown or cannot be provided, "&amp;"leave blank or provide a null value.")</f>
        <v>If there was an activity that would affect the sample prior to collection (this is different than sample processing), provide the activities by selecting one or more values from the template pick list. If the information is unknown or cannot be provided, leave blank or provide a null value.</v>
      </c>
      <c r="H61" s="33" t="str">
        <f>IFERROR(__xludf.DUMMYFUNCTION("""COMPUTED_VALUE"""),"Agricultural activity")</f>
        <v>Agricultural activity</v>
      </c>
      <c r="I61" s="33"/>
      <c r="J61" s="33"/>
      <c r="K61" s="34" t="s">
        <v>19</v>
      </c>
      <c r="L61" s="34" t="s">
        <v>19</v>
      </c>
      <c r="M61" s="34" t="s">
        <v>19</v>
      </c>
      <c r="N61" s="33"/>
      <c r="O61" s="33" t="str">
        <f>IFERROR(__xludf.DUMMYFUNCTION("""COMPUTED_VALUE"""),"HPAI;HPAI_Food;HPAI_WW;HPAI_Enviro;HPAI_Host")</f>
        <v>HPAI;HPAI_Food;HPAI_WW;HPAI_Enviro;HPAI_Host</v>
      </c>
      <c r="P61" s="33"/>
      <c r="Q61" s="33"/>
      <c r="R61" s="33"/>
      <c r="S61" s="33"/>
      <c r="T61" s="33"/>
      <c r="U61" s="33"/>
      <c r="V61" s="33"/>
      <c r="W61" s="33"/>
      <c r="X61" s="33"/>
      <c r="Y61" s="33"/>
      <c r="Z61" s="33"/>
      <c r="AA61" s="33"/>
      <c r="AB61" s="33"/>
    </row>
    <row r="62">
      <c r="A62" s="33" t="str">
        <f>IFERROR(__xludf.DUMMYFUNCTION("""COMPUTED_VALUE"""),"Sample collection and processing")</f>
        <v>Sample collection and processing</v>
      </c>
      <c r="B62" s="33" t="str">
        <f>IFERROR(__xludf.DUMMYFUNCTION("""COMPUTED_VALUE"""),"presampling_activity_details")</f>
        <v>presampling_activity_details</v>
      </c>
      <c r="C62" s="33"/>
      <c r="D62" s="33"/>
      <c r="E62" s="33" t="str">
        <f>IFERROR(__xludf.DUMMYFUNCTION("""COMPUTED_VALUE"""),"GENEPIO:0100434")</f>
        <v>GENEPIO:0100434</v>
      </c>
      <c r="F62" s="33" t="str">
        <f>IFERROR(__xludf.DUMMYFUNCTION("""COMPUTED_VALUE"""),"The details of the activities or variables that affected the sample collected.")</f>
        <v>The details of the activities or variables that affected the sample collected.</v>
      </c>
      <c r="G62" s="33" t="str">
        <f>IFERROR(__xludf.DUMMYFUNCTION("""COMPUTED_VALUE"""),"Briefly describe the presampling activities using free text.")</f>
        <v>Briefly describe the presampling activities using free text.</v>
      </c>
      <c r="H62" s="33" t="str">
        <f>IFERROR(__xludf.DUMMYFUNCTION("""COMPUTED_VALUE"""),"Agricultural waste from large farm contributes waste to the site sampled.")</f>
        <v>Agricultural waste from large farm contributes waste to the site sampled.</v>
      </c>
      <c r="I62" s="33"/>
      <c r="J62" s="33"/>
      <c r="K62" s="34" t="s">
        <v>19</v>
      </c>
      <c r="L62" s="34" t="s">
        <v>19</v>
      </c>
      <c r="M62" s="34" t="s">
        <v>19</v>
      </c>
      <c r="N62" s="33"/>
      <c r="O62" s="33" t="str">
        <f>IFERROR(__xludf.DUMMYFUNCTION("""COMPUTED_VALUE"""),"HPAI;HPAI_Food;HPAI_WW;HPAI_Enviro;HPAI_Host")</f>
        <v>HPAI;HPAI_Food;HPAI_WW;HPAI_Enviro;HPAI_Host</v>
      </c>
      <c r="P62" s="33"/>
      <c r="Q62" s="33"/>
      <c r="R62" s="33"/>
      <c r="S62" s="33"/>
      <c r="T62" s="33"/>
      <c r="U62" s="33"/>
      <c r="V62" s="33"/>
      <c r="W62" s="33"/>
      <c r="X62" s="33"/>
      <c r="Y62" s="33"/>
      <c r="Z62" s="33"/>
      <c r="AA62" s="33"/>
      <c r="AB62" s="33"/>
    </row>
    <row r="63">
      <c r="A63" s="33" t="str">
        <f>IFERROR(__xludf.DUMMYFUNCTION("""COMPUTED_VALUE"""),"Sample collection and processing")</f>
        <v>Sample collection and processing</v>
      </c>
      <c r="B63" s="33" t="str">
        <f>IFERROR(__xludf.DUMMYFUNCTION("""COMPUTED_VALUE"""),"sample_storage_method")</f>
        <v>sample_storage_method</v>
      </c>
      <c r="C63" s="33"/>
      <c r="D63" s="33"/>
      <c r="E63" s="33" t="str">
        <f>IFERROR(__xludf.DUMMYFUNCTION("""COMPUTED_VALUE"""),"GENEPIO:0100448")</f>
        <v>GENEPIO:0100448</v>
      </c>
      <c r="F63" s="33" t="str">
        <f>IFERROR(__xludf.DUMMYFUNCTION("""COMPUTED_VALUE"""),"The process used to store the sample.")</f>
        <v>The process used to store the sample.</v>
      </c>
      <c r="G63" s="33" t="str">
        <f>IFERROR(__xludf.DUMMYFUNCTION("""COMPUTED_VALUE"""),"Provide details of how the sample was stored from time of collection until time of processing. If there were issues with the cold chain storage, note those here.")</f>
        <v>Provide details of how the sample was stored from time of collection until time of processing. If there were issues with the cold chain storage, note those here.</v>
      </c>
      <c r="H63" s="33" t="str">
        <f>IFERROR(__xludf.DUMMYFUNCTION("""COMPUTED_VALUE"""),"The sample was placed in a tube in a cooler bag during transportation (~3 hours) to the lab site. At this point the sample was placed in storage medium and put in a -10C freezer until it was processed and extracted 5 days later.")</f>
        <v>The sample was placed in a tube in a cooler bag during transportation (~3 hours) to the lab site. At this point the sample was placed in storage medium and put in a -10C freezer until it was processed and extracted 5 days later.</v>
      </c>
      <c r="I63" s="33"/>
      <c r="J63" s="33"/>
      <c r="K63" s="34" t="s">
        <v>19</v>
      </c>
      <c r="L63" s="34" t="s">
        <v>19</v>
      </c>
      <c r="M63" s="34" t="s">
        <v>19</v>
      </c>
      <c r="N63" s="33"/>
      <c r="O63" s="33" t="str">
        <f>IFERROR(__xludf.DUMMYFUNCTION("""COMPUTED_VALUE"""),"HPAI;HPAI_Food;HPAI_WW;HPAI_Enviro;HPAI_Host")</f>
        <v>HPAI;HPAI_Food;HPAI_WW;HPAI_Enviro;HPAI_Host</v>
      </c>
      <c r="P63" s="33"/>
      <c r="Q63" s="33"/>
      <c r="R63" s="33"/>
      <c r="S63" s="33"/>
      <c r="T63" s="33"/>
      <c r="U63" s="33"/>
      <c r="V63" s="33"/>
      <c r="W63" s="33"/>
      <c r="X63" s="33"/>
      <c r="Y63" s="33"/>
      <c r="Z63" s="33"/>
      <c r="AA63" s="33"/>
      <c r="AB63" s="33"/>
    </row>
    <row r="64">
      <c r="A64" s="33" t="str">
        <f>IFERROR(__xludf.DUMMYFUNCTION("""COMPUTED_VALUE"""),"Sample collection and processing")</f>
        <v>Sample collection and processing</v>
      </c>
      <c r="B64" s="33" t="str">
        <f>IFERROR(__xludf.DUMMYFUNCTION("""COMPUTED_VALUE"""),"sample_storage_medium")</f>
        <v>sample_storage_medium</v>
      </c>
      <c r="C64" s="33"/>
      <c r="D64" s="33"/>
      <c r="E64" s="33" t="str">
        <f>IFERROR(__xludf.DUMMYFUNCTION("""COMPUTED_VALUE"""),"GENEPIO:0100449")</f>
        <v>GENEPIO:0100449</v>
      </c>
      <c r="F64" s="33" t="str">
        <f>IFERROR(__xludf.DUMMYFUNCTION("""COMPUTED_VALUE"""),"The medium in which a sample is stored.")</f>
        <v>The medium in which a sample is stored.</v>
      </c>
      <c r="G64" s="33" t="str">
        <f>IFERROR(__xludf.DUMMYFUNCTION("""COMPUTED_VALUE"""),"Provide the name of the transport medium or storage medium used for this sample. If none was used, leave blank or write ""None"".")</f>
        <v>Provide the name of the transport medium or storage medium used for this sample. If none was used, leave blank or write "None".</v>
      </c>
      <c r="H64" s="33" t="str">
        <f>IFERROR(__xludf.DUMMYFUNCTION("""COMPUTED_VALUE"""),"Cary-Blair transport medium")</f>
        <v>Cary-Blair transport medium</v>
      </c>
      <c r="I64" s="33"/>
      <c r="J64" s="33"/>
      <c r="K64" s="34" t="s">
        <v>19</v>
      </c>
      <c r="L64" s="34" t="s">
        <v>19</v>
      </c>
      <c r="M64" s="34" t="s">
        <v>19</v>
      </c>
      <c r="N64" s="33"/>
      <c r="O64" s="33" t="str">
        <f>IFERROR(__xludf.DUMMYFUNCTION("""COMPUTED_VALUE"""),"HPAI;HPAI_Food;HPAI_WW;HPAI_Enviro;HPAI_Host")</f>
        <v>HPAI;HPAI_Food;HPAI_WW;HPAI_Enviro;HPAI_Host</v>
      </c>
      <c r="P64" s="33"/>
      <c r="Q64" s="33"/>
      <c r="R64" s="33"/>
      <c r="S64" s="33"/>
      <c r="T64" s="33"/>
      <c r="U64" s="33"/>
      <c r="V64" s="33"/>
      <c r="W64" s="33"/>
      <c r="X64" s="33"/>
      <c r="Y64" s="33"/>
      <c r="Z64" s="33"/>
      <c r="AA64" s="33"/>
      <c r="AB64" s="33"/>
    </row>
    <row r="65">
      <c r="A65" s="33" t="str">
        <f>IFERROR(__xludf.DUMMYFUNCTION("""COMPUTED_VALUE"""),"Sample collection and processing")</f>
        <v>Sample collection and processing</v>
      </c>
      <c r="B65" s="33" t="str">
        <f>IFERROR(__xludf.DUMMYFUNCTION("""COMPUTED_VALUE"""),"sample_storage_duration_value")</f>
        <v>sample_storage_duration_value</v>
      </c>
      <c r="C65" s="33"/>
      <c r="D65" s="33"/>
      <c r="E65" s="35" t="str">
        <f>IFERROR(__xludf.DUMMYFUNCTION("""COMPUTED_VALUE"""),"GENEPIO:0101014")</f>
        <v>GENEPIO:0101014</v>
      </c>
      <c r="F65" s="33" t="str">
        <f>IFERROR(__xludf.DUMMYFUNCTION("""COMPUTED_VALUE"""),"The numerical value of the time measurement during which a sample is in storage.")</f>
        <v>The numerical value of the time measurement during which a sample is in storage.</v>
      </c>
      <c r="G65" s="33" t="str">
        <f>IFERROR(__xludf.DUMMYFUNCTION("""COMPUTED_VALUE"""),"Provide the numerical value of time.")</f>
        <v>Provide the numerical value of time.</v>
      </c>
      <c r="H65" s="33">
        <f>IFERROR(__xludf.DUMMYFUNCTION("""COMPUTED_VALUE"""),5.0)</f>
        <v>5</v>
      </c>
      <c r="I65" s="33"/>
      <c r="J65" s="33"/>
      <c r="K65" s="34" t="s">
        <v>19</v>
      </c>
      <c r="L65" s="34" t="s">
        <v>19</v>
      </c>
      <c r="M65" s="34" t="s">
        <v>19</v>
      </c>
      <c r="N65" s="33"/>
      <c r="O65" s="33" t="str">
        <f>IFERROR(__xludf.DUMMYFUNCTION("""COMPUTED_VALUE"""),"HPAI;HPAI_Food;HPAI_WW;HPAI_Enviro;HPAI_Host")</f>
        <v>HPAI;HPAI_Food;HPAI_WW;HPAI_Enviro;HPAI_Host</v>
      </c>
      <c r="P65" s="33"/>
      <c r="Q65" s="33"/>
      <c r="R65" s="33"/>
      <c r="S65" s="33"/>
      <c r="T65" s="33"/>
      <c r="U65" s="33"/>
      <c r="V65" s="33"/>
      <c r="W65" s="33"/>
      <c r="X65" s="33"/>
      <c r="Y65" s="33"/>
      <c r="Z65" s="33"/>
      <c r="AA65" s="33"/>
      <c r="AB65" s="33"/>
    </row>
    <row r="66">
      <c r="A66" s="33" t="str">
        <f>IFERROR(__xludf.DUMMYFUNCTION("""COMPUTED_VALUE"""),"Sample collection and processing")</f>
        <v>Sample collection and processing</v>
      </c>
      <c r="B66" s="33" t="str">
        <f>IFERROR(__xludf.DUMMYFUNCTION("""COMPUTED_VALUE"""),"sample_storage_duration_unit")</f>
        <v>sample_storage_duration_unit</v>
      </c>
      <c r="C66" s="33"/>
      <c r="D66" s="33"/>
      <c r="E66" s="35" t="str">
        <f>IFERROR(__xludf.DUMMYFUNCTION("""COMPUTED_VALUE"""),"GENEPIO:0101015")</f>
        <v>GENEPIO:0101015</v>
      </c>
      <c r="F66" s="33" t="str">
        <f>IFERROR(__xludf.DUMMYFUNCTION("""COMPUTED_VALUE"""),"The units of a measured sample storage duration.")</f>
        <v>The units of a measured sample storage duration.</v>
      </c>
      <c r="G66" s="33" t="str">
        <f>IFERROR(__xludf.DUMMYFUNCTION("""COMPUTED_VALUE"""),"Provide the units from the pick list.")</f>
        <v>Provide the units from the pick list.</v>
      </c>
      <c r="H66" s="33" t="str">
        <f>IFERROR(__xludf.DUMMYFUNCTION("""COMPUTED_VALUE"""),"Day")</f>
        <v>Day</v>
      </c>
      <c r="I66" s="33"/>
      <c r="J66" s="33"/>
      <c r="K66" s="34" t="s">
        <v>19</v>
      </c>
      <c r="L66" s="34" t="s">
        <v>19</v>
      </c>
      <c r="M66" s="34" t="s">
        <v>19</v>
      </c>
      <c r="N66" s="33"/>
      <c r="O66" s="33" t="str">
        <f>IFERROR(__xludf.DUMMYFUNCTION("""COMPUTED_VALUE"""),"HPAI;HPAI_Food;HPAI_WW;HPAI_Enviro;HPAI_Host")</f>
        <v>HPAI;HPAI_Food;HPAI_WW;HPAI_Enviro;HPAI_Host</v>
      </c>
      <c r="P66" s="33"/>
      <c r="Q66" s="33"/>
      <c r="R66" s="33"/>
      <c r="S66" s="33"/>
      <c r="T66" s="33"/>
      <c r="U66" s="33"/>
      <c r="V66" s="33"/>
      <c r="W66" s="33"/>
      <c r="X66" s="33"/>
      <c r="Y66" s="33"/>
      <c r="Z66" s="33"/>
      <c r="AA66" s="33"/>
      <c r="AB66" s="33"/>
    </row>
    <row r="67">
      <c r="A67" s="33" t="str">
        <f>IFERROR(__xludf.DUMMYFUNCTION("""COMPUTED_VALUE"""),"Sample collection and processing")</f>
        <v>Sample collection and processing</v>
      </c>
      <c r="B67" s="33" t="str">
        <f>IFERROR(__xludf.DUMMYFUNCTION("""COMPUTED_VALUE"""),"specimen_processing")</f>
        <v>specimen_processing</v>
      </c>
      <c r="C67" s="33"/>
      <c r="D67" s="33"/>
      <c r="E67" s="33" t="str">
        <f>IFERROR(__xludf.DUMMYFUNCTION("""COMPUTED_VALUE"""),"GENEPIO:0001253")</f>
        <v>GENEPIO:0001253</v>
      </c>
      <c r="F67" s="33" t="str">
        <f>IFERROR(__xludf.DUMMYFUNCTION("""COMPUTED_VALUE"""),"Any processing applied to the sample during or after receiving the sample.")</f>
        <v>Any processing applied to the sample during or after receiving the sample.</v>
      </c>
      <c r="G67" s="33" t="str">
        <f>IFERROR(__xludf.DUMMYFUNCTION("""COMPUTED_VALUE"""),"Select processes from the picklist that were applied to this sample.")</f>
        <v>Select processes from the picklist that were applied to this sample.</v>
      </c>
      <c r="H67" s="33" t="str">
        <f>IFERROR(__xludf.DUMMYFUNCTION("""COMPUTED_VALUE"""),"Centrifugation")</f>
        <v>Centrifugation</v>
      </c>
      <c r="I67" s="33"/>
      <c r="J67" s="33"/>
      <c r="K67" s="34" t="s">
        <v>19</v>
      </c>
      <c r="L67" s="34" t="s">
        <v>19</v>
      </c>
      <c r="M67" s="34" t="s">
        <v>19</v>
      </c>
      <c r="N67" s="33"/>
      <c r="O67" s="33" t="str">
        <f>IFERROR(__xludf.DUMMYFUNCTION("""COMPUTED_VALUE"""),"HPAI;HPAI_Food;HPAI_WW;HPAI_Enviro;HPAI_Host")</f>
        <v>HPAI;HPAI_Food;HPAI_WW;HPAI_Enviro;HPAI_Host</v>
      </c>
      <c r="P67" s="33"/>
      <c r="Q67" s="33"/>
      <c r="R67" s="33"/>
      <c r="S67" s="33"/>
      <c r="T67" s="33"/>
      <c r="U67" s="33"/>
      <c r="V67" s="33"/>
      <c r="W67" s="33"/>
      <c r="X67" s="33"/>
      <c r="Y67" s="33"/>
      <c r="Z67" s="33"/>
      <c r="AA67" s="33"/>
      <c r="AB67" s="33"/>
    </row>
    <row r="68">
      <c r="A68" s="33" t="str">
        <f>IFERROR(__xludf.DUMMYFUNCTION("""COMPUTED_VALUE"""),"Sample collection and processing")</f>
        <v>Sample collection and processing</v>
      </c>
      <c r="B68" s="33" t="str">
        <f>IFERROR(__xludf.DUMMYFUNCTION("""COMPUTED_VALUE"""),"specimen_processing_details")</f>
        <v>specimen_processing_details</v>
      </c>
      <c r="C68" s="33"/>
      <c r="D68" s="33"/>
      <c r="E68" s="33" t="str">
        <f>IFERROR(__xludf.DUMMYFUNCTION("""COMPUTED_VALUE"""),"GENEPIO:0100311")</f>
        <v>GENEPIO:0100311</v>
      </c>
      <c r="F68" s="33" t="str">
        <f>IFERROR(__xludf.DUMMYFUNCTION("""COMPUTED_VALUE"""),"The details of the processing applied to the sample during or after receiving the sample.")</f>
        <v>The details of the processing applied to the sample during or after receiving the sample.</v>
      </c>
      <c r="G68" s="33" t="str">
        <f>IFERROR(__xludf.DUMMYFUNCTION("""COMPUTED_VALUE"""),"Briefly describe the processes applied to the sample.")</f>
        <v>Briefly describe the processes applied to the sample.</v>
      </c>
      <c r="H68" s="33" t="str">
        <f>IFERROR(__xludf.DUMMYFUNCTION("""COMPUTED_VALUE"""),"25 samples were pooled and further prepared as a single sample during library prep.")</f>
        <v>25 samples were pooled and further prepared as a single sample during library prep.</v>
      </c>
      <c r="I68" s="33"/>
      <c r="J68" s="33"/>
      <c r="K68" s="34" t="s">
        <v>19</v>
      </c>
      <c r="L68" s="34" t="s">
        <v>19</v>
      </c>
      <c r="M68" s="34" t="s">
        <v>19</v>
      </c>
      <c r="N68" s="33"/>
      <c r="O68" s="33" t="str">
        <f>IFERROR(__xludf.DUMMYFUNCTION("""COMPUTED_VALUE"""),"HPAI;HPAI_Food;HPAI_WW;HPAI_Enviro;HPAI_Host")</f>
        <v>HPAI;HPAI_Food;HPAI_WW;HPAI_Enviro;HPAI_Host</v>
      </c>
      <c r="P68" s="33"/>
      <c r="Q68" s="33"/>
      <c r="R68" s="33"/>
      <c r="S68" s="33"/>
      <c r="T68" s="33"/>
      <c r="U68" s="33"/>
      <c r="V68" s="33"/>
      <c r="W68" s="33"/>
      <c r="X68" s="33"/>
      <c r="Y68" s="33"/>
      <c r="Z68" s="33"/>
      <c r="AA68" s="33"/>
      <c r="AB68" s="33"/>
    </row>
    <row r="69">
      <c r="A69" s="33" t="str">
        <f>IFERROR(__xludf.DUMMYFUNCTION("""COMPUTED_VALUE"""),"Sample collection and processing")</f>
        <v>Sample collection and processing</v>
      </c>
      <c r="B69" s="33" t="str">
        <f>IFERROR(__xludf.DUMMYFUNCTION("""COMPUTED_VALUE"""),"experimental_protocol")</f>
        <v>experimental_protocol</v>
      </c>
      <c r="C69" s="33"/>
      <c r="D69" s="33"/>
      <c r="E69" s="35" t="str">
        <f>IFERROR(__xludf.DUMMYFUNCTION("""COMPUTED_VALUE"""),"GENEPIO:0101029")</f>
        <v>GENEPIO:0101029</v>
      </c>
      <c r="F69" s="33" t="str">
        <f>IFERROR(__xludf.DUMMYFUNCTION("""COMPUTED_VALUE"""),"The name of the overarching experimental methodology that was used to process the biomaterial.")</f>
        <v>The name of the overarching experimental methodology that was used to process the biomaterial.</v>
      </c>
      <c r="G69" s="33" t="str">
        <f>IFERROR(__xludf.DUMMYFUNCTION("""COMPUTED_VALUE"""),"Provide the name of the methodology used in your study. If available, provide a link to the protocol.")</f>
        <v>Provide the name of the methodology used in your study. If available, provide a link to the protocol.</v>
      </c>
      <c r="H69" s="33"/>
      <c r="I69" s="33"/>
      <c r="J69" s="33"/>
      <c r="K69" s="34" t="s">
        <v>19</v>
      </c>
      <c r="L69" s="34" t="s">
        <v>19</v>
      </c>
      <c r="M69" s="34" t="s">
        <v>19</v>
      </c>
      <c r="N69" s="33"/>
      <c r="O69" s="33" t="str">
        <f>IFERROR(__xludf.DUMMYFUNCTION("""COMPUTED_VALUE"""),"HPAI;HPAI_Food;HPAI_WW;HPAI_Enviro;HPAI_Host")</f>
        <v>HPAI;HPAI_Food;HPAI_WW;HPAI_Enviro;HPAI_Host</v>
      </c>
      <c r="P69" s="33"/>
      <c r="Q69" s="33"/>
      <c r="R69" s="33"/>
      <c r="S69" s="33"/>
      <c r="T69" s="33"/>
      <c r="U69" s="33"/>
      <c r="V69" s="33"/>
      <c r="W69" s="33"/>
      <c r="X69" s="33"/>
      <c r="Y69" s="33"/>
      <c r="Z69" s="33"/>
      <c r="AA69" s="33"/>
      <c r="AB69" s="33"/>
    </row>
    <row r="70">
      <c r="A70" s="33" t="str">
        <f>IFERROR(__xludf.DUMMYFUNCTION("""COMPUTED_VALUE"""),"Sample collection and processing")</f>
        <v>Sample collection and processing</v>
      </c>
      <c r="B70" s="33" t="str">
        <f>IFERROR(__xludf.DUMMYFUNCTION("""COMPUTED_VALUE"""),"experimental_specimen_role_type")</f>
        <v>experimental_specimen_role_type</v>
      </c>
      <c r="C70" s="33"/>
      <c r="D70" s="33"/>
      <c r="E70" s="35" t="str">
        <f>IFERROR(__xludf.DUMMYFUNCTION("""COMPUTED_VALUE"""),"GENEPIO:0100921")</f>
        <v>GENEPIO:0100921</v>
      </c>
      <c r="F70" s="33" t="str">
        <f>IFERROR(__xludf.DUMMYFUNCTION("""COMPUTED_VALUE"""),"The type of role that the sample represents in the experiment.")</f>
        <v>The type of role that the sample represents in the experiment.</v>
      </c>
      <c r="G70" s="33" t="str">
        <f>IFERROR(__xludf.DUMMYFUNCTION("""COMPUTED_VALUE"""),"Samples can play different types of roles in experiments. A sample under study in one experiment may act as a control or be a replicate of another sample in another experiment. This field is used to distinguish samples under study from controls, replicate"&amp;"s, etc.  If the sample acted as an experimental control or a replicate, select a role type from the picklist. If the sample was not a control, leave blank or select ""Not Applicable"".")</f>
        <v>Samples can play different types of roles in experiments. A sample under study in one experiment may act as a control or be a replicate of another sample in another experiment. This field is used to distinguish samples under study from controls, replicates, etc.  If the sample acted as an experimental control or a replicate, select a role type from the picklist. If the sample was not a control, leave blank or select "Not Applicable".</v>
      </c>
      <c r="H70" s="33" t="str">
        <f>IFERROR(__xludf.DUMMYFUNCTION("""COMPUTED_VALUE"""),"Positive experimental control")</f>
        <v>Positive experimental control</v>
      </c>
      <c r="I70" s="33"/>
      <c r="J70" s="33"/>
      <c r="K70" s="34" t="s">
        <v>19</v>
      </c>
      <c r="L70" s="34" t="s">
        <v>19</v>
      </c>
      <c r="M70" s="34" t="s">
        <v>19</v>
      </c>
      <c r="N70" s="33"/>
      <c r="O70" s="33" t="str">
        <f>IFERROR(__xludf.DUMMYFUNCTION("""COMPUTED_VALUE"""),"HPAI;HPAI_Food;HPAI_WW;HPAI_Enviro;HPAI_Host")</f>
        <v>HPAI;HPAI_Food;HPAI_WW;HPAI_Enviro;HPAI_Host</v>
      </c>
      <c r="P70" s="33"/>
      <c r="Q70" s="33"/>
      <c r="R70" s="33"/>
      <c r="S70" s="33"/>
      <c r="T70" s="33"/>
      <c r="U70" s="33"/>
      <c r="V70" s="33"/>
      <c r="W70" s="33"/>
      <c r="X70" s="33"/>
      <c r="Y70" s="33"/>
      <c r="Z70" s="33"/>
      <c r="AA70" s="33"/>
      <c r="AB70" s="33"/>
    </row>
    <row r="71">
      <c r="A71" s="33" t="str">
        <f>IFERROR(__xludf.DUMMYFUNCTION("""COMPUTED_VALUE"""),"Sample collection and processing")</f>
        <v>Sample collection and processing</v>
      </c>
      <c r="B71" s="33" t="str">
        <f>IFERROR(__xludf.DUMMYFUNCTION("""COMPUTED_VALUE"""),"experimental_specimen_details")</f>
        <v>experimental_specimen_details</v>
      </c>
      <c r="C71" s="33"/>
      <c r="D71" s="33"/>
      <c r="E71" s="35" t="str">
        <f>IFERROR(__xludf.DUMMYFUNCTION("""COMPUTED_VALUE"""),"GENEPIO:0101112")</f>
        <v>GENEPIO:0101112</v>
      </c>
      <c r="F71" s="33"/>
      <c r="G71" s="33"/>
      <c r="H71" s="33"/>
      <c r="I71" s="33"/>
      <c r="J71" s="33"/>
      <c r="K71" s="34" t="s">
        <v>19</v>
      </c>
      <c r="L71" s="34" t="s">
        <v>19</v>
      </c>
      <c r="M71" s="34" t="s">
        <v>19</v>
      </c>
      <c r="N71" s="33"/>
      <c r="O71" s="33" t="str">
        <f>IFERROR(__xludf.DUMMYFUNCTION("""COMPUTED_VALUE"""),"HPAI;HPAI_Food;HPAI_WW;HPAI_Enviro;HPAI_Host")</f>
        <v>HPAI;HPAI_Food;HPAI_WW;HPAI_Enviro;HPAI_Host</v>
      </c>
      <c r="P71" s="33"/>
      <c r="Q71" s="33"/>
      <c r="R71" s="33"/>
      <c r="S71" s="33"/>
      <c r="T71" s="33"/>
      <c r="U71" s="33"/>
      <c r="V71" s="33"/>
      <c r="W71" s="33"/>
      <c r="X71" s="33"/>
      <c r="Y71" s="33"/>
      <c r="Z71" s="33"/>
      <c r="AA71" s="33"/>
      <c r="AB71" s="33"/>
    </row>
    <row r="72">
      <c r="A72" s="33" t="str">
        <f>IFERROR(__xludf.DUMMYFUNCTION("""COMPUTED_VALUE"""),"Sample collection and processing")</f>
        <v>Sample collection and processing</v>
      </c>
      <c r="B72" s="33" t="str">
        <f>IFERROR(__xludf.DUMMYFUNCTION("""COMPUTED_VALUE"""),"available_data_types")</f>
        <v>available_data_types</v>
      </c>
      <c r="C72" s="33"/>
      <c r="D72" s="33"/>
      <c r="E72" s="33" t="str">
        <f>IFERROR(__xludf.DUMMYFUNCTION("""COMPUTED_VALUE"""),"GENEPIO:0100690")</f>
        <v>GENEPIO:0100690</v>
      </c>
      <c r="F72" s="33" t="str">
        <f>IFERROR(__xludf.DUMMYFUNCTION("""COMPUTED_VALUE"""),"The type of data that is available, that may or may not require permission to access.")</f>
        <v>The type of data that is available, that may or may not require permission to access.</v>
      </c>
      <c r="G72" s="33" t="str">
        <f>IFERROR(__xludf.DUMMYFUNCTION("""COMPUTED_VALUE"""),"This field provides information about additional data types that are available that may provide context for interpretation of the sequence data. Provide a term from the picklist for additional data types that are available. Additional data types may requi"&amp;"re special permission to access. Contact the data provider for more information.")</f>
        <v>This field provides information about additional data types that are available that may provide context for interpretation of the sequence data. Provide a term from the picklist for additional data types that are available. Additional data types may require special permission to access. Contact the data provider for more information.</v>
      </c>
      <c r="H72" s="33" t="str">
        <f>IFERROR(__xludf.DUMMYFUNCTION("""COMPUTED_VALUE"""),"Total coliform count [GENEPIO:0100729]")</f>
        <v>Total coliform count [GENEPIO:0100729]</v>
      </c>
      <c r="I72" s="33"/>
      <c r="J72" s="33"/>
      <c r="K72" s="34" t="s">
        <v>19</v>
      </c>
      <c r="L72" s="34" t="s">
        <v>19</v>
      </c>
      <c r="M72" s="34" t="s">
        <v>19</v>
      </c>
      <c r="N72" s="33"/>
      <c r="O72" s="33" t="str">
        <f>IFERROR(__xludf.DUMMYFUNCTION("""COMPUTED_VALUE"""),"HPAI;HPAI_Food;HPAI_WW;HPAI_Enviro;HPAI_Host")</f>
        <v>HPAI;HPAI_Food;HPAI_WW;HPAI_Enviro;HPAI_Host</v>
      </c>
      <c r="P72" s="33"/>
      <c r="Q72" s="33"/>
      <c r="R72" s="33"/>
      <c r="S72" s="33"/>
      <c r="T72" s="33"/>
      <c r="U72" s="33"/>
      <c r="V72" s="33"/>
      <c r="W72" s="33"/>
      <c r="X72" s="33"/>
      <c r="Y72" s="33"/>
      <c r="Z72" s="33"/>
      <c r="AA72" s="33"/>
      <c r="AB72" s="33"/>
    </row>
    <row r="73">
      <c r="A73" s="33" t="str">
        <f>IFERROR(__xludf.DUMMYFUNCTION("""COMPUTED_VALUE"""),"Sample collection and processing")</f>
        <v>Sample collection and processing</v>
      </c>
      <c r="B73" s="33" t="str">
        <f>IFERROR(__xludf.DUMMYFUNCTION("""COMPUTED_VALUE"""),"available_data_type_details")</f>
        <v>available_data_type_details</v>
      </c>
      <c r="C73" s="33"/>
      <c r="D73" s="33"/>
      <c r="E73" s="33" t="str">
        <f>IFERROR(__xludf.DUMMYFUNCTION("""COMPUTED_VALUE"""),"GENEPIO:0101023")</f>
        <v>GENEPIO:0101023</v>
      </c>
      <c r="F73" s="33" t="str">
        <f>IFERROR(__xludf.DUMMYFUNCTION("""COMPUTED_VALUE"""),"Detailed information regarding other available data types.")</f>
        <v>Detailed information regarding other available data types.</v>
      </c>
      <c r="G73" s="33" t="str">
        <f>IFERROR(__xludf.DUMMYFUNCTION("""COMPUTED_VALUE"""),"Use this field to provide free text details describing other available data types that may provide context for interpreting genomic sequence data.")</f>
        <v>Use this field to provide free text details describing other available data types that may provide context for interpreting genomic sequence data.</v>
      </c>
      <c r="H73" s="33" t="str">
        <f>IFERROR(__xludf.DUMMYFUNCTION("""COMPUTED_VALUE"""),"Pooled metagenomes containing extended spectrum beta-lactamase (ESBL) bacteria")</f>
        <v>Pooled metagenomes containing extended spectrum beta-lactamase (ESBL) bacteria</v>
      </c>
      <c r="I73" s="33"/>
      <c r="J73" s="33"/>
      <c r="K73" s="34" t="s">
        <v>19</v>
      </c>
      <c r="L73" s="34" t="s">
        <v>19</v>
      </c>
      <c r="M73" s="34" t="s">
        <v>19</v>
      </c>
      <c r="N73" s="33"/>
      <c r="O73" s="33" t="str">
        <f>IFERROR(__xludf.DUMMYFUNCTION("""COMPUTED_VALUE"""),"HPAI;HPAI_Food;HPAI_WW;HPAI_Enviro;HPAI_Host")</f>
        <v>HPAI;HPAI_Food;HPAI_WW;HPAI_Enviro;HPAI_Host</v>
      </c>
      <c r="P73" s="33"/>
      <c r="Q73" s="33"/>
      <c r="R73" s="33"/>
      <c r="S73" s="33"/>
      <c r="T73" s="33"/>
      <c r="U73" s="33"/>
      <c r="V73" s="33"/>
      <c r="W73" s="33"/>
      <c r="X73" s="33"/>
      <c r="Y73" s="33"/>
      <c r="Z73" s="33"/>
      <c r="AA73" s="33"/>
      <c r="AB73" s="33"/>
    </row>
    <row r="74">
      <c r="A74" s="33"/>
      <c r="B74" s="33" t="str">
        <f>IFERROR(__xludf.DUMMYFUNCTION("""COMPUTED_VALUE"""),"Host information")</f>
        <v>Host information</v>
      </c>
      <c r="C74" s="33"/>
      <c r="D74" s="33"/>
      <c r="E74" s="33" t="str">
        <f>IFERROR(__xludf.DUMMYFUNCTION("""COMPUTED_VALUE"""),"GENEPIO:0001268")</f>
        <v>GENEPIO:0001268</v>
      </c>
      <c r="F74" s="33"/>
      <c r="G74" s="33"/>
      <c r="H74" s="33"/>
      <c r="I74" s="33"/>
      <c r="J74" s="33"/>
      <c r="K74" s="34"/>
      <c r="L74" s="34"/>
      <c r="M74" s="34"/>
      <c r="N74" s="33"/>
      <c r="O74" s="33" t="str">
        <f>IFERROR(__xludf.DUMMYFUNCTION("""COMPUTED_VALUE"""),"HPAI;HPAI_Host")</f>
        <v>HPAI;HPAI_Host</v>
      </c>
      <c r="P74" s="33"/>
      <c r="Q74" s="33"/>
      <c r="R74" s="33"/>
      <c r="S74" s="33"/>
      <c r="T74" s="33"/>
      <c r="U74" s="33"/>
      <c r="V74" s="33"/>
      <c r="W74" s="33"/>
      <c r="X74" s="33"/>
      <c r="Y74" s="33"/>
      <c r="Z74" s="33"/>
      <c r="AA74" s="33"/>
      <c r="AB74" s="33"/>
    </row>
    <row r="75">
      <c r="A75" s="33" t="str">
        <f>IFERROR(__xludf.DUMMYFUNCTION("""COMPUTED_VALUE"""),"Host information")</f>
        <v>Host information</v>
      </c>
      <c r="B75" s="33" t="str">
        <f>IFERROR(__xludf.DUMMYFUNCTION("""COMPUTED_VALUE"""),"host_(common_name)")</f>
        <v>host_(common_name)</v>
      </c>
      <c r="C75" s="33"/>
      <c r="D75" s="33" t="b">
        <f>IFERROR(__xludf.DUMMYFUNCTION("""COMPUTED_VALUE"""),TRUE)</f>
        <v>1</v>
      </c>
      <c r="E75" s="33" t="str">
        <f>IFERROR(__xludf.DUMMYFUNCTION("""COMPUTED_VALUE"""),"GENEPIO:0001386")</f>
        <v>GENEPIO:0001386</v>
      </c>
      <c r="F75" s="33" t="str">
        <f>IFERROR(__xludf.DUMMYFUNCTION("""COMPUTED_VALUE"""),"The commonly used name of the host.")</f>
        <v>The commonly used name of the host.</v>
      </c>
      <c r="G75" s="33" t="str">
        <f>IFERROR(__xludf.DUMMYFUNCTION("""COMPUTED_VALUE"""),"If the sample is directly from a host, either a common or scientific name must be provided (although both can be included, if known).  If known, provide the common name.")</f>
        <v>If the sample is directly from a host, either a common or scientific name must be provided (although both can be included, if known).  If known, provide the common name.</v>
      </c>
      <c r="H75" s="33" t="str">
        <f>IFERROR(__xludf.DUMMYFUNCTION("""COMPUTED_VALUE"""),"Cow [NCBITaxon:9913]; Chicken [NCBITaxon:9913], Human [NCBITaxon:9606]")</f>
        <v>Cow [NCBITaxon:9913]; Chicken [NCBITaxon:9913], Human [NCBITaxon:9606]</v>
      </c>
      <c r="I75" s="33"/>
      <c r="J75" s="33"/>
      <c r="K75" s="34" t="s">
        <v>19</v>
      </c>
      <c r="L75" s="34" t="s">
        <v>19</v>
      </c>
      <c r="M75" s="34" t="s">
        <v>19</v>
      </c>
      <c r="N75" s="33"/>
      <c r="O75" s="33" t="str">
        <f>IFERROR(__xludf.DUMMYFUNCTION("""COMPUTED_VALUE"""),"HPAI;HPAI_Host")</f>
        <v>HPAI;HPAI_Host</v>
      </c>
      <c r="P75" s="33"/>
      <c r="Q75" s="33"/>
      <c r="R75" s="33"/>
      <c r="S75" s="33"/>
      <c r="T75" s="33"/>
      <c r="U75" s="33"/>
      <c r="V75" s="33"/>
      <c r="W75" s="33"/>
      <c r="X75" s="33"/>
      <c r="Y75" s="33"/>
      <c r="Z75" s="33"/>
      <c r="AA75" s="33"/>
      <c r="AB75" s="33"/>
    </row>
    <row r="76">
      <c r="A76" s="34" t="str">
        <f>IFERROR(__xludf.DUMMYFUNCTION("""COMPUTED_VALUE"""),"Host information")</f>
        <v>Host information</v>
      </c>
      <c r="B76" s="33" t="str">
        <f>IFERROR(__xludf.DUMMYFUNCTION("""COMPUTED_VALUE"""),"host_(scientific_name)")</f>
        <v>host_(scientific_name)</v>
      </c>
      <c r="C76" s="33"/>
      <c r="D76" s="33" t="b">
        <f>IFERROR(__xludf.DUMMYFUNCTION("""COMPUTED_VALUE"""),TRUE)</f>
        <v>1</v>
      </c>
      <c r="E76" s="34" t="str">
        <f>IFERROR(__xludf.DUMMYFUNCTION("""COMPUTED_VALUE"""),"GENEPIO:0001387")</f>
        <v>GENEPIO:0001387</v>
      </c>
      <c r="F76" s="33" t="str">
        <f>IFERROR(__xludf.DUMMYFUNCTION("""COMPUTED_VALUE"""),"The taxonomic, or scientific name of the host.")</f>
        <v>The taxonomic, or scientific name of the host.</v>
      </c>
      <c r="G76" s="33" t="str">
        <f>IFERROR(__xludf.DUMMYFUNCTION("""COMPUTED_VALUE"""),"If the sample is directly from a host, either a common or scientific name must be provided (although both can be included, if known).  If known, select the scientific name from the picklist provided.")</f>
        <v>If the sample is directly from a host, either a common or scientific name must be provided (although both can be included, if known).  If known, select the scientific name from the picklist provided.</v>
      </c>
      <c r="H76" s="33" t="str">
        <f>IFERROR(__xludf.DUMMYFUNCTION("""COMPUTED_VALUE"""),"Bos taurus [NCBITaxon:9913]; Homo sapiens [NCBITaxon:9103]")</f>
        <v>Bos taurus [NCBITaxon:9913]; Homo sapiens [NCBITaxon:9103]</v>
      </c>
      <c r="I76" s="33"/>
      <c r="J76" s="33"/>
      <c r="K76" s="33"/>
      <c r="L76" s="33"/>
      <c r="M76" s="33"/>
      <c r="N76" s="33"/>
      <c r="O76" s="33" t="str">
        <f>IFERROR(__xludf.DUMMYFUNCTION("""COMPUTED_VALUE"""),"HPAI;HPAI_Host")</f>
        <v>HPAI;HPAI_Host</v>
      </c>
      <c r="P76" s="33"/>
      <c r="Q76" s="33"/>
      <c r="R76" s="33"/>
      <c r="S76" s="33"/>
      <c r="T76" s="33"/>
      <c r="U76" s="33"/>
      <c r="V76" s="33"/>
      <c r="W76" s="33"/>
      <c r="X76" s="33"/>
      <c r="Y76" s="33"/>
      <c r="Z76" s="33"/>
      <c r="AA76" s="33"/>
      <c r="AB76" s="33"/>
    </row>
    <row r="77">
      <c r="A77" s="33" t="str">
        <f>IFERROR(__xludf.DUMMYFUNCTION("""COMPUTED_VALUE"""),"Host information")</f>
        <v>Host information</v>
      </c>
      <c r="B77" s="33" t="str">
        <f>IFERROR(__xludf.DUMMYFUNCTION("""COMPUTED_VALUE"""),"host_(ecotype)")</f>
        <v>host_(ecotype)</v>
      </c>
      <c r="C77" s="33"/>
      <c r="D77" s="33"/>
      <c r="E77" s="33" t="str">
        <f>IFERROR(__xludf.DUMMYFUNCTION("""COMPUTED_VALUE"""),"GENEPIO:0100450")</f>
        <v>GENEPIO:0100450</v>
      </c>
      <c r="F77" s="33" t="str">
        <f>IFERROR(__xludf.DUMMYFUNCTION("""COMPUTED_VALUE"""),"The biotype resulting from selection in a particular habitat, e.g. the A. thaliana Ecotype Ler.")</f>
        <v>The biotype resulting from selection in a particular habitat, e.g. the A. thaliana Ecotype Ler.</v>
      </c>
      <c r="G77" s="33" t="str">
        <f>IFERROR(__xludf.DUMMYFUNCTION("""COMPUTED_VALUE"""),"Provide the name of the ecotype of the host organism.")</f>
        <v>Provide the name of the ecotype of the host organism.</v>
      </c>
      <c r="H77" s="33" t="str">
        <f>IFERROR(__xludf.DUMMYFUNCTION("""COMPUTED_VALUE"""),"Sea ecotype")</f>
        <v>Sea ecotype</v>
      </c>
      <c r="I77" s="33"/>
      <c r="J77" s="33"/>
      <c r="K77" s="34" t="s">
        <v>19</v>
      </c>
      <c r="L77" s="34" t="s">
        <v>19</v>
      </c>
      <c r="M77" s="34" t="s">
        <v>19</v>
      </c>
      <c r="O77" s="28" t="str">
        <f>IFERROR(__xludf.DUMMYFUNCTION("""COMPUTED_VALUE"""),"HPAI;HPAI_Host")</f>
        <v>HPAI;HPAI_Host</v>
      </c>
    </row>
    <row r="78">
      <c r="A78" s="33" t="str">
        <f>IFERROR(__xludf.DUMMYFUNCTION("""COMPUTED_VALUE"""),"Host information")</f>
        <v>Host information</v>
      </c>
      <c r="B78" s="33" t="str">
        <f>IFERROR(__xludf.DUMMYFUNCTION("""COMPUTED_VALUE"""),"host_(breed)")</f>
        <v>host_(breed)</v>
      </c>
      <c r="C78" s="33"/>
      <c r="D78" s="33"/>
      <c r="E78" s="33" t="str">
        <f>IFERROR(__xludf.DUMMYFUNCTION("""COMPUTED_VALUE"""),"GENEPIO:0100451")</f>
        <v>GENEPIO:0100451</v>
      </c>
      <c r="F78" s="33" t="str">
        <f>IFERROR(__xludf.DUMMYFUNCTION("""COMPUTED_VALUE"""),"A breed is a specific group of domestic animals or plants having homogeneous appearance, homogeneous behavior, and other characteristics that distinguish it from other animals or plants of the same species and that were arrived at through selective breedi"&amp;"ng.")</f>
        <v>A breed is a specific group of domestic animals or plants having homogeneous appearance, homogeneous behavior, and other characteristics that distinguish it from other animals or plants of the same species and that were arrived at through selective breeding.</v>
      </c>
      <c r="G78" s="33" t="str">
        <f>IFERROR(__xludf.DUMMYFUNCTION("""COMPUTED_VALUE"""),"Provide the name of the breed of the host organism.")</f>
        <v>Provide the name of the breed of the host organism.</v>
      </c>
      <c r="H78" s="33" t="str">
        <f>IFERROR(__xludf.DUMMYFUNCTION("""COMPUTED_VALUE"""),"Holstein")</f>
        <v>Holstein</v>
      </c>
      <c r="I78" s="33"/>
      <c r="J78" s="33"/>
      <c r="K78" s="34" t="s">
        <v>19</v>
      </c>
      <c r="L78" s="34" t="s">
        <v>19</v>
      </c>
      <c r="M78" s="34" t="s">
        <v>19</v>
      </c>
      <c r="O78" s="28" t="str">
        <f>IFERROR(__xludf.DUMMYFUNCTION("""COMPUTED_VALUE"""),"HPAI;HPAI_Host")</f>
        <v>HPAI;HPAI_Host</v>
      </c>
    </row>
    <row r="79">
      <c r="A79" s="33" t="str">
        <f>IFERROR(__xludf.DUMMYFUNCTION("""COMPUTED_VALUE"""),"Host information")</f>
        <v>Host information</v>
      </c>
      <c r="B79" s="33" t="str">
        <f>IFERROR(__xludf.DUMMYFUNCTION("""COMPUTED_VALUE"""),"host_(food production name)")</f>
        <v>host_(food production name)</v>
      </c>
      <c r="C79" s="33"/>
      <c r="D79" s="33"/>
      <c r="E79" s="33" t="str">
        <f>IFERROR(__xludf.DUMMYFUNCTION("""COMPUTED_VALUE"""),"GENEPIO:0100452")</f>
        <v>GENEPIO:0100452</v>
      </c>
      <c r="F79" s="33" t="str">
        <f>IFERROR(__xludf.DUMMYFUNCTION("""COMPUTED_VALUE"""),"The name of the host at a certain stage of food production, which may depend on its age or stage of sexual maturity.")</f>
        <v>The name of the host at a certain stage of food production, which may depend on its age or stage of sexual maturity.</v>
      </c>
      <c r="G79" s="33" t="str">
        <f>IFERROR(__xludf.DUMMYFUNCTION("""COMPUTED_VALUE"""),"Select the host's food production name from the pick list.")</f>
        <v>Select the host's food production name from the pick list.</v>
      </c>
      <c r="H79" s="33" t="str">
        <f>IFERROR(__xludf.DUMMYFUNCTION("""COMPUTED_VALUE"""),"Calf [FOODON:03411349]")</f>
        <v>Calf [FOODON:03411349]</v>
      </c>
      <c r="I79" s="33"/>
      <c r="J79" s="33"/>
      <c r="K79" s="34" t="s">
        <v>19</v>
      </c>
      <c r="L79" s="34" t="s">
        <v>19</v>
      </c>
      <c r="M79" s="34" t="s">
        <v>19</v>
      </c>
      <c r="O79" s="28" t="str">
        <f>IFERROR(__xludf.DUMMYFUNCTION("""COMPUTED_VALUE"""),"HPAI;HPAI_Host")</f>
        <v>HPAI;HPAI_Host</v>
      </c>
    </row>
    <row r="80">
      <c r="A80" s="33" t="str">
        <f>IFERROR(__xludf.DUMMYFUNCTION("""COMPUTED_VALUE"""),"Host Information")</f>
        <v>Host Information</v>
      </c>
      <c r="B80" s="33" t="str">
        <f>IFERROR(__xludf.DUMMYFUNCTION("""COMPUTED_VALUE"""),"host_age")</f>
        <v>host_age</v>
      </c>
      <c r="C80" s="33" t="b">
        <f>IFERROR(__xludf.DUMMYFUNCTION("""COMPUTED_VALUE"""),TRUE)</f>
        <v>1</v>
      </c>
      <c r="D80" s="33" t="str">
        <f>IFERROR(__xludf.DUMMYFUNCTION("""COMPUTED_VALUE"""),"")</f>
        <v/>
      </c>
      <c r="E80" s="33" t="str">
        <f>IFERROR(__xludf.DUMMYFUNCTION("""COMPUTED_VALUE"""),"GENEPIO:0001392")</f>
        <v>GENEPIO:0001392</v>
      </c>
      <c r="F80" s="33" t="str">
        <f>IFERROR(__xludf.DUMMYFUNCTION("""COMPUTED_VALUE"""),"Age of host at the time of sampling.")</f>
        <v>Age of host at the time of sampling.</v>
      </c>
      <c r="G80" s="33" t="str">
        <f>IFERROR(__xludf.DUMMYFUNCTION("""COMPUTED_VALUE"""),"If known, provide age. Age-binning is also acceptable.")</f>
        <v>If known, provide age. Age-binning is also acceptable.</v>
      </c>
      <c r="H80" s="33">
        <f>IFERROR(__xludf.DUMMYFUNCTION("""COMPUTED_VALUE"""),79.0)</f>
        <v>79</v>
      </c>
      <c r="I80" s="33"/>
      <c r="J80" s="33"/>
      <c r="K80" s="34" t="s">
        <v>19</v>
      </c>
      <c r="L80" s="34" t="s">
        <v>19</v>
      </c>
      <c r="M80" s="34" t="s">
        <v>19</v>
      </c>
      <c r="O80" s="28" t="str">
        <f>IFERROR(__xludf.DUMMYFUNCTION("""COMPUTED_VALUE"""),"HPAI;HPAI_Host")</f>
        <v>HPAI;HPAI_Host</v>
      </c>
    </row>
    <row r="81">
      <c r="A81" s="33" t="str">
        <f>IFERROR(__xludf.DUMMYFUNCTION("""COMPUTED_VALUE"""),"Host Information")</f>
        <v>Host Information</v>
      </c>
      <c r="B81" s="33" t="str">
        <f>IFERROR(__xludf.DUMMYFUNCTION("""COMPUTED_VALUE"""),"host_age_unit")</f>
        <v>host_age_unit</v>
      </c>
      <c r="C81" s="33" t="b">
        <f>IFERROR(__xludf.DUMMYFUNCTION("""COMPUTED_VALUE"""),TRUE)</f>
        <v>1</v>
      </c>
      <c r="D81" s="33" t="str">
        <f>IFERROR(__xludf.DUMMYFUNCTION("""COMPUTED_VALUE"""),"")</f>
        <v/>
      </c>
      <c r="E81" s="33" t="str">
        <f>IFERROR(__xludf.DUMMYFUNCTION("""COMPUTED_VALUE"""),"GENEPIO:0001393")</f>
        <v>GENEPIO:0001393</v>
      </c>
      <c r="F81" s="33" t="str">
        <f>IFERROR(__xludf.DUMMYFUNCTION("""COMPUTED_VALUE"""),"The units used to measure the host's age.")</f>
        <v>The units used to measure the host's age.</v>
      </c>
      <c r="G81" s="33" t="str">
        <f>IFERROR(__xludf.DUMMYFUNCTION("""COMPUTED_VALUE"""),"If known, provide the age units used to measure the host's age from the pick list.")</f>
        <v>If known, provide the age units used to measure the host's age from the pick list.</v>
      </c>
      <c r="H81" s="33" t="str">
        <f>IFERROR(__xludf.DUMMYFUNCTION("""COMPUTED_VALUE"""),"year [UO:0000036]")</f>
        <v>year [UO:0000036]</v>
      </c>
      <c r="I81" s="33"/>
      <c r="J81" s="33"/>
      <c r="K81" s="34" t="s">
        <v>19</v>
      </c>
      <c r="L81" s="34" t="s">
        <v>19</v>
      </c>
      <c r="M81" s="34" t="s">
        <v>19</v>
      </c>
      <c r="O81" s="28" t="str">
        <f>IFERROR(__xludf.DUMMYFUNCTION("""COMPUTED_VALUE"""),"HPAI;HPAI_Host")</f>
        <v>HPAI;HPAI_Host</v>
      </c>
    </row>
    <row r="82">
      <c r="A82" s="33" t="str">
        <f>IFERROR(__xludf.DUMMYFUNCTION("""COMPUTED_VALUE"""),"Host information")</f>
        <v>Host information</v>
      </c>
      <c r="B82" s="33" t="str">
        <f>IFERROR(__xludf.DUMMYFUNCTION("""COMPUTED_VALUE"""),"host_age_bin")</f>
        <v>host_age_bin</v>
      </c>
      <c r="C82" s="33"/>
      <c r="D82" s="33"/>
      <c r="E82" s="33" t="str">
        <f>IFERROR(__xludf.DUMMYFUNCTION("""COMPUTED_VALUE"""),"GENEPIO:0001394")</f>
        <v>GENEPIO:0001394</v>
      </c>
      <c r="F82" s="33" t="str">
        <f>IFERROR(__xludf.DUMMYFUNCTION("""COMPUTED_VALUE"""),"Age of host at the time of sampling, expressed as an age group.")</f>
        <v>Age of host at the time of sampling, expressed as an age group.</v>
      </c>
      <c r="G82" s="33" t="str">
        <f>IFERROR(__xludf.DUMMYFUNCTION("""COMPUTED_VALUE"""),"Select the corresponding host age bin from the pick list provided in the template. If not available, provide a null value or leave blank.")</f>
        <v>Select the corresponding host age bin from the pick list provided in the template. If not available, provide a null value or leave blank.</v>
      </c>
      <c r="H82" s="33"/>
      <c r="I82" s="33"/>
      <c r="J82" s="33"/>
      <c r="K82" s="34" t="s">
        <v>19</v>
      </c>
      <c r="L82" s="34" t="s">
        <v>19</v>
      </c>
      <c r="M82" s="34" t="s">
        <v>19</v>
      </c>
      <c r="O82" s="28" t="str">
        <f>IFERROR(__xludf.DUMMYFUNCTION("""COMPUTED_VALUE"""),"HPAI;HPAI_Host")</f>
        <v>HPAI;HPAI_Host</v>
      </c>
    </row>
    <row r="83">
      <c r="A83" s="33"/>
      <c r="B83" s="33" t="str">
        <f>IFERROR(__xludf.DUMMYFUNCTION("""COMPUTED_VALUE"""),"host_gender")</f>
        <v>host_gender</v>
      </c>
      <c r="C83" s="33"/>
      <c r="D83" s="33"/>
      <c r="E83" s="33"/>
      <c r="F83" s="33"/>
      <c r="G83" s="33"/>
      <c r="H83" s="33"/>
      <c r="I83" s="33"/>
      <c r="J83" s="33"/>
      <c r="K83" s="34" t="s">
        <v>19</v>
      </c>
      <c r="L83" s="34" t="s">
        <v>19</v>
      </c>
      <c r="M83" s="34" t="s">
        <v>19</v>
      </c>
      <c r="O83" s="28"/>
    </row>
    <row r="84">
      <c r="A84" s="33" t="str">
        <f>IFERROR(__xludf.DUMMYFUNCTION("""COMPUTED_VALUE"""),"Host information")</f>
        <v>Host information</v>
      </c>
      <c r="B84" s="33" t="str">
        <f>IFERROR(__xludf.DUMMYFUNCTION("""COMPUTED_VALUE"""),"host_disease")</f>
        <v>host_disease</v>
      </c>
      <c r="C84" s="33"/>
      <c r="D84" s="33"/>
      <c r="E84" s="33" t="str">
        <f>IFERROR(__xludf.DUMMYFUNCTION("""COMPUTED_VALUE"""),"GENEPIO:0001391")</f>
        <v>GENEPIO:0001391</v>
      </c>
      <c r="F84" s="33" t="str">
        <f>IFERROR(__xludf.DUMMYFUNCTION("""COMPUTED_VALUE"""),"The name of the disease experienced by the host.")</f>
        <v>The name of the disease experienced by the host.</v>
      </c>
      <c r="G84" s="33" t="str">
        <f>IFERROR(__xludf.DUMMYFUNCTION("""COMPUTED_VALUE"""),"This field is only required if the Pathogen.cl package was selected. If the host was sick, provide the name of the disease.The standardized term can be sourced from this look-up service: https://www.ebi.ac.uk/ols/ontologies/doid If the disease is not know"&amp;"n, put “missing”.")</f>
        <v>This field is only required if the Pathogen.cl package was selected. If the host was sick, provide the name of the disease.The standardized term can be sourced from this look-up service: https://www.ebi.ac.uk/ols/ontologies/doid If the disease is not known, put “missing”.</v>
      </c>
      <c r="H84" s="33" t="str">
        <f>IFERROR(__xludf.DUMMYFUNCTION("""COMPUTED_VALUE"""),"mastitis, gastroenteritis")</f>
        <v>mastitis, gastroenteritis</v>
      </c>
      <c r="I84" s="33"/>
      <c r="J84" s="33"/>
      <c r="K84" s="34" t="s">
        <v>19</v>
      </c>
      <c r="L84" s="34" t="s">
        <v>19</v>
      </c>
      <c r="M84" s="34" t="s">
        <v>19</v>
      </c>
      <c r="O84" s="28" t="str">
        <f>IFERROR(__xludf.DUMMYFUNCTION("""COMPUTED_VALUE"""),"HPAI;HPAI_Host")</f>
        <v>HPAI;HPAI_Host</v>
      </c>
    </row>
    <row r="85">
      <c r="A85" s="33" t="str">
        <f>IFERROR(__xludf.DUMMYFUNCTION("""COMPUTED_VALUE"""),"Host Information")</f>
        <v>Host Information</v>
      </c>
      <c r="B85" s="33" t="str">
        <f>IFERROR(__xludf.DUMMYFUNCTION("""COMPUTED_VALUE"""),"host_health_state")</f>
        <v>host_health_state</v>
      </c>
      <c r="C85" s="33" t="str">
        <f>IFERROR(__xludf.DUMMYFUNCTION("""COMPUTED_VALUE"""),"")</f>
        <v/>
      </c>
      <c r="D85" s="33" t="str">
        <f>IFERROR(__xludf.DUMMYFUNCTION("""COMPUTED_VALUE"""),"")</f>
        <v/>
      </c>
      <c r="E85" s="33" t="str">
        <f>IFERROR(__xludf.DUMMYFUNCTION("""COMPUTED_VALUE"""),"GENEPIO:0001388")</f>
        <v>GENEPIO:0001388</v>
      </c>
      <c r="F85" s="33" t="str">
        <f>IFERROR(__xludf.DUMMYFUNCTION("""COMPUTED_VALUE"""),"Health status of the host at the time of sample collection.")</f>
        <v>Health status of the host at the time of sample collection.</v>
      </c>
      <c r="G85" s="33" t="str">
        <f>IFERROR(__xludf.DUMMYFUNCTION("""COMPUTED_VALUE"""),"If known, select a value from the pick list.")</f>
        <v>If known, select a value from the pick list.</v>
      </c>
      <c r="H85" s="33" t="str">
        <f>IFERROR(__xludf.DUMMYFUNCTION("""COMPUTED_VALUE"""),"Asymptomatic [NCIT:C3833]")</f>
        <v>Asymptomatic [NCIT:C3833]</v>
      </c>
      <c r="I85" s="33"/>
      <c r="J85" s="33"/>
      <c r="K85" s="34" t="s">
        <v>19</v>
      </c>
      <c r="L85" s="34" t="s">
        <v>19</v>
      </c>
      <c r="M85" s="34" t="s">
        <v>19</v>
      </c>
      <c r="O85" s="28" t="str">
        <f>IFERROR(__xludf.DUMMYFUNCTION("""COMPUTED_VALUE"""),"HPAI;HPAI_Host")</f>
        <v>HPAI;HPAI_Host</v>
      </c>
    </row>
    <row r="86">
      <c r="A86" s="33" t="str">
        <f>IFERROR(__xludf.DUMMYFUNCTION("""COMPUTED_VALUE"""),"Host Information")</f>
        <v>Host Information</v>
      </c>
      <c r="B86" s="33" t="str">
        <f>IFERROR(__xludf.DUMMYFUNCTION("""COMPUTED_VALUE"""),"host_health_status_details")</f>
        <v>host_health_status_details</v>
      </c>
      <c r="C86" s="33" t="str">
        <f>IFERROR(__xludf.DUMMYFUNCTION("""COMPUTED_VALUE"""),"")</f>
        <v/>
      </c>
      <c r="D86" s="33" t="str">
        <f>IFERROR(__xludf.DUMMYFUNCTION("""COMPUTED_VALUE"""),"")</f>
        <v/>
      </c>
      <c r="E86" s="33" t="str">
        <f>IFERROR(__xludf.DUMMYFUNCTION("""COMPUTED_VALUE"""),"GENEPIO:0001389")</f>
        <v>GENEPIO:0001389</v>
      </c>
      <c r="F86" s="33" t="str">
        <f>IFERROR(__xludf.DUMMYFUNCTION("""COMPUTED_VALUE"""),"Further details pertaining to the health or disease status of the host at time of collection.")</f>
        <v>Further details pertaining to the health or disease status of the host at time of collection.</v>
      </c>
      <c r="G86" s="33" t="str">
        <f>IFERROR(__xludf.DUMMYFUNCTION("""COMPUTED_VALUE"""),"If known, select a value from the pick list.")</f>
        <v>If known, select a value from the pick list.</v>
      </c>
      <c r="H86" s="33" t="str">
        <f>IFERROR(__xludf.DUMMYFUNCTION("""COMPUTED_VALUE"""),"Hospitalized (ICU) [GENEPIO:0100046]")</f>
        <v>Hospitalized (ICU) [GENEPIO:0100046]</v>
      </c>
      <c r="I86" s="33"/>
      <c r="J86" s="33"/>
      <c r="K86" s="34" t="s">
        <v>19</v>
      </c>
      <c r="L86" s="34" t="s">
        <v>19</v>
      </c>
      <c r="M86" s="34" t="s">
        <v>19</v>
      </c>
      <c r="O86" s="28" t="str">
        <f>IFERROR(__xludf.DUMMYFUNCTION("""COMPUTED_VALUE"""),"HPAI;HPAI_Host")</f>
        <v>HPAI;HPAI_Host</v>
      </c>
    </row>
    <row r="87">
      <c r="A87" s="33" t="str">
        <f>IFERROR(__xludf.DUMMYFUNCTION("""COMPUTED_VALUE"""),"Host Information")</f>
        <v>Host Information</v>
      </c>
      <c r="B87" s="33" t="str">
        <f>IFERROR(__xludf.DUMMYFUNCTION("""COMPUTED_VALUE"""),"host_health_outcome")</f>
        <v>host_health_outcome</v>
      </c>
      <c r="C87" s="33" t="str">
        <f>IFERROR(__xludf.DUMMYFUNCTION("""COMPUTED_VALUE"""),"")</f>
        <v/>
      </c>
      <c r="D87" s="33" t="str">
        <f>IFERROR(__xludf.DUMMYFUNCTION("""COMPUTED_VALUE"""),"")</f>
        <v/>
      </c>
      <c r="E87" s="33" t="str">
        <f>IFERROR(__xludf.DUMMYFUNCTION("""COMPUTED_VALUE"""),"GENEPIO:0001390")</f>
        <v>GENEPIO:0001390</v>
      </c>
      <c r="F87" s="33" t="str">
        <f>IFERROR(__xludf.DUMMYFUNCTION("""COMPUTED_VALUE"""),"Disease outcome in the host.")</f>
        <v>Disease outcome in the host.</v>
      </c>
      <c r="G87" s="33" t="str">
        <f>IFERROR(__xludf.DUMMYFUNCTION("""COMPUTED_VALUE"""),"If known, select a value from the pick list.")</f>
        <v>If known, select a value from the pick list.</v>
      </c>
      <c r="H87" s="33" t="str">
        <f>IFERROR(__xludf.DUMMYFUNCTION("""COMPUTED_VALUE"""),"Recovered [NCIT:C49498]")</f>
        <v>Recovered [NCIT:C49498]</v>
      </c>
      <c r="I87" s="33"/>
      <c r="J87" s="33"/>
      <c r="K87" s="34" t="s">
        <v>19</v>
      </c>
      <c r="L87" s="34" t="s">
        <v>19</v>
      </c>
      <c r="M87" s="34" t="s">
        <v>19</v>
      </c>
      <c r="O87" s="28" t="str">
        <f>IFERROR(__xludf.DUMMYFUNCTION("""COMPUTED_VALUE"""),"HPAI;HPAI_Host")</f>
        <v>HPAI;HPAI_Host</v>
      </c>
    </row>
    <row r="88">
      <c r="A88" s="33" t="str">
        <f>IFERROR(__xludf.DUMMYFUNCTION("""COMPUTED_VALUE"""),"Host Information")</f>
        <v>Host Information</v>
      </c>
      <c r="B88" s="33" t="str">
        <f>IFERROR(__xludf.DUMMYFUNCTION("""COMPUTED_VALUE"""),"host_subject_ID")</f>
        <v>host_subject_ID</v>
      </c>
      <c r="C88" s="33" t="str">
        <f>IFERROR(__xludf.DUMMYFUNCTION("""COMPUTED_VALUE"""),"")</f>
        <v/>
      </c>
      <c r="D88" s="33" t="str">
        <f>IFERROR(__xludf.DUMMYFUNCTION("""COMPUTED_VALUE"""),"")</f>
        <v/>
      </c>
      <c r="E88" s="33" t="str">
        <f>IFERROR(__xludf.DUMMYFUNCTION("""COMPUTED_VALUE"""),"GENEPIO:0001398")</f>
        <v>GENEPIO:0001398</v>
      </c>
      <c r="F88" s="33" t="str">
        <f>IFERROR(__xludf.DUMMYFUNCTION("""COMPUTED_VALUE"""),"A unique identifier by which each host can be referred to e.g. #131")</f>
        <v>A unique identifier by which each host can be referred to e.g. #131</v>
      </c>
      <c r="G88" s="33" t="str">
        <f>IFERROR(__xludf.DUMMYFUNCTION("""COMPUTED_VALUE"""),"Should be a unique, user-defined identifier. This ID can help link laboratory data with epidemiological data, however, is likely sensitive information. Consult the data steward.")</f>
        <v>Should be a unique, user-defined identifier. This ID can help link laboratory data with epidemiological data, however, is likely sensitive information. Consult the data steward.</v>
      </c>
      <c r="H88" s="33" t="str">
        <f>IFERROR(__xludf.DUMMYFUNCTION("""COMPUTED_VALUE"""),"BCxy123")</f>
        <v>BCxy123</v>
      </c>
      <c r="I88" s="33"/>
      <c r="J88" s="33"/>
      <c r="K88" s="34" t="s">
        <v>19</v>
      </c>
      <c r="L88" s="34" t="s">
        <v>19</v>
      </c>
      <c r="M88" s="34" t="s">
        <v>19</v>
      </c>
      <c r="O88" s="28" t="str">
        <f>IFERROR(__xludf.DUMMYFUNCTION("""COMPUTED_VALUE"""),"HPAI;HPAI_Host")</f>
        <v>HPAI;HPAI_Host</v>
      </c>
    </row>
    <row r="89">
      <c r="A89" s="33" t="str">
        <f>IFERROR(__xludf.DUMMYFUNCTION("""COMPUTED_VALUE"""),"Host Information")</f>
        <v>Host Information</v>
      </c>
      <c r="B89" s="33" t="str">
        <f>IFERROR(__xludf.DUMMYFUNCTION("""COMPUTED_VALUE"""),"case_ID")</f>
        <v>case_ID</v>
      </c>
      <c r="C89" s="33" t="str">
        <f>IFERROR(__xludf.DUMMYFUNCTION("""COMPUTED_VALUE"""),"")</f>
        <v/>
      </c>
      <c r="D89" s="33" t="str">
        <f>IFERROR(__xludf.DUMMYFUNCTION("""COMPUTED_VALUE"""),"")</f>
        <v/>
      </c>
      <c r="E89" s="33" t="str">
        <f>IFERROR(__xludf.DUMMYFUNCTION("""COMPUTED_VALUE"""),"GENEPIO:0100281")</f>
        <v>GENEPIO:0100281</v>
      </c>
      <c r="F89" s="33" t="str">
        <f>IFERROR(__xludf.DUMMYFUNCTION("""COMPUTED_VALUE"""),"The identifier used to specify an epidemiologically detected case of disease.")</f>
        <v>The identifier used to specify an epidemiologically detected case of disease.</v>
      </c>
      <c r="G89" s="33" t="str">
        <f>IFERROR(__xludf.DUMMYFUNCTION("""COMPUTED_VALUE"""),"Provide the case identifer. The case ID greatly facilitates linkage between laboratory and epidemiological data. The case ID may be considered identifiable information. Consult the data steward before sharing.")</f>
        <v>Provide the case identifer. The case ID greatly facilitates linkage between laboratory and epidemiological data. The case ID may be considered identifiable information. Consult the data steward before sharing.</v>
      </c>
      <c r="H89" s="33" t="str">
        <f>IFERROR(__xludf.DUMMYFUNCTION("""COMPUTED_VALUE"""),"ABCD1234")</f>
        <v>ABCD1234</v>
      </c>
      <c r="I89" s="33"/>
      <c r="J89" s="33"/>
      <c r="K89" s="34" t="s">
        <v>19</v>
      </c>
      <c r="L89" s="34" t="s">
        <v>19</v>
      </c>
      <c r="M89" s="34" t="s">
        <v>19</v>
      </c>
      <c r="O89" s="28" t="str">
        <f>IFERROR(__xludf.DUMMYFUNCTION("""COMPUTED_VALUE"""),"HPAI;HPAI_Host")</f>
        <v>HPAI;HPAI_Host</v>
      </c>
    </row>
    <row r="90">
      <c r="A90" s="33" t="str">
        <f>IFERROR(__xludf.DUMMYFUNCTION("""COMPUTED_VALUE"""),"Host Information")</f>
        <v>Host Information</v>
      </c>
      <c r="B90" s="33" t="str">
        <f>IFERROR(__xludf.DUMMYFUNCTION("""COMPUTED_VALUE"""),"symptom_onset_date")</f>
        <v>symptom_onset_date</v>
      </c>
      <c r="C90" s="33" t="str">
        <f>IFERROR(__xludf.DUMMYFUNCTION("""COMPUTED_VALUE"""),"")</f>
        <v/>
      </c>
      <c r="D90" s="33" t="str">
        <f>IFERROR(__xludf.DUMMYFUNCTION("""COMPUTED_VALUE"""),"")</f>
        <v/>
      </c>
      <c r="E90" s="33" t="str">
        <f>IFERROR(__xludf.DUMMYFUNCTION("""COMPUTED_VALUE"""),"GENEPIO:0001399")</f>
        <v>GENEPIO:0001399</v>
      </c>
      <c r="F90" s="33" t="str">
        <f>IFERROR(__xludf.DUMMYFUNCTION("""COMPUTED_VALUE"""),"The date on which the symptoms began or were first noted.")</f>
        <v>The date on which the symptoms began or were first noted.</v>
      </c>
      <c r="G90" s="33" t="str">
        <f>IFERROR(__xludf.DUMMYFUNCTION("""COMPUTED_VALUE"""),"If known, provide the symptom onset date in ISO 8601 standard format ""YYYY-MM-DD"".")</f>
        <v>If known, provide the symptom onset date in ISO 8601 standard format "YYYY-MM-DD".</v>
      </c>
      <c r="H90" s="38">
        <f>IFERROR(__xludf.DUMMYFUNCTION("""COMPUTED_VALUE"""),43906.0)</f>
        <v>43906</v>
      </c>
      <c r="I90" s="33"/>
      <c r="J90" s="33"/>
      <c r="K90" s="34" t="s">
        <v>19</v>
      </c>
      <c r="L90" s="34" t="s">
        <v>19</v>
      </c>
      <c r="M90" s="34" t="s">
        <v>19</v>
      </c>
      <c r="O90" s="28" t="str">
        <f>IFERROR(__xludf.DUMMYFUNCTION("""COMPUTED_VALUE"""),"HPAI;HPAI_Host")</f>
        <v>HPAI;HPAI_Host</v>
      </c>
    </row>
    <row r="91">
      <c r="A91" s="33" t="str">
        <f>IFERROR(__xludf.DUMMYFUNCTION("""COMPUTED_VALUE"""),"Host Information")</f>
        <v>Host Information</v>
      </c>
      <c r="B91" s="33" t="str">
        <f>IFERROR(__xludf.DUMMYFUNCTION("""COMPUTED_VALUE"""),"signs_and_symptoms")</f>
        <v>signs_and_symptoms</v>
      </c>
      <c r="C91" s="33" t="str">
        <f>IFERROR(__xludf.DUMMYFUNCTION("""COMPUTED_VALUE"""),"")</f>
        <v/>
      </c>
      <c r="D91" s="33" t="b">
        <f>IFERROR(__xludf.DUMMYFUNCTION("""COMPUTED_VALUE"""),TRUE)</f>
        <v>1</v>
      </c>
      <c r="E91" s="33" t="str">
        <f>IFERROR(__xludf.DUMMYFUNCTION("""COMPUTED_VALUE"""),"GENEPIO:0001400")</f>
        <v>GENEPIO:0001400</v>
      </c>
      <c r="F91" s="33" t="str">
        <f>IFERROR(__xludf.DUMMYFUNCTION("""COMPUTED_VALUE"""),"A perceived change in function or sensation, (loss, disturbance or appearance) indicative of a disease, reported by a patient.")</f>
        <v>A perceived change in function or sensation, (loss, disturbance or appearance) indicative of a disease, reported by a patient.</v>
      </c>
      <c r="G91" s="33" t="str">
        <f>IFERROR(__xludf.DUMMYFUNCTION("""COMPUTED_VALUE"""),"Select all of the symptoms experienced by the host from the pick list.")</f>
        <v>Select all of the symptoms experienced by the host from the pick list.</v>
      </c>
      <c r="H91" s="33" t="str">
        <f>IFERROR(__xludf.DUMMYFUNCTION("""COMPUTED_VALUE"""),"Cough [HP:0012735], Fever [HP:0001945],  Rigors (fever shakes) [HP:0025145]")</f>
        <v>Cough [HP:0012735], Fever [HP:0001945],  Rigors (fever shakes) [HP:0025145]</v>
      </c>
      <c r="I91" s="33"/>
      <c r="J91" s="33"/>
      <c r="K91" s="34" t="s">
        <v>19</v>
      </c>
      <c r="L91" s="34" t="s">
        <v>19</v>
      </c>
      <c r="M91" s="34" t="s">
        <v>19</v>
      </c>
      <c r="O91" s="28" t="str">
        <f>IFERROR(__xludf.DUMMYFUNCTION("""COMPUTED_VALUE"""),"HPAI;HPAI_Host")</f>
        <v>HPAI;HPAI_Host</v>
      </c>
    </row>
    <row r="92">
      <c r="A92" s="33" t="str">
        <f>IFERROR(__xludf.DUMMYFUNCTION("""COMPUTED_VALUE"""),"Host Information")</f>
        <v>Host Information</v>
      </c>
      <c r="B92" s="33" t="str">
        <f>IFERROR(__xludf.DUMMYFUNCTION("""COMPUTED_VALUE"""),"pre-existing_conditions_and_risk_factors")</f>
        <v>pre-existing_conditions_and_risk_factors</v>
      </c>
      <c r="C92" s="33" t="str">
        <f>IFERROR(__xludf.DUMMYFUNCTION("""COMPUTED_VALUE"""),"")</f>
        <v/>
      </c>
      <c r="D92" s="33" t="b">
        <f>IFERROR(__xludf.DUMMYFUNCTION("""COMPUTED_VALUE"""),TRUE)</f>
        <v>1</v>
      </c>
      <c r="E92" s="33" t="str">
        <f>IFERROR(__xludf.DUMMYFUNCTION("""COMPUTED_VALUE"""),"GENEPIO:0001401")</f>
        <v>GENEPIO:0001401</v>
      </c>
      <c r="F92" s="33" t="str">
        <f>IFERROR(__xludf.DUMMYFUNCTION("""COMPUTED_VALUE"""),"Patient pre-existing conditions and risk factors.
Pre-existing condition: A medical condition that existed prior to the current infection.
Risk Factor: A variable associated with an increased risk of disease or infection.")</f>
        <v>Patient pre-existing conditions and risk factors.
Pre-existing condition: A medical condition that existed prior to the current infection.
Risk Factor: A variable associated with an increased risk of disease or infection.</v>
      </c>
      <c r="G92" s="33" t="str">
        <f>IFERROR(__xludf.DUMMYFUNCTION("""COMPUTED_VALUE"""),"Select all of the pre-existing conditions and risk factors experienced by the host from the pick list. If the desired term is missing, contact the curation team.")</f>
        <v>Select all of the pre-existing conditions and risk factors experienced by the host from the pick list. If the desired term is missing, contact the curation team.</v>
      </c>
      <c r="H92" s="33" t="str">
        <f>IFERROR(__xludf.DUMMYFUNCTION("""COMPUTED_VALUE"""),"Asthma [HP:0002099]")</f>
        <v>Asthma [HP:0002099]</v>
      </c>
      <c r="I92" s="33"/>
      <c r="J92" s="33"/>
      <c r="K92" s="34" t="s">
        <v>19</v>
      </c>
      <c r="L92" s="34" t="s">
        <v>19</v>
      </c>
      <c r="M92" s="34" t="s">
        <v>19</v>
      </c>
      <c r="O92" s="28" t="str">
        <f>IFERROR(__xludf.DUMMYFUNCTION("""COMPUTED_VALUE"""),"HPAI;HPAI_Host")</f>
        <v>HPAI;HPAI_Host</v>
      </c>
    </row>
    <row r="93">
      <c r="A93" s="33" t="str">
        <f>IFERROR(__xludf.DUMMYFUNCTION("""COMPUTED_VALUE"""),"Host Information")</f>
        <v>Host Information</v>
      </c>
      <c r="B93" s="33" t="str">
        <f>IFERROR(__xludf.DUMMYFUNCTION("""COMPUTED_VALUE"""),"complications")</f>
        <v>complications</v>
      </c>
      <c r="C93" s="33" t="str">
        <f>IFERROR(__xludf.DUMMYFUNCTION("""COMPUTED_VALUE"""),"")</f>
        <v/>
      </c>
      <c r="D93" s="33" t="b">
        <f>IFERROR(__xludf.DUMMYFUNCTION("""COMPUTED_VALUE"""),TRUE)</f>
        <v>1</v>
      </c>
      <c r="E93" s="33" t="str">
        <f>IFERROR(__xludf.DUMMYFUNCTION("""COMPUTED_VALUE"""),"GENEPIO:0001402")</f>
        <v>GENEPIO:0001402</v>
      </c>
      <c r="F93" s="33" t="str">
        <f>IFERROR(__xludf.DUMMYFUNCTION("""COMPUTED_VALUE"""),"Patient medical complications that are believed to have occurred as a result of host disease.")</f>
        <v>Patient medical complications that are believed to have occurred as a result of host disease.</v>
      </c>
      <c r="G93" s="33" t="str">
        <f>IFERROR(__xludf.DUMMYFUNCTION("""COMPUTED_VALUE"""),"Select all of the complications experienced by the host from the pick list.")</f>
        <v>Select all of the complications experienced by the host from the pick list.</v>
      </c>
      <c r="H93" s="33" t="str">
        <f>IFERROR(__xludf.DUMMYFUNCTION("""COMPUTED_VALUE"""),"Acute respiratory failure [MONDO:0001208]")</f>
        <v>Acute respiratory failure [MONDO:0001208]</v>
      </c>
      <c r="I93" s="33"/>
      <c r="J93" s="33"/>
      <c r="K93" s="34" t="s">
        <v>19</v>
      </c>
      <c r="L93" s="34" t="s">
        <v>19</v>
      </c>
      <c r="M93" s="34" t="s">
        <v>19</v>
      </c>
      <c r="O93" s="28" t="str">
        <f>IFERROR(__xludf.DUMMYFUNCTION("""COMPUTED_VALUE"""),"HPAI;HPAI_Host")</f>
        <v>HPAI;HPAI_Host</v>
      </c>
    </row>
    <row r="94">
      <c r="A94" s="33"/>
      <c r="B94" s="33" t="str">
        <f>IFERROR(__xludf.DUMMYFUNCTION("""COMPUTED_VALUE"""),"Host exposure information")</f>
        <v>Host exposure information</v>
      </c>
      <c r="C94" s="33" t="str">
        <f>IFERROR(__xludf.DUMMYFUNCTION("""COMPUTED_VALUE"""),"")</f>
        <v/>
      </c>
      <c r="D94" s="33" t="str">
        <f>IFERROR(__xludf.DUMMYFUNCTION("""COMPUTED_VALUE"""),"")</f>
        <v/>
      </c>
      <c r="E94" s="33" t="str">
        <f>IFERROR(__xludf.DUMMYFUNCTION("""COMPUTED_VALUE"""),"GENEPIO:0001409")</f>
        <v>GENEPIO:0001409</v>
      </c>
      <c r="F94" s="33"/>
      <c r="G94" s="33"/>
      <c r="H94" s="33"/>
      <c r="I94" s="33"/>
      <c r="J94" s="33"/>
      <c r="K94" s="34"/>
      <c r="L94" s="34"/>
      <c r="M94" s="34"/>
      <c r="N94" s="28"/>
      <c r="O94" s="28" t="str">
        <f>IFERROR(__xludf.DUMMYFUNCTION("""COMPUTED_VALUE"""),"HPAI;HPAI_Host")</f>
        <v>HPAI;HPAI_Host</v>
      </c>
    </row>
    <row r="95">
      <c r="A95" s="33" t="str">
        <f>IFERROR(__xludf.DUMMYFUNCTION("""COMPUTED_VALUE"""),"Host exposure information")</f>
        <v>Host exposure information</v>
      </c>
      <c r="B95" s="33" t="str">
        <f>IFERROR(__xludf.DUMMYFUNCTION("""COMPUTED_VALUE"""),"exposure event")</f>
        <v>exposure event</v>
      </c>
      <c r="C95" s="33" t="str">
        <f>IFERROR(__xludf.DUMMYFUNCTION("""COMPUTED_VALUE"""),"")</f>
        <v/>
      </c>
      <c r="D95" s="33" t="str">
        <f>IFERROR(__xludf.DUMMYFUNCTION("""COMPUTED_VALUE"""),"")</f>
        <v/>
      </c>
      <c r="E95" s="33" t="str">
        <f>IFERROR(__xludf.DUMMYFUNCTION("""COMPUTED_VALUE"""),"GENEPIO:0001417")</f>
        <v>GENEPIO:0001417</v>
      </c>
      <c r="F95" s="33" t="str">
        <f>IFERROR(__xludf.DUMMYFUNCTION("""COMPUTED_VALUE"""),"Event leading to exposure.")</f>
        <v>Event leading to exposure.</v>
      </c>
      <c r="G95" s="33" t="str">
        <f>IFERROR(__xludf.DUMMYFUNCTION("""COMPUTED_VALUE"""),"Select an exposure event from the pick list provided in the template. If the desired term is missing, contact the curation team.")</f>
        <v>Select an exposure event from the pick list provided in the template. If the desired term is missing, contact the curation team.</v>
      </c>
      <c r="H95" s="33" t="str">
        <f>IFERROR(__xludf.DUMMYFUNCTION("""COMPUTED_VALUE"""),"Social Gathering")</f>
        <v>Social Gathering</v>
      </c>
      <c r="I95" s="33"/>
      <c r="J95" s="33"/>
      <c r="K95" s="34" t="s">
        <v>19</v>
      </c>
      <c r="L95" s="34" t="s">
        <v>19</v>
      </c>
      <c r="M95" s="34" t="s">
        <v>19</v>
      </c>
      <c r="O95" s="28" t="str">
        <f>IFERROR(__xludf.DUMMYFUNCTION("""COMPUTED_VALUE"""),"HPAI;HPAI_Host")</f>
        <v>HPAI;HPAI_Host</v>
      </c>
    </row>
    <row r="96">
      <c r="A96" s="33" t="str">
        <f>IFERROR(__xludf.DUMMYFUNCTION("""COMPUTED_VALUE"""),"Host exposure information")</f>
        <v>Host exposure information</v>
      </c>
      <c r="B96" s="33" t="str">
        <f>IFERROR(__xludf.DUMMYFUNCTION("""COMPUTED_VALUE"""),"exposure contact level")</f>
        <v>exposure contact level</v>
      </c>
      <c r="C96" s="33" t="str">
        <f>IFERROR(__xludf.DUMMYFUNCTION("""COMPUTED_VALUE"""),"")</f>
        <v/>
      </c>
      <c r="D96" s="33" t="str">
        <f>IFERROR(__xludf.DUMMYFUNCTION("""COMPUTED_VALUE"""),"")</f>
        <v/>
      </c>
      <c r="E96" s="33" t="str">
        <f>IFERROR(__xludf.DUMMYFUNCTION("""COMPUTED_VALUE"""),"GENEPIO:0001418")</f>
        <v>GENEPIO:0001418</v>
      </c>
      <c r="F96" s="33" t="str">
        <f>IFERROR(__xludf.DUMMYFUNCTION("""COMPUTED_VALUE"""),"The exposure transmission contact type.")</f>
        <v>The exposure transmission contact type.</v>
      </c>
      <c r="G96" s="33" t="str">
        <f>IFERROR(__xludf.DUMMYFUNCTION("""COMPUTED_VALUE"""),"Select direct or indirect exposure from the pick-list.")</f>
        <v>Select direct or indirect exposure from the pick-list.</v>
      </c>
      <c r="H96" s="33" t="str">
        <f>IFERROR(__xludf.DUMMYFUNCTION("""COMPUTED_VALUE"""),"Direct")</f>
        <v>Direct</v>
      </c>
      <c r="I96" s="33"/>
      <c r="J96" s="33"/>
      <c r="K96" s="34" t="s">
        <v>19</v>
      </c>
      <c r="L96" s="34" t="s">
        <v>19</v>
      </c>
      <c r="M96" s="34" t="s">
        <v>19</v>
      </c>
      <c r="O96" s="28" t="str">
        <f>IFERROR(__xludf.DUMMYFUNCTION("""COMPUTED_VALUE"""),"HPAI;HPAI_Host")</f>
        <v>HPAI;HPAI_Host</v>
      </c>
    </row>
    <row r="97">
      <c r="A97" s="33" t="str">
        <f>IFERROR(__xludf.DUMMYFUNCTION("""COMPUTED_VALUE"""),"Host exposure information")</f>
        <v>Host exposure information</v>
      </c>
      <c r="B97" s="33" t="str">
        <f>IFERROR(__xludf.DUMMYFUNCTION("""COMPUTED_VALUE"""),"host role")</f>
        <v>host role</v>
      </c>
      <c r="C97" s="33" t="str">
        <f>IFERROR(__xludf.DUMMYFUNCTION("""COMPUTED_VALUE"""),"")</f>
        <v/>
      </c>
      <c r="D97" s="33" t="str">
        <f>IFERROR(__xludf.DUMMYFUNCTION("""COMPUTED_VALUE"""),"")</f>
        <v/>
      </c>
      <c r="E97" s="33" t="str">
        <f>IFERROR(__xludf.DUMMYFUNCTION("""COMPUTED_VALUE"""),"GENEPIO:0001419")</f>
        <v>GENEPIO:0001419</v>
      </c>
      <c r="F97" s="33" t="str">
        <f>IFERROR(__xludf.DUMMYFUNCTION("""COMPUTED_VALUE"""),"The role of the host in relation to the exposure setting.")</f>
        <v>The role of the host in relation to the exposure setting.</v>
      </c>
      <c r="G97" s="33" t="str">
        <f>IFERROR(__xludf.DUMMYFUNCTION("""COMPUTED_VALUE"""),"Select the host's personal role(s) from the pick list provided in the template. If the desired term is missing, contact the curation team.")</f>
        <v>Select the host's personal role(s) from the pick list provided in the template. If the desired term is missing, contact the curation team.</v>
      </c>
      <c r="H97" s="33" t="str">
        <f>IFERROR(__xludf.DUMMYFUNCTION("""COMPUTED_VALUE"""),"Inpatient")</f>
        <v>Inpatient</v>
      </c>
      <c r="I97" s="33"/>
      <c r="J97" s="33"/>
      <c r="K97" s="34" t="s">
        <v>19</v>
      </c>
      <c r="L97" s="34" t="s">
        <v>19</v>
      </c>
      <c r="M97" s="34" t="s">
        <v>19</v>
      </c>
      <c r="O97" s="28" t="str">
        <f>IFERROR(__xludf.DUMMYFUNCTION("""COMPUTED_VALUE"""),"HPAI;HPAI_Host")</f>
        <v>HPAI;HPAI_Host</v>
      </c>
    </row>
    <row r="98">
      <c r="A98" s="33" t="str">
        <f>IFERROR(__xludf.DUMMYFUNCTION("""COMPUTED_VALUE"""),"Host exposure information")</f>
        <v>Host exposure information</v>
      </c>
      <c r="B98" s="33" t="str">
        <f>IFERROR(__xludf.DUMMYFUNCTION("""COMPUTED_VALUE"""),"exposure setting")</f>
        <v>exposure setting</v>
      </c>
      <c r="C98" s="33" t="str">
        <f>IFERROR(__xludf.DUMMYFUNCTION("""COMPUTED_VALUE"""),"")</f>
        <v/>
      </c>
      <c r="D98" s="33" t="str">
        <f>IFERROR(__xludf.DUMMYFUNCTION("""COMPUTED_VALUE"""),"")</f>
        <v/>
      </c>
      <c r="E98" s="33" t="str">
        <f>IFERROR(__xludf.DUMMYFUNCTION("""COMPUTED_VALUE"""),"GENEPIO:0001428")</f>
        <v>GENEPIO:0001428</v>
      </c>
      <c r="F98" s="33" t="str">
        <f>IFERROR(__xludf.DUMMYFUNCTION("""COMPUTED_VALUE"""),"The setting leading to exposure.")</f>
        <v>The setting leading to exposure.</v>
      </c>
      <c r="G98" s="33" t="str">
        <f>IFERROR(__xludf.DUMMYFUNCTION("""COMPUTED_VALUE"""),"Select the host exposure setting(s) from the pick list provided in the template. If a desired term is missing, contact the curation team.")</f>
        <v>Select the host exposure setting(s) from the pick list provided in the template. If a desired term is missing, contact the curation team.</v>
      </c>
      <c r="H98" s="33" t="str">
        <f>IFERROR(__xludf.DUMMYFUNCTION("""COMPUTED_VALUE"""),"Healthcare Setting")</f>
        <v>Healthcare Setting</v>
      </c>
      <c r="I98" s="33"/>
      <c r="J98" s="33"/>
      <c r="K98" s="34" t="s">
        <v>19</v>
      </c>
      <c r="L98" s="34" t="s">
        <v>19</v>
      </c>
      <c r="M98" s="34" t="s">
        <v>19</v>
      </c>
      <c r="O98" s="28" t="str">
        <f>IFERROR(__xludf.DUMMYFUNCTION("""COMPUTED_VALUE"""),"HPAI;HPAI_Host")</f>
        <v>HPAI;HPAI_Host</v>
      </c>
    </row>
    <row r="99">
      <c r="A99" s="33" t="str">
        <f>IFERROR(__xludf.DUMMYFUNCTION("""COMPUTED_VALUE"""),"Host exposure information")</f>
        <v>Host exposure information</v>
      </c>
      <c r="B99" s="33" t="str">
        <f>IFERROR(__xludf.DUMMYFUNCTION("""COMPUTED_VALUE"""),"exposure details")</f>
        <v>exposure details</v>
      </c>
      <c r="C99" s="33" t="str">
        <f>IFERROR(__xludf.DUMMYFUNCTION("""COMPUTED_VALUE"""),"")</f>
        <v/>
      </c>
      <c r="D99" s="33" t="str">
        <f>IFERROR(__xludf.DUMMYFUNCTION("""COMPUTED_VALUE"""),"")</f>
        <v/>
      </c>
      <c r="E99" s="33" t="str">
        <f>IFERROR(__xludf.DUMMYFUNCTION("""COMPUTED_VALUE"""),"GENEPIO:0001431")</f>
        <v>GENEPIO:0001431</v>
      </c>
      <c r="F99" s="33" t="str">
        <f>IFERROR(__xludf.DUMMYFUNCTION("""COMPUTED_VALUE"""),"Additional host exposure information.")</f>
        <v>Additional host exposure information.</v>
      </c>
      <c r="G99" s="33" t="str">
        <f>IFERROR(__xludf.DUMMYFUNCTION("""COMPUTED_VALUE"""),"Free text description of the exposure.")</f>
        <v>Free text description of the exposure.</v>
      </c>
      <c r="H99" s="33" t="str">
        <f>IFERROR(__xludf.DUMMYFUNCTION("""COMPUTED_VALUE"""),"Case infected family at home")</f>
        <v>Case infected family at home</v>
      </c>
      <c r="I99" s="33"/>
      <c r="J99" s="33"/>
      <c r="K99" s="34" t="s">
        <v>19</v>
      </c>
      <c r="L99" s="34" t="s">
        <v>19</v>
      </c>
      <c r="M99" s="34" t="s">
        <v>19</v>
      </c>
      <c r="O99" s="28" t="str">
        <f>IFERROR(__xludf.DUMMYFUNCTION("""COMPUTED_VALUE"""),"HPAI;HPAI_Host")</f>
        <v>HPAI;HPAI_Host</v>
      </c>
    </row>
    <row r="100">
      <c r="A100" s="33"/>
      <c r="B100" s="33" t="str">
        <f>IFERROR(__xludf.DUMMYFUNCTION("""COMPUTED_VALUE"""),"Host vaccination information")</f>
        <v>Host vaccination information</v>
      </c>
      <c r="C100" s="33" t="str">
        <f>IFERROR(__xludf.DUMMYFUNCTION("""COMPUTED_VALUE"""),"")</f>
        <v/>
      </c>
      <c r="D100" s="33" t="str">
        <f>IFERROR(__xludf.DUMMYFUNCTION("""COMPUTED_VALUE"""),"")</f>
        <v/>
      </c>
      <c r="E100" s="33" t="str">
        <f>IFERROR(__xludf.DUMMYFUNCTION("""COMPUTED_VALUE"""),"GENEPIO:0001403")</f>
        <v>GENEPIO:0001403</v>
      </c>
      <c r="F100" s="33"/>
      <c r="G100" s="33"/>
      <c r="H100" s="33"/>
      <c r="I100" s="33"/>
      <c r="J100" s="33"/>
      <c r="K100" s="34"/>
      <c r="L100" s="34"/>
      <c r="M100" s="34"/>
      <c r="N100" s="28"/>
      <c r="O100" s="28" t="str">
        <f>IFERROR(__xludf.DUMMYFUNCTION("""COMPUTED_VALUE"""),"HPAI;HPAI_Host")</f>
        <v>HPAI;HPAI_Host</v>
      </c>
    </row>
    <row r="101">
      <c r="A101" s="33" t="str">
        <f>IFERROR(__xludf.DUMMYFUNCTION("""COMPUTED_VALUE"""),"Host vaccination information")</f>
        <v>Host vaccination information</v>
      </c>
      <c r="B101" s="33" t="str">
        <f>IFERROR(__xludf.DUMMYFUNCTION("""COMPUTED_VALUE"""),"host_vaccination_status")</f>
        <v>host_vaccination_status</v>
      </c>
      <c r="C101" s="33" t="str">
        <f>IFERROR(__xludf.DUMMYFUNCTION("""COMPUTED_VALUE"""),"")</f>
        <v/>
      </c>
      <c r="D101" s="33" t="str">
        <f>IFERROR(__xludf.DUMMYFUNCTION("""COMPUTED_VALUE"""),"")</f>
        <v/>
      </c>
      <c r="E101" s="35" t="str">
        <f>IFERROR(__xludf.DUMMYFUNCTION("""COMPUTED_VALUE"""),"GENEPIO:0001404")</f>
        <v>GENEPIO:0001404</v>
      </c>
      <c r="F101" s="33" t="str">
        <f>IFERROR(__xludf.DUMMYFUNCTION("""COMPUTED_VALUE"""),"The vaccination status of the host (fully vaccinated, partially vaccinated, or not vaccinated).")</f>
        <v>The vaccination status of the host (fully vaccinated, partially vaccinated, or not vaccinated).</v>
      </c>
      <c r="G101" s="33" t="str">
        <f>IFERROR(__xludf.DUMMYFUNCTION("""COMPUTED_VALUE"""),"Select the vaccination status of the host from the pick list.")</f>
        <v>Select the vaccination status of the host from the pick list.</v>
      </c>
      <c r="H101" s="33" t="str">
        <f>IFERROR(__xludf.DUMMYFUNCTION("""COMPUTED_VALUE"""),"Fully Vaccinated [GENEPIO:0100100]")</f>
        <v>Fully Vaccinated [GENEPIO:0100100]</v>
      </c>
      <c r="I101" s="33"/>
      <c r="J101" s="33"/>
      <c r="K101" s="34" t="s">
        <v>19</v>
      </c>
      <c r="L101" s="34" t="s">
        <v>19</v>
      </c>
      <c r="M101" s="34" t="s">
        <v>19</v>
      </c>
      <c r="O101" s="28" t="str">
        <f>IFERROR(__xludf.DUMMYFUNCTION("""COMPUTED_VALUE"""),"HPAI;HPAI_Host")</f>
        <v>HPAI;HPAI_Host</v>
      </c>
    </row>
    <row r="102">
      <c r="A102" s="33" t="str">
        <f>IFERROR(__xludf.DUMMYFUNCTION("""COMPUTED_VALUE"""),"Host vaccination information")</f>
        <v>Host vaccination information</v>
      </c>
      <c r="B102" s="33" t="str">
        <f>IFERROR(__xludf.DUMMYFUNCTION("""COMPUTED_VALUE"""),"number_of_vaccine_doses_received")</f>
        <v>number_of_vaccine_doses_received</v>
      </c>
      <c r="C102" s="33" t="str">
        <f>IFERROR(__xludf.DUMMYFUNCTION("""COMPUTED_VALUE"""),"")</f>
        <v/>
      </c>
      <c r="D102" s="33" t="str">
        <f>IFERROR(__xludf.DUMMYFUNCTION("""COMPUTED_VALUE"""),"")</f>
        <v/>
      </c>
      <c r="E102" s="35" t="str">
        <f>IFERROR(__xludf.DUMMYFUNCTION("""COMPUTED_VALUE"""),"GENEPIO:0001406")</f>
        <v>GENEPIO:0001406</v>
      </c>
      <c r="F102" s="33" t="str">
        <f>IFERROR(__xludf.DUMMYFUNCTION("""COMPUTED_VALUE"""),"The number of doses of the vaccine recived by the host.")</f>
        <v>The number of doses of the vaccine recived by the host.</v>
      </c>
      <c r="G102" s="33" t="str">
        <f>IFERROR(__xludf.DUMMYFUNCTION("""COMPUTED_VALUE"""),"Record how many doses of the vaccine the host has received.")</f>
        <v>Record how many doses of the vaccine the host has received.</v>
      </c>
      <c r="H102" s="33">
        <f>IFERROR(__xludf.DUMMYFUNCTION("""COMPUTED_VALUE"""),2.0)</f>
        <v>2</v>
      </c>
      <c r="I102" s="33"/>
      <c r="J102" s="33"/>
      <c r="K102" s="34" t="s">
        <v>19</v>
      </c>
      <c r="L102" s="34" t="s">
        <v>19</v>
      </c>
      <c r="M102" s="34" t="s">
        <v>19</v>
      </c>
      <c r="O102" s="28" t="str">
        <f>IFERROR(__xludf.DUMMYFUNCTION("""COMPUTED_VALUE"""),"HPAI;HPAI_Host")</f>
        <v>HPAI;HPAI_Host</v>
      </c>
    </row>
    <row r="103">
      <c r="A103" s="33" t="str">
        <f>IFERROR(__xludf.DUMMYFUNCTION("""COMPUTED_VALUE"""),"Host vaccination information")</f>
        <v>Host vaccination information</v>
      </c>
      <c r="B103" s="33" t="str">
        <f>IFERROR(__xludf.DUMMYFUNCTION("""COMPUTED_VALUE"""),"vaccination_dose_1_vaccine_name")</f>
        <v>vaccination_dose_1_vaccine_name</v>
      </c>
      <c r="C103" s="33" t="str">
        <f>IFERROR(__xludf.DUMMYFUNCTION("""COMPUTED_VALUE"""),"")</f>
        <v/>
      </c>
      <c r="D103" s="33" t="str">
        <f>IFERROR(__xludf.DUMMYFUNCTION("""COMPUTED_VALUE"""),"")</f>
        <v/>
      </c>
      <c r="E103" s="35" t="str">
        <f>IFERROR(__xludf.DUMMYFUNCTION("""COMPUTED_VALUE"""),"GENEPIO:0100313")</f>
        <v>GENEPIO:0100313</v>
      </c>
      <c r="F103" s="33" t="str">
        <f>IFERROR(__xludf.DUMMYFUNCTION("""COMPUTED_VALUE"""),"The name of the vaccine administered as the first dose of a vaccine regimen.")</f>
        <v>The name of the vaccine administered as the first dose of a vaccine regimen.</v>
      </c>
      <c r="G103" s="33" t="str">
        <f>IFERROR(__xludf.DUMMYFUNCTION("""COMPUTED_VALUE"""),"Provide the name and the corresponding manufacturer of the COVID-19 vaccine administered as the first dose by selecting a value from the pick list")</f>
        <v>Provide the name and the corresponding manufacturer of the COVID-19 vaccine administered as the first dose by selecting a value from the pick list</v>
      </c>
      <c r="H103" s="33" t="str">
        <f>IFERROR(__xludf.DUMMYFUNCTION("""COMPUTED_VALUE"""),"Pfizer-BioNTech (Comirnaty)")</f>
        <v>Pfizer-BioNTech (Comirnaty)</v>
      </c>
      <c r="I103" s="33"/>
      <c r="J103" s="33"/>
      <c r="K103" s="34" t="s">
        <v>19</v>
      </c>
      <c r="L103" s="34" t="s">
        <v>19</v>
      </c>
      <c r="M103" s="34" t="s">
        <v>19</v>
      </c>
      <c r="O103" s="28" t="str">
        <f>IFERROR(__xludf.DUMMYFUNCTION("""COMPUTED_VALUE"""),"HPAI;HPAI_Host")</f>
        <v>HPAI;HPAI_Host</v>
      </c>
    </row>
    <row r="104">
      <c r="A104" s="33" t="str">
        <f>IFERROR(__xludf.DUMMYFUNCTION("""COMPUTED_VALUE"""),"Host vaccination information")</f>
        <v>Host vaccination information</v>
      </c>
      <c r="B104" s="33" t="str">
        <f>IFERROR(__xludf.DUMMYFUNCTION("""COMPUTED_VALUE"""),"vaccination_dose_1_vaccination_date")</f>
        <v>vaccination_dose_1_vaccination_date</v>
      </c>
      <c r="C104" s="33" t="str">
        <f>IFERROR(__xludf.DUMMYFUNCTION("""COMPUTED_VALUE"""),"")</f>
        <v/>
      </c>
      <c r="D104" s="33" t="str">
        <f>IFERROR(__xludf.DUMMYFUNCTION("""COMPUTED_VALUE"""),"")</f>
        <v/>
      </c>
      <c r="E104" s="33" t="str">
        <f>IFERROR(__xludf.DUMMYFUNCTION("""COMPUTED_VALUE"""),"GENEPIO:0100314")</f>
        <v>GENEPIO:0100314</v>
      </c>
      <c r="F104" s="33" t="str">
        <f>IFERROR(__xludf.DUMMYFUNCTION("""COMPUTED_VALUE"""),"The date the first dose of a vaccine was administered.")</f>
        <v>The date the first dose of a vaccine was administered.</v>
      </c>
      <c r="G104" s="33" t="str">
        <f>IFERROR(__xludf.DUMMYFUNCTION("""COMPUTED_VALUE"""),"Provide the date the first dose of COVID-19 vaccine was administered. The date should be provided in ISO 8601 standard format ""YYYY-MM-DD"".")</f>
        <v>Provide the date the first dose of COVID-19 vaccine was administered. The date should be provided in ISO 8601 standard format "YYYY-MM-DD".</v>
      </c>
      <c r="H104" s="38">
        <f>IFERROR(__xludf.DUMMYFUNCTION("""COMPUTED_VALUE"""),44256.0)</f>
        <v>44256</v>
      </c>
      <c r="I104" s="33"/>
      <c r="J104" s="33"/>
      <c r="K104" s="34" t="s">
        <v>19</v>
      </c>
      <c r="L104" s="34" t="s">
        <v>19</v>
      </c>
      <c r="M104" s="34" t="s">
        <v>19</v>
      </c>
      <c r="O104" s="28" t="str">
        <f>IFERROR(__xludf.DUMMYFUNCTION("""COMPUTED_VALUE"""),"HPAI;HPAI_Host")</f>
        <v>HPAI;HPAI_Host</v>
      </c>
    </row>
    <row r="105">
      <c r="A105" s="33" t="str">
        <f>IFERROR(__xludf.DUMMYFUNCTION("""COMPUTED_VALUE"""),"Host vaccination information")</f>
        <v>Host vaccination information</v>
      </c>
      <c r="B105" s="33" t="str">
        <f>IFERROR(__xludf.DUMMYFUNCTION("""COMPUTED_VALUE"""),"vaccination_dose_2_vaccine_name")</f>
        <v>vaccination_dose_2_vaccine_name</v>
      </c>
      <c r="C105" s="33" t="str">
        <f>IFERROR(__xludf.DUMMYFUNCTION("""COMPUTED_VALUE"""),"")</f>
        <v/>
      </c>
      <c r="D105" s="33" t="str">
        <f>IFERROR(__xludf.DUMMYFUNCTION("""COMPUTED_VALUE"""),"")</f>
        <v/>
      </c>
      <c r="E105" s="33" t="str">
        <f>IFERROR(__xludf.DUMMYFUNCTION("""COMPUTED_VALUE"""),"GENEPIO:0100315")</f>
        <v>GENEPIO:0100315</v>
      </c>
      <c r="F105" s="33" t="str">
        <f>IFERROR(__xludf.DUMMYFUNCTION("""COMPUTED_VALUE"""),"The name of the vaccine administered as the second dose of a vaccine regimen.")</f>
        <v>The name of the vaccine administered as the second dose of a vaccine regimen.</v>
      </c>
      <c r="G105" s="33" t="str">
        <f>IFERROR(__xludf.DUMMYFUNCTION("""COMPUTED_VALUE"""),"Provide the name and the corresponding manufacturer of the COVID-19 vaccine administered as the second dose by selecting a value from the pick list")</f>
        <v>Provide the name and the corresponding manufacturer of the COVID-19 vaccine administered as the second dose by selecting a value from the pick list</v>
      </c>
      <c r="H105" s="33" t="str">
        <f>IFERROR(__xludf.DUMMYFUNCTION("""COMPUTED_VALUE"""),"Pfizer-BioNTech (Comirnaty)")</f>
        <v>Pfizer-BioNTech (Comirnaty)</v>
      </c>
      <c r="I105" s="33"/>
      <c r="J105" s="33"/>
      <c r="K105" s="34" t="s">
        <v>19</v>
      </c>
      <c r="L105" s="34" t="s">
        <v>19</v>
      </c>
      <c r="M105" s="34" t="s">
        <v>19</v>
      </c>
      <c r="O105" s="28" t="str">
        <f>IFERROR(__xludf.DUMMYFUNCTION("""COMPUTED_VALUE"""),"HPAI;HPAI_Host")</f>
        <v>HPAI;HPAI_Host</v>
      </c>
    </row>
    <row r="106">
      <c r="A106" s="33" t="str">
        <f>IFERROR(__xludf.DUMMYFUNCTION("""COMPUTED_VALUE"""),"Host vaccination information")</f>
        <v>Host vaccination information</v>
      </c>
      <c r="B106" s="33" t="str">
        <f>IFERROR(__xludf.DUMMYFUNCTION("""COMPUTED_VALUE"""),"vaccination_dose_2_vaccination_date")</f>
        <v>vaccination_dose_2_vaccination_date</v>
      </c>
      <c r="C106" s="33" t="str">
        <f>IFERROR(__xludf.DUMMYFUNCTION("""COMPUTED_VALUE"""),"")</f>
        <v/>
      </c>
      <c r="D106" s="33" t="str">
        <f>IFERROR(__xludf.DUMMYFUNCTION("""COMPUTED_VALUE"""),"")</f>
        <v/>
      </c>
      <c r="E106" s="33" t="str">
        <f>IFERROR(__xludf.DUMMYFUNCTION("""COMPUTED_VALUE"""),"GENEPIO:0100316")</f>
        <v>GENEPIO:0100316</v>
      </c>
      <c r="F106" s="33" t="str">
        <f>IFERROR(__xludf.DUMMYFUNCTION("""COMPUTED_VALUE"""),"The date the second dose of a vaccine was administered.")</f>
        <v>The date the second dose of a vaccine was administered.</v>
      </c>
      <c r="G106" s="33" t="str">
        <f>IFERROR(__xludf.DUMMYFUNCTION("""COMPUTED_VALUE"""),"Provide the date the second dose of COVID-19 vaccine was administered. The date should be provided in ISO 8601 standard format ""YYYY-MM-DD"".")</f>
        <v>Provide the date the second dose of COVID-19 vaccine was administered. The date should be provided in ISO 8601 standard format "YYYY-MM-DD".</v>
      </c>
      <c r="H106" s="38">
        <f>IFERROR(__xludf.DUMMYFUNCTION("""COMPUTED_VALUE"""),44440.0)</f>
        <v>44440</v>
      </c>
      <c r="I106" s="33"/>
      <c r="J106" s="33"/>
      <c r="K106" s="34" t="s">
        <v>19</v>
      </c>
      <c r="L106" s="34" t="s">
        <v>19</v>
      </c>
      <c r="M106" s="34" t="s">
        <v>19</v>
      </c>
      <c r="O106" s="28" t="str">
        <f>IFERROR(__xludf.DUMMYFUNCTION("""COMPUTED_VALUE"""),"HPAI;HPAI_Host")</f>
        <v>HPAI;HPAI_Host</v>
      </c>
    </row>
    <row r="107">
      <c r="A107" s="33" t="str">
        <f>IFERROR(__xludf.DUMMYFUNCTION("""COMPUTED_VALUE"""),"Host vaccination information")</f>
        <v>Host vaccination information</v>
      </c>
      <c r="B107" s="33" t="str">
        <f>IFERROR(__xludf.DUMMYFUNCTION("""COMPUTED_VALUE"""),"vaccination history")</f>
        <v>vaccination history</v>
      </c>
      <c r="C107" s="33" t="str">
        <f>IFERROR(__xludf.DUMMYFUNCTION("""COMPUTED_VALUE"""),"")</f>
        <v/>
      </c>
      <c r="D107" s="33" t="str">
        <f>IFERROR(__xludf.DUMMYFUNCTION("""COMPUTED_VALUE"""),"")</f>
        <v/>
      </c>
      <c r="E107" s="33" t="str">
        <f>IFERROR(__xludf.DUMMYFUNCTION("""COMPUTED_VALUE"""),"GENEPIO:0100321")</f>
        <v>GENEPIO:0100321</v>
      </c>
      <c r="F107" s="33" t="str">
        <f>IFERROR(__xludf.DUMMYFUNCTION("""COMPUTED_VALUE"""),"A description of the vaccines received and the administration dates of a series of vaccinations against a specific disease or a set of diseases.")</f>
        <v>A description of the vaccines received and the administration dates of a series of vaccinations against a specific disease or a set of diseases.</v>
      </c>
      <c r="G107" s="33" t="str">
        <f>IFERROR(__xludf.DUMMYFUNCTION("""COMPUTED_VALUE"""),"Free text description of the dates and vaccines administered against a particular disease/set of diseases. It is also acceptable to concatenate the individual dose information (vaccine name, vaccination date) separated by semicolons.")</f>
        <v>Free text description of the dates and vaccines administered against a particular disease/set of diseases. It is also acceptable to concatenate the individual dose information (vaccine name, vaccination date) separated by semicolons.</v>
      </c>
      <c r="H107" s="33" t="str">
        <f>IFERROR(__xludf.DUMMYFUNCTION("""COMPUTED_VALUE"""),"Pfizer-BioNTech (Comirnaty); 2021-03-01; Pfizer-BioNTech (Comirnaty); 2022-01-15")</f>
        <v>Pfizer-BioNTech (Comirnaty); 2021-03-01; Pfizer-BioNTech (Comirnaty); 2022-01-15</v>
      </c>
      <c r="I107" s="33"/>
      <c r="J107" s="33"/>
      <c r="K107" s="34" t="s">
        <v>19</v>
      </c>
      <c r="L107" s="34" t="s">
        <v>19</v>
      </c>
      <c r="M107" s="34" t="s">
        <v>19</v>
      </c>
      <c r="O107" s="28" t="str">
        <f>IFERROR(__xludf.DUMMYFUNCTION("""COMPUTED_VALUE"""),"HPAI;HPAI_Host")</f>
        <v>HPAI;HPAI_Host</v>
      </c>
    </row>
    <row r="108">
      <c r="A108" s="33"/>
      <c r="B108" s="33" t="str">
        <f>IFERROR(__xludf.DUMMYFUNCTION("""COMPUTED_VALUE"""),"Host treatment information")</f>
        <v>Host treatment information</v>
      </c>
      <c r="C108" s="33"/>
      <c r="D108" s="33"/>
      <c r="E108" s="33"/>
      <c r="F108" s="33"/>
      <c r="G108" s="33"/>
      <c r="H108" s="33"/>
      <c r="I108" s="33"/>
      <c r="J108" s="33"/>
      <c r="K108" s="34" t="s">
        <v>19</v>
      </c>
      <c r="L108" s="34" t="s">
        <v>19</v>
      </c>
      <c r="M108" s="34" t="s">
        <v>19</v>
      </c>
      <c r="O108" s="28" t="str">
        <f>IFERROR(__xludf.DUMMYFUNCTION("""COMPUTED_VALUE"""),"HPAI;HPAI_Host")</f>
        <v>HPAI;HPAI_Host</v>
      </c>
    </row>
    <row r="109">
      <c r="A109" s="33" t="str">
        <f>IFERROR(__xludf.DUMMYFUNCTION("""COMPUTED_VALUE"""),"Host treatment information")</f>
        <v>Host treatment information</v>
      </c>
      <c r="B109" s="33" t="str">
        <f>IFERROR(__xludf.DUMMYFUNCTION("""COMPUTED_VALUE"""),"influenza_antiviral_treatment_administration")</f>
        <v>influenza_antiviral_treatment_administration</v>
      </c>
      <c r="C109" s="33" t="str">
        <f>IFERROR(__xludf.DUMMYFUNCTION("""COMPUTED_VALUE"""),"")</f>
        <v/>
      </c>
      <c r="D109" s="33" t="str">
        <f>IFERROR(__xludf.DUMMYFUNCTION("""COMPUTED_VALUE"""),"")</f>
        <v/>
      </c>
      <c r="E109" s="35" t="str">
        <f>IFERROR(__xludf.DUMMYFUNCTION("""COMPUTED_VALUE"""),"GENEPIO:0101113")</f>
        <v>GENEPIO:0101113</v>
      </c>
      <c r="F109" s="33" t="str">
        <f>IFERROR(__xludf.DUMMYFUNCTION("""COMPUTED_VALUE"""),"An action of giving or applying an influenza antiviral agent to a patient as part of a treatment regimen.")</f>
        <v>An action of giving or applying an influenza antiviral agent to a patient as part of a treatment regimen.</v>
      </c>
      <c r="G109" s="33"/>
      <c r="H109" s="33" t="str">
        <f>IFERROR(__xludf.DUMMYFUNCTION("""COMPUTED_VALUE"""),"Influenza antiviral treatment administered [GENEPIO:0101194]")</f>
        <v>Influenza antiviral treatment administered [GENEPIO:0101194]</v>
      </c>
      <c r="I109" s="33"/>
      <c r="J109" s="33"/>
      <c r="K109" s="34" t="s">
        <v>19</v>
      </c>
      <c r="L109" s="34" t="s">
        <v>19</v>
      </c>
      <c r="M109" s="34" t="s">
        <v>19</v>
      </c>
      <c r="O109" s="28" t="str">
        <f>IFERROR(__xludf.DUMMYFUNCTION("""COMPUTED_VALUE"""),"HPAI;HPAI_Host")</f>
        <v>HPAI;HPAI_Host</v>
      </c>
    </row>
    <row r="110">
      <c r="A110" s="33" t="str">
        <f>IFERROR(__xludf.DUMMYFUNCTION("""COMPUTED_VALUE"""),"Host treatment information")</f>
        <v>Host treatment information</v>
      </c>
      <c r="B110" s="33" t="str">
        <f>IFERROR(__xludf.DUMMYFUNCTION("""COMPUTED_VALUE"""),"influenza_antiviral_agent  ")</f>
        <v>influenza_antiviral_agent  </v>
      </c>
      <c r="C110" s="33" t="str">
        <f>IFERROR(__xludf.DUMMYFUNCTION("""COMPUTED_VALUE"""),"")</f>
        <v/>
      </c>
      <c r="D110" s="33" t="str">
        <f>IFERROR(__xludf.DUMMYFUNCTION("""COMPUTED_VALUE"""),"")</f>
        <v/>
      </c>
      <c r="E110" s="35" t="str">
        <f>IFERROR(__xludf.DUMMYFUNCTION("""COMPUTED_VALUE"""),"GENEPIO:0101114")</f>
        <v>GENEPIO:0101114</v>
      </c>
      <c r="F110" s="33" t="str">
        <f>IFERROR(__xludf.DUMMYFUNCTION("""COMPUTED_VALUE"""),"A substance that destroys or inhibits replication of viruses.")</f>
        <v>A substance that destroys or inhibits replication of viruses.</v>
      </c>
      <c r="G110" s="33"/>
      <c r="H110" s="33"/>
      <c r="I110" s="33"/>
      <c r="J110" s="33"/>
      <c r="K110" s="34" t="s">
        <v>19</v>
      </c>
      <c r="L110" s="34" t="s">
        <v>19</v>
      </c>
      <c r="M110" s="34" t="s">
        <v>19</v>
      </c>
      <c r="O110" s="28" t="str">
        <f>IFERROR(__xludf.DUMMYFUNCTION("""COMPUTED_VALUE"""),"HPAI;HPAI_Host")</f>
        <v>HPAI;HPAI_Host</v>
      </c>
    </row>
    <row r="111">
      <c r="A111" s="33" t="str">
        <f>IFERROR(__xludf.DUMMYFUNCTION("""COMPUTED_VALUE"""),"Host treatment information")</f>
        <v>Host treatment information</v>
      </c>
      <c r="B111" s="33" t="str">
        <f>IFERROR(__xludf.DUMMYFUNCTION("""COMPUTED_VALUE"""),"influenza_antiviral_treatment_date")</f>
        <v>influenza_antiviral_treatment_date</v>
      </c>
      <c r="C111" s="33" t="str">
        <f>IFERROR(__xludf.DUMMYFUNCTION("""COMPUTED_VALUE"""),"")</f>
        <v/>
      </c>
      <c r="D111" s="33" t="str">
        <f>IFERROR(__xludf.DUMMYFUNCTION("""COMPUTED_VALUE"""),"")</f>
        <v/>
      </c>
      <c r="E111" s="35" t="str">
        <f>IFERROR(__xludf.DUMMYFUNCTION("""COMPUTED_VALUE"""),"GENEPIO:0101115")</f>
        <v>GENEPIO:0101115</v>
      </c>
      <c r="F111" s="33" t="str">
        <f>IFERROR(__xludf.DUMMYFUNCTION("""COMPUTED_VALUE"""),"The date on which the influenza antiviral agent was administered to a patient as part of treatment")</f>
        <v>The date on which the influenza antiviral agent was administered to a patient as part of treatment</v>
      </c>
      <c r="G111" s="33" t="str">
        <f>IFERROR(__xludf.DUMMYFUNCTION("""COMPUTED_VALUE"""),"This field records the exact date when the antiviral treatment was administered. The date should be provided in a standard format (e.g., YYYY-MM-DD) and reflect the first administration date if multiple doses were given.
")</f>
        <v>This field records the exact date when the antiviral treatment was administered. The date should be provided in a standard format (e.g., YYYY-MM-DD) and reflect the first administration date if multiple doses were given.
</v>
      </c>
      <c r="H111" s="33"/>
      <c r="I111" s="33"/>
      <c r="J111" s="33"/>
      <c r="K111" s="34" t="s">
        <v>19</v>
      </c>
      <c r="L111" s="34" t="s">
        <v>19</v>
      </c>
      <c r="M111" s="34" t="s">
        <v>19</v>
      </c>
      <c r="O111" s="28" t="str">
        <f>IFERROR(__xludf.DUMMYFUNCTION("""COMPUTED_VALUE"""),"HPAI;HPAI_Host")</f>
        <v>HPAI;HPAI_Host</v>
      </c>
    </row>
    <row r="112">
      <c r="A112" s="33"/>
      <c r="B112" s="33" t="str">
        <f>IFERROR(__xludf.DUMMYFUNCTION("""COMPUTED_VALUE"""),"Environmental conditions and measurements")</f>
        <v>Environmental conditions and measurements</v>
      </c>
      <c r="C112" s="33" t="str">
        <f>IFERROR(__xludf.DUMMYFUNCTION("""COMPUTED_VALUE"""),"")</f>
        <v/>
      </c>
      <c r="D112" s="33" t="str">
        <f>IFERROR(__xludf.DUMMYFUNCTION("""COMPUTED_VALUE"""),"")</f>
        <v/>
      </c>
      <c r="E112" s="35"/>
      <c r="F112" s="33"/>
      <c r="G112" s="33"/>
      <c r="H112" s="33"/>
      <c r="I112" s="33"/>
      <c r="J112" s="33"/>
      <c r="K112" s="34"/>
      <c r="L112" s="34"/>
      <c r="M112" s="34"/>
      <c r="O112" s="28" t="str">
        <f>IFERROR(__xludf.DUMMYFUNCTION("""COMPUTED_VALUE"""),"HPAI;HPAI_WW;HPAI_Enviro")</f>
        <v>HPAI;HPAI_WW;HPAI_Enviro</v>
      </c>
    </row>
    <row r="113">
      <c r="A113" s="33" t="str">
        <f>IFERROR(__xludf.DUMMYFUNCTION("""COMPUTED_VALUE"""),"Environmental conditions and measurements")</f>
        <v>Environmental conditions and measurements</v>
      </c>
      <c r="B113" s="33" t="str">
        <f>IFERROR(__xludf.DUMMYFUNCTION("""COMPUTED_VALUE"""),"water_catchment_area_human_population_measurement_value")</f>
        <v>water_catchment_area_human_population_measurement_value</v>
      </c>
      <c r="C113" s="33"/>
      <c r="D113" s="33" t="b">
        <f>IFERROR(__xludf.DUMMYFUNCTION("""COMPUTED_VALUE"""),TRUE)</f>
        <v>1</v>
      </c>
      <c r="E113" s="35" t="str">
        <f>IFERROR(__xludf.DUMMYFUNCTION("""COMPUTED_VALUE"""),"GENEPIO:0100773")</f>
        <v>GENEPIO:0100773</v>
      </c>
      <c r="F113" s="33" t="str">
        <f>IFERROR(__xludf.DUMMYFUNCTION("""COMPUTED_VALUE"""),"The numerical value of the human population measurement that contributes to the composition of water in a catchment area.")</f>
        <v>The numerical value of the human population measurement that contributes to the composition of water in a catchment area.</v>
      </c>
      <c r="G113" s="33" t="str">
        <f>IFERROR(__xludf.DUMMYFUNCTION("""COMPUTED_VALUE"""),"Where known, provide the numerical value of population size, i.e. the number of people.")</f>
        <v>Where known, provide the numerical value of population size, i.e. the number of people.</v>
      </c>
      <c r="H113" s="40">
        <f>IFERROR(__xludf.DUMMYFUNCTION("""COMPUTED_VALUE"""),10500.0)</f>
        <v>10500</v>
      </c>
      <c r="I113" s="33"/>
      <c r="J113" s="33"/>
      <c r="K113" s="34" t="s">
        <v>19</v>
      </c>
      <c r="L113" s="34" t="s">
        <v>19</v>
      </c>
      <c r="M113" s="34" t="s">
        <v>19</v>
      </c>
      <c r="O113" s="28" t="str">
        <f>IFERROR(__xludf.DUMMYFUNCTION("""COMPUTED_VALUE"""),"HPAI;HPAI_WW;HPAI_Enviro")</f>
        <v>HPAI;HPAI_WW;HPAI_Enviro</v>
      </c>
    </row>
    <row r="114">
      <c r="A114" s="33" t="str">
        <f>IFERROR(__xludf.DUMMYFUNCTION("""COMPUTED_VALUE"""),"Environmental conditions and measurements")</f>
        <v>Environmental conditions and measurements</v>
      </c>
      <c r="B114" s="33" t="str">
        <f>IFERROR(__xludf.DUMMYFUNCTION("""COMPUTED_VALUE"""),"water_catchment_area_human_population_range")</f>
        <v>water_catchment_area_human_population_range</v>
      </c>
      <c r="C114" s="33"/>
      <c r="D114" s="33"/>
      <c r="E114" s="35" t="str">
        <f>IFERROR(__xludf.DUMMYFUNCTION("""COMPUTED_VALUE"""),"GENEPIO:0100774")</f>
        <v>GENEPIO:0100774</v>
      </c>
      <c r="F114" s="33" t="str">
        <f>IFERROR(__xludf.DUMMYFUNCTION("""COMPUTED_VALUE"""),"The human population range of the water catchment that contributes effluent to a wastewater site.")</f>
        <v>The human population range of the water catchment that contributes effluent to a wastewater site.</v>
      </c>
      <c r="G114" s="33" t="str">
        <f>IFERROR(__xludf.DUMMYFUNCTION("""COMPUTED_VALUE"""),"Where catchment population is not well known, provide an estimation of population size by selecting a value from the picklist.")</f>
        <v>Where catchment population is not well known, provide an estimation of population size by selecting a value from the picklist.</v>
      </c>
      <c r="H114" s="33" t="str">
        <f>IFERROR(__xludf.DUMMYFUNCTION("""COMPUTED_VALUE"""),"1,000 - 10,000 people")</f>
        <v>1,000 - 10,000 people</v>
      </c>
      <c r="I114" s="33"/>
      <c r="J114" s="33"/>
      <c r="K114" s="34" t="s">
        <v>19</v>
      </c>
      <c r="L114" s="34" t="s">
        <v>19</v>
      </c>
      <c r="M114" s="34" t="s">
        <v>19</v>
      </c>
      <c r="O114" s="28" t="str">
        <f>IFERROR(__xludf.DUMMYFUNCTION("""COMPUTED_VALUE"""),"HPAI;HPAI_WW;HPAI_Enviro")</f>
        <v>HPAI;HPAI_WW;HPAI_Enviro</v>
      </c>
    </row>
    <row r="115">
      <c r="A115" s="33" t="str">
        <f>IFERROR(__xludf.DUMMYFUNCTION("""COMPUTED_VALUE"""),"Environmental conditions and measurements")</f>
        <v>Environmental conditions and measurements</v>
      </c>
      <c r="B115" s="33" t="str">
        <f>IFERROR(__xludf.DUMMYFUNCTION("""COMPUTED_VALUE"""),"water_catchment_area_human_population_measurement_method")</f>
        <v>water_catchment_area_human_population_measurement_method</v>
      </c>
      <c r="C115" s="33"/>
      <c r="D115" s="33"/>
      <c r="E115" s="35" t="str">
        <f>IFERROR(__xludf.DUMMYFUNCTION("""COMPUTED_VALUE"""),"GENEPIO:0100775")</f>
        <v>GENEPIO:0100775</v>
      </c>
      <c r="F115" s="33" t="str">
        <f>IFERROR(__xludf.DUMMYFUNCTION("""COMPUTED_VALUE"""),"The method by which a water catchment 's human population size was measured or estimated")</f>
        <v>The method by which a water catchment 's human population size was measured or estimated</v>
      </c>
      <c r="G115" s="33" t="str">
        <f>IFERROR(__xludf.DUMMYFUNCTION("""COMPUTED_VALUE"""),"Provide a brief description of how catchment population size was measured or estimated.")</f>
        <v>Provide a brief description of how catchment population size was measured or estimated.</v>
      </c>
      <c r="H115" s="33" t="str">
        <f>IFERROR(__xludf.DUMMYFUNCTION("""COMPUTED_VALUE"""),"population of jurisdiction encompassing the wastewater service area")</f>
        <v>population of jurisdiction encompassing the wastewater service area</v>
      </c>
      <c r="I115" s="33"/>
      <c r="J115" s="33"/>
      <c r="K115" s="34" t="s">
        <v>19</v>
      </c>
      <c r="L115" s="34" t="s">
        <v>19</v>
      </c>
      <c r="M115" s="34" t="s">
        <v>19</v>
      </c>
      <c r="O115" s="28" t="str">
        <f>IFERROR(__xludf.DUMMYFUNCTION("""COMPUTED_VALUE"""),"HPAI;HPAI_WW;HPAI_Enviro")</f>
        <v>HPAI;HPAI_WW;HPAI_Enviro</v>
      </c>
    </row>
    <row r="116">
      <c r="A116" s="33" t="str">
        <f>IFERROR(__xludf.DUMMYFUNCTION("""COMPUTED_VALUE"""),"Environmental conditions and measurements")</f>
        <v>Environmental conditions and measurements</v>
      </c>
      <c r="B116" s="33" t="str">
        <f>IFERROR(__xludf.DUMMYFUNCTION("""COMPUTED_VALUE"""),"water catchment area human population density value")</f>
        <v>water catchment area human population density value</v>
      </c>
      <c r="C116" s="33"/>
      <c r="D116" s="33"/>
      <c r="E116" s="35" t="str">
        <f>IFERROR(__xludf.DUMMYFUNCTION("""COMPUTED_VALUE"""),"GENEPIO:0100776")</f>
        <v>GENEPIO:0100776</v>
      </c>
      <c r="F116" s="33" t="str">
        <f>IFERROR(__xludf.DUMMYFUNCTION("""COMPUTED_VALUE"""),"The numerical value describing the number of humans per geographical area in a water catchment. ")</f>
        <v>The numerical value describing the number of humans per geographical area in a water catchment. </v>
      </c>
      <c r="G116" s="33" t="str">
        <f>IFERROR(__xludf.DUMMYFUNCTION("""COMPUTED_VALUE"""),"Provide the numerical value of the population density in the catchement area. ")</f>
        <v>Provide the numerical value of the population density in the catchement area. </v>
      </c>
      <c r="H116" s="33">
        <f>IFERROR(__xludf.DUMMYFUNCTION("""COMPUTED_VALUE"""),4.0)</f>
        <v>4</v>
      </c>
      <c r="I116" s="33"/>
      <c r="J116" s="33"/>
      <c r="K116" s="34" t="s">
        <v>19</v>
      </c>
      <c r="L116" s="34" t="s">
        <v>19</v>
      </c>
      <c r="M116" s="34" t="s">
        <v>19</v>
      </c>
      <c r="O116" s="28" t="str">
        <f>IFERROR(__xludf.DUMMYFUNCTION("""COMPUTED_VALUE"""),"HPAI;HPAI_WW;HPAI_Enviro")</f>
        <v>HPAI;HPAI_WW;HPAI_Enviro</v>
      </c>
    </row>
    <row r="117">
      <c r="A117" s="33" t="str">
        <f>IFERROR(__xludf.DUMMYFUNCTION("""COMPUTED_VALUE"""),"Environmental conditions and measurements")</f>
        <v>Environmental conditions and measurements</v>
      </c>
      <c r="B117" s="33" t="str">
        <f>IFERROR(__xludf.DUMMYFUNCTION("""COMPUTED_VALUE"""),"water catchment area human population density unit")</f>
        <v>water catchment area human population density unit</v>
      </c>
      <c r="C117" s="33"/>
      <c r="D117" s="33"/>
      <c r="E117" s="35" t="str">
        <f>IFERROR(__xludf.DUMMYFUNCTION("""COMPUTED_VALUE"""),"GENEPIO:0100777")</f>
        <v>GENEPIO:0100777</v>
      </c>
      <c r="F117" s="33" t="str">
        <f>IFERROR(__xludf.DUMMYFUNCTION("""COMPUTED_VALUE"""),"The unit describing the number of humans per geographical area in a water catchment. ")</f>
        <v>The unit describing the number of humans per geographical area in a water catchment. </v>
      </c>
      <c r="G117" s="33" t="str">
        <f>IFERROR(__xludf.DUMMYFUNCTION("""COMPUTED_VALUE"""),"Provide the unit of the population density in the catchement area. ")</f>
        <v>Provide the unit of the population density in the catchement area. </v>
      </c>
      <c r="H117" s="33" t="str">
        <f>IFERROR(__xludf.DUMMYFUNCTION("""COMPUTED_VALUE"""),"persons per Km^2")</f>
        <v>persons per Km^2</v>
      </c>
      <c r="K117" s="39" t="s">
        <v>19</v>
      </c>
      <c r="L117" s="39" t="s">
        <v>19</v>
      </c>
      <c r="M117" s="39" t="s">
        <v>19</v>
      </c>
      <c r="O117" s="28" t="str">
        <f>IFERROR(__xludf.DUMMYFUNCTION("""COMPUTED_VALUE"""),"HPAI;HPAI_WW;HPAI_Enviro")</f>
        <v>HPAI;HPAI_WW;HPAI_Enviro</v>
      </c>
    </row>
    <row r="118">
      <c r="A118" s="33" t="str">
        <f>IFERROR(__xludf.DUMMYFUNCTION("""COMPUTED_VALUE"""),"Environmental conditions and measurements")</f>
        <v>Environmental conditions and measurements</v>
      </c>
      <c r="B118" s="33" t="str">
        <f>IFERROR(__xludf.DUMMYFUNCTION("""COMPUTED_VALUE"""),"populated area type")</f>
        <v>populated area type</v>
      </c>
      <c r="C118" s="33"/>
      <c r="D118" s="33"/>
      <c r="E118" s="35" t="str">
        <f>IFERROR(__xludf.DUMMYFUNCTION("""COMPUTED_VALUE"""),"GENEPIO:0100778")</f>
        <v>GENEPIO:0100778</v>
      </c>
      <c r="F118" s="33" t="str">
        <f>IFERROR(__xludf.DUMMYFUNCTION("""COMPUTED_VALUE"""),"A type of area that is populated by humans to different degrees.")</f>
        <v>A type of area that is populated by humans to different degrees.</v>
      </c>
      <c r="G118" s="33" t="str">
        <f>IFERROR(__xludf.DUMMYFUNCTION("""COMPUTED_VALUE"""),"Provide the populated area type from the pick list.")</f>
        <v>Provide the populated area type from the pick list.</v>
      </c>
      <c r="H118" s="33" t="str">
        <f>IFERROR(__xludf.DUMMYFUNCTION("""COMPUTED_VALUE"""),"Urban area")</f>
        <v>Urban area</v>
      </c>
      <c r="K118" s="39" t="s">
        <v>19</v>
      </c>
      <c r="L118" s="39" t="s">
        <v>19</v>
      </c>
      <c r="M118" s="39" t="s">
        <v>19</v>
      </c>
      <c r="O118" s="28" t="str">
        <f>IFERROR(__xludf.DUMMYFUNCTION("""COMPUTED_VALUE"""),"HPAI;HPAI_WW;HPAI_Enviro")</f>
        <v>HPAI;HPAI_WW;HPAI_Enviro</v>
      </c>
    </row>
    <row r="119">
      <c r="A119" s="33" t="str">
        <f>IFERROR(__xludf.DUMMYFUNCTION("""COMPUTED_VALUE"""),"Environmental conditions and measurements")</f>
        <v>Environmental conditions and measurements</v>
      </c>
      <c r="B119" s="33" t="str">
        <f>IFERROR(__xludf.DUMMYFUNCTION("""COMPUTED_VALUE"""),"sampling weather conditions")</f>
        <v>sampling weather conditions</v>
      </c>
      <c r="C119" s="33"/>
      <c r="D119" s="33"/>
      <c r="E119" s="35" t="str">
        <f>IFERROR(__xludf.DUMMYFUNCTION("""COMPUTED_VALUE"""),"GENEPIO:0100779")</f>
        <v>GENEPIO:0100779</v>
      </c>
      <c r="F119" s="33" t="str">
        <f>IFERROR(__xludf.DUMMYFUNCTION("""COMPUTED_VALUE"""),"The state of the atmosphere at a place and time as regards heat, dryness, sunshine, wind, rain, etc.")</f>
        <v>The state of the atmosphere at a place and time as regards heat, dryness, sunshine, wind, rain, etc.</v>
      </c>
      <c r="G119" s="33" t="str">
        <f>IFERROR(__xludf.DUMMYFUNCTION("""COMPUTED_VALUE"""),"Provide the weather conditions at the time of sample collection.")</f>
        <v>Provide the weather conditions at the time of sample collection.</v>
      </c>
      <c r="H119" s="33" t="str">
        <f>IFERROR(__xludf.DUMMYFUNCTION("""COMPUTED_VALUE"""),"Rain ")</f>
        <v>Rain </v>
      </c>
      <c r="K119" s="39" t="s">
        <v>19</v>
      </c>
      <c r="L119" s="39" t="s">
        <v>19</v>
      </c>
      <c r="M119" s="39" t="s">
        <v>19</v>
      </c>
      <c r="O119" s="28" t="str">
        <f>IFERROR(__xludf.DUMMYFUNCTION("""COMPUTED_VALUE"""),"HPAI;HPAI_WW;HPAI_Enviro")</f>
        <v>HPAI;HPAI_WW;HPAI_Enviro</v>
      </c>
    </row>
    <row r="120">
      <c r="A120" s="33" t="str">
        <f>IFERROR(__xludf.DUMMYFUNCTION("""COMPUTED_VALUE"""),"Environmental conditions and measurements")</f>
        <v>Environmental conditions and measurements</v>
      </c>
      <c r="B120" s="33" t="str">
        <f>IFERROR(__xludf.DUMMYFUNCTION("""COMPUTED_VALUE"""),"presampling weather conditions")</f>
        <v>presampling weather conditions</v>
      </c>
      <c r="C120" s="33"/>
      <c r="D120" s="33"/>
      <c r="E120" s="35" t="str">
        <f>IFERROR(__xludf.DUMMYFUNCTION("""COMPUTED_VALUE"""),"GENEPIO:0100780")</f>
        <v>GENEPIO:0100780</v>
      </c>
      <c r="F120" s="33" t="str">
        <f>IFERROR(__xludf.DUMMYFUNCTION("""COMPUTED_VALUE"""),"Weather conditions prior to collection that may affect the sample.")</f>
        <v>Weather conditions prior to collection that may affect the sample.</v>
      </c>
      <c r="G120" s="33" t="str">
        <f>IFERROR(__xludf.DUMMYFUNCTION("""COMPUTED_VALUE"""),"Provide the weather conditions prior to sample collection.")</f>
        <v>Provide the weather conditions prior to sample collection.</v>
      </c>
      <c r="H120" s="33" t="str">
        <f>IFERROR(__xludf.DUMMYFUNCTION("""COMPUTED_VALUE"""),"Drizzle")</f>
        <v>Drizzle</v>
      </c>
      <c r="K120" s="39" t="s">
        <v>19</v>
      </c>
      <c r="L120" s="39" t="s">
        <v>19</v>
      </c>
      <c r="M120" s="39" t="s">
        <v>19</v>
      </c>
      <c r="O120" s="28" t="str">
        <f>IFERROR(__xludf.DUMMYFUNCTION("""COMPUTED_VALUE"""),"HPAI;HPAI_WW;HPAI_Enviro")</f>
        <v>HPAI;HPAI_WW;HPAI_Enviro</v>
      </c>
    </row>
    <row r="121">
      <c r="A121" s="33" t="str">
        <f>IFERROR(__xludf.DUMMYFUNCTION("""COMPUTED_VALUE"""),"Environmental conditions and measurements")</f>
        <v>Environmental conditions and measurements</v>
      </c>
      <c r="B121" s="33" t="str">
        <f>IFERROR(__xludf.DUMMYFUNCTION("""COMPUTED_VALUE"""),"precipitation measurement value")</f>
        <v>precipitation measurement value</v>
      </c>
      <c r="C121" s="33"/>
      <c r="D121" s="33" t="b">
        <f>IFERROR(__xludf.DUMMYFUNCTION("""COMPUTED_VALUE"""),TRUE)</f>
        <v>1</v>
      </c>
      <c r="E121" s="35" t="str">
        <f>IFERROR(__xludf.DUMMYFUNCTION("""COMPUTED_VALUE"""),"GENEPIO:0100911")</f>
        <v>GENEPIO:0100911</v>
      </c>
      <c r="F121" s="33" t="str">
        <f>IFERROR(__xludf.DUMMYFUNCTION("""COMPUTED_VALUE"""),"The amount of water which has fallen during a precipitation process.")</f>
        <v>The amount of water which has fallen during a precipitation process.</v>
      </c>
      <c r="G121" s="33" t="str">
        <f>IFERROR(__xludf.DUMMYFUNCTION("""COMPUTED_VALUE"""),"Provide the quantity of precipitation in the area leading up to the time of sample collection.")</f>
        <v>Provide the quantity of precipitation in the area leading up to the time of sample collection.</v>
      </c>
      <c r="H121" s="33">
        <f>IFERROR(__xludf.DUMMYFUNCTION("""COMPUTED_VALUE"""),12.0)</f>
        <v>12</v>
      </c>
      <c r="K121" s="39" t="s">
        <v>19</v>
      </c>
      <c r="L121" s="39" t="s">
        <v>19</v>
      </c>
      <c r="M121" s="39" t="s">
        <v>19</v>
      </c>
      <c r="O121" s="28" t="str">
        <f>IFERROR(__xludf.DUMMYFUNCTION("""COMPUTED_VALUE"""),"HPAI;HPAI_WW;HPAI_Enviro")</f>
        <v>HPAI;HPAI_WW;HPAI_Enviro</v>
      </c>
    </row>
    <row r="122">
      <c r="A122" s="33" t="str">
        <f>IFERROR(__xludf.DUMMYFUNCTION("""COMPUTED_VALUE"""),"Environmental conditions and measurements")</f>
        <v>Environmental conditions and measurements</v>
      </c>
      <c r="B122" s="33" t="str">
        <f>IFERROR(__xludf.DUMMYFUNCTION("""COMPUTED_VALUE"""),"water_depth")</f>
        <v>water_depth</v>
      </c>
      <c r="C122" s="33"/>
      <c r="D122" s="33"/>
      <c r="E122" s="33" t="str">
        <f>IFERROR(__xludf.DUMMYFUNCTION("""COMPUTED_VALUE"""),"GENEPIO:0100440")</f>
        <v>GENEPIO:0100440</v>
      </c>
      <c r="F122" s="33" t="str">
        <f>IFERROR(__xludf.DUMMYFUNCTION("""COMPUTED_VALUE"""),"The depth of some water.")</f>
        <v>The depth of some water.</v>
      </c>
      <c r="G122" s="33" t="str">
        <f>IFERROR(__xludf.DUMMYFUNCTION("""COMPUTED_VALUE"""),"Provide the numerical depth only  of water only (without units).")</f>
        <v>Provide the numerical depth only  of water only (without units).</v>
      </c>
      <c r="H122" s="33">
        <f>IFERROR(__xludf.DUMMYFUNCTION("""COMPUTED_VALUE"""),5.0)</f>
        <v>5</v>
      </c>
      <c r="K122" s="39" t="s">
        <v>19</v>
      </c>
      <c r="L122" s="39" t="s">
        <v>19</v>
      </c>
      <c r="M122" s="39" t="s">
        <v>19</v>
      </c>
      <c r="O122" s="28" t="str">
        <f>IFERROR(__xludf.DUMMYFUNCTION("""COMPUTED_VALUE"""),"HPAI;HPAI_WW;HPAI_Enviro")</f>
        <v>HPAI;HPAI_WW;HPAI_Enviro</v>
      </c>
    </row>
    <row r="123">
      <c r="A123" s="33" t="str">
        <f>IFERROR(__xludf.DUMMYFUNCTION("""COMPUTED_VALUE"""),"Environmental conditions and measurements")</f>
        <v>Environmental conditions and measurements</v>
      </c>
      <c r="B123" s="33" t="str">
        <f>IFERROR(__xludf.DUMMYFUNCTION("""COMPUTED_VALUE"""),"water_depth_units")</f>
        <v>water_depth_units</v>
      </c>
      <c r="C123" s="33"/>
      <c r="D123" s="33"/>
      <c r="E123" s="33" t="str">
        <f>IFERROR(__xludf.DUMMYFUNCTION("""COMPUTED_VALUE"""),"GENEPIO:0101025")</f>
        <v>GENEPIO:0101025</v>
      </c>
      <c r="F123" s="33" t="str">
        <f>IFERROR(__xludf.DUMMYFUNCTION("""COMPUTED_VALUE"""),"The units of measurement for water depth.")</f>
        <v>The units of measurement for water depth.</v>
      </c>
      <c r="G123" s="33" t="str">
        <f>IFERROR(__xludf.DUMMYFUNCTION("""COMPUTED_VALUE"""),"Provide the units of measurement for which the depth was recorded.")</f>
        <v>Provide the units of measurement for which the depth was recorded.</v>
      </c>
      <c r="H123" s="33" t="str">
        <f>IFERROR(__xludf.DUMMYFUNCTION("""COMPUTED_VALUE"""),"meter (m) [UO:0000008]")</f>
        <v>meter (m) [UO:0000008]</v>
      </c>
      <c r="K123" s="39" t="s">
        <v>19</v>
      </c>
      <c r="L123" s="39" t="s">
        <v>19</v>
      </c>
      <c r="M123" s="39" t="s">
        <v>19</v>
      </c>
      <c r="O123" s="28" t="str">
        <f>IFERROR(__xludf.DUMMYFUNCTION("""COMPUTED_VALUE"""),"HPAI;HPAI_WW;HPAI_Enviro")</f>
        <v>HPAI;HPAI_WW;HPAI_Enviro</v>
      </c>
    </row>
    <row r="124">
      <c r="A124" s="33" t="str">
        <f>IFERROR(__xludf.DUMMYFUNCTION("""COMPUTED_VALUE"""),"Environmental conditions and measurements")</f>
        <v>Environmental conditions and measurements</v>
      </c>
      <c r="B124" s="33" t="str">
        <f>IFERROR(__xludf.DUMMYFUNCTION("""COMPUTED_VALUE"""),"sediment_depth")</f>
        <v>sediment_depth</v>
      </c>
      <c r="C124" s="33"/>
      <c r="D124" s="33"/>
      <c r="E124" s="33" t="str">
        <f>IFERROR(__xludf.DUMMYFUNCTION("""COMPUTED_VALUE"""),"GENEPIO:0100697")</f>
        <v>GENEPIO:0100697</v>
      </c>
      <c r="F124" s="33" t="str">
        <f>IFERROR(__xludf.DUMMYFUNCTION("""COMPUTED_VALUE"""),"The depth of some sediment.")</f>
        <v>The depth of some sediment.</v>
      </c>
      <c r="G124" s="33" t="str">
        <f>IFERROR(__xludf.DUMMYFUNCTION("""COMPUTED_VALUE"""),"Provide the numerical depth only of the sediment (without units).")</f>
        <v>Provide the numerical depth only of the sediment (without units).</v>
      </c>
      <c r="H124" s="33">
        <f>IFERROR(__xludf.DUMMYFUNCTION("""COMPUTED_VALUE"""),2.0)</f>
        <v>2</v>
      </c>
      <c r="K124" s="39" t="s">
        <v>19</v>
      </c>
      <c r="L124" s="39" t="s">
        <v>19</v>
      </c>
      <c r="M124" s="39" t="s">
        <v>19</v>
      </c>
      <c r="O124" s="28" t="str">
        <f>IFERROR(__xludf.DUMMYFUNCTION("""COMPUTED_VALUE"""),"HPAI;HPAI_WW;HPAI_Enviro")</f>
        <v>HPAI;HPAI_WW;HPAI_Enviro</v>
      </c>
    </row>
    <row r="125">
      <c r="A125" s="33" t="str">
        <f>IFERROR(__xludf.DUMMYFUNCTION("""COMPUTED_VALUE"""),"Environmental conditions and measurements")</f>
        <v>Environmental conditions and measurements</v>
      </c>
      <c r="B125" s="33" t="str">
        <f>IFERROR(__xludf.DUMMYFUNCTION("""COMPUTED_VALUE"""),"sediment_depth_units")</f>
        <v>sediment_depth_units</v>
      </c>
      <c r="C125" s="33"/>
      <c r="D125" s="33"/>
      <c r="E125" s="33" t="str">
        <f>IFERROR(__xludf.DUMMYFUNCTION("""COMPUTED_VALUE"""),"GENEPIO:0101026")</f>
        <v>GENEPIO:0101026</v>
      </c>
      <c r="F125" s="33" t="str">
        <f>IFERROR(__xludf.DUMMYFUNCTION("""COMPUTED_VALUE"""),"The units of measurement for sediment depth.")</f>
        <v>The units of measurement for sediment depth.</v>
      </c>
      <c r="G125" s="33" t="str">
        <f>IFERROR(__xludf.DUMMYFUNCTION("""COMPUTED_VALUE"""),"Provide the units of measurement for which the depth was recorded.")</f>
        <v>Provide the units of measurement for which the depth was recorded.</v>
      </c>
      <c r="H125" s="33" t="str">
        <f>IFERROR(__xludf.DUMMYFUNCTION("""COMPUTED_VALUE"""),"meter (m) [UO:0000008]")</f>
        <v>meter (m) [UO:0000008]</v>
      </c>
      <c r="K125" s="39" t="s">
        <v>19</v>
      </c>
      <c r="L125" s="39" t="s">
        <v>19</v>
      </c>
      <c r="M125" s="39" t="s">
        <v>19</v>
      </c>
      <c r="O125" s="28" t="str">
        <f>IFERROR(__xludf.DUMMYFUNCTION("""COMPUTED_VALUE"""),"HPAI;HPAI_WW;HPAI_Enviro")</f>
        <v>HPAI;HPAI_WW;HPAI_Enviro</v>
      </c>
    </row>
    <row r="126">
      <c r="A126" s="33" t="str">
        <f>IFERROR(__xludf.DUMMYFUNCTION("""COMPUTED_VALUE"""),"Environmental conditions and measurements")</f>
        <v>Environmental conditions and measurements</v>
      </c>
      <c r="B126" s="33" t="str">
        <f>IFERROR(__xludf.DUMMYFUNCTION("""COMPUTED_VALUE"""),"air_temperature")</f>
        <v>air_temperature</v>
      </c>
      <c r="C126" s="33"/>
      <c r="D126" s="33"/>
      <c r="E126" s="33" t="str">
        <f>IFERROR(__xludf.DUMMYFUNCTION("""COMPUTED_VALUE"""),"GENEPIO:0100441")</f>
        <v>GENEPIO:0100441</v>
      </c>
      <c r="F126" s="33" t="str">
        <f>IFERROR(__xludf.DUMMYFUNCTION("""COMPUTED_VALUE"""),"The temperature of some air.")</f>
        <v>The temperature of some air.</v>
      </c>
      <c r="G126" s="33" t="str">
        <f>IFERROR(__xludf.DUMMYFUNCTION("""COMPUTED_VALUE"""),"Provide the numerical value for the temperature of the air (without units). ")</f>
        <v>Provide the numerical value for the temperature of the air (without units). </v>
      </c>
      <c r="H126" s="33">
        <f>IFERROR(__xludf.DUMMYFUNCTION("""COMPUTED_VALUE"""),25.0)</f>
        <v>25</v>
      </c>
      <c r="K126" s="39" t="s">
        <v>19</v>
      </c>
      <c r="L126" s="39" t="s">
        <v>19</v>
      </c>
      <c r="M126" s="39" t="s">
        <v>19</v>
      </c>
      <c r="O126" s="28" t="str">
        <f>IFERROR(__xludf.DUMMYFUNCTION("""COMPUTED_VALUE"""),"HPAI;HPAI_WW;HPAI_Enviro")</f>
        <v>HPAI;HPAI_WW;HPAI_Enviro</v>
      </c>
    </row>
    <row r="127">
      <c r="A127" s="33" t="str">
        <f>IFERROR(__xludf.DUMMYFUNCTION("""COMPUTED_VALUE"""),"Environmental conditions and measurements")</f>
        <v>Environmental conditions and measurements</v>
      </c>
      <c r="B127" s="33" t="str">
        <f>IFERROR(__xludf.DUMMYFUNCTION("""COMPUTED_VALUE"""),"air_temperature_units")</f>
        <v>air_temperature_units</v>
      </c>
      <c r="C127" s="33"/>
      <c r="D127" s="33"/>
      <c r="E127" s="33" t="str">
        <f>IFERROR(__xludf.DUMMYFUNCTION("""COMPUTED_VALUE"""),"GENEPIO:0101027")</f>
        <v>GENEPIO:0101027</v>
      </c>
      <c r="F127" s="33" t="str">
        <f>IFERROR(__xludf.DUMMYFUNCTION("""COMPUTED_VALUE"""),"The units of measurement for air temperature.")</f>
        <v>The units of measurement for air temperature.</v>
      </c>
      <c r="G127" s="33" t="str">
        <f>IFERROR(__xludf.DUMMYFUNCTION("""COMPUTED_VALUE"""),"Provide the units of measurement for which the temperature was recorded.")</f>
        <v>Provide the units of measurement for which the temperature was recorded.</v>
      </c>
      <c r="H127" s="33" t="str">
        <f>IFERROR(__xludf.DUMMYFUNCTION("""COMPUTED_VALUE"""),"degree Celsius (C) [UO:0000027]")</f>
        <v>degree Celsius (C) [UO:0000027]</v>
      </c>
      <c r="K127" s="39" t="s">
        <v>19</v>
      </c>
      <c r="L127" s="39" t="s">
        <v>19</v>
      </c>
      <c r="M127" s="39" t="s">
        <v>19</v>
      </c>
      <c r="O127" s="28" t="str">
        <f>IFERROR(__xludf.DUMMYFUNCTION("""COMPUTED_VALUE"""),"HPAI;HPAI_WW;HPAI_Enviro")</f>
        <v>HPAI;HPAI_WW;HPAI_Enviro</v>
      </c>
    </row>
    <row r="128">
      <c r="A128" s="33" t="str">
        <f>IFERROR(__xludf.DUMMYFUNCTION("""COMPUTED_VALUE"""),"Environmental conditions and measurements")</f>
        <v>Environmental conditions and measurements</v>
      </c>
      <c r="B128" s="33" t="str">
        <f>IFERROR(__xludf.DUMMYFUNCTION("""COMPUTED_VALUE"""),"water_temperature")</f>
        <v>water_temperature</v>
      </c>
      <c r="C128" s="33"/>
      <c r="D128" s="33"/>
      <c r="E128" s="33" t="str">
        <f>IFERROR(__xludf.DUMMYFUNCTION("""COMPUTED_VALUE"""),"GENEPIO:0100698")</f>
        <v>GENEPIO:0100698</v>
      </c>
      <c r="F128" s="33" t="str">
        <f>IFERROR(__xludf.DUMMYFUNCTION("""COMPUTED_VALUE"""),"The temperature of some water.")</f>
        <v>The temperature of some water.</v>
      </c>
      <c r="G128" s="33" t="str">
        <f>IFERROR(__xludf.DUMMYFUNCTION("""COMPUTED_VALUE"""),"Provide the numerical value for the temperature of the water (without units). ")</f>
        <v>Provide the numerical value for the temperature of the water (without units). </v>
      </c>
      <c r="H128" s="33">
        <f>IFERROR(__xludf.DUMMYFUNCTION("""COMPUTED_VALUE"""),4.0)</f>
        <v>4</v>
      </c>
      <c r="K128" s="39" t="s">
        <v>19</v>
      </c>
      <c r="L128" s="39" t="s">
        <v>19</v>
      </c>
      <c r="M128" s="39" t="s">
        <v>19</v>
      </c>
      <c r="O128" s="28" t="str">
        <f>IFERROR(__xludf.DUMMYFUNCTION("""COMPUTED_VALUE"""),"HPAI;HPAI_WW;HPAI_Enviro")</f>
        <v>HPAI;HPAI_WW;HPAI_Enviro</v>
      </c>
    </row>
    <row r="129">
      <c r="A129" s="33" t="str">
        <f>IFERROR(__xludf.DUMMYFUNCTION("""COMPUTED_VALUE"""),"Environmental conditions and measurements")</f>
        <v>Environmental conditions and measurements</v>
      </c>
      <c r="B129" s="33" t="str">
        <f>IFERROR(__xludf.DUMMYFUNCTION("""COMPUTED_VALUE"""),"water_temperature_units")</f>
        <v>water_temperature_units</v>
      </c>
      <c r="C129" s="33"/>
      <c r="D129" s="33"/>
      <c r="E129" s="33" t="str">
        <f>IFERROR(__xludf.DUMMYFUNCTION("""COMPUTED_VALUE"""),"GENEPIO:0101028")</f>
        <v>GENEPIO:0101028</v>
      </c>
      <c r="F129" s="33" t="str">
        <f>IFERROR(__xludf.DUMMYFUNCTION("""COMPUTED_VALUE"""),"The units of measurement for water temperature.")</f>
        <v>The units of measurement for water temperature.</v>
      </c>
      <c r="G129" s="33" t="str">
        <f>IFERROR(__xludf.DUMMYFUNCTION("""COMPUTED_VALUE"""),"Provide the units of measurement for which the temperature was recorded.")</f>
        <v>Provide the units of measurement for which the temperature was recorded.</v>
      </c>
      <c r="H129" s="33" t="str">
        <f>IFERROR(__xludf.DUMMYFUNCTION("""COMPUTED_VALUE"""),"degree Celsius (C) [UO:0000027]")</f>
        <v>degree Celsius (C) [UO:0000027]</v>
      </c>
      <c r="K129" s="39" t="s">
        <v>19</v>
      </c>
      <c r="L129" s="39" t="s">
        <v>19</v>
      </c>
      <c r="M129" s="39" t="s">
        <v>19</v>
      </c>
      <c r="O129" s="28" t="str">
        <f>IFERROR(__xludf.DUMMYFUNCTION("""COMPUTED_VALUE"""),"HPAI;HPAI_WW;HPAI_Enviro")</f>
        <v>HPAI;HPAI_WW;HPAI_Enviro</v>
      </c>
    </row>
    <row r="130">
      <c r="A130" s="33" t="str">
        <f>IFERROR(__xludf.DUMMYFUNCTION("""COMPUTED_VALUE"""),"Environmental conditions and measurements")</f>
        <v>Environmental conditions and measurements</v>
      </c>
      <c r="B130" s="33" t="str">
        <f>IFERROR(__xludf.DUMMYFUNCTION("""COMPUTED_VALUE"""),"weather_type")</f>
        <v>weather_type</v>
      </c>
      <c r="C130" s="33"/>
      <c r="D130" s="33"/>
      <c r="E130" s="33" t="str">
        <f>IFERROR(__xludf.DUMMYFUNCTION("""COMPUTED_VALUE"""),"GENEPIO:0100442")</f>
        <v>GENEPIO:0100442</v>
      </c>
      <c r="F130" s="33" t="str">
        <f>IFERROR(__xludf.DUMMYFUNCTION("""COMPUTED_VALUE"""),"The state of the atmosphere at a place and time as regards heat, dryness, sunshine, wind, rain, etc.")</f>
        <v>The state of the atmosphere at a place and time as regards heat, dryness, sunshine, wind, rain, etc.</v>
      </c>
      <c r="G130" s="33" t="str">
        <f>IFERROR(__xludf.DUMMYFUNCTION("""COMPUTED_VALUE"""),"Provide the weather conditions at the time of sample collection.")</f>
        <v>Provide the weather conditions at the time of sample collection.</v>
      </c>
      <c r="H130" s="33" t="str">
        <f>IFERROR(__xludf.DUMMYFUNCTION("""COMPUTED_VALUE"""),"Rain [ENVO:01001564]")</f>
        <v>Rain [ENVO:01001564]</v>
      </c>
      <c r="K130" s="39" t="s">
        <v>19</v>
      </c>
      <c r="L130" s="39" t="s">
        <v>19</v>
      </c>
      <c r="M130" s="39" t="s">
        <v>19</v>
      </c>
      <c r="O130" s="28" t="str">
        <f>IFERROR(__xludf.DUMMYFUNCTION("""COMPUTED_VALUE"""),"HPAI;HPAI_WW;HPAI_Enviro")</f>
        <v>HPAI;HPAI_WW;HPAI_Enviro</v>
      </c>
    </row>
    <row r="131">
      <c r="A131" s="33" t="str">
        <f>IFERROR(__xludf.DUMMYFUNCTION("""COMPUTED_VALUE"""),"Environmental conditions and measurements")</f>
        <v>Environmental conditions and measurements</v>
      </c>
      <c r="B131" s="33" t="str">
        <f>IFERROR(__xludf.DUMMYFUNCTION("""COMPUTED_VALUE"""),"precipitation measurement unit")</f>
        <v>precipitation measurement unit</v>
      </c>
      <c r="C131" s="33"/>
      <c r="D131" s="33" t="b">
        <f>IFERROR(__xludf.DUMMYFUNCTION("""COMPUTED_VALUE"""),TRUE)</f>
        <v>1</v>
      </c>
      <c r="E131" s="35" t="str">
        <f>IFERROR(__xludf.DUMMYFUNCTION("""COMPUTED_VALUE"""),"GENEPIO:0100912")</f>
        <v>GENEPIO:0100912</v>
      </c>
      <c r="F131" s="33" t="str">
        <f>IFERROR(__xludf.DUMMYFUNCTION("""COMPUTED_VALUE"""),"The units of measurement for the amount of water which has fallen during a precipitation process.")</f>
        <v>The units of measurement for the amount of water which has fallen during a precipitation process.</v>
      </c>
      <c r="G131" s="33" t="str">
        <f>IFERROR(__xludf.DUMMYFUNCTION("""COMPUTED_VALUE"""),"Provide the units of precipitation by selecting a value from the pick list.")</f>
        <v>Provide the units of precipitation by selecting a value from the pick list.</v>
      </c>
      <c r="H131" s="33" t="str">
        <f>IFERROR(__xludf.DUMMYFUNCTION("""COMPUTED_VALUE"""),"inch")</f>
        <v>inch</v>
      </c>
      <c r="K131" s="39" t="s">
        <v>19</v>
      </c>
      <c r="L131" s="39" t="s">
        <v>19</v>
      </c>
      <c r="M131" s="39" t="s">
        <v>19</v>
      </c>
      <c r="O131" s="28" t="str">
        <f>IFERROR(__xludf.DUMMYFUNCTION("""COMPUTED_VALUE"""),"HPAI;HPAI_WW;HPAI_Enviro")</f>
        <v>HPAI;HPAI_WW;HPAI_Enviro</v>
      </c>
    </row>
    <row r="132">
      <c r="A132" s="33" t="str">
        <f>IFERROR(__xludf.DUMMYFUNCTION("""COMPUTED_VALUE"""),"Environmental conditions and measurements")</f>
        <v>Environmental conditions and measurements</v>
      </c>
      <c r="B132" s="33" t="str">
        <f>IFERROR(__xludf.DUMMYFUNCTION("""COMPUTED_VALUE"""),"precipitation measurement method")</f>
        <v>precipitation measurement method</v>
      </c>
      <c r="C132" s="33"/>
      <c r="D132" s="33"/>
      <c r="E132" s="35" t="str">
        <f>IFERROR(__xludf.DUMMYFUNCTION("""COMPUTED_VALUE"""),"GENEPIO:0100913")</f>
        <v>GENEPIO:0100913</v>
      </c>
      <c r="F132" s="33" t="str">
        <f>IFERROR(__xludf.DUMMYFUNCTION("""COMPUTED_VALUE"""),"The process used to measure the amount of water which has fallen during a precipitation process.")</f>
        <v>The process used to measure the amount of water which has fallen during a precipitation process.</v>
      </c>
      <c r="G132" s="33" t="str">
        <f>IFERROR(__xludf.DUMMYFUNCTION("""COMPUTED_VALUE"""),"Provide the name of the procedure or method used to measure precipitation.")</f>
        <v>Provide the name of the procedure or method used to measure precipitation.</v>
      </c>
      <c r="H132" s="33" t="str">
        <f>IFERROR(__xludf.DUMMYFUNCTION("""COMPUTED_VALUE"""),"Rain gauge over a 12 hour period prior to sample collection")</f>
        <v>Rain gauge over a 12 hour period prior to sample collection</v>
      </c>
      <c r="K132" s="39" t="s">
        <v>19</v>
      </c>
      <c r="L132" s="39" t="s">
        <v>19</v>
      </c>
      <c r="M132" s="39" t="s">
        <v>19</v>
      </c>
      <c r="O132" s="28" t="str">
        <f>IFERROR(__xludf.DUMMYFUNCTION("""COMPUTED_VALUE"""),"HPAI;HPAI_WW;HPAI_Enviro")</f>
        <v>HPAI;HPAI_WW;HPAI_Enviro</v>
      </c>
    </row>
    <row r="133">
      <c r="A133" s="33" t="str">
        <f>IFERROR(__xludf.DUMMYFUNCTION("""COMPUTED_VALUE"""),"Environmental conditions and measurements")</f>
        <v>Environmental conditions and measurements</v>
      </c>
      <c r="B133" s="33" t="str">
        <f>IFERROR(__xludf.DUMMYFUNCTION("""COMPUTED_VALUE"""),"ambient temperature measurement value")</f>
        <v>ambient temperature measurement value</v>
      </c>
      <c r="C133" s="33"/>
      <c r="D133" s="33"/>
      <c r="E133" s="35" t="str">
        <f>IFERROR(__xludf.DUMMYFUNCTION("""COMPUTED_VALUE"""),"GENEPIO:0100935")</f>
        <v>GENEPIO:0100935</v>
      </c>
      <c r="F133" s="33" t="str">
        <f>IFERROR(__xludf.DUMMYFUNCTION("""COMPUTED_VALUE"""),"The numerical value of a measurement of the ambient temperature.")</f>
        <v>The numerical value of a measurement of the ambient temperature.</v>
      </c>
      <c r="G133" s="33" t="str">
        <f>IFERROR(__xludf.DUMMYFUNCTION("""COMPUTED_VALUE"""),"Provide the numerical value of the measured temperature.")</f>
        <v>Provide the numerical value of the measured temperature.</v>
      </c>
      <c r="H133" s="33">
        <f>IFERROR(__xludf.DUMMYFUNCTION("""COMPUTED_VALUE"""),70.0)</f>
        <v>70</v>
      </c>
      <c r="K133" s="39" t="s">
        <v>19</v>
      </c>
      <c r="L133" s="39" t="s">
        <v>19</v>
      </c>
      <c r="M133" s="39" t="s">
        <v>19</v>
      </c>
      <c r="O133" s="28" t="str">
        <f>IFERROR(__xludf.DUMMYFUNCTION("""COMPUTED_VALUE"""),"HPAI;HPAI_WW;HPAI_Enviro")</f>
        <v>HPAI;HPAI_WW;HPAI_Enviro</v>
      </c>
    </row>
    <row r="134">
      <c r="A134" s="33" t="str">
        <f>IFERROR(__xludf.DUMMYFUNCTION("""COMPUTED_VALUE"""),"Environmental conditions and measurements")</f>
        <v>Environmental conditions and measurements</v>
      </c>
      <c r="B134" s="33" t="str">
        <f>IFERROR(__xludf.DUMMYFUNCTION("""COMPUTED_VALUE"""),"ambient temperature measurement unit")</f>
        <v>ambient temperature measurement unit</v>
      </c>
      <c r="C134" s="33"/>
      <c r="D134" s="33"/>
      <c r="E134" s="35" t="str">
        <f>IFERROR(__xludf.DUMMYFUNCTION("""COMPUTED_VALUE"""),"GENEPIO:0100936")</f>
        <v>GENEPIO:0100936</v>
      </c>
      <c r="F134" s="33" t="str">
        <f>IFERROR(__xludf.DUMMYFUNCTION("""COMPUTED_VALUE"""),"The units of a measurement of the ambient temperature.")</f>
        <v>The units of a measurement of the ambient temperature.</v>
      </c>
      <c r="G134" s="33" t="str">
        <f>IFERROR(__xludf.DUMMYFUNCTION("""COMPUTED_VALUE"""),"Provide the units of the measured temperature.")</f>
        <v>Provide the units of the measured temperature.</v>
      </c>
      <c r="H134" s="33" t="str">
        <f>IFERROR(__xludf.DUMMYFUNCTION("""COMPUTED_VALUE"""),"degree Celsius (C)")</f>
        <v>degree Celsius (C)</v>
      </c>
      <c r="K134" s="39" t="s">
        <v>19</v>
      </c>
      <c r="L134" s="39" t="s">
        <v>19</v>
      </c>
      <c r="M134" s="39" t="s">
        <v>19</v>
      </c>
      <c r="O134" s="28" t="str">
        <f>IFERROR(__xludf.DUMMYFUNCTION("""COMPUTED_VALUE"""),"HPAI;HPAI_WW;HPAI_Enviro")</f>
        <v>HPAI;HPAI_WW;HPAI_Enviro</v>
      </c>
    </row>
    <row r="135">
      <c r="A135" s="33" t="str">
        <f>IFERROR(__xludf.DUMMYFUNCTION("""COMPUTED_VALUE"""),"Environmental conditions and measurements")</f>
        <v>Environmental conditions and measurements</v>
      </c>
      <c r="B135" s="33" t="str">
        <f>IFERROR(__xludf.DUMMYFUNCTION("""COMPUTED_VALUE"""),"pH measurement value")</f>
        <v>pH measurement value</v>
      </c>
      <c r="C135" s="33"/>
      <c r="D135" s="33"/>
      <c r="E135" s="33" t="str">
        <f>IFERROR(__xludf.DUMMYFUNCTION("""COMPUTED_VALUE"""),"GENEPIO:0001736")</f>
        <v>GENEPIO:0001736</v>
      </c>
      <c r="F135" s="33" t="str">
        <f>IFERROR(__xludf.DUMMYFUNCTION("""COMPUTED_VALUE"""),"The measured pH value indicating the acidity or basicity(alkalinity) of an aqueous solution.")</f>
        <v>The measured pH value indicating the acidity or basicity(alkalinity) of an aqueous solution.</v>
      </c>
      <c r="G135" s="33" t="str">
        <f>IFERROR(__xludf.DUMMYFUNCTION("""COMPUTED_VALUE"""),"Provide the numerical value of the measured pH.")</f>
        <v>Provide the numerical value of the measured pH.</v>
      </c>
      <c r="H135" s="33">
        <f>IFERROR(__xludf.DUMMYFUNCTION("""COMPUTED_VALUE"""),7.4)</f>
        <v>7.4</v>
      </c>
      <c r="K135" s="39" t="s">
        <v>19</v>
      </c>
      <c r="L135" s="39" t="s">
        <v>19</v>
      </c>
      <c r="M135" s="39" t="s">
        <v>19</v>
      </c>
      <c r="O135" s="28" t="str">
        <f>IFERROR(__xludf.DUMMYFUNCTION("""COMPUTED_VALUE"""),"HPAI;HPAI_WW;HPAI_Enviro")</f>
        <v>HPAI;HPAI_WW;HPAI_Enviro</v>
      </c>
    </row>
    <row r="136">
      <c r="A136" s="33" t="str">
        <f>IFERROR(__xludf.DUMMYFUNCTION("""COMPUTED_VALUE"""),"Environmental conditions and measurements")</f>
        <v>Environmental conditions and measurements</v>
      </c>
      <c r="B136" s="33" t="str">
        <f>IFERROR(__xludf.DUMMYFUNCTION("""COMPUTED_VALUE"""),"pH measurement method")</f>
        <v>pH measurement method</v>
      </c>
      <c r="C136" s="33"/>
      <c r="D136" s="33"/>
      <c r="E136" s="35" t="str">
        <f>IFERROR(__xludf.DUMMYFUNCTION("""COMPUTED_VALUE"""),"GENEPIO:0100781")</f>
        <v>GENEPIO:0100781</v>
      </c>
      <c r="F136" s="33" t="str">
        <f>IFERROR(__xludf.DUMMYFUNCTION("""COMPUTED_VALUE"""),"The process used to measure pH value.")</f>
        <v>The process used to measure pH value.</v>
      </c>
      <c r="G136" s="33" t="str">
        <f>IFERROR(__xludf.DUMMYFUNCTION("""COMPUTED_VALUE"""),"Provide the name of the procedure or technology used to measure pH.")</f>
        <v>Provide the name of the procedure or technology used to measure pH.</v>
      </c>
      <c r="H136" s="33" t="str">
        <f>IFERROR(__xludf.DUMMYFUNCTION("""COMPUTED_VALUE"""),"pH test strip (litmus test)")</f>
        <v>pH test strip (litmus test)</v>
      </c>
      <c r="K136" s="39" t="s">
        <v>19</v>
      </c>
      <c r="L136" s="39" t="s">
        <v>19</v>
      </c>
      <c r="M136" s="39" t="s">
        <v>19</v>
      </c>
      <c r="O136" s="28" t="str">
        <f>IFERROR(__xludf.DUMMYFUNCTION("""COMPUTED_VALUE"""),"HPAI;HPAI_WW;HPAI_Enviro")</f>
        <v>HPAI;HPAI_WW;HPAI_Enviro</v>
      </c>
    </row>
    <row r="137">
      <c r="A137" s="33" t="str">
        <f>IFERROR(__xludf.DUMMYFUNCTION("""COMPUTED_VALUE"""),"Environmental conditions and measurements")</f>
        <v>Environmental conditions and measurements</v>
      </c>
      <c r="B137" s="33" t="str">
        <f>IFERROR(__xludf.DUMMYFUNCTION("""COMPUTED_VALUE"""),"total daily flow rate measurement value")</f>
        <v>total daily flow rate measurement value</v>
      </c>
      <c r="C137" s="33"/>
      <c r="D137" s="33"/>
      <c r="E137" s="35" t="str">
        <f>IFERROR(__xludf.DUMMYFUNCTION("""COMPUTED_VALUE"""),"GENEPIO:0100905")</f>
        <v>GENEPIO:0100905</v>
      </c>
      <c r="F137" s="33" t="str">
        <f>IFERROR(__xludf.DUMMYFUNCTION("""COMPUTED_VALUE"""),"The numerical value of a measured fluid flow rate over the course of a day.")</f>
        <v>The numerical value of a measured fluid flow rate over the course of a day.</v>
      </c>
      <c r="G137" s="33" t="str">
        <f>IFERROR(__xludf.DUMMYFUNCTION("""COMPUTED_VALUE"""),"Provide the numerical value of the measured flow rate.")</f>
        <v>Provide the numerical value of the measured flow rate.</v>
      </c>
      <c r="H137" s="33">
        <f>IFERROR(__xludf.DUMMYFUNCTION("""COMPUTED_VALUE"""),10.0)</f>
        <v>10</v>
      </c>
      <c r="K137" s="39" t="s">
        <v>19</v>
      </c>
      <c r="L137" s="39" t="s">
        <v>19</v>
      </c>
      <c r="M137" s="39" t="s">
        <v>19</v>
      </c>
      <c r="O137" s="28" t="str">
        <f>IFERROR(__xludf.DUMMYFUNCTION("""COMPUTED_VALUE"""),"HPAI;HPAI_WW;HPAI_Enviro")</f>
        <v>HPAI;HPAI_WW;HPAI_Enviro</v>
      </c>
    </row>
    <row r="138">
      <c r="A138" s="33" t="str">
        <f>IFERROR(__xludf.DUMMYFUNCTION("""COMPUTED_VALUE"""),"Environmental conditions and measurements")</f>
        <v>Environmental conditions and measurements</v>
      </c>
      <c r="B138" s="33" t="str">
        <f>IFERROR(__xludf.DUMMYFUNCTION("""COMPUTED_VALUE"""),"total daily flow rate measurement unit")</f>
        <v>total daily flow rate measurement unit</v>
      </c>
      <c r="C138" s="33"/>
      <c r="D138" s="33"/>
      <c r="E138" s="35" t="str">
        <f>IFERROR(__xludf.DUMMYFUNCTION("""COMPUTED_VALUE"""),"GENEPIO:0100906")</f>
        <v>GENEPIO:0100906</v>
      </c>
      <c r="F138" s="33" t="str">
        <f>IFERROR(__xludf.DUMMYFUNCTION("""COMPUTED_VALUE"""),"The units of a measured fluid flow rate over the course of a day.")</f>
        <v>The units of a measured fluid flow rate over the course of a day.</v>
      </c>
      <c r="G138" s="33" t="str">
        <f>IFERROR(__xludf.DUMMYFUNCTION("""COMPUTED_VALUE"""),"Provide the units of the measured flow rate by selecting a value from the pick list.")</f>
        <v>Provide the units of the measured flow rate by selecting a value from the pick list.</v>
      </c>
      <c r="H138" s="33" t="str">
        <f>IFERROR(__xludf.DUMMYFUNCTION("""COMPUTED_VALUE"""),"million gallons per day (MGD)")</f>
        <v>million gallons per day (MGD)</v>
      </c>
      <c r="K138" s="39" t="s">
        <v>19</v>
      </c>
      <c r="L138" s="39" t="s">
        <v>19</v>
      </c>
      <c r="M138" s="39" t="s">
        <v>19</v>
      </c>
      <c r="O138" s="28" t="str">
        <f>IFERROR(__xludf.DUMMYFUNCTION("""COMPUTED_VALUE"""),"HPAI;HPAI_WW;HPAI_Enviro")</f>
        <v>HPAI;HPAI_WW;HPAI_Enviro</v>
      </c>
    </row>
    <row r="139">
      <c r="A139" s="33" t="str">
        <f>IFERROR(__xludf.DUMMYFUNCTION("""COMPUTED_VALUE"""),"Environmental conditions and measurements")</f>
        <v>Environmental conditions and measurements</v>
      </c>
      <c r="B139" s="33" t="str">
        <f>IFERROR(__xludf.DUMMYFUNCTION("""COMPUTED_VALUE"""),"total daily flow rate measurement method")</f>
        <v>total daily flow rate measurement method</v>
      </c>
      <c r="C139" s="33"/>
      <c r="D139" s="33"/>
      <c r="E139" s="35" t="str">
        <f>IFERROR(__xludf.DUMMYFUNCTION("""COMPUTED_VALUE"""),"GENEPIO:0100907")</f>
        <v>GENEPIO:0100907</v>
      </c>
      <c r="F139" s="33" t="str">
        <f>IFERROR(__xludf.DUMMYFUNCTION("""COMPUTED_VALUE"""),"The process used to measure total daily fluid flow rate.")</f>
        <v>The process used to measure total daily fluid flow rate.</v>
      </c>
      <c r="G139" s="33" t="str">
        <f>IFERROR(__xludf.DUMMYFUNCTION("""COMPUTED_VALUE"""),"Provide the name of the procedure or technology used to measure flow rate.")</f>
        <v>Provide the name of the procedure or technology used to measure flow rate.</v>
      </c>
      <c r="H139" s="33" t="str">
        <f>IFERROR(__xludf.DUMMYFUNCTION("""COMPUTED_VALUE"""),"Flow meter")</f>
        <v>Flow meter</v>
      </c>
      <c r="K139" s="39" t="s">
        <v>19</v>
      </c>
      <c r="L139" s="39" t="s">
        <v>19</v>
      </c>
      <c r="M139" s="39" t="s">
        <v>19</v>
      </c>
      <c r="O139" s="28" t="str">
        <f>IFERROR(__xludf.DUMMYFUNCTION("""COMPUTED_VALUE"""),"HPAI;HPAI_WW;HPAI_Enviro")</f>
        <v>HPAI;HPAI_WW;HPAI_Enviro</v>
      </c>
    </row>
    <row r="140">
      <c r="A140" s="33" t="str">
        <f>IFERROR(__xludf.DUMMYFUNCTION("""COMPUTED_VALUE"""),"Environmental conditions and measurements")</f>
        <v>Environmental conditions and measurements</v>
      </c>
      <c r="B140" s="33" t="str">
        <f>IFERROR(__xludf.DUMMYFUNCTION("""COMPUTED_VALUE"""),"instantaneous flow rate measurement value")</f>
        <v>instantaneous flow rate measurement value</v>
      </c>
      <c r="C140" s="33"/>
      <c r="D140" s="33"/>
      <c r="E140" s="35" t="str">
        <f>IFERROR(__xludf.DUMMYFUNCTION("""COMPUTED_VALUE"""),"GENEPIO:0100908")</f>
        <v>GENEPIO:0100908</v>
      </c>
      <c r="F140" s="33" t="str">
        <f>IFERROR(__xludf.DUMMYFUNCTION("""COMPUTED_VALUE"""),"The numerical value of a measured instantaneous fluid flow rate.")</f>
        <v>The numerical value of a measured instantaneous fluid flow rate.</v>
      </c>
      <c r="G140" s="33" t="str">
        <f>IFERROR(__xludf.DUMMYFUNCTION("""COMPUTED_VALUE"""),"Provide the numerical value of the measured flow rate.")</f>
        <v>Provide the numerical value of the measured flow rate.</v>
      </c>
      <c r="H140" s="33">
        <f>IFERROR(__xludf.DUMMYFUNCTION("""COMPUTED_VALUE"""),25.0)</f>
        <v>25</v>
      </c>
      <c r="K140" s="39" t="s">
        <v>19</v>
      </c>
      <c r="L140" s="39" t="s">
        <v>19</v>
      </c>
      <c r="M140" s="39" t="s">
        <v>19</v>
      </c>
      <c r="O140" s="28" t="str">
        <f>IFERROR(__xludf.DUMMYFUNCTION("""COMPUTED_VALUE"""),"HPAI;HPAI_WW;HPAI_Enviro")</f>
        <v>HPAI;HPAI_WW;HPAI_Enviro</v>
      </c>
    </row>
    <row r="141">
      <c r="A141" s="33" t="str">
        <f>IFERROR(__xludf.DUMMYFUNCTION("""COMPUTED_VALUE"""),"Environmental conditions and measurements")</f>
        <v>Environmental conditions and measurements</v>
      </c>
      <c r="B141" s="33" t="str">
        <f>IFERROR(__xludf.DUMMYFUNCTION("""COMPUTED_VALUE"""),"instantaneous flow rate measurement unit")</f>
        <v>instantaneous flow rate measurement unit</v>
      </c>
      <c r="C141" s="33"/>
      <c r="D141" s="33"/>
      <c r="E141" s="35" t="str">
        <f>IFERROR(__xludf.DUMMYFUNCTION("""COMPUTED_VALUE"""),"GENEPIO:0100909")</f>
        <v>GENEPIO:0100909</v>
      </c>
      <c r="F141" s="33" t="str">
        <f>IFERROR(__xludf.DUMMYFUNCTION("""COMPUTED_VALUE"""),"The units of a measured instantaneous fluid flow rate.")</f>
        <v>The units of a measured instantaneous fluid flow rate.</v>
      </c>
      <c r="G141" s="33" t="str">
        <f>IFERROR(__xludf.DUMMYFUNCTION("""COMPUTED_VALUE"""),"Provide the units of the measured flow rate by selecting a value from the pick list.")</f>
        <v>Provide the units of the measured flow rate by selecting a value from the pick list.</v>
      </c>
      <c r="H141" s="33" t="str">
        <f>IFERROR(__xludf.DUMMYFUNCTION("""COMPUTED_VALUE"""),"cubic meter per hour (m^3/h)")</f>
        <v>cubic meter per hour (m^3/h)</v>
      </c>
      <c r="K141" s="39" t="s">
        <v>19</v>
      </c>
      <c r="L141" s="39" t="s">
        <v>19</v>
      </c>
      <c r="M141" s="39" t="s">
        <v>19</v>
      </c>
      <c r="O141" s="28" t="str">
        <f>IFERROR(__xludf.DUMMYFUNCTION("""COMPUTED_VALUE"""),"HPAI;HPAI_WW;HPAI_Enviro")</f>
        <v>HPAI;HPAI_WW;HPAI_Enviro</v>
      </c>
    </row>
    <row r="142">
      <c r="A142" s="33" t="str">
        <f>IFERROR(__xludf.DUMMYFUNCTION("""COMPUTED_VALUE"""),"Environmental conditions and measurements")</f>
        <v>Environmental conditions and measurements</v>
      </c>
      <c r="B142" s="33" t="str">
        <f>IFERROR(__xludf.DUMMYFUNCTION("""COMPUTED_VALUE"""),"instantaneous flow rate measurement method")</f>
        <v>instantaneous flow rate measurement method</v>
      </c>
      <c r="C142" s="33"/>
      <c r="D142" s="33"/>
      <c r="E142" s="35" t="str">
        <f>IFERROR(__xludf.DUMMYFUNCTION("""COMPUTED_VALUE"""),"GENEPIO:0100910")</f>
        <v>GENEPIO:0100910</v>
      </c>
      <c r="F142" s="33" t="str">
        <f>IFERROR(__xludf.DUMMYFUNCTION("""COMPUTED_VALUE"""),"The process used to measure instantaneous fluid flow rate.")</f>
        <v>The process used to measure instantaneous fluid flow rate.</v>
      </c>
      <c r="G142" s="33" t="str">
        <f>IFERROR(__xludf.DUMMYFUNCTION("""COMPUTED_VALUE"""),"Provide the name of the procedure or technology used to measure flow rate.")</f>
        <v>Provide the name of the procedure or technology used to measure flow rate.</v>
      </c>
      <c r="H142" s="33" t="str">
        <f>IFERROR(__xludf.DUMMYFUNCTION("""COMPUTED_VALUE"""),"Flow meter")</f>
        <v>Flow meter</v>
      </c>
      <c r="K142" s="39" t="s">
        <v>19</v>
      </c>
      <c r="L142" s="39" t="s">
        <v>19</v>
      </c>
      <c r="M142" s="39" t="s">
        <v>19</v>
      </c>
      <c r="O142" s="28" t="str">
        <f>IFERROR(__xludf.DUMMYFUNCTION("""COMPUTED_VALUE"""),"HPAI;HPAI_WW;HPAI_Enviro")</f>
        <v>HPAI;HPAI_WW;HPAI_Enviro</v>
      </c>
    </row>
    <row r="143">
      <c r="A143" s="33" t="str">
        <f>IFERROR(__xludf.DUMMYFUNCTION("""COMPUTED_VALUE"""),"Environmental conditions and measurements")</f>
        <v>Environmental conditions and measurements</v>
      </c>
      <c r="B143" s="33" t="str">
        <f>IFERROR(__xludf.DUMMYFUNCTION("""COMPUTED_VALUE"""),"turbidity measurement value")</f>
        <v>turbidity measurement value</v>
      </c>
      <c r="C143" s="33"/>
      <c r="D143" s="33" t="b">
        <f>IFERROR(__xludf.DUMMYFUNCTION("""COMPUTED_VALUE"""),TRUE)</f>
        <v>1</v>
      </c>
      <c r="E143" s="35" t="str">
        <f>IFERROR(__xludf.DUMMYFUNCTION("""COMPUTED_VALUE"""),"GENEPIO:0100783")</f>
        <v>GENEPIO:0100783</v>
      </c>
      <c r="F143" s="33" t="str">
        <f>IFERROR(__xludf.DUMMYFUNCTION("""COMPUTED_VALUE"""),"The numerical value of a measurement of turbidity.")</f>
        <v>The numerical value of a measurement of turbidity.</v>
      </c>
      <c r="G143" s="33" t="str">
        <f>IFERROR(__xludf.DUMMYFUNCTION("""COMPUTED_VALUE"""),"Provide the numerical value of the measured turbidity.")</f>
        <v>Provide the numerical value of the measured turbidity.</v>
      </c>
      <c r="H143" s="33">
        <f>IFERROR(__xludf.DUMMYFUNCTION("""COMPUTED_VALUE"""),0.02)</f>
        <v>0.02</v>
      </c>
      <c r="K143" s="39" t="s">
        <v>19</v>
      </c>
      <c r="L143" s="39" t="s">
        <v>19</v>
      </c>
      <c r="M143" s="39" t="s">
        <v>19</v>
      </c>
      <c r="O143" s="28" t="str">
        <f>IFERROR(__xludf.DUMMYFUNCTION("""COMPUTED_VALUE"""),"HPAI;HPAI_WW;HPAI_Enviro")</f>
        <v>HPAI;HPAI_WW;HPAI_Enviro</v>
      </c>
    </row>
    <row r="144">
      <c r="A144" s="33" t="str">
        <f>IFERROR(__xludf.DUMMYFUNCTION("""COMPUTED_VALUE"""),"Environmental conditions and measurements")</f>
        <v>Environmental conditions and measurements</v>
      </c>
      <c r="B144" s="33" t="str">
        <f>IFERROR(__xludf.DUMMYFUNCTION("""COMPUTED_VALUE"""),"turbidity measurement unit")</f>
        <v>turbidity measurement unit</v>
      </c>
      <c r="C144" s="33"/>
      <c r="D144" s="33" t="b">
        <f>IFERROR(__xludf.DUMMYFUNCTION("""COMPUTED_VALUE"""),TRUE)</f>
        <v>1</v>
      </c>
      <c r="E144" s="35" t="str">
        <f>IFERROR(__xludf.DUMMYFUNCTION("""COMPUTED_VALUE"""),"GENEPIO:0100914")</f>
        <v>GENEPIO:0100914</v>
      </c>
      <c r="F144" s="33" t="str">
        <f>IFERROR(__xludf.DUMMYFUNCTION("""COMPUTED_VALUE"""),"The units of a measurement of turbidity.")</f>
        <v>The units of a measurement of turbidity.</v>
      </c>
      <c r="G144" s="33" t="str">
        <f>IFERROR(__xludf.DUMMYFUNCTION("""COMPUTED_VALUE"""),"Provide the units of the measured turbidity by selecting a value from the pick list.")</f>
        <v>Provide the units of the measured turbidity by selecting a value from the pick list.</v>
      </c>
      <c r="H144" s="33" t="str">
        <f>IFERROR(__xludf.DUMMYFUNCTION("""COMPUTED_VALUE"""),"nephelometric turbidity unit (NTU)")</f>
        <v>nephelometric turbidity unit (NTU)</v>
      </c>
      <c r="K144" s="39" t="s">
        <v>19</v>
      </c>
      <c r="L144" s="39" t="s">
        <v>19</v>
      </c>
      <c r="M144" s="39" t="s">
        <v>19</v>
      </c>
      <c r="O144" s="28" t="str">
        <f>IFERROR(__xludf.DUMMYFUNCTION("""COMPUTED_VALUE"""),"HPAI;HPAI_WW;HPAI_Enviro")</f>
        <v>HPAI;HPAI_WW;HPAI_Enviro</v>
      </c>
    </row>
    <row r="145">
      <c r="A145" s="33" t="str">
        <f>IFERROR(__xludf.DUMMYFUNCTION("""COMPUTED_VALUE"""),"Environmental conditions and measurements")</f>
        <v>Environmental conditions and measurements</v>
      </c>
      <c r="B145" s="33" t="str">
        <f>IFERROR(__xludf.DUMMYFUNCTION("""COMPUTED_VALUE"""),"turbidity measurement method")</f>
        <v>turbidity measurement method</v>
      </c>
      <c r="C145" s="33"/>
      <c r="D145" s="33"/>
      <c r="E145" s="35" t="str">
        <f>IFERROR(__xludf.DUMMYFUNCTION("""COMPUTED_VALUE"""),"GENEPIO:0101013")</f>
        <v>GENEPIO:0101013</v>
      </c>
      <c r="F145" s="33" t="str">
        <f>IFERROR(__xludf.DUMMYFUNCTION("""COMPUTED_VALUE"""),"The process used to measure turbidity.")</f>
        <v>The process used to measure turbidity.</v>
      </c>
      <c r="G145" s="33" t="str">
        <f>IFERROR(__xludf.DUMMYFUNCTION("""COMPUTED_VALUE"""),"Provide the name of the procedure or technology used to measure turbidity.")</f>
        <v>Provide the name of the procedure or technology used to measure turbidity.</v>
      </c>
      <c r="H145" s="33" t="str">
        <f>IFERROR(__xludf.DUMMYFUNCTION("""COMPUTED_VALUE"""),"Nephelometric method")</f>
        <v>Nephelometric method</v>
      </c>
      <c r="K145" s="39" t="s">
        <v>19</v>
      </c>
      <c r="L145" s="39" t="s">
        <v>19</v>
      </c>
      <c r="M145" s="39" t="s">
        <v>19</v>
      </c>
      <c r="O145" s="28" t="str">
        <f>IFERROR(__xludf.DUMMYFUNCTION("""COMPUTED_VALUE"""),"HPAI;HPAI_WW;HPAI_Enviro")</f>
        <v>HPAI;HPAI_WW;HPAI_Enviro</v>
      </c>
    </row>
    <row r="146">
      <c r="A146" s="33" t="str">
        <f>IFERROR(__xludf.DUMMYFUNCTION("""COMPUTED_VALUE"""),"Environmental conditions and measurements")</f>
        <v>Environmental conditions and measurements</v>
      </c>
      <c r="B146" s="33" t="str">
        <f>IFERROR(__xludf.DUMMYFUNCTION("""COMPUTED_VALUE"""),"dissolved oxygen measurement value")</f>
        <v>dissolved oxygen measurement value</v>
      </c>
      <c r="C146" s="33"/>
      <c r="D146" s="33"/>
      <c r="E146" s="35" t="str">
        <f>IFERROR(__xludf.DUMMYFUNCTION("""COMPUTED_VALUE"""),"GENEPIO:0100915")</f>
        <v>GENEPIO:0100915</v>
      </c>
      <c r="F146" s="33" t="str">
        <f>IFERROR(__xludf.DUMMYFUNCTION("""COMPUTED_VALUE"""),"The numerical value of a measurement of dissolved oxygen.")</f>
        <v>The numerical value of a measurement of dissolved oxygen.</v>
      </c>
      <c r="G146" s="33" t="str">
        <f>IFERROR(__xludf.DUMMYFUNCTION("""COMPUTED_VALUE"""),"Provide the numerical value of the measured dissolved oxygen.")</f>
        <v>Provide the numerical value of the measured dissolved oxygen.</v>
      </c>
      <c r="H146" s="33">
        <f>IFERROR(__xludf.DUMMYFUNCTION("""COMPUTED_VALUE"""),5.0)</f>
        <v>5</v>
      </c>
      <c r="K146" s="39" t="s">
        <v>19</v>
      </c>
      <c r="L146" s="39" t="s">
        <v>19</v>
      </c>
      <c r="M146" s="39" t="s">
        <v>19</v>
      </c>
      <c r="O146" s="28" t="str">
        <f>IFERROR(__xludf.DUMMYFUNCTION("""COMPUTED_VALUE"""),"HPAI;HPAI_WW;HPAI_Enviro")</f>
        <v>HPAI;HPAI_WW;HPAI_Enviro</v>
      </c>
    </row>
    <row r="147">
      <c r="A147" s="33" t="str">
        <f>IFERROR(__xludf.DUMMYFUNCTION("""COMPUTED_VALUE"""),"Environmental conditions and measurements")</f>
        <v>Environmental conditions and measurements</v>
      </c>
      <c r="B147" s="33" t="str">
        <f>IFERROR(__xludf.DUMMYFUNCTION("""COMPUTED_VALUE"""),"dissolved oxygen measurement unit")</f>
        <v>dissolved oxygen measurement unit</v>
      </c>
      <c r="C147" s="33"/>
      <c r="D147" s="33"/>
      <c r="E147" s="35" t="str">
        <f>IFERROR(__xludf.DUMMYFUNCTION("""COMPUTED_VALUE"""),"GENEPIO:0100784")</f>
        <v>GENEPIO:0100784</v>
      </c>
      <c r="F147" s="33" t="str">
        <f>IFERROR(__xludf.DUMMYFUNCTION("""COMPUTED_VALUE"""),"The units of a measurement of dissolved oxygen.")</f>
        <v>The units of a measurement of dissolved oxygen.</v>
      </c>
      <c r="G147" s="33" t="str">
        <f>IFERROR(__xludf.DUMMYFUNCTION("""COMPUTED_VALUE"""),"Provide the units of the measured dissolved oxygen by selecting a value from the pick list.")</f>
        <v>Provide the units of the measured dissolved oxygen by selecting a value from the pick list.</v>
      </c>
      <c r="H147" s="33" t="str">
        <f>IFERROR(__xludf.DUMMYFUNCTION("""COMPUTED_VALUE"""),"part per million (ppm)")</f>
        <v>part per million (ppm)</v>
      </c>
      <c r="K147" s="39" t="s">
        <v>19</v>
      </c>
      <c r="L147" s="39" t="s">
        <v>19</v>
      </c>
      <c r="M147" s="39" t="s">
        <v>19</v>
      </c>
      <c r="O147" s="28" t="str">
        <f>IFERROR(__xludf.DUMMYFUNCTION("""COMPUTED_VALUE"""),"HPAI;HPAI_WW;HPAI_Enviro")</f>
        <v>HPAI;HPAI_WW;HPAI_Enviro</v>
      </c>
    </row>
    <row r="148">
      <c r="A148" s="33" t="str">
        <f>IFERROR(__xludf.DUMMYFUNCTION("""COMPUTED_VALUE"""),"Environmental conditions and measurements")</f>
        <v>Environmental conditions and measurements</v>
      </c>
      <c r="B148" s="33" t="str">
        <f>IFERROR(__xludf.DUMMYFUNCTION("""COMPUTED_VALUE"""),"dissolved oxygen measurement method")</f>
        <v>dissolved oxygen measurement method</v>
      </c>
      <c r="C148" s="33"/>
      <c r="D148" s="33"/>
      <c r="E148" s="35" t="str">
        <f>IFERROR(__xludf.DUMMYFUNCTION("""COMPUTED_VALUE"""),"GENEPIO:0100785")</f>
        <v>GENEPIO:0100785</v>
      </c>
      <c r="F148" s="33" t="str">
        <f>IFERROR(__xludf.DUMMYFUNCTION("""COMPUTED_VALUE"""),"The method used to measure dissolved oxygen.")</f>
        <v>The method used to measure dissolved oxygen.</v>
      </c>
      <c r="G148" s="33" t="str">
        <f>IFERROR(__xludf.DUMMYFUNCTION("""COMPUTED_VALUE"""),"Provide the name of the procedure or technology used to measure dissolved oxygen.")</f>
        <v>Provide the name of the procedure or technology used to measure dissolved oxygen.</v>
      </c>
      <c r="H148" s="33" t="str">
        <f>IFERROR(__xludf.DUMMYFUNCTION("""COMPUTED_VALUE"""),"Dissolved oxygen meter in vertical direction")</f>
        <v>Dissolved oxygen meter in vertical direction</v>
      </c>
      <c r="K148" s="39" t="s">
        <v>19</v>
      </c>
      <c r="L148" s="39" t="s">
        <v>19</v>
      </c>
      <c r="M148" s="39" t="s">
        <v>19</v>
      </c>
      <c r="O148" s="28" t="str">
        <f>IFERROR(__xludf.DUMMYFUNCTION("""COMPUTED_VALUE"""),"HPAI;HPAI_WW;HPAI_Enviro")</f>
        <v>HPAI;HPAI_WW;HPAI_Enviro</v>
      </c>
    </row>
    <row r="149">
      <c r="A149" s="33" t="str">
        <f>IFERROR(__xludf.DUMMYFUNCTION("""COMPUTED_VALUE"""),"Environmental conditions and measurements")</f>
        <v>Environmental conditions and measurements</v>
      </c>
      <c r="B149" s="33" t="str">
        <f>IFERROR(__xludf.DUMMYFUNCTION("""COMPUTED_VALUE"""),"oxygen reduction potential (ORP) measurement value")</f>
        <v>oxygen reduction potential (ORP) measurement value</v>
      </c>
      <c r="C149" s="33"/>
      <c r="D149" s="33"/>
      <c r="E149" s="35" t="str">
        <f>IFERROR(__xludf.DUMMYFUNCTION("""COMPUTED_VALUE"""),"GENEPIO:0100917")</f>
        <v>GENEPIO:0100917</v>
      </c>
      <c r="F149" s="33" t="str">
        <f>IFERROR(__xludf.DUMMYFUNCTION("""COMPUTED_VALUE"""),"The numerical value of a measurement of oxygen reduction potential (ORP).")</f>
        <v>The numerical value of a measurement of oxygen reduction potential (ORP).</v>
      </c>
      <c r="G149" s="33" t="str">
        <f>IFERROR(__xludf.DUMMYFUNCTION("""COMPUTED_VALUE"""),"Provide the numerical value of the measured oxygen reduction potential.")</f>
        <v>Provide the numerical value of the measured oxygen reduction potential.</v>
      </c>
      <c r="H149" s="33">
        <f>IFERROR(__xludf.DUMMYFUNCTION("""COMPUTED_VALUE"""),-50.0)</f>
        <v>-50</v>
      </c>
      <c r="K149" s="39" t="s">
        <v>19</v>
      </c>
      <c r="L149" s="39" t="s">
        <v>19</v>
      </c>
      <c r="M149" s="39" t="s">
        <v>19</v>
      </c>
      <c r="O149" s="28" t="str">
        <f>IFERROR(__xludf.DUMMYFUNCTION("""COMPUTED_VALUE"""),"HPAI;HPAI_WW;HPAI_Enviro")</f>
        <v>HPAI;HPAI_WW;HPAI_Enviro</v>
      </c>
    </row>
    <row r="150">
      <c r="A150" s="33" t="str">
        <f>IFERROR(__xludf.DUMMYFUNCTION("""COMPUTED_VALUE"""),"Environmental conditions and measurements")</f>
        <v>Environmental conditions and measurements</v>
      </c>
      <c r="B150" s="33" t="str">
        <f>IFERROR(__xludf.DUMMYFUNCTION("""COMPUTED_VALUE"""),"oxygen reduction potential (ORP) measurement unit")</f>
        <v>oxygen reduction potential (ORP) measurement unit</v>
      </c>
      <c r="C150" s="33"/>
      <c r="D150" s="33"/>
      <c r="E150" s="35" t="str">
        <f>IFERROR(__xludf.DUMMYFUNCTION("""COMPUTED_VALUE"""),"GENEPIO:0100786")</f>
        <v>GENEPIO:0100786</v>
      </c>
      <c r="F150" s="33" t="str">
        <f>IFERROR(__xludf.DUMMYFUNCTION("""COMPUTED_VALUE"""),"The units of a measurement of oxygen reduction potential (ORP).")</f>
        <v>The units of a measurement of oxygen reduction potential (ORP).</v>
      </c>
      <c r="G150" s="33" t="str">
        <f>IFERROR(__xludf.DUMMYFUNCTION("""COMPUTED_VALUE"""),"Provide the units of the measured oxygen reduction potential by selecting a value from the pick list.")</f>
        <v>Provide the units of the measured oxygen reduction potential by selecting a value from the pick list.</v>
      </c>
      <c r="H150" s="33" t="str">
        <f>IFERROR(__xludf.DUMMYFUNCTION("""COMPUTED_VALUE"""),"milliVolt (mV)")</f>
        <v>milliVolt (mV)</v>
      </c>
      <c r="K150" s="39" t="s">
        <v>19</v>
      </c>
      <c r="L150" s="39" t="s">
        <v>19</v>
      </c>
      <c r="M150" s="39" t="s">
        <v>19</v>
      </c>
      <c r="O150" s="28" t="str">
        <f>IFERROR(__xludf.DUMMYFUNCTION("""COMPUTED_VALUE"""),"HPAI;HPAI_WW;HPAI_Enviro")</f>
        <v>HPAI;HPAI_WW;HPAI_Enviro</v>
      </c>
    </row>
    <row r="151">
      <c r="A151" s="33" t="str">
        <f>IFERROR(__xludf.DUMMYFUNCTION("""COMPUTED_VALUE"""),"Environmental conditions and measurements")</f>
        <v>Environmental conditions and measurements</v>
      </c>
      <c r="B151" s="33" t="str">
        <f>IFERROR(__xludf.DUMMYFUNCTION("""COMPUTED_VALUE"""),"oxygen reduction potential (ORP) measurement method")</f>
        <v>oxygen reduction potential (ORP) measurement method</v>
      </c>
      <c r="C151" s="33"/>
      <c r="D151" s="33"/>
      <c r="E151" s="35" t="str">
        <f>IFERROR(__xludf.DUMMYFUNCTION("""COMPUTED_VALUE"""),"GENEPIO:0100787")</f>
        <v>GENEPIO:0100787</v>
      </c>
      <c r="F151" s="33" t="str">
        <f>IFERROR(__xludf.DUMMYFUNCTION("""COMPUTED_VALUE"""),"The method used to measure oxygen reduction potential (ORP).")</f>
        <v>The method used to measure oxygen reduction potential (ORP).</v>
      </c>
      <c r="G151" s="33" t="str">
        <f>IFERROR(__xludf.DUMMYFUNCTION("""COMPUTED_VALUE"""),"Provide the name of the procedure or technology used to measure oxygen reduction potential.")</f>
        <v>Provide the name of the procedure or technology used to measure oxygen reduction potential.</v>
      </c>
      <c r="H151" s="33" t="str">
        <f>IFERROR(__xludf.DUMMYFUNCTION("""COMPUTED_VALUE"""),"ORP sensor")</f>
        <v>ORP sensor</v>
      </c>
      <c r="K151" s="39" t="s">
        <v>19</v>
      </c>
      <c r="L151" s="39" t="s">
        <v>19</v>
      </c>
      <c r="M151" s="39" t="s">
        <v>19</v>
      </c>
      <c r="O151" s="28" t="str">
        <f>IFERROR(__xludf.DUMMYFUNCTION("""COMPUTED_VALUE"""),"HPAI;HPAI_WW;HPAI_Enviro")</f>
        <v>HPAI;HPAI_WW;HPAI_Enviro</v>
      </c>
    </row>
    <row r="152">
      <c r="A152" s="33" t="str">
        <f>IFERROR(__xludf.DUMMYFUNCTION("""COMPUTED_VALUE"""),"Environmental conditions and measurements")</f>
        <v>Environmental conditions and measurements</v>
      </c>
      <c r="B152" s="33" t="str">
        <f>IFERROR(__xludf.DUMMYFUNCTION("""COMPUTED_VALUE"""),"chemical oxygen demand (COD) measurement value")</f>
        <v>chemical oxygen demand (COD) measurement value</v>
      </c>
      <c r="C152" s="33"/>
      <c r="D152" s="33"/>
      <c r="E152" s="35" t="str">
        <f>IFERROR(__xludf.DUMMYFUNCTION("""COMPUTED_VALUE"""),"GENEPIO:0100788")</f>
        <v>GENEPIO:0100788</v>
      </c>
      <c r="F152" s="33" t="str">
        <f>IFERROR(__xludf.DUMMYFUNCTION("""COMPUTED_VALUE"""),"The measured value from a chemical oxygen demand (COD) test.")</f>
        <v>The measured value from a chemical oxygen demand (COD) test.</v>
      </c>
      <c r="G152" s="33" t="str">
        <f>IFERROR(__xludf.DUMMYFUNCTION("""COMPUTED_VALUE"""),"Provide the numerical value of the COD test result.")</f>
        <v>Provide the numerical value of the COD test result.</v>
      </c>
      <c r="H152" s="33">
        <f>IFERROR(__xludf.DUMMYFUNCTION("""COMPUTED_VALUE"""),26.0)</f>
        <v>26</v>
      </c>
      <c r="K152" s="39" t="s">
        <v>19</v>
      </c>
      <c r="L152" s="39" t="s">
        <v>19</v>
      </c>
      <c r="M152" s="39" t="s">
        <v>19</v>
      </c>
      <c r="O152" s="28" t="str">
        <f>IFERROR(__xludf.DUMMYFUNCTION("""COMPUTED_VALUE"""),"HPAI;HPAI_WW;HPAI_Enviro")</f>
        <v>HPAI;HPAI_WW;HPAI_Enviro</v>
      </c>
    </row>
    <row r="153">
      <c r="A153" s="33" t="str">
        <f>IFERROR(__xludf.DUMMYFUNCTION("""COMPUTED_VALUE"""),"Environmental conditions and measurements")</f>
        <v>Environmental conditions and measurements</v>
      </c>
      <c r="B153" s="33" t="str">
        <f>IFERROR(__xludf.DUMMYFUNCTION("""COMPUTED_VALUE"""),"chemical oxygen demand (COD) measurement unit")</f>
        <v>chemical oxygen demand (COD) measurement unit</v>
      </c>
      <c r="C153" s="33"/>
      <c r="D153" s="33"/>
      <c r="E153" s="35" t="str">
        <f>IFERROR(__xludf.DUMMYFUNCTION("""COMPUTED_VALUE"""),"GENEPIO:0100789")</f>
        <v>GENEPIO:0100789</v>
      </c>
      <c r="F153" s="33" t="str">
        <f>IFERROR(__xludf.DUMMYFUNCTION("""COMPUTED_VALUE"""),"The units associated with a value from a chemical oxygen demand (COD) test.")</f>
        <v>The units associated with a value from a chemical oxygen demand (COD) test.</v>
      </c>
      <c r="G153" s="33" t="str">
        <f>IFERROR(__xludf.DUMMYFUNCTION("""COMPUTED_VALUE"""),"Provide the units of the COD test result.")</f>
        <v>Provide the units of the COD test result.</v>
      </c>
      <c r="H153" s="33" t="str">
        <f>IFERROR(__xludf.DUMMYFUNCTION("""COMPUTED_VALUE"""),"milligram per liter (mg/L)")</f>
        <v>milligram per liter (mg/L)</v>
      </c>
      <c r="K153" s="39" t="s">
        <v>19</v>
      </c>
      <c r="L153" s="39" t="s">
        <v>19</v>
      </c>
      <c r="M153" s="39" t="s">
        <v>19</v>
      </c>
      <c r="O153" s="28" t="str">
        <f>IFERROR(__xludf.DUMMYFUNCTION("""COMPUTED_VALUE"""),"HPAI;HPAI_WW;HPAI_Enviro")</f>
        <v>HPAI;HPAI_WW;HPAI_Enviro</v>
      </c>
    </row>
    <row r="154">
      <c r="A154" s="33" t="str">
        <f>IFERROR(__xludf.DUMMYFUNCTION("""COMPUTED_VALUE"""),"Environmental conditions and measurements")</f>
        <v>Environmental conditions and measurements</v>
      </c>
      <c r="B154" s="33" t="str">
        <f>IFERROR(__xludf.DUMMYFUNCTION("""COMPUTED_VALUE"""),"chemical oxygen demand (COD) measurement method")</f>
        <v>chemical oxygen demand (COD) measurement method</v>
      </c>
      <c r="C154" s="33"/>
      <c r="D154" s="33"/>
      <c r="E154" s="35" t="str">
        <f>IFERROR(__xludf.DUMMYFUNCTION("""COMPUTED_VALUE"""),"GENEPIO:0100790")</f>
        <v>GENEPIO:0100790</v>
      </c>
      <c r="F154" s="33" t="str">
        <f>IFERROR(__xludf.DUMMYFUNCTION("""COMPUTED_VALUE"""),"The method used to measure chemical oxygen demand (COD).")</f>
        <v>The method used to measure chemical oxygen demand (COD).</v>
      </c>
      <c r="G154" s="33" t="str">
        <f>IFERROR(__xludf.DUMMYFUNCTION("""COMPUTED_VALUE"""),"Provide the name of the procedure or technology used to measure COD.")</f>
        <v>Provide the name of the procedure or technology used to measure COD.</v>
      </c>
      <c r="H154" s="33" t="str">
        <f>IFERROR(__xludf.DUMMYFUNCTION("""COMPUTED_VALUE"""),"Hach LCK test kit")</f>
        <v>Hach LCK test kit</v>
      </c>
      <c r="K154" s="39" t="s">
        <v>19</v>
      </c>
      <c r="L154" s="39" t="s">
        <v>19</v>
      </c>
      <c r="M154" s="39" t="s">
        <v>19</v>
      </c>
      <c r="O154" s="28" t="str">
        <f>IFERROR(__xludf.DUMMYFUNCTION("""COMPUTED_VALUE"""),"HPAI;HPAI_WW;HPAI_Enviro")</f>
        <v>HPAI;HPAI_WW;HPAI_Enviro</v>
      </c>
    </row>
    <row r="155">
      <c r="A155" s="33" t="str">
        <f>IFERROR(__xludf.DUMMYFUNCTION("""COMPUTED_VALUE"""),"Environmental conditions and measurements")</f>
        <v>Environmental conditions and measurements</v>
      </c>
      <c r="B155" s="33" t="str">
        <f>IFERROR(__xludf.DUMMYFUNCTION("""COMPUTED_VALUE"""),"carbonaceous biochemical oxygen demand (CBOD) measurement value")</f>
        <v>carbonaceous biochemical oxygen demand (CBOD) measurement value</v>
      </c>
      <c r="C155" s="33"/>
      <c r="D155" s="33"/>
      <c r="E155" s="35" t="str">
        <f>IFERROR(__xludf.DUMMYFUNCTION("""COMPUTED_VALUE"""),"GENEPIO:0100791")</f>
        <v>GENEPIO:0100791</v>
      </c>
      <c r="F155" s="33" t="str">
        <f>IFERROR(__xludf.DUMMYFUNCTION("""COMPUTED_VALUE"""),"The numerical value of a measurement of carbonaceous biochemical oxygen demand (CBOD).")</f>
        <v>The numerical value of a measurement of carbonaceous biochemical oxygen demand (CBOD).</v>
      </c>
      <c r="G155" s="33" t="str">
        <f>IFERROR(__xludf.DUMMYFUNCTION("""COMPUTED_VALUE"""),"Provide the numerical value of the measured CBOD.")</f>
        <v>Provide the numerical value of the measured CBOD.</v>
      </c>
      <c r="H155" s="33">
        <f>IFERROR(__xludf.DUMMYFUNCTION("""COMPUTED_VALUE"""),20.0)</f>
        <v>20</v>
      </c>
      <c r="K155" s="39" t="s">
        <v>19</v>
      </c>
      <c r="L155" s="39" t="s">
        <v>19</v>
      </c>
      <c r="M155" s="39" t="s">
        <v>19</v>
      </c>
      <c r="O155" s="28" t="str">
        <f>IFERROR(__xludf.DUMMYFUNCTION("""COMPUTED_VALUE"""),"HPAI;HPAI_WW;HPAI_Enviro")</f>
        <v>HPAI;HPAI_WW;HPAI_Enviro</v>
      </c>
    </row>
    <row r="156">
      <c r="A156" s="33" t="str">
        <f>IFERROR(__xludf.DUMMYFUNCTION("""COMPUTED_VALUE"""),"Environmental conditions and measurements")</f>
        <v>Environmental conditions and measurements</v>
      </c>
      <c r="B156" s="33" t="str">
        <f>IFERROR(__xludf.DUMMYFUNCTION("""COMPUTED_VALUE"""),"carbonaceous biochemical oxygen demand (CBOD) measurement unit")</f>
        <v>carbonaceous biochemical oxygen demand (CBOD) measurement unit</v>
      </c>
      <c r="C156" s="33"/>
      <c r="D156" s="33"/>
      <c r="E156" s="35" t="str">
        <f>IFERROR(__xludf.DUMMYFUNCTION("""COMPUTED_VALUE"""),"GENEPIO:0100792")</f>
        <v>GENEPIO:0100792</v>
      </c>
      <c r="F156" s="33" t="str">
        <f>IFERROR(__xludf.DUMMYFUNCTION("""COMPUTED_VALUE"""),"The units of a measurement of carbonaceous biochemical oxygen demand (CBOD).")</f>
        <v>The units of a measurement of carbonaceous biochemical oxygen demand (CBOD).</v>
      </c>
      <c r="G156" s="33" t="str">
        <f>IFERROR(__xludf.DUMMYFUNCTION("""COMPUTED_VALUE"""),"Provide the units of the measured CBOD by selecting a value from the pick list.")</f>
        <v>Provide the units of the measured CBOD by selecting a value from the pick list.</v>
      </c>
      <c r="H156" s="33" t="str">
        <f>IFERROR(__xludf.DUMMYFUNCTION("""COMPUTED_VALUE"""),"milligram per liter (mg/L)")</f>
        <v>milligram per liter (mg/L)</v>
      </c>
      <c r="K156" s="39" t="s">
        <v>19</v>
      </c>
      <c r="L156" s="39" t="s">
        <v>19</v>
      </c>
      <c r="M156" s="39" t="s">
        <v>19</v>
      </c>
      <c r="O156" s="28" t="str">
        <f>IFERROR(__xludf.DUMMYFUNCTION("""COMPUTED_VALUE"""),"HPAI;HPAI_WW;HPAI_Enviro")</f>
        <v>HPAI;HPAI_WW;HPAI_Enviro</v>
      </c>
    </row>
    <row r="157">
      <c r="A157" s="33" t="str">
        <f>IFERROR(__xludf.DUMMYFUNCTION("""COMPUTED_VALUE"""),"Environmental conditions and measurements")</f>
        <v>Environmental conditions and measurements</v>
      </c>
      <c r="B157" s="33" t="str">
        <f>IFERROR(__xludf.DUMMYFUNCTION("""COMPUTED_VALUE"""),"carbonaceous biochemical oxygen demand (CBOD) measurement method")</f>
        <v>carbonaceous biochemical oxygen demand (CBOD) measurement method</v>
      </c>
      <c r="C157" s="33"/>
      <c r="D157" s="33"/>
      <c r="E157" s="35" t="str">
        <f>IFERROR(__xludf.DUMMYFUNCTION("""COMPUTED_VALUE"""),"GENEPIO:0100793")</f>
        <v>GENEPIO:0100793</v>
      </c>
      <c r="F157" s="33" t="str">
        <f>IFERROR(__xludf.DUMMYFUNCTION("""COMPUTED_VALUE"""),"The method used to measure carbonaceous biochemical oxygen demand (CBOD).")</f>
        <v>The method used to measure carbonaceous biochemical oxygen demand (CBOD).</v>
      </c>
      <c r="G157" s="33" t="str">
        <f>IFERROR(__xludf.DUMMYFUNCTION("""COMPUTED_VALUE"""),"Provide the name of the procedure or technology used to measure CBOD.")</f>
        <v>Provide the name of the procedure or technology used to measure CBOD.</v>
      </c>
      <c r="H157" s="33" t="str">
        <f>IFERROR(__xludf.DUMMYFUNCTION("""COMPUTED_VALUE"""),"CBOD measurement by optical probe")</f>
        <v>CBOD measurement by optical probe</v>
      </c>
      <c r="K157" s="39" t="s">
        <v>19</v>
      </c>
      <c r="L157" s="39" t="s">
        <v>19</v>
      </c>
      <c r="M157" s="39" t="s">
        <v>19</v>
      </c>
      <c r="O157" s="28" t="str">
        <f>IFERROR(__xludf.DUMMYFUNCTION("""COMPUTED_VALUE"""),"HPAI;HPAI_WW;HPAI_Enviro")</f>
        <v>HPAI;HPAI_WW;HPAI_Enviro</v>
      </c>
    </row>
    <row r="158">
      <c r="A158" s="33" t="str">
        <f>IFERROR(__xludf.DUMMYFUNCTION("""COMPUTED_VALUE"""),"Environmental conditions and measurements")</f>
        <v>Environmental conditions and measurements</v>
      </c>
      <c r="B158" s="33" t="str">
        <f>IFERROR(__xludf.DUMMYFUNCTION("""COMPUTED_VALUE"""),"total suspended solids (TSS) measurement value")</f>
        <v>total suspended solids (TSS) measurement value</v>
      </c>
      <c r="C158" s="33"/>
      <c r="D158" s="33"/>
      <c r="E158" s="35" t="str">
        <f>IFERROR(__xludf.DUMMYFUNCTION("""COMPUTED_VALUE"""),"GENEPIO:0100794")</f>
        <v>GENEPIO:0100794</v>
      </c>
      <c r="F158" s="33" t="str">
        <f>IFERROR(__xludf.DUMMYFUNCTION("""COMPUTED_VALUE"""),"The numerical value from a total suspended solids (TSS) test.")</f>
        <v>The numerical value from a total suspended solids (TSS) test.</v>
      </c>
      <c r="G158" s="33" t="str">
        <f>IFERROR(__xludf.DUMMYFUNCTION("""COMPUTED_VALUE"""),"Provide the numerical value of the measured TSS.")</f>
        <v>Provide the numerical value of the measured TSS.</v>
      </c>
      <c r="H158" s="33">
        <f>IFERROR(__xludf.DUMMYFUNCTION("""COMPUTED_VALUE"""),8.0)</f>
        <v>8</v>
      </c>
      <c r="K158" s="39" t="s">
        <v>19</v>
      </c>
      <c r="L158" s="39" t="s">
        <v>19</v>
      </c>
      <c r="M158" s="39" t="s">
        <v>19</v>
      </c>
      <c r="O158" s="28" t="str">
        <f>IFERROR(__xludf.DUMMYFUNCTION("""COMPUTED_VALUE"""),"HPAI;HPAI_WW;HPAI_Enviro")</f>
        <v>HPAI;HPAI_WW;HPAI_Enviro</v>
      </c>
    </row>
    <row r="159">
      <c r="A159" s="33" t="str">
        <f>IFERROR(__xludf.DUMMYFUNCTION("""COMPUTED_VALUE"""),"Environmental conditions and measurements")</f>
        <v>Environmental conditions and measurements</v>
      </c>
      <c r="B159" s="33" t="str">
        <f>IFERROR(__xludf.DUMMYFUNCTION("""COMPUTED_VALUE"""),"total suspended solids (TSS) measurement unit")</f>
        <v>total suspended solids (TSS) measurement unit</v>
      </c>
      <c r="C159" s="33"/>
      <c r="D159" s="33"/>
      <c r="E159" s="35" t="str">
        <f>IFERROR(__xludf.DUMMYFUNCTION("""COMPUTED_VALUE"""),"GENEPIO:0100795")</f>
        <v>GENEPIO:0100795</v>
      </c>
      <c r="F159" s="33" t="str">
        <f>IFERROR(__xludf.DUMMYFUNCTION("""COMPUTED_VALUE"""),"The units associated with a value from a total suspended solids (TSS) test.")</f>
        <v>The units associated with a value from a total suspended solids (TSS) test.</v>
      </c>
      <c r="G159" s="33" t="str">
        <f>IFERROR(__xludf.DUMMYFUNCTION("""COMPUTED_VALUE"""),"Provide the units of the measured TSS.")</f>
        <v>Provide the units of the measured TSS.</v>
      </c>
      <c r="H159" s="33" t="str">
        <f>IFERROR(__xludf.DUMMYFUNCTION("""COMPUTED_VALUE"""),"percent (%)")</f>
        <v>percent (%)</v>
      </c>
      <c r="K159" s="39" t="s">
        <v>19</v>
      </c>
      <c r="L159" s="39" t="s">
        <v>19</v>
      </c>
      <c r="M159" s="39" t="s">
        <v>19</v>
      </c>
      <c r="O159" s="28" t="str">
        <f>IFERROR(__xludf.DUMMYFUNCTION("""COMPUTED_VALUE"""),"HPAI;HPAI_WW;HPAI_Enviro")</f>
        <v>HPAI;HPAI_WW;HPAI_Enviro</v>
      </c>
    </row>
    <row r="160">
      <c r="A160" s="33" t="str">
        <f>IFERROR(__xludf.DUMMYFUNCTION("""COMPUTED_VALUE"""),"Environmental conditions and measurements")</f>
        <v>Environmental conditions and measurements</v>
      </c>
      <c r="B160" s="33" t="str">
        <f>IFERROR(__xludf.DUMMYFUNCTION("""COMPUTED_VALUE"""),"total suspended solids (TSS) measurement method")</f>
        <v>total suspended solids (TSS) measurement method</v>
      </c>
      <c r="C160" s="33"/>
      <c r="D160" s="33"/>
      <c r="E160" s="35" t="str">
        <f>IFERROR(__xludf.DUMMYFUNCTION("""COMPUTED_VALUE"""),"GENEPIO:0100796")</f>
        <v>GENEPIO:0100796</v>
      </c>
      <c r="F160" s="33" t="str">
        <f>IFERROR(__xludf.DUMMYFUNCTION("""COMPUTED_VALUE"""),"The method used to measure total suspended solids (TSS).")</f>
        <v>The method used to measure total suspended solids (TSS).</v>
      </c>
      <c r="G160" s="33" t="str">
        <f>IFERROR(__xludf.DUMMYFUNCTION("""COMPUTED_VALUE"""),"Provide the name of the procedure or technology used to measure TSS.")</f>
        <v>Provide the name of the procedure or technology used to measure TSS.</v>
      </c>
      <c r="H160" s="33" t="str">
        <f>IFERROR(__xludf.DUMMYFUNCTION("""COMPUTED_VALUE"""),"Vacuum filter through a 2-micron filter, then oven-dried and weighed sample")</f>
        <v>Vacuum filter through a 2-micron filter, then oven-dried and weighed sample</v>
      </c>
      <c r="K160" s="39" t="s">
        <v>19</v>
      </c>
      <c r="L160" s="39" t="s">
        <v>19</v>
      </c>
      <c r="M160" s="39" t="s">
        <v>19</v>
      </c>
      <c r="O160" s="28" t="str">
        <f>IFERROR(__xludf.DUMMYFUNCTION("""COMPUTED_VALUE"""),"HPAI;HPAI_WW;HPAI_Enviro")</f>
        <v>HPAI;HPAI_WW;HPAI_Enviro</v>
      </c>
    </row>
    <row r="161">
      <c r="A161" s="33" t="str">
        <f>IFERROR(__xludf.DUMMYFUNCTION("""COMPUTED_VALUE"""),"Environmental conditions and measurements")</f>
        <v>Environmental conditions and measurements</v>
      </c>
      <c r="B161" s="33" t="str">
        <f>IFERROR(__xludf.DUMMYFUNCTION("""COMPUTED_VALUE"""),"total dissolved solids (TDS) measurement value")</f>
        <v>total dissolved solids (TDS) measurement value</v>
      </c>
      <c r="C161" s="33"/>
      <c r="D161" s="33"/>
      <c r="E161" s="35" t="str">
        <f>IFERROR(__xludf.DUMMYFUNCTION("""COMPUTED_VALUE"""),"GENEPIO:0100797")</f>
        <v>GENEPIO:0100797</v>
      </c>
      <c r="F161" s="33" t="str">
        <f>IFERROR(__xludf.DUMMYFUNCTION("""COMPUTED_VALUE"""),"The numerical value from a total dissolved solids (TDS) test.")</f>
        <v>The numerical value from a total dissolved solids (TDS) test.</v>
      </c>
      <c r="G161" s="33" t="str">
        <f>IFERROR(__xludf.DUMMYFUNCTION("""COMPUTED_VALUE"""),"Provide the numerical value of the measured TDS.")</f>
        <v>Provide the numerical value of the measured TDS.</v>
      </c>
      <c r="H161" s="33">
        <f>IFERROR(__xludf.DUMMYFUNCTION("""COMPUTED_VALUE"""),2.0)</f>
        <v>2</v>
      </c>
      <c r="K161" s="39" t="s">
        <v>19</v>
      </c>
      <c r="L161" s="39" t="s">
        <v>19</v>
      </c>
      <c r="M161" s="39" t="s">
        <v>19</v>
      </c>
      <c r="O161" s="28" t="str">
        <f>IFERROR(__xludf.DUMMYFUNCTION("""COMPUTED_VALUE"""),"HPAI;HPAI_WW;HPAI_Enviro")</f>
        <v>HPAI;HPAI_WW;HPAI_Enviro</v>
      </c>
    </row>
    <row r="162">
      <c r="A162" s="33" t="str">
        <f>IFERROR(__xludf.DUMMYFUNCTION("""COMPUTED_VALUE"""),"Environmental conditions and measurements")</f>
        <v>Environmental conditions and measurements</v>
      </c>
      <c r="B162" s="33" t="str">
        <f>IFERROR(__xludf.DUMMYFUNCTION("""COMPUTED_VALUE"""),"total dissolved solids (TDS) measurement unit")</f>
        <v>total dissolved solids (TDS) measurement unit</v>
      </c>
      <c r="C162" s="33"/>
      <c r="D162" s="33"/>
      <c r="E162" s="35" t="str">
        <f>IFERROR(__xludf.DUMMYFUNCTION("""COMPUTED_VALUE"""),"GENEPIO:0100798")</f>
        <v>GENEPIO:0100798</v>
      </c>
      <c r="F162" s="33" t="str">
        <f>IFERROR(__xludf.DUMMYFUNCTION("""COMPUTED_VALUE"""),"The units associated with a value from a total dissolved solids (TDS) test.")</f>
        <v>The units associated with a value from a total dissolved solids (TDS) test.</v>
      </c>
      <c r="G162" s="33" t="str">
        <f>IFERROR(__xludf.DUMMYFUNCTION("""COMPUTED_VALUE"""),"Provide the units of the measured TDS.")</f>
        <v>Provide the units of the measured TDS.</v>
      </c>
      <c r="H162" s="33" t="str">
        <f>IFERROR(__xludf.DUMMYFUNCTION("""COMPUTED_VALUE"""),"percent (%)")</f>
        <v>percent (%)</v>
      </c>
      <c r="K162" s="39" t="s">
        <v>19</v>
      </c>
      <c r="L162" s="39" t="s">
        <v>19</v>
      </c>
      <c r="M162" s="39" t="s">
        <v>19</v>
      </c>
      <c r="O162" s="28" t="str">
        <f>IFERROR(__xludf.DUMMYFUNCTION("""COMPUTED_VALUE"""),"HPAI;HPAI_WW;HPAI_Enviro")</f>
        <v>HPAI;HPAI_WW;HPAI_Enviro</v>
      </c>
    </row>
    <row r="163">
      <c r="A163" s="33" t="str">
        <f>IFERROR(__xludf.DUMMYFUNCTION("""COMPUTED_VALUE"""),"Environmental conditions and measurements")</f>
        <v>Environmental conditions and measurements</v>
      </c>
      <c r="B163" s="33" t="str">
        <f>IFERROR(__xludf.DUMMYFUNCTION("""COMPUTED_VALUE"""),"total dissolved solids (TDS) measurement method")</f>
        <v>total dissolved solids (TDS) measurement method</v>
      </c>
      <c r="C163" s="33"/>
      <c r="D163" s="33"/>
      <c r="E163" s="35" t="str">
        <f>IFERROR(__xludf.DUMMYFUNCTION("""COMPUTED_VALUE"""),"GENEPIO:0100799")</f>
        <v>GENEPIO:0100799</v>
      </c>
      <c r="F163" s="33" t="str">
        <f>IFERROR(__xludf.DUMMYFUNCTION("""COMPUTED_VALUE"""),"The method used to measure total dissolved solids (TDS).")</f>
        <v>The method used to measure total dissolved solids (TDS).</v>
      </c>
      <c r="G163" s="33" t="str">
        <f>IFERROR(__xludf.DUMMYFUNCTION("""COMPUTED_VALUE"""),"Provide the name of the procedure or technology used to measure TDS.")</f>
        <v>Provide the name of the procedure or technology used to measure TDS.</v>
      </c>
      <c r="H163" s="33" t="str">
        <f>IFERROR(__xludf.DUMMYFUNCTION("""COMPUTED_VALUE"""),"Subtract calculated TSS from calculated TS")</f>
        <v>Subtract calculated TSS from calculated TS</v>
      </c>
      <c r="K163" s="39" t="s">
        <v>19</v>
      </c>
      <c r="L163" s="39" t="s">
        <v>19</v>
      </c>
      <c r="M163" s="39" t="s">
        <v>19</v>
      </c>
      <c r="O163" s="28" t="str">
        <f>IFERROR(__xludf.DUMMYFUNCTION("""COMPUTED_VALUE"""),"HPAI;HPAI_WW;HPAI_Enviro")</f>
        <v>HPAI;HPAI_WW;HPAI_Enviro</v>
      </c>
    </row>
    <row r="164">
      <c r="A164" s="33" t="str">
        <f>IFERROR(__xludf.DUMMYFUNCTION("""COMPUTED_VALUE"""),"Environmental conditions and measurements")</f>
        <v>Environmental conditions and measurements</v>
      </c>
      <c r="B164" s="33" t="str">
        <f>IFERROR(__xludf.DUMMYFUNCTION("""COMPUTED_VALUE"""),"total solids (TS) measurement value")</f>
        <v>total solids (TS) measurement value</v>
      </c>
      <c r="C164" s="33"/>
      <c r="D164" s="33"/>
      <c r="E164" s="35" t="str">
        <f>IFERROR(__xludf.DUMMYFUNCTION("""COMPUTED_VALUE"""),"GENEPIO:0100800")</f>
        <v>GENEPIO:0100800</v>
      </c>
      <c r="F164" s="33" t="str">
        <f>IFERROR(__xludf.DUMMYFUNCTION("""COMPUTED_VALUE"""),"The numerical value from a total solids (TS) test.")</f>
        <v>The numerical value from a total solids (TS) test.</v>
      </c>
      <c r="G164" s="33" t="str">
        <f>IFERROR(__xludf.DUMMYFUNCTION("""COMPUTED_VALUE"""),"Provide the numerical value of the measured TS.")</f>
        <v>Provide the numerical value of the measured TS.</v>
      </c>
      <c r="H164" s="33">
        <f>IFERROR(__xludf.DUMMYFUNCTION("""COMPUTED_VALUE"""),10.0)</f>
        <v>10</v>
      </c>
      <c r="K164" s="39" t="s">
        <v>19</v>
      </c>
      <c r="L164" s="39" t="s">
        <v>19</v>
      </c>
      <c r="M164" s="39" t="s">
        <v>19</v>
      </c>
      <c r="O164" s="28" t="str">
        <f>IFERROR(__xludf.DUMMYFUNCTION("""COMPUTED_VALUE"""),"HPAI;HPAI_WW;HPAI_Enviro")</f>
        <v>HPAI;HPAI_WW;HPAI_Enviro</v>
      </c>
    </row>
    <row r="165">
      <c r="A165" s="33" t="str">
        <f>IFERROR(__xludf.DUMMYFUNCTION("""COMPUTED_VALUE"""),"Environmental conditions and measurements")</f>
        <v>Environmental conditions and measurements</v>
      </c>
      <c r="B165" s="33" t="str">
        <f>IFERROR(__xludf.DUMMYFUNCTION("""COMPUTED_VALUE"""),"total solids (TS) measurement unit")</f>
        <v>total solids (TS) measurement unit</v>
      </c>
      <c r="C165" s="33"/>
      <c r="D165" s="33"/>
      <c r="E165" s="35" t="str">
        <f>IFERROR(__xludf.DUMMYFUNCTION("""COMPUTED_VALUE"""),"GENEPIO:0100801")</f>
        <v>GENEPIO:0100801</v>
      </c>
      <c r="F165" s="33" t="str">
        <f>IFERROR(__xludf.DUMMYFUNCTION("""COMPUTED_VALUE"""),"The units associated with a value from a total solids (TS) test.")</f>
        <v>The units associated with a value from a total solids (TS) test.</v>
      </c>
      <c r="G165" s="33" t="str">
        <f>IFERROR(__xludf.DUMMYFUNCTION("""COMPUTED_VALUE"""),"Provide the units of the measured TS.")</f>
        <v>Provide the units of the measured TS.</v>
      </c>
      <c r="H165" s="33" t="str">
        <f>IFERROR(__xludf.DUMMYFUNCTION("""COMPUTED_VALUE"""),"percent (%)")</f>
        <v>percent (%)</v>
      </c>
      <c r="K165" s="39" t="s">
        <v>19</v>
      </c>
      <c r="L165" s="39" t="s">
        <v>19</v>
      </c>
      <c r="M165" s="39" t="s">
        <v>19</v>
      </c>
      <c r="O165" s="28" t="str">
        <f>IFERROR(__xludf.DUMMYFUNCTION("""COMPUTED_VALUE"""),"HPAI;HPAI_WW;HPAI_Enviro")</f>
        <v>HPAI;HPAI_WW;HPAI_Enviro</v>
      </c>
    </row>
    <row r="166">
      <c r="A166" s="33" t="str">
        <f>IFERROR(__xludf.DUMMYFUNCTION("""COMPUTED_VALUE"""),"Environmental conditions and measurements")</f>
        <v>Environmental conditions and measurements</v>
      </c>
      <c r="B166" s="33" t="str">
        <f>IFERROR(__xludf.DUMMYFUNCTION("""COMPUTED_VALUE"""),"total solids (TS) measurement method")</f>
        <v>total solids (TS) measurement method</v>
      </c>
      <c r="C166" s="33"/>
      <c r="D166" s="33"/>
      <c r="E166" s="35" t="str">
        <f>IFERROR(__xludf.DUMMYFUNCTION("""COMPUTED_VALUE"""),"GENEPIO:0100802")</f>
        <v>GENEPIO:0100802</v>
      </c>
      <c r="F166" s="33" t="str">
        <f>IFERROR(__xludf.DUMMYFUNCTION("""COMPUTED_VALUE"""),"The method used to measure total solids (TS).")</f>
        <v>The method used to measure total solids (TS).</v>
      </c>
      <c r="G166" s="33" t="str">
        <f>IFERROR(__xludf.DUMMYFUNCTION("""COMPUTED_VALUE"""),"Provide the name of the procedure or technology used to measure TS.")</f>
        <v>Provide the name of the procedure or technology used to measure TS.</v>
      </c>
      <c r="H166" s="33" t="str">
        <f>IFERROR(__xludf.DUMMYFUNCTION("""COMPUTED_VALUE"""),"Gravimetric method by oven drying, then weighing")</f>
        <v>Gravimetric method by oven drying, then weighing</v>
      </c>
      <c r="K166" s="39" t="s">
        <v>19</v>
      </c>
      <c r="L166" s="39" t="s">
        <v>19</v>
      </c>
      <c r="M166" s="39" t="s">
        <v>19</v>
      </c>
      <c r="O166" s="28" t="str">
        <f>IFERROR(__xludf.DUMMYFUNCTION("""COMPUTED_VALUE"""),"HPAI;HPAI_WW;HPAI_Enviro")</f>
        <v>HPAI;HPAI_WW;HPAI_Enviro</v>
      </c>
    </row>
    <row r="167">
      <c r="A167" s="33" t="str">
        <f>IFERROR(__xludf.DUMMYFUNCTION("""COMPUTED_VALUE"""),"Environmental conditions and measurements")</f>
        <v>Environmental conditions and measurements</v>
      </c>
      <c r="B167" s="33" t="str">
        <f>IFERROR(__xludf.DUMMYFUNCTION("""COMPUTED_VALUE"""),"alkalinity measurement value")</f>
        <v>alkalinity measurement value</v>
      </c>
      <c r="C167" s="33"/>
      <c r="D167" s="33"/>
      <c r="E167" s="35" t="str">
        <f>IFERROR(__xludf.DUMMYFUNCTION("""COMPUTED_VALUE"""),"GENEPIO:0100878")</f>
        <v>GENEPIO:0100878</v>
      </c>
      <c r="F167" s="33" t="str">
        <f>IFERROR(__xludf.DUMMYFUNCTION("""COMPUTED_VALUE"""),"The numerical value of a measurement of alkalinity.")</f>
        <v>The numerical value of a measurement of alkalinity.</v>
      </c>
      <c r="G167" s="33" t="str">
        <f>IFERROR(__xludf.DUMMYFUNCTION("""COMPUTED_VALUE"""),"Provide the numerical value of the measured alkalinity.")</f>
        <v>Provide the numerical value of the measured alkalinity.</v>
      </c>
      <c r="H167" s="33">
        <f>IFERROR(__xludf.DUMMYFUNCTION("""COMPUTED_VALUE"""),3.0)</f>
        <v>3</v>
      </c>
      <c r="K167" s="39" t="s">
        <v>19</v>
      </c>
      <c r="L167" s="39" t="s">
        <v>19</v>
      </c>
      <c r="M167" s="39" t="s">
        <v>19</v>
      </c>
      <c r="O167" s="28" t="str">
        <f>IFERROR(__xludf.DUMMYFUNCTION("""COMPUTED_VALUE"""),"HPAI;HPAI_WW;HPAI_Enviro")</f>
        <v>HPAI;HPAI_WW;HPAI_Enviro</v>
      </c>
    </row>
    <row r="168">
      <c r="A168" s="33" t="str">
        <f>IFERROR(__xludf.DUMMYFUNCTION("""COMPUTED_VALUE"""),"Environmental conditions and measurements")</f>
        <v>Environmental conditions and measurements</v>
      </c>
      <c r="B168" s="33" t="str">
        <f>IFERROR(__xludf.DUMMYFUNCTION("""COMPUTED_VALUE"""),"alkalinity measurement unit")</f>
        <v>alkalinity measurement unit</v>
      </c>
      <c r="C168" s="33"/>
      <c r="D168" s="33"/>
      <c r="E168" s="35" t="str">
        <f>IFERROR(__xludf.DUMMYFUNCTION("""COMPUTED_VALUE"""),"GENEPIO:0100879")</f>
        <v>GENEPIO:0100879</v>
      </c>
      <c r="F168" s="33" t="str">
        <f>IFERROR(__xludf.DUMMYFUNCTION("""COMPUTED_VALUE"""),"The units of a measurement of alkalinity.")</f>
        <v>The units of a measurement of alkalinity.</v>
      </c>
      <c r="G168" s="33" t="str">
        <f>IFERROR(__xludf.DUMMYFUNCTION("""COMPUTED_VALUE"""),"Provide the units of the measured alkalinity.")</f>
        <v>Provide the units of the measured alkalinity.</v>
      </c>
      <c r="H168" s="33" t="str">
        <f>IFERROR(__xludf.DUMMYFUNCTION("""COMPUTED_VALUE"""),"milligram per liter of calcium carbonate (mg/L CaCO3)")</f>
        <v>milligram per liter of calcium carbonate (mg/L CaCO3)</v>
      </c>
      <c r="K168" s="39" t="s">
        <v>19</v>
      </c>
      <c r="L168" s="39" t="s">
        <v>19</v>
      </c>
      <c r="M168" s="39" t="s">
        <v>19</v>
      </c>
      <c r="O168" s="28" t="str">
        <f>IFERROR(__xludf.DUMMYFUNCTION("""COMPUTED_VALUE"""),"HPAI;HPAI_WW;HPAI_Enviro")</f>
        <v>HPAI;HPAI_WW;HPAI_Enviro</v>
      </c>
    </row>
    <row r="169">
      <c r="A169" s="33" t="str">
        <f>IFERROR(__xludf.DUMMYFUNCTION("""COMPUTED_VALUE"""),"Environmental conditions and measurements")</f>
        <v>Environmental conditions and measurements</v>
      </c>
      <c r="B169" s="33" t="str">
        <f>IFERROR(__xludf.DUMMYFUNCTION("""COMPUTED_VALUE"""),"alkalinity measurement method")</f>
        <v>alkalinity measurement method</v>
      </c>
      <c r="C169" s="33"/>
      <c r="D169" s="33"/>
      <c r="E169" s="35" t="str">
        <f>IFERROR(__xludf.DUMMYFUNCTION("""COMPUTED_VALUE"""),"GENEPIO:0100880")</f>
        <v>GENEPIO:0100880</v>
      </c>
      <c r="F169" s="33" t="str">
        <f>IFERROR(__xludf.DUMMYFUNCTION("""COMPUTED_VALUE"""),"The process used to measure alkalinity.")</f>
        <v>The process used to measure alkalinity.</v>
      </c>
      <c r="G169" s="33" t="str">
        <f>IFERROR(__xludf.DUMMYFUNCTION("""COMPUTED_VALUE"""),"Provide the name of the procedure or technology used to measure alkalinity.")</f>
        <v>Provide the name of the procedure or technology used to measure alkalinity.</v>
      </c>
      <c r="H169" s="33" t="str">
        <f>IFERROR(__xludf.DUMMYFUNCTION("""COMPUTED_VALUE"""),"Titration method")</f>
        <v>Titration method</v>
      </c>
      <c r="K169" s="39" t="s">
        <v>19</v>
      </c>
      <c r="L169" s="39" t="s">
        <v>19</v>
      </c>
      <c r="M169" s="39" t="s">
        <v>19</v>
      </c>
      <c r="O169" s="28" t="str">
        <f>IFERROR(__xludf.DUMMYFUNCTION("""COMPUTED_VALUE"""),"HPAI;HPAI_WW;HPAI_Enviro")</f>
        <v>HPAI;HPAI_WW;HPAI_Enviro</v>
      </c>
    </row>
    <row r="170">
      <c r="A170" s="33" t="str">
        <f>IFERROR(__xludf.DUMMYFUNCTION("""COMPUTED_VALUE"""),"Environmental conditions and measurements")</f>
        <v>Environmental conditions and measurements</v>
      </c>
      <c r="B170" s="33" t="str">
        <f>IFERROR(__xludf.DUMMYFUNCTION("""COMPUTED_VALUE"""),"conductivity measurement value")</f>
        <v>conductivity measurement value</v>
      </c>
      <c r="C170" s="33"/>
      <c r="D170" s="33"/>
      <c r="E170" s="35" t="str">
        <f>IFERROR(__xludf.DUMMYFUNCTION("""COMPUTED_VALUE"""),"GENEPIO:0100916")</f>
        <v>GENEPIO:0100916</v>
      </c>
      <c r="F170" s="33" t="str">
        <f>IFERROR(__xludf.DUMMYFUNCTION("""COMPUTED_VALUE"""),"The numerical value of a measurement of conductivity.")</f>
        <v>The numerical value of a measurement of conductivity.</v>
      </c>
      <c r="G170" s="33" t="str">
        <f>IFERROR(__xludf.DUMMYFUNCTION("""COMPUTED_VALUE"""),"Provide the numerical value of the measured conductivity.")</f>
        <v>Provide the numerical value of the measured conductivity.</v>
      </c>
      <c r="H170" s="33">
        <f>IFERROR(__xludf.DUMMYFUNCTION("""COMPUTED_VALUE"""),1412.0)</f>
        <v>1412</v>
      </c>
      <c r="K170" s="39" t="s">
        <v>19</v>
      </c>
      <c r="L170" s="39" t="s">
        <v>19</v>
      </c>
      <c r="M170" s="39" t="s">
        <v>19</v>
      </c>
      <c r="O170" s="28" t="str">
        <f>IFERROR(__xludf.DUMMYFUNCTION("""COMPUTED_VALUE"""),"HPAI;HPAI_WW;HPAI_Enviro")</f>
        <v>HPAI;HPAI_WW;HPAI_Enviro</v>
      </c>
    </row>
    <row r="171">
      <c r="A171" s="33" t="str">
        <f>IFERROR(__xludf.DUMMYFUNCTION("""COMPUTED_VALUE"""),"Environmental conditions and measurements")</f>
        <v>Environmental conditions and measurements</v>
      </c>
      <c r="B171" s="33" t="str">
        <f>IFERROR(__xludf.DUMMYFUNCTION("""COMPUTED_VALUE"""),"conductivity measurement unit")</f>
        <v>conductivity measurement unit</v>
      </c>
      <c r="C171" s="33"/>
      <c r="D171" s="33"/>
      <c r="E171" s="35" t="str">
        <f>IFERROR(__xludf.DUMMYFUNCTION("""COMPUTED_VALUE"""),"GENEPIO:0100803")</f>
        <v>GENEPIO:0100803</v>
      </c>
      <c r="F171" s="33" t="str">
        <f>IFERROR(__xludf.DUMMYFUNCTION("""COMPUTED_VALUE"""),"The units of a measurement of conductivity.")</f>
        <v>The units of a measurement of conductivity.</v>
      </c>
      <c r="G171" s="33" t="str">
        <f>IFERROR(__xludf.DUMMYFUNCTION("""COMPUTED_VALUE"""),"Provide the units of the measured conductivity.")</f>
        <v>Provide the units of the measured conductivity.</v>
      </c>
      <c r="H171" s="33" t="str">
        <f>IFERROR(__xludf.DUMMYFUNCTION("""COMPUTED_VALUE"""),"microSiemen per centimeter (μS/cm)")</f>
        <v>microSiemen per centimeter (μS/cm)</v>
      </c>
      <c r="K171" s="39" t="s">
        <v>19</v>
      </c>
      <c r="L171" s="39" t="s">
        <v>19</v>
      </c>
      <c r="M171" s="39" t="s">
        <v>19</v>
      </c>
      <c r="O171" s="28" t="str">
        <f>IFERROR(__xludf.DUMMYFUNCTION("""COMPUTED_VALUE"""),"HPAI;HPAI_WW;HPAI_Enviro")</f>
        <v>HPAI;HPAI_WW;HPAI_Enviro</v>
      </c>
    </row>
    <row r="172">
      <c r="A172" s="33" t="str">
        <f>IFERROR(__xludf.DUMMYFUNCTION("""COMPUTED_VALUE"""),"Environmental conditions and measurements")</f>
        <v>Environmental conditions and measurements</v>
      </c>
      <c r="B172" s="33" t="str">
        <f>IFERROR(__xludf.DUMMYFUNCTION("""COMPUTED_VALUE"""),"conductivity measurement method")</f>
        <v>conductivity measurement method</v>
      </c>
      <c r="C172" s="33"/>
      <c r="D172" s="33"/>
      <c r="E172" s="35" t="str">
        <f>IFERROR(__xludf.DUMMYFUNCTION("""COMPUTED_VALUE"""),"GENEPIO:0100804")</f>
        <v>GENEPIO:0100804</v>
      </c>
      <c r="F172" s="33" t="str">
        <f>IFERROR(__xludf.DUMMYFUNCTION("""COMPUTED_VALUE"""),"The method used to measure conductivity.")</f>
        <v>The method used to measure conductivity.</v>
      </c>
      <c r="G172" s="33" t="str">
        <f>IFERROR(__xludf.DUMMYFUNCTION("""COMPUTED_VALUE"""),"Provide the name of the procedure or technology used to measure conductivity.")</f>
        <v>Provide the name of the procedure or technology used to measure conductivity.</v>
      </c>
      <c r="H172" s="33" t="str">
        <f>IFERROR(__xludf.DUMMYFUNCTION("""COMPUTED_VALUE"""),"Conductivity electrode and meter")</f>
        <v>Conductivity electrode and meter</v>
      </c>
      <c r="K172" s="39" t="s">
        <v>19</v>
      </c>
      <c r="L172" s="39" t="s">
        <v>19</v>
      </c>
      <c r="M172" s="39" t="s">
        <v>19</v>
      </c>
      <c r="O172" s="28" t="str">
        <f>IFERROR(__xludf.DUMMYFUNCTION("""COMPUTED_VALUE"""),"HPAI;HPAI_WW;HPAI_Enviro")</f>
        <v>HPAI;HPAI_WW;HPAI_Enviro</v>
      </c>
    </row>
    <row r="173">
      <c r="A173" s="33" t="str">
        <f>IFERROR(__xludf.DUMMYFUNCTION("""COMPUTED_VALUE"""),"Environmental conditions and measurements")</f>
        <v>Environmental conditions and measurements</v>
      </c>
      <c r="B173" s="33" t="str">
        <f>IFERROR(__xludf.DUMMYFUNCTION("""COMPUTED_VALUE"""),"salinity measurement value")</f>
        <v>salinity measurement value</v>
      </c>
      <c r="C173" s="33"/>
      <c r="D173" s="33"/>
      <c r="E173" s="35" t="str">
        <f>IFERROR(__xludf.DUMMYFUNCTION("""COMPUTED_VALUE"""),"GENEPIO:0100805")</f>
        <v>GENEPIO:0100805</v>
      </c>
      <c r="F173" s="33" t="str">
        <f>IFERROR(__xludf.DUMMYFUNCTION("""COMPUTED_VALUE"""),"The numerical value of a measurement of salinity.")</f>
        <v>The numerical value of a measurement of salinity.</v>
      </c>
      <c r="G173" s="33" t="str">
        <f>IFERROR(__xludf.DUMMYFUNCTION("""COMPUTED_VALUE"""),"Provide the numerical value of the measured salinity.")</f>
        <v>Provide the numerical value of the measured salinity.</v>
      </c>
      <c r="H173" s="33">
        <f>IFERROR(__xludf.DUMMYFUNCTION("""COMPUTED_VALUE"""),35.0)</f>
        <v>35</v>
      </c>
      <c r="K173" s="39" t="s">
        <v>19</v>
      </c>
      <c r="L173" s="39" t="s">
        <v>19</v>
      </c>
      <c r="M173" s="39" t="s">
        <v>19</v>
      </c>
      <c r="O173" s="28" t="str">
        <f>IFERROR(__xludf.DUMMYFUNCTION("""COMPUTED_VALUE"""),"HPAI;HPAI_WW;HPAI_Enviro")</f>
        <v>HPAI;HPAI_WW;HPAI_Enviro</v>
      </c>
    </row>
    <row r="174">
      <c r="A174" s="33" t="str">
        <f>IFERROR(__xludf.DUMMYFUNCTION("""COMPUTED_VALUE"""),"Environmental conditions and measurements")</f>
        <v>Environmental conditions and measurements</v>
      </c>
      <c r="B174" s="33" t="str">
        <f>IFERROR(__xludf.DUMMYFUNCTION("""COMPUTED_VALUE"""),"salinity measurement unit")</f>
        <v>salinity measurement unit</v>
      </c>
      <c r="C174" s="33"/>
      <c r="D174" s="33"/>
      <c r="E174" s="35" t="str">
        <f>IFERROR(__xludf.DUMMYFUNCTION("""COMPUTED_VALUE"""),"GENEPIO:0100806")</f>
        <v>GENEPIO:0100806</v>
      </c>
      <c r="F174" s="33" t="str">
        <f>IFERROR(__xludf.DUMMYFUNCTION("""COMPUTED_VALUE"""),"The units of a measurement of salinity.")</f>
        <v>The units of a measurement of salinity.</v>
      </c>
      <c r="G174" s="33" t="str">
        <f>IFERROR(__xludf.DUMMYFUNCTION("""COMPUTED_VALUE"""),"Provide the units of the measured salinity.")</f>
        <v>Provide the units of the measured salinity.</v>
      </c>
      <c r="H174" s="33" t="str">
        <f>IFERROR(__xludf.DUMMYFUNCTION("""COMPUTED_VALUE"""),"practical salinity unit (PSU)")</f>
        <v>practical salinity unit (PSU)</v>
      </c>
      <c r="K174" s="39" t="s">
        <v>19</v>
      </c>
      <c r="L174" s="39" t="s">
        <v>19</v>
      </c>
      <c r="M174" s="39" t="s">
        <v>19</v>
      </c>
      <c r="O174" s="28" t="str">
        <f>IFERROR(__xludf.DUMMYFUNCTION("""COMPUTED_VALUE"""),"HPAI;HPAI_WW;HPAI_Enviro")</f>
        <v>HPAI;HPAI_WW;HPAI_Enviro</v>
      </c>
    </row>
    <row r="175">
      <c r="A175" s="33" t="str">
        <f>IFERROR(__xludf.DUMMYFUNCTION("""COMPUTED_VALUE"""),"Environmental conditions and measurements")</f>
        <v>Environmental conditions and measurements</v>
      </c>
      <c r="B175" s="33" t="str">
        <f>IFERROR(__xludf.DUMMYFUNCTION("""COMPUTED_VALUE"""),"salinity measurement method")</f>
        <v>salinity measurement method</v>
      </c>
      <c r="C175" s="33"/>
      <c r="D175" s="33"/>
      <c r="E175" s="35" t="str">
        <f>IFERROR(__xludf.DUMMYFUNCTION("""COMPUTED_VALUE"""),"GENEPIO:0100807")</f>
        <v>GENEPIO:0100807</v>
      </c>
      <c r="F175" s="33" t="str">
        <f>IFERROR(__xludf.DUMMYFUNCTION("""COMPUTED_VALUE"""),"The method used to measure salinity.")</f>
        <v>The method used to measure salinity.</v>
      </c>
      <c r="G175" s="33" t="str">
        <f>IFERROR(__xludf.DUMMYFUNCTION("""COMPUTED_VALUE"""),"Provide the name of the procedure or technology used to measure salinity.")</f>
        <v>Provide the name of the procedure or technology used to measure salinity.</v>
      </c>
      <c r="H175" s="33" t="str">
        <f>IFERROR(__xludf.DUMMYFUNCTION("""COMPUTED_VALUE"""),"conductivity meter")</f>
        <v>conductivity meter</v>
      </c>
      <c r="K175" s="39" t="s">
        <v>19</v>
      </c>
      <c r="L175" s="39" t="s">
        <v>19</v>
      </c>
      <c r="M175" s="39" t="s">
        <v>19</v>
      </c>
      <c r="O175" s="28" t="str">
        <f>IFERROR(__xludf.DUMMYFUNCTION("""COMPUTED_VALUE"""),"HPAI;HPAI_WW;HPAI_Enviro")</f>
        <v>HPAI;HPAI_WW;HPAI_Enviro</v>
      </c>
    </row>
    <row r="176">
      <c r="A176" s="33" t="str">
        <f>IFERROR(__xludf.DUMMYFUNCTION("""COMPUTED_VALUE"""),"Environmental conditions and measurements")</f>
        <v>Environmental conditions and measurements</v>
      </c>
      <c r="B176" s="33" t="str">
        <f>IFERROR(__xludf.DUMMYFUNCTION("""COMPUTED_VALUE"""),"total nitrogen (TN) measurement value")</f>
        <v>total nitrogen (TN) measurement value</v>
      </c>
      <c r="C176" s="33"/>
      <c r="D176" s="33"/>
      <c r="E176" s="35" t="str">
        <f>IFERROR(__xludf.DUMMYFUNCTION("""COMPUTED_VALUE"""),"GENEPIO:0100808")</f>
        <v>GENEPIO:0100808</v>
      </c>
      <c r="F176" s="33" t="str">
        <f>IFERROR(__xludf.DUMMYFUNCTION("""COMPUTED_VALUE"""),"The numerical value of a measurement of total nitrogen (TN).")</f>
        <v>The numerical value of a measurement of total nitrogen (TN).</v>
      </c>
      <c r="G176" s="33" t="str">
        <f>IFERROR(__xludf.DUMMYFUNCTION("""COMPUTED_VALUE"""),"Provide the numerical value of the measured TN.")</f>
        <v>Provide the numerical value of the measured TN.</v>
      </c>
      <c r="H176" s="33">
        <f>IFERROR(__xludf.DUMMYFUNCTION("""COMPUTED_VALUE"""),120.0)</f>
        <v>120</v>
      </c>
      <c r="K176" s="39" t="s">
        <v>19</v>
      </c>
      <c r="L176" s="39" t="s">
        <v>19</v>
      </c>
      <c r="M176" s="39" t="s">
        <v>19</v>
      </c>
      <c r="O176" s="28" t="str">
        <f>IFERROR(__xludf.DUMMYFUNCTION("""COMPUTED_VALUE"""),"HPAI;HPAI_WW;HPAI_Enviro")</f>
        <v>HPAI;HPAI_WW;HPAI_Enviro</v>
      </c>
    </row>
    <row r="177">
      <c r="A177" s="33" t="str">
        <f>IFERROR(__xludf.DUMMYFUNCTION("""COMPUTED_VALUE"""),"Environmental conditions and measurements")</f>
        <v>Environmental conditions and measurements</v>
      </c>
      <c r="B177" s="33" t="str">
        <f>IFERROR(__xludf.DUMMYFUNCTION("""COMPUTED_VALUE"""),"total nitrogen (TN) measurement unit")</f>
        <v>total nitrogen (TN) measurement unit</v>
      </c>
      <c r="C177" s="33"/>
      <c r="D177" s="33"/>
      <c r="E177" s="35" t="str">
        <f>IFERROR(__xludf.DUMMYFUNCTION("""COMPUTED_VALUE"""),"GENEPIO:0100809")</f>
        <v>GENEPIO:0100809</v>
      </c>
      <c r="F177" s="33" t="str">
        <f>IFERROR(__xludf.DUMMYFUNCTION("""COMPUTED_VALUE"""),"The units of a measurement of total nitrogen (TN).")</f>
        <v>The units of a measurement of total nitrogen (TN).</v>
      </c>
      <c r="G177" s="33" t="str">
        <f>IFERROR(__xludf.DUMMYFUNCTION("""COMPUTED_VALUE"""),"Provide the units of the measured TN.")</f>
        <v>Provide the units of the measured TN.</v>
      </c>
      <c r="H177" s="33" t="str">
        <f>IFERROR(__xludf.DUMMYFUNCTION("""COMPUTED_VALUE"""),"milligram per liter (mg/L)")</f>
        <v>milligram per liter (mg/L)</v>
      </c>
      <c r="K177" s="39" t="s">
        <v>19</v>
      </c>
      <c r="L177" s="39" t="s">
        <v>19</v>
      </c>
      <c r="M177" s="39" t="s">
        <v>19</v>
      </c>
      <c r="O177" s="28" t="str">
        <f>IFERROR(__xludf.DUMMYFUNCTION("""COMPUTED_VALUE"""),"HPAI;HPAI_WW;HPAI_Enviro")</f>
        <v>HPAI;HPAI_WW;HPAI_Enviro</v>
      </c>
    </row>
    <row r="178">
      <c r="A178" s="33" t="str">
        <f>IFERROR(__xludf.DUMMYFUNCTION("""COMPUTED_VALUE"""),"Environmental conditions and measurements")</f>
        <v>Environmental conditions and measurements</v>
      </c>
      <c r="B178" s="33" t="str">
        <f>IFERROR(__xludf.DUMMYFUNCTION("""COMPUTED_VALUE"""),"total nitrogen (TN) measurement method")</f>
        <v>total nitrogen (TN) measurement method</v>
      </c>
      <c r="C178" s="33"/>
      <c r="D178" s="33"/>
      <c r="E178" s="35" t="str">
        <f>IFERROR(__xludf.DUMMYFUNCTION("""COMPUTED_VALUE"""),"GENEPIO:0100810")</f>
        <v>GENEPIO:0100810</v>
      </c>
      <c r="F178" s="33" t="str">
        <f>IFERROR(__xludf.DUMMYFUNCTION("""COMPUTED_VALUE"""),"The method used to measure total nitrogen (TN).")</f>
        <v>The method used to measure total nitrogen (TN).</v>
      </c>
      <c r="G178" s="33" t="str">
        <f>IFERROR(__xludf.DUMMYFUNCTION("""COMPUTED_VALUE"""),"Provide the name of the procedure or technology used to measure TN.")</f>
        <v>Provide the name of the procedure or technology used to measure TN.</v>
      </c>
      <c r="H178" s="33" t="str">
        <f>IFERROR(__xludf.DUMMYFUNCTION("""COMPUTED_VALUE"""),"Hach total nitrogen spectrophotometric test")</f>
        <v>Hach total nitrogen spectrophotometric test</v>
      </c>
      <c r="K178" s="39" t="s">
        <v>19</v>
      </c>
      <c r="L178" s="39" t="s">
        <v>19</v>
      </c>
      <c r="M178" s="39" t="s">
        <v>19</v>
      </c>
      <c r="O178" s="28" t="str">
        <f>IFERROR(__xludf.DUMMYFUNCTION("""COMPUTED_VALUE"""),"HPAI;HPAI_WW;HPAI_Enviro")</f>
        <v>HPAI;HPAI_WW;HPAI_Enviro</v>
      </c>
    </row>
    <row r="179">
      <c r="A179" s="33" t="str">
        <f>IFERROR(__xludf.DUMMYFUNCTION("""COMPUTED_VALUE"""),"Environmental conditions and measurements")</f>
        <v>Environmental conditions and measurements</v>
      </c>
      <c r="B179" s="33" t="str">
        <f>IFERROR(__xludf.DUMMYFUNCTION("""COMPUTED_VALUE"""),"total phosphorus (TP) measurement value")</f>
        <v>total phosphorus (TP) measurement value</v>
      </c>
      <c r="C179" s="33"/>
      <c r="D179" s="33"/>
      <c r="E179" s="35" t="str">
        <f>IFERROR(__xludf.DUMMYFUNCTION("""COMPUTED_VALUE"""),"GENEPIO:0100811")</f>
        <v>GENEPIO:0100811</v>
      </c>
      <c r="F179" s="33" t="str">
        <f>IFERROR(__xludf.DUMMYFUNCTION("""COMPUTED_VALUE"""),"The numerical value of a measurement of total phosphorus (TP).")</f>
        <v>The numerical value of a measurement of total phosphorus (TP).</v>
      </c>
      <c r="G179" s="33" t="str">
        <f>IFERROR(__xludf.DUMMYFUNCTION("""COMPUTED_VALUE"""),"Provide the numerical value of the measured TP.")</f>
        <v>Provide the numerical value of the measured TP.</v>
      </c>
      <c r="H179" s="33">
        <f>IFERROR(__xludf.DUMMYFUNCTION("""COMPUTED_VALUE"""),2.0)</f>
        <v>2</v>
      </c>
      <c r="K179" s="39" t="s">
        <v>19</v>
      </c>
      <c r="L179" s="39" t="s">
        <v>19</v>
      </c>
      <c r="M179" s="39" t="s">
        <v>19</v>
      </c>
      <c r="O179" s="28" t="str">
        <f>IFERROR(__xludf.DUMMYFUNCTION("""COMPUTED_VALUE"""),"HPAI;HPAI_WW;HPAI_Enviro")</f>
        <v>HPAI;HPAI_WW;HPAI_Enviro</v>
      </c>
    </row>
    <row r="180">
      <c r="A180" s="33" t="str">
        <f>IFERROR(__xludf.DUMMYFUNCTION("""COMPUTED_VALUE"""),"Environmental conditions and measurements")</f>
        <v>Environmental conditions and measurements</v>
      </c>
      <c r="B180" s="33" t="str">
        <f>IFERROR(__xludf.DUMMYFUNCTION("""COMPUTED_VALUE"""),"total phosphorus (TP) measurement unit")</f>
        <v>total phosphorus (TP) measurement unit</v>
      </c>
      <c r="C180" s="33"/>
      <c r="D180" s="33"/>
      <c r="E180" s="35" t="str">
        <f>IFERROR(__xludf.DUMMYFUNCTION("""COMPUTED_VALUE"""),"GENEPIO:0100812")</f>
        <v>GENEPIO:0100812</v>
      </c>
      <c r="F180" s="33" t="str">
        <f>IFERROR(__xludf.DUMMYFUNCTION("""COMPUTED_VALUE"""),"The units of a measurement of total phosphorus (TP).")</f>
        <v>The units of a measurement of total phosphorus (TP).</v>
      </c>
      <c r="G180" s="33" t="str">
        <f>IFERROR(__xludf.DUMMYFUNCTION("""COMPUTED_VALUE"""),"Provide the units of the measured TP.")</f>
        <v>Provide the units of the measured TP.</v>
      </c>
      <c r="H180" s="33" t="str">
        <f>IFERROR(__xludf.DUMMYFUNCTION("""COMPUTED_VALUE"""),"milligrams orthophosphate as phosphorus per liter (mg PO4-P/L)")</f>
        <v>milligrams orthophosphate as phosphorus per liter (mg PO4-P/L)</v>
      </c>
      <c r="K180" s="39" t="s">
        <v>19</v>
      </c>
      <c r="L180" s="39" t="s">
        <v>19</v>
      </c>
      <c r="M180" s="39" t="s">
        <v>19</v>
      </c>
      <c r="O180" s="28" t="str">
        <f>IFERROR(__xludf.DUMMYFUNCTION("""COMPUTED_VALUE"""),"HPAI;HPAI_WW;HPAI_Enviro")</f>
        <v>HPAI;HPAI_WW;HPAI_Enviro</v>
      </c>
    </row>
    <row r="181">
      <c r="A181" s="33" t="str">
        <f>IFERROR(__xludf.DUMMYFUNCTION("""COMPUTED_VALUE"""),"Environmental conditions and measurements")</f>
        <v>Environmental conditions and measurements</v>
      </c>
      <c r="B181" s="33" t="str">
        <f>IFERROR(__xludf.DUMMYFUNCTION("""COMPUTED_VALUE"""),"total phosphorus (TP) measurement method")</f>
        <v>total phosphorus (TP) measurement method</v>
      </c>
      <c r="C181" s="33"/>
      <c r="D181" s="33"/>
      <c r="E181" s="35" t="str">
        <f>IFERROR(__xludf.DUMMYFUNCTION("""COMPUTED_VALUE"""),"GENEPIO:0100813")</f>
        <v>GENEPIO:0100813</v>
      </c>
      <c r="F181" s="33" t="str">
        <f>IFERROR(__xludf.DUMMYFUNCTION("""COMPUTED_VALUE"""),"The method used to measure total phosphorus (TP).")</f>
        <v>The method used to measure total phosphorus (TP).</v>
      </c>
      <c r="G181" s="33" t="str">
        <f>IFERROR(__xludf.DUMMYFUNCTION("""COMPUTED_VALUE"""),"Provide the name of the procedure or technology used to measure TP.")</f>
        <v>Provide the name of the procedure or technology used to measure TP.</v>
      </c>
      <c r="H181" s="33" t="str">
        <f>IFERROR(__xludf.DUMMYFUNCTION("""COMPUTED_VALUE"""),"Merck phosphate spectrophotometric test kit")</f>
        <v>Merck phosphate spectrophotometric test kit</v>
      </c>
      <c r="K181" s="39" t="s">
        <v>19</v>
      </c>
      <c r="L181" s="39" t="s">
        <v>19</v>
      </c>
      <c r="M181" s="39" t="s">
        <v>19</v>
      </c>
      <c r="O181" s="28" t="str">
        <f>IFERROR(__xludf.DUMMYFUNCTION("""COMPUTED_VALUE"""),"HPAI;HPAI_WW;HPAI_Enviro")</f>
        <v>HPAI;HPAI_WW;HPAI_Enviro</v>
      </c>
    </row>
    <row r="182">
      <c r="A182" s="33" t="str">
        <f>IFERROR(__xludf.DUMMYFUNCTION("""COMPUTED_VALUE"""),"Environmental conditions and measurements")</f>
        <v>Environmental conditions and measurements</v>
      </c>
      <c r="B182" s="33" t="str">
        <f>IFERROR(__xludf.DUMMYFUNCTION("""COMPUTED_VALUE"""),"fecal contamination indicator ")</f>
        <v>fecal contamination indicator </v>
      </c>
      <c r="C182" s="33"/>
      <c r="D182" s="33" t="b">
        <f>IFERROR(__xludf.DUMMYFUNCTION("""COMPUTED_VALUE"""),TRUE)</f>
        <v>1</v>
      </c>
      <c r="E182" s="35" t="str">
        <f>IFERROR(__xludf.DUMMYFUNCTION("""COMPUTED_VALUE"""),"GENEPIO:0100814")</f>
        <v>GENEPIO:0100814</v>
      </c>
      <c r="F182" s="33" t="str">
        <f>IFERROR(__xludf.DUMMYFUNCTION("""COMPUTED_VALUE"""),"A gene, virus, bacteria, or substance used to measure the sanitary quality of water in regards to fecal contamination.")</f>
        <v>A gene, virus, bacteria, or substance used to measure the sanitary quality of water in regards to fecal contamination.</v>
      </c>
      <c r="G182" s="33" t="str">
        <f>IFERROR(__xludf.DUMMYFUNCTION("""COMPUTED_VALUE"""),"If a fecal contamination indicator was measured, select it from the picklist.")</f>
        <v>If a fecal contamination indicator was measured, select it from the picklist.</v>
      </c>
      <c r="H182" s="33" t="str">
        <f>IFERROR(__xludf.DUMMYFUNCTION("""COMPUTED_VALUE"""),"crAssphage")</f>
        <v>crAssphage</v>
      </c>
      <c r="K182" s="39" t="s">
        <v>19</v>
      </c>
      <c r="L182" s="39" t="s">
        <v>19</v>
      </c>
      <c r="M182" s="39" t="s">
        <v>19</v>
      </c>
      <c r="O182" s="28" t="str">
        <f>IFERROR(__xludf.DUMMYFUNCTION("""COMPUTED_VALUE"""),"HPAI;HPAI_WW;HPAI_Enviro")</f>
        <v>HPAI;HPAI_WW;HPAI_Enviro</v>
      </c>
    </row>
    <row r="183">
      <c r="A183" s="33" t="str">
        <f>IFERROR(__xludf.DUMMYFUNCTION("""COMPUTED_VALUE"""),"Environmental conditions and measurements")</f>
        <v>Environmental conditions and measurements</v>
      </c>
      <c r="B183" s="33" t="str">
        <f>IFERROR(__xludf.DUMMYFUNCTION("""COMPUTED_VALUE"""),"fecal contamination value")</f>
        <v>fecal contamination value</v>
      </c>
      <c r="C183" s="33"/>
      <c r="D183" s="33" t="b">
        <f>IFERROR(__xludf.DUMMYFUNCTION("""COMPUTED_VALUE"""),TRUE)</f>
        <v>1</v>
      </c>
      <c r="E183" s="35" t="str">
        <f>IFERROR(__xludf.DUMMYFUNCTION("""COMPUTED_VALUE"""),"GENEPIO:0100815")</f>
        <v>GENEPIO:0100815</v>
      </c>
      <c r="F183" s="33" t="str">
        <f>IFERROR(__xludf.DUMMYFUNCTION("""COMPUTED_VALUE"""),"The numerical value of a measurement of fecal contamination.")</f>
        <v>The numerical value of a measurement of fecal contamination.</v>
      </c>
      <c r="G183" s="33" t="str">
        <f>IFERROR(__xludf.DUMMYFUNCTION("""COMPUTED_VALUE"""),"Provide the numerical value of the measured fecal contamination.")</f>
        <v>Provide the numerical value of the measured fecal contamination.</v>
      </c>
      <c r="H183" s="33">
        <f>IFERROR(__xludf.DUMMYFUNCTION("""COMPUTED_VALUE"""),10.0)</f>
        <v>10</v>
      </c>
      <c r="K183" s="39" t="s">
        <v>19</v>
      </c>
      <c r="L183" s="39" t="s">
        <v>19</v>
      </c>
      <c r="M183" s="39" t="s">
        <v>19</v>
      </c>
      <c r="O183" s="28" t="str">
        <f>IFERROR(__xludf.DUMMYFUNCTION("""COMPUTED_VALUE"""),"HPAI;HPAI_WW;HPAI_Enviro")</f>
        <v>HPAI;HPAI_WW;HPAI_Enviro</v>
      </c>
    </row>
    <row r="184">
      <c r="A184" s="33" t="str">
        <f>IFERROR(__xludf.DUMMYFUNCTION("""COMPUTED_VALUE"""),"Environmental conditions and measurements")</f>
        <v>Environmental conditions and measurements</v>
      </c>
      <c r="B184" s="33" t="str">
        <f>IFERROR(__xludf.DUMMYFUNCTION("""COMPUTED_VALUE"""),"fecal contamination unit")</f>
        <v>fecal contamination unit</v>
      </c>
      <c r="C184" s="33"/>
      <c r="D184" s="33" t="b">
        <f>IFERROR(__xludf.DUMMYFUNCTION("""COMPUTED_VALUE"""),TRUE)</f>
        <v>1</v>
      </c>
      <c r="E184" s="35" t="str">
        <f>IFERROR(__xludf.DUMMYFUNCTION("""COMPUTED_VALUE"""),"GENEPIO:0100816")</f>
        <v>GENEPIO:0100816</v>
      </c>
      <c r="F184" s="33" t="str">
        <f>IFERROR(__xludf.DUMMYFUNCTION("""COMPUTED_VALUE"""),"The units of a measurement of fecal contamination.")</f>
        <v>The units of a measurement of fecal contamination.</v>
      </c>
      <c r="G184" s="33" t="str">
        <f>IFERROR(__xludf.DUMMYFUNCTION("""COMPUTED_VALUE"""),"Provide the units of the measured fecal contamination.")</f>
        <v>Provide the units of the measured fecal contamination.</v>
      </c>
      <c r="H184" s="33" t="str">
        <f>IFERROR(__xludf.DUMMYFUNCTION("""COMPUTED_VALUE"""),"cycle threshold (Ct) / quantification cycle (Cq)")</f>
        <v>cycle threshold (Ct) / quantification cycle (Cq)</v>
      </c>
      <c r="K184" s="39" t="s">
        <v>19</v>
      </c>
      <c r="L184" s="39" t="s">
        <v>19</v>
      </c>
      <c r="M184" s="39" t="s">
        <v>19</v>
      </c>
      <c r="O184" s="28" t="str">
        <f>IFERROR(__xludf.DUMMYFUNCTION("""COMPUTED_VALUE"""),"HPAI;HPAI_WW;HPAI_Enviro")</f>
        <v>HPAI;HPAI_WW;HPAI_Enviro</v>
      </c>
    </row>
    <row r="185">
      <c r="A185" s="33" t="str">
        <f>IFERROR(__xludf.DUMMYFUNCTION("""COMPUTED_VALUE"""),"Environmental conditions and measurements")</f>
        <v>Environmental conditions and measurements</v>
      </c>
      <c r="B185" s="33" t="str">
        <f>IFERROR(__xludf.DUMMYFUNCTION("""COMPUTED_VALUE"""),"fecal contamination method")</f>
        <v>fecal contamination method</v>
      </c>
      <c r="C185" s="33"/>
      <c r="D185" s="33"/>
      <c r="E185" s="35" t="str">
        <f>IFERROR(__xludf.DUMMYFUNCTION("""COMPUTED_VALUE"""),"GENEPIO:0100817")</f>
        <v>GENEPIO:0100817</v>
      </c>
      <c r="F185" s="33" t="str">
        <f>IFERROR(__xludf.DUMMYFUNCTION("""COMPUTED_VALUE"""),"The method used to measure fecal contamination.")</f>
        <v>The method used to measure fecal contamination.</v>
      </c>
      <c r="G185" s="33" t="str">
        <f>IFERROR(__xludf.DUMMYFUNCTION("""COMPUTED_VALUE"""),"Provide the name of the procedure or technology used to measure fecal contamination.")</f>
        <v>Provide the name of the procedure or technology used to measure fecal contamination.</v>
      </c>
      <c r="H185" s="33" t="str">
        <f>IFERROR(__xludf.DUMMYFUNCTION("""COMPUTED_VALUE"""),"quantitative PCR assay")</f>
        <v>quantitative PCR assay</v>
      </c>
      <c r="K185" s="39" t="s">
        <v>19</v>
      </c>
      <c r="L185" s="39" t="s">
        <v>19</v>
      </c>
      <c r="M185" s="39" t="s">
        <v>19</v>
      </c>
      <c r="O185" s="28" t="str">
        <f>IFERROR(__xludf.DUMMYFUNCTION("""COMPUTED_VALUE"""),"HPAI;HPAI_WW;HPAI_Enviro")</f>
        <v>HPAI;HPAI_WW;HPAI_Enviro</v>
      </c>
    </row>
    <row r="186">
      <c r="A186" s="33" t="str">
        <f>IFERROR(__xludf.DUMMYFUNCTION("""COMPUTED_VALUE"""),"Environmental conditions and measurements")</f>
        <v>Environmental conditions and measurements</v>
      </c>
      <c r="B186" s="33" t="str">
        <f>IFERROR(__xludf.DUMMYFUNCTION("""COMPUTED_VALUE"""),"fecal coliform count value")</f>
        <v>fecal coliform count value</v>
      </c>
      <c r="C186" s="33"/>
      <c r="D186" s="33"/>
      <c r="E186" s="35" t="str">
        <f>IFERROR(__xludf.DUMMYFUNCTION("""COMPUTED_VALUE"""),"GENEPIO:0100818")</f>
        <v>GENEPIO:0100818</v>
      </c>
      <c r="F186" s="33" t="str">
        <f>IFERROR(__xludf.DUMMYFUNCTION("""COMPUTED_VALUE"""),"The numerical value of a measurement of fecal coliforms within a sample.")</f>
        <v>The numerical value of a measurement of fecal coliforms within a sample.</v>
      </c>
      <c r="G186" s="33" t="str">
        <f>IFERROR(__xludf.DUMMYFUNCTION("""COMPUTED_VALUE"""),"Provide the numerical value of the measured fecal coliforms.")</f>
        <v>Provide the numerical value of the measured fecal coliforms.</v>
      </c>
      <c r="H186" s="33">
        <f>IFERROR(__xludf.DUMMYFUNCTION("""COMPUTED_VALUE"""),3.0)</f>
        <v>3</v>
      </c>
      <c r="K186" s="39" t="s">
        <v>19</v>
      </c>
      <c r="L186" s="39" t="s">
        <v>19</v>
      </c>
      <c r="M186" s="39" t="s">
        <v>19</v>
      </c>
      <c r="O186" s="28" t="str">
        <f>IFERROR(__xludf.DUMMYFUNCTION("""COMPUTED_VALUE"""),"HPAI;HPAI_WW;HPAI_Enviro")</f>
        <v>HPAI;HPAI_WW;HPAI_Enviro</v>
      </c>
    </row>
    <row r="187">
      <c r="A187" s="33" t="str">
        <f>IFERROR(__xludf.DUMMYFUNCTION("""COMPUTED_VALUE"""),"Environmental conditions and measurements")</f>
        <v>Environmental conditions and measurements</v>
      </c>
      <c r="B187" s="33" t="str">
        <f>IFERROR(__xludf.DUMMYFUNCTION("""COMPUTED_VALUE"""),"fecal coliform count unit")</f>
        <v>fecal coliform count unit</v>
      </c>
      <c r="C187" s="33"/>
      <c r="D187" s="33"/>
      <c r="E187" s="35" t="str">
        <f>IFERROR(__xludf.DUMMYFUNCTION("""COMPUTED_VALUE"""),"GENEPIO:0100819")</f>
        <v>GENEPIO:0100819</v>
      </c>
      <c r="F187" s="33" t="str">
        <f>IFERROR(__xludf.DUMMYFUNCTION("""COMPUTED_VALUE"""),"The units of a measurement of fecal coliforms.")</f>
        <v>The units of a measurement of fecal coliforms.</v>
      </c>
      <c r="G187" s="33" t="str">
        <f>IFERROR(__xludf.DUMMYFUNCTION("""COMPUTED_VALUE"""),"Provide the units of the measured fecal coliforms.")</f>
        <v>Provide the units of the measured fecal coliforms.</v>
      </c>
      <c r="H187" s="33" t="str">
        <f>IFERROR(__xludf.DUMMYFUNCTION("""COMPUTED_VALUE"""),"most probable number per milliliter (MPN/mL)")</f>
        <v>most probable number per milliliter (MPN/mL)</v>
      </c>
      <c r="K187" s="39" t="s">
        <v>19</v>
      </c>
      <c r="L187" s="39" t="s">
        <v>19</v>
      </c>
      <c r="M187" s="39" t="s">
        <v>19</v>
      </c>
      <c r="O187" s="28" t="str">
        <f>IFERROR(__xludf.DUMMYFUNCTION("""COMPUTED_VALUE"""),"HPAI;HPAI_WW;HPAI_Enviro")</f>
        <v>HPAI;HPAI_WW;HPAI_Enviro</v>
      </c>
    </row>
    <row r="188">
      <c r="A188" s="33" t="str">
        <f>IFERROR(__xludf.DUMMYFUNCTION("""COMPUTED_VALUE"""),"Environmental conditions and measurements")</f>
        <v>Environmental conditions and measurements</v>
      </c>
      <c r="B188" s="33" t="str">
        <f>IFERROR(__xludf.DUMMYFUNCTION("""COMPUTED_VALUE"""),"fecal coliform count method")</f>
        <v>fecal coliform count method</v>
      </c>
      <c r="C188" s="33"/>
      <c r="D188" s="33"/>
      <c r="E188" s="35" t="str">
        <f>IFERROR(__xludf.DUMMYFUNCTION("""COMPUTED_VALUE"""),"GENEPIO:0100820")</f>
        <v>GENEPIO:0100820</v>
      </c>
      <c r="F188" s="33" t="str">
        <f>IFERROR(__xludf.DUMMYFUNCTION("""COMPUTED_VALUE"""),"The method used to measure fecal coliforms.")</f>
        <v>The method used to measure fecal coliforms.</v>
      </c>
      <c r="G188" s="33" t="str">
        <f>IFERROR(__xludf.DUMMYFUNCTION("""COMPUTED_VALUE"""),"Provide the name of the procedure or technology used to measure fecal coliforms.")</f>
        <v>Provide the name of the procedure or technology used to measure fecal coliforms.</v>
      </c>
      <c r="H188" s="33" t="str">
        <f>IFERROR(__xludf.DUMMYFUNCTION("""COMPUTED_VALUE"""),"MPN method via serial dilutions until lack of growth")</f>
        <v>MPN method via serial dilutions until lack of growth</v>
      </c>
      <c r="K188" s="39" t="s">
        <v>19</v>
      </c>
      <c r="L188" s="39" t="s">
        <v>19</v>
      </c>
      <c r="M188" s="39" t="s">
        <v>19</v>
      </c>
      <c r="O188" s="28" t="str">
        <f>IFERROR(__xludf.DUMMYFUNCTION("""COMPUTED_VALUE"""),"HPAI;HPAI_WW;HPAI_Enviro")</f>
        <v>HPAI;HPAI_WW;HPAI_Enviro</v>
      </c>
    </row>
    <row r="189">
      <c r="A189" s="33" t="str">
        <f>IFERROR(__xludf.DUMMYFUNCTION("""COMPUTED_VALUE"""),"Environmental conditions and measurements")</f>
        <v>Environmental conditions and measurements</v>
      </c>
      <c r="B189" s="33" t="str">
        <f>IFERROR(__xludf.DUMMYFUNCTION("""COMPUTED_VALUE"""),"urinary contamination indicator")</f>
        <v>urinary contamination indicator</v>
      </c>
      <c r="C189" s="33"/>
      <c r="D189" s="33"/>
      <c r="E189" s="35" t="str">
        <f>IFERROR(__xludf.DUMMYFUNCTION("""COMPUTED_VALUE"""),"GENEPIO:0100837")</f>
        <v>GENEPIO:0100837</v>
      </c>
      <c r="F189" s="33" t="str">
        <f>IFERROR(__xludf.DUMMYFUNCTION("""COMPUTED_VALUE"""),"A gene, virus, bacteria, or substance used to measure the sanitary quality of water in regards to urinary contamination.")</f>
        <v>A gene, virus, bacteria, or substance used to measure the sanitary quality of water in regards to urinary contamination.</v>
      </c>
      <c r="G189" s="33" t="str">
        <f>IFERROR(__xludf.DUMMYFUNCTION("""COMPUTED_VALUE"""),"If a urinary contamination indicator was measured, select it from the picklist.")</f>
        <v>If a urinary contamination indicator was measured, select it from the picklist.</v>
      </c>
      <c r="H189" s="33" t="str">
        <f>IFERROR(__xludf.DUMMYFUNCTION("""COMPUTED_VALUE"""),"urobilin")</f>
        <v>urobilin</v>
      </c>
      <c r="K189" s="39" t="s">
        <v>19</v>
      </c>
      <c r="L189" s="39" t="s">
        <v>19</v>
      </c>
      <c r="M189" s="39" t="s">
        <v>19</v>
      </c>
      <c r="O189" s="28" t="str">
        <f>IFERROR(__xludf.DUMMYFUNCTION("""COMPUTED_VALUE"""),"HPAI;HPAI_WW;HPAI_Enviro")</f>
        <v>HPAI;HPAI_WW;HPAI_Enviro</v>
      </c>
    </row>
    <row r="190">
      <c r="A190" s="33" t="str">
        <f>IFERROR(__xludf.DUMMYFUNCTION("""COMPUTED_VALUE"""),"Environmental conditions and measurements")</f>
        <v>Environmental conditions and measurements</v>
      </c>
      <c r="B190" s="33" t="str">
        <f>IFERROR(__xludf.DUMMYFUNCTION("""COMPUTED_VALUE"""),"urinary contamination value")</f>
        <v>urinary contamination value</v>
      </c>
      <c r="C190" s="33"/>
      <c r="D190" s="33"/>
      <c r="E190" s="35" t="str">
        <f>IFERROR(__xludf.DUMMYFUNCTION("""COMPUTED_VALUE"""),"GENEPIO:0100838")</f>
        <v>GENEPIO:0100838</v>
      </c>
      <c r="F190" s="33" t="str">
        <f>IFERROR(__xludf.DUMMYFUNCTION("""COMPUTED_VALUE"""),"The numerical value of a measurement of urinary contamination.")</f>
        <v>The numerical value of a measurement of urinary contamination.</v>
      </c>
      <c r="G190" s="33" t="str">
        <f>IFERROR(__xludf.DUMMYFUNCTION("""COMPUTED_VALUE"""),"Provide the numerical value of the measured urinary contamination.")</f>
        <v>Provide the numerical value of the measured urinary contamination.</v>
      </c>
      <c r="H190" s="33">
        <f>IFERROR(__xludf.DUMMYFUNCTION("""COMPUTED_VALUE"""),3.0)</f>
        <v>3</v>
      </c>
      <c r="K190" s="39" t="s">
        <v>19</v>
      </c>
      <c r="L190" s="39" t="s">
        <v>19</v>
      </c>
      <c r="M190" s="39" t="s">
        <v>19</v>
      </c>
      <c r="O190" s="28" t="str">
        <f>IFERROR(__xludf.DUMMYFUNCTION("""COMPUTED_VALUE"""),"HPAI;HPAI_WW;HPAI_Enviro")</f>
        <v>HPAI;HPAI_WW;HPAI_Enviro</v>
      </c>
    </row>
    <row r="191">
      <c r="A191" s="33" t="str">
        <f>IFERROR(__xludf.DUMMYFUNCTION("""COMPUTED_VALUE"""),"Environmental conditions and measurements")</f>
        <v>Environmental conditions and measurements</v>
      </c>
      <c r="B191" s="33" t="str">
        <f>IFERROR(__xludf.DUMMYFUNCTION("""COMPUTED_VALUE"""),"urinary contamination unit")</f>
        <v>urinary contamination unit</v>
      </c>
      <c r="C191" s="33"/>
      <c r="D191" s="33"/>
      <c r="E191" s="35" t="str">
        <f>IFERROR(__xludf.DUMMYFUNCTION("""COMPUTED_VALUE"""),"GENEPIO:0100839")</f>
        <v>GENEPIO:0100839</v>
      </c>
      <c r="F191" s="33" t="str">
        <f>IFERROR(__xludf.DUMMYFUNCTION("""COMPUTED_VALUE"""),"The units of a measurement of urinary contamination.")</f>
        <v>The units of a measurement of urinary contamination.</v>
      </c>
      <c r="G191" s="33" t="str">
        <f>IFERROR(__xludf.DUMMYFUNCTION("""COMPUTED_VALUE"""),"Provide the units of the measured urinary contamination.")</f>
        <v>Provide the units of the measured urinary contamination.</v>
      </c>
      <c r="H191" s="33" t="str">
        <f>IFERROR(__xludf.DUMMYFUNCTION("""COMPUTED_VALUE"""),"nanograms per liter")</f>
        <v>nanograms per liter</v>
      </c>
      <c r="K191" s="39" t="s">
        <v>19</v>
      </c>
      <c r="L191" s="39" t="s">
        <v>19</v>
      </c>
      <c r="M191" s="39" t="s">
        <v>19</v>
      </c>
      <c r="O191" s="28" t="str">
        <f>IFERROR(__xludf.DUMMYFUNCTION("""COMPUTED_VALUE"""),"HPAI;HPAI_WW;HPAI_Enviro")</f>
        <v>HPAI;HPAI_WW;HPAI_Enviro</v>
      </c>
    </row>
    <row r="192">
      <c r="A192" s="33" t="str">
        <f>IFERROR(__xludf.DUMMYFUNCTION("""COMPUTED_VALUE"""),"Environmental conditions and measurements")</f>
        <v>Environmental conditions and measurements</v>
      </c>
      <c r="B192" s="33" t="str">
        <f>IFERROR(__xludf.DUMMYFUNCTION("""COMPUTED_VALUE"""),"urinary contamination method")</f>
        <v>urinary contamination method</v>
      </c>
      <c r="C192" s="33"/>
      <c r="D192" s="33"/>
      <c r="E192" s="35" t="str">
        <f>IFERROR(__xludf.DUMMYFUNCTION("""COMPUTED_VALUE"""),"GENEPIO:0100840")</f>
        <v>GENEPIO:0100840</v>
      </c>
      <c r="F192" s="33" t="str">
        <f>IFERROR(__xludf.DUMMYFUNCTION("""COMPUTED_VALUE"""),"The method used to measure urinary contamination.")</f>
        <v>The method used to measure urinary contamination.</v>
      </c>
      <c r="G192" s="33" t="str">
        <f>IFERROR(__xludf.DUMMYFUNCTION("""COMPUTED_VALUE"""),"Provide the name of the procedure or technology used to measure urinary contamination.")</f>
        <v>Provide the name of the procedure or technology used to measure urinary contamination.</v>
      </c>
      <c r="H192" s="33" t="str">
        <f>IFERROR(__xludf.DUMMYFUNCTION("""COMPUTED_VALUE"""),"Urobilin Concentration Test")</f>
        <v>Urobilin Concentration Test</v>
      </c>
      <c r="K192" s="39" t="s">
        <v>19</v>
      </c>
      <c r="L192" s="39" t="s">
        <v>19</v>
      </c>
      <c r="M192" s="39" t="s">
        <v>19</v>
      </c>
      <c r="O192" s="28" t="str">
        <f>IFERROR(__xludf.DUMMYFUNCTION("""COMPUTED_VALUE"""),"HPAI;HPAI_WW;HPAI_Enviro")</f>
        <v>HPAI;HPAI_WW;HPAI_Enviro</v>
      </c>
    </row>
    <row r="193">
      <c r="A193" s="33" t="str">
        <f>IFERROR(__xludf.DUMMYFUNCTION("""COMPUTED_VALUE"""),"Environmental conditions and measurements")</f>
        <v>Environmental conditions and measurements</v>
      </c>
      <c r="B193" s="33" t="str">
        <f>IFERROR(__xludf.DUMMYFUNCTION("""COMPUTED_VALUE"""),"sample temperature value (at collection)")</f>
        <v>sample temperature value (at collection)</v>
      </c>
      <c r="C193" s="33"/>
      <c r="D193" s="33"/>
      <c r="E193" s="35" t="str">
        <f>IFERROR(__xludf.DUMMYFUNCTION("""COMPUTED_VALUE"""),"GENEPIO:0100821")</f>
        <v>GENEPIO:0100821</v>
      </c>
      <c r="F193" s="33" t="str">
        <f>IFERROR(__xludf.DUMMYFUNCTION("""COMPUTED_VALUE"""),"The numerical value of a measurement of temperature of a sample at collection.")</f>
        <v>The numerical value of a measurement of temperature of a sample at collection.</v>
      </c>
      <c r="G193" s="33" t="str">
        <f>IFERROR(__xludf.DUMMYFUNCTION("""COMPUTED_VALUE"""),"Provide the numerical value of the measured temperature.")</f>
        <v>Provide the numerical value of the measured temperature.</v>
      </c>
      <c r="H193" s="33">
        <f>IFERROR(__xludf.DUMMYFUNCTION("""COMPUTED_VALUE"""),20.0)</f>
        <v>20</v>
      </c>
      <c r="K193" s="39" t="s">
        <v>19</v>
      </c>
      <c r="L193" s="39" t="s">
        <v>19</v>
      </c>
      <c r="M193" s="39" t="s">
        <v>19</v>
      </c>
      <c r="O193" s="28" t="str">
        <f>IFERROR(__xludf.DUMMYFUNCTION("""COMPUTED_VALUE"""),"HPAI;HPAI_WW;HPAI_Enviro")</f>
        <v>HPAI;HPAI_WW;HPAI_Enviro</v>
      </c>
    </row>
    <row r="194">
      <c r="A194" s="33" t="str">
        <f>IFERROR(__xludf.DUMMYFUNCTION("""COMPUTED_VALUE"""),"Environmental conditions and measurements")</f>
        <v>Environmental conditions and measurements</v>
      </c>
      <c r="B194" s="33" t="str">
        <f>IFERROR(__xludf.DUMMYFUNCTION("""COMPUTED_VALUE"""),"sample temperature unit (at collection)")</f>
        <v>sample temperature unit (at collection)</v>
      </c>
      <c r="C194" s="33"/>
      <c r="D194" s="33"/>
      <c r="E194" s="35" t="str">
        <f>IFERROR(__xludf.DUMMYFUNCTION("""COMPUTED_VALUE"""),"GENEPIO:0100822")</f>
        <v>GENEPIO:0100822</v>
      </c>
      <c r="F194" s="33" t="str">
        <f>IFERROR(__xludf.DUMMYFUNCTION("""COMPUTED_VALUE"""),"The units of a measurement of temperature of a sample at the time of collection.")</f>
        <v>The units of a measurement of temperature of a sample at the time of collection.</v>
      </c>
      <c r="G194" s="33" t="str">
        <f>IFERROR(__xludf.DUMMYFUNCTION("""COMPUTED_VALUE"""),"Provide the units of the measured temperature.")</f>
        <v>Provide the units of the measured temperature.</v>
      </c>
      <c r="H194" s="33" t="str">
        <f>IFERROR(__xludf.DUMMYFUNCTION("""COMPUTED_VALUE"""),"degree Celsius (C)")</f>
        <v>degree Celsius (C)</v>
      </c>
      <c r="K194" s="39" t="s">
        <v>19</v>
      </c>
      <c r="L194" s="39" t="s">
        <v>19</v>
      </c>
      <c r="M194" s="39" t="s">
        <v>19</v>
      </c>
      <c r="O194" s="28" t="str">
        <f>IFERROR(__xludf.DUMMYFUNCTION("""COMPUTED_VALUE"""),"HPAI;HPAI_WW;HPAI_Enviro")</f>
        <v>HPAI;HPAI_WW;HPAI_Enviro</v>
      </c>
    </row>
    <row r="195">
      <c r="A195" s="33" t="str">
        <f>IFERROR(__xludf.DUMMYFUNCTION("""COMPUTED_VALUE"""),"Environmental conditions and measurements")</f>
        <v>Environmental conditions and measurements</v>
      </c>
      <c r="B195" s="33" t="str">
        <f>IFERROR(__xludf.DUMMYFUNCTION("""COMPUTED_VALUE"""),"sample temperature value (when received)")</f>
        <v>sample temperature value (when received)</v>
      </c>
      <c r="C195" s="33"/>
      <c r="D195" s="33"/>
      <c r="E195" s="35" t="str">
        <f>IFERROR(__xludf.DUMMYFUNCTION("""COMPUTED_VALUE"""),"GENEPIO:0100823")</f>
        <v>GENEPIO:0100823</v>
      </c>
      <c r="F195" s="33" t="str">
        <f>IFERROR(__xludf.DUMMYFUNCTION("""COMPUTED_VALUE"""),"The numerical value of a measurement of temperature of a sample upon receipt.")</f>
        <v>The numerical value of a measurement of temperature of a sample upon receipt.</v>
      </c>
      <c r="G195" s="33" t="str">
        <f>IFERROR(__xludf.DUMMYFUNCTION("""COMPUTED_VALUE"""),"Provide the numerical value of the measured temperature.")</f>
        <v>Provide the numerical value of the measured temperature.</v>
      </c>
      <c r="H195" s="33">
        <f>IFERROR(__xludf.DUMMYFUNCTION("""COMPUTED_VALUE"""),22.0)</f>
        <v>22</v>
      </c>
      <c r="K195" s="39" t="s">
        <v>19</v>
      </c>
      <c r="L195" s="39" t="s">
        <v>19</v>
      </c>
      <c r="M195" s="39" t="s">
        <v>19</v>
      </c>
      <c r="O195" s="28" t="str">
        <f>IFERROR(__xludf.DUMMYFUNCTION("""COMPUTED_VALUE"""),"HPAI;HPAI_WW;HPAI_Enviro")</f>
        <v>HPAI;HPAI_WW;HPAI_Enviro</v>
      </c>
    </row>
    <row r="196">
      <c r="A196" s="33" t="str">
        <f>IFERROR(__xludf.DUMMYFUNCTION("""COMPUTED_VALUE"""),"Environmental conditions and measurements")</f>
        <v>Environmental conditions and measurements</v>
      </c>
      <c r="B196" s="33" t="str">
        <f>IFERROR(__xludf.DUMMYFUNCTION("""COMPUTED_VALUE"""),"sample temperature unit (when received)")</f>
        <v>sample temperature unit (when received)</v>
      </c>
      <c r="C196" s="33"/>
      <c r="D196" s="33"/>
      <c r="E196" s="35" t="str">
        <f>IFERROR(__xludf.DUMMYFUNCTION("""COMPUTED_VALUE"""),"GENEPIO:0100824")</f>
        <v>GENEPIO:0100824</v>
      </c>
      <c r="F196" s="33" t="str">
        <f>IFERROR(__xludf.DUMMYFUNCTION("""COMPUTED_VALUE"""),"The units of a measurement of temperature of a sample at the time upon receipt.")</f>
        <v>The units of a measurement of temperature of a sample at the time upon receipt.</v>
      </c>
      <c r="G196" s="33" t="str">
        <f>IFERROR(__xludf.DUMMYFUNCTION("""COMPUTED_VALUE"""),"Provide the units of the measured temperature.")</f>
        <v>Provide the units of the measured temperature.</v>
      </c>
      <c r="H196" s="33" t="str">
        <f>IFERROR(__xludf.DUMMYFUNCTION("""COMPUTED_VALUE"""),"degree Celsius (C)")</f>
        <v>degree Celsius (C)</v>
      </c>
      <c r="K196" s="39" t="s">
        <v>19</v>
      </c>
      <c r="L196" s="39" t="s">
        <v>19</v>
      </c>
      <c r="M196" s="39" t="s">
        <v>19</v>
      </c>
      <c r="O196" s="28" t="str">
        <f>IFERROR(__xludf.DUMMYFUNCTION("""COMPUTED_VALUE"""),"HPAI;HPAI_WW;HPAI_Enviro")</f>
        <v>HPAI;HPAI_WW;HPAI_Enviro</v>
      </c>
    </row>
    <row r="197">
      <c r="A197" s="33"/>
      <c r="B197" s="33" t="str">
        <f>IFERROR(__xludf.DUMMYFUNCTION("""COMPUTED_VALUE"""),"Sequence information")</f>
        <v>Sequence information</v>
      </c>
      <c r="C197" s="33"/>
      <c r="D197" s="33"/>
      <c r="E197" s="33" t="str">
        <f>IFERROR(__xludf.DUMMYFUNCTION("""COMPUTED_VALUE"""),"GENEPIO:0001441")</f>
        <v>GENEPIO:0001441</v>
      </c>
      <c r="F197" s="33"/>
      <c r="G197" s="33"/>
      <c r="H197" s="33"/>
      <c r="I197" s="28"/>
      <c r="J197" s="28"/>
      <c r="K197" s="28"/>
      <c r="L197" s="28"/>
      <c r="M197" s="28"/>
      <c r="N197" s="28"/>
      <c r="O197" s="28" t="str">
        <f>IFERROR(__xludf.DUMMYFUNCTION("""COMPUTED_VALUE"""),"HPAI;HPAI_Food;HPAI_WW;HPAI_Enviro;HPAI_Host")</f>
        <v>HPAI;HPAI_Food;HPAI_WW;HPAI_Enviro;HPAI_Host</v>
      </c>
    </row>
    <row r="198">
      <c r="A198" s="33" t="str">
        <f>IFERROR(__xludf.DUMMYFUNCTION("""COMPUTED_VALUE"""),"Sequence information")</f>
        <v>Sequence information</v>
      </c>
      <c r="B198" s="33" t="str">
        <f>IFERROR(__xludf.DUMMYFUNCTION("""COMPUTED_VALUE"""),"library_ID")</f>
        <v>library_ID</v>
      </c>
      <c r="C198" s="33"/>
      <c r="D198" s="33"/>
      <c r="E198" s="33" t="str">
        <f>IFERROR(__xludf.DUMMYFUNCTION("""COMPUTED_VALUE"""),"GENEPIO:0001448")</f>
        <v>GENEPIO:0001448</v>
      </c>
      <c r="F198" s="33" t="str">
        <f>IFERROR(__xludf.DUMMYFUNCTION("""COMPUTED_VALUE"""),"The user-specified identifier for the library prepared for sequencing.")</f>
        <v>The user-specified identifier for the library prepared for sequencing.</v>
      </c>
      <c r="G198" s="33" t="str">
        <f>IFERROR(__xludf.DUMMYFUNCTION("""COMPUTED_VALUE"""),"Every ""library ID"" from a single submitter must be unique. It can have any format, but we suggest that you make it concise, unique and consistent within your lab, and as informative as possible.")</f>
        <v>Every "library ID" from a single submitter must be unique. It can have any format, but we suggest that you make it concise, unique and consistent within your lab, and as informative as possible.</v>
      </c>
      <c r="H198" s="33" t="str">
        <f>IFERROR(__xludf.DUMMYFUNCTION("""COMPUTED_VALUE"""),"LS_2010_NP_123446")</f>
        <v>LS_2010_NP_123446</v>
      </c>
      <c r="K198" s="39" t="s">
        <v>19</v>
      </c>
      <c r="L198" s="39" t="s">
        <v>19</v>
      </c>
      <c r="M198" s="39" t="s">
        <v>19</v>
      </c>
      <c r="O198" s="28" t="str">
        <f>IFERROR(__xludf.DUMMYFUNCTION("""COMPUTED_VALUE"""),"HPAI;HPAI_Food;HPAI_WW;HPAI_Enviro;HPAI_Host")</f>
        <v>HPAI;HPAI_Food;HPAI_WW;HPAI_Enviro;HPAI_Host</v>
      </c>
    </row>
    <row r="199">
      <c r="A199" s="33" t="str">
        <f>IFERROR(__xludf.DUMMYFUNCTION("""COMPUTED_VALUE"""),"Sequence information")</f>
        <v>Sequence information</v>
      </c>
      <c r="B199" s="33" t="str">
        <f>IFERROR(__xludf.DUMMYFUNCTION("""COMPUTED_VALUE"""),"sequencing_assay_type")</f>
        <v>sequencing_assay_type</v>
      </c>
      <c r="C199" s="33"/>
      <c r="D199" s="33"/>
      <c r="E199" s="33" t="str">
        <f>IFERROR(__xludf.DUMMYFUNCTION("""COMPUTED_VALUE"""),"GENEPIO:0100997")</f>
        <v>GENEPIO:0100997</v>
      </c>
      <c r="F199" s="33" t="str">
        <f>IFERROR(__xludf.DUMMYFUNCTION("""COMPUTED_VALUE"""),"The overarching sequencing methodology that was used to determine the sequence of a biomaterial.")</f>
        <v>The overarching sequencing methodology that was used to determine the sequence of a biomaterial.</v>
      </c>
      <c r="G199" s="33" t="str">
        <f>IFERROR(__xludf.DUMMYFUNCTION("""COMPUTED_VALUE"""),"Example Guidance: Provide the name of the DNA or RNA sequencing technology used in your study. If unsure refer to the protocol documentation, or provide a null value.")</f>
        <v>Example Guidance: Provide the name of the DNA or RNA sequencing technology used in your study. If unsure refer to the protocol documentation, or provide a null value.</v>
      </c>
      <c r="H199" s="33" t="str">
        <f>IFERROR(__xludf.DUMMYFUNCTION("""COMPUTED_VALUE"""),"whole genome sequencing assay [OBI:0002117]")</f>
        <v>whole genome sequencing assay [OBI:0002117]</v>
      </c>
      <c r="K199" s="39" t="s">
        <v>19</v>
      </c>
      <c r="L199" s="39" t="s">
        <v>19</v>
      </c>
      <c r="M199" s="39" t="s">
        <v>19</v>
      </c>
      <c r="O199" s="28" t="str">
        <f>IFERROR(__xludf.DUMMYFUNCTION("""COMPUTED_VALUE"""),"HPAI;HPAI_Food;HPAI_WW;HPAI_Enviro;HPAI_Host")</f>
        <v>HPAI;HPAI_Food;HPAI_WW;HPAI_Enviro;HPAI_Host</v>
      </c>
    </row>
    <row r="200">
      <c r="A200" s="33" t="str">
        <f>IFERROR(__xludf.DUMMYFUNCTION("""COMPUTED_VALUE"""),"Sequence information")</f>
        <v>Sequence information</v>
      </c>
      <c r="B200" s="33" t="str">
        <f>IFERROR(__xludf.DUMMYFUNCTION("""COMPUTED_VALUE"""),"sequencing_date")</f>
        <v>sequencing_date</v>
      </c>
      <c r="C200" s="33"/>
      <c r="D200" s="33"/>
      <c r="E200" s="33" t="str">
        <f>IFERROR(__xludf.DUMMYFUNCTION("""COMPUTED_VALUE"""),"GENEPIO:0001447")</f>
        <v>GENEPIO:0001447</v>
      </c>
      <c r="F200" s="33" t="str">
        <f>IFERROR(__xludf.DUMMYFUNCTION("""COMPUTED_VALUE"""),"The date the sample was sequenced.")</f>
        <v>The date the sample was sequenced.</v>
      </c>
      <c r="G200" s="33" t="str">
        <f>IFERROR(__xludf.DUMMYFUNCTION("""COMPUTED_VALUE"""),"ISO 8601 standard ""YYYY-MM-DD"".")</f>
        <v>ISO 8601 standard "YYYY-MM-DD".</v>
      </c>
      <c r="H200" s="38">
        <f>IFERROR(__xludf.DUMMYFUNCTION("""COMPUTED_VALUE"""),44004.0)</f>
        <v>44004</v>
      </c>
      <c r="K200" s="39" t="s">
        <v>19</v>
      </c>
      <c r="L200" s="39" t="s">
        <v>19</v>
      </c>
      <c r="M200" s="39" t="s">
        <v>19</v>
      </c>
      <c r="O200" s="28" t="str">
        <f>IFERROR(__xludf.DUMMYFUNCTION("""COMPUTED_VALUE"""),"HPAI;HPAI_Food;HPAI_WW;HPAI_Enviro;HPAI_Host")</f>
        <v>HPAI;HPAI_Food;HPAI_WW;HPAI_Enviro;HPAI_Host</v>
      </c>
    </row>
    <row r="201">
      <c r="A201" s="33" t="str">
        <f>IFERROR(__xludf.DUMMYFUNCTION("""COMPUTED_VALUE"""),"Sequence information")</f>
        <v>Sequence information</v>
      </c>
      <c r="B201" s="33" t="str">
        <f>IFERROR(__xludf.DUMMYFUNCTION("""COMPUTED_VALUE"""),"purpose_of_sequencing  ")</f>
        <v>purpose_of_sequencing  </v>
      </c>
      <c r="C201" s="33" t="b">
        <f>IFERROR(__xludf.DUMMYFUNCTION("""COMPUTED_VALUE"""),TRUE)</f>
        <v>1</v>
      </c>
      <c r="D201" s="33"/>
      <c r="E201" s="35" t="str">
        <f>IFERROR(__xludf.DUMMYFUNCTION("""COMPUTED_VALUE"""),"GENEPIO:0001445")</f>
        <v>GENEPIO:0001445</v>
      </c>
      <c r="F201" s="33" t="str">
        <f>IFERROR(__xludf.DUMMYFUNCTION("""COMPUTED_VALUE"""),"The reason that the sample was sequenced.")</f>
        <v>The reason that the sample was sequenced.</v>
      </c>
      <c r="G201" s="33" t="str">
        <f>IFERROR(__xludf.DUMMYFUNCTION("""COMPUTED_VALUE"""),"The reason why a sample was originally collected may differ from the reason why it was selected for sequencing. The reason a sample was sequenced may provide information about potential biases in sequencing strategy. Provide the purpose of sequencing from"&amp;" the picklist in the template. The reason for sample collection should be indicated in the ""purpose of sampling"" field.")</f>
        <v>The reason why a sample was originally collected may differ from the reason why it was selected for sequencing. The reason a sample was sequenced may provide information about potential biases in sequencing strategy. Provide the purpose of sequencing from the picklist in the template. The reason for sample collection should be indicated in the "purpose of sampling" field.</v>
      </c>
      <c r="H201" s="33" t="str">
        <f>IFERROR(__xludf.DUMMYFUNCTION("""COMPUTED_VALUE"""),"Travel-associated surveillance")</f>
        <v>Travel-associated surveillance</v>
      </c>
      <c r="I201" s="33"/>
      <c r="J201" s="33"/>
      <c r="K201" s="34" t="s">
        <v>19</v>
      </c>
      <c r="L201" s="34" t="s">
        <v>19</v>
      </c>
      <c r="M201" s="34" t="s">
        <v>19</v>
      </c>
      <c r="O201" s="28" t="str">
        <f>IFERROR(__xludf.DUMMYFUNCTION("""COMPUTED_VALUE"""),"HPAI;HPAI_Food;HPAI_WW;HPAI_Enviro;HPAI_Host")</f>
        <v>HPAI;HPAI_Food;HPAI_WW;HPAI_Enviro;HPAI_Host</v>
      </c>
    </row>
    <row r="202">
      <c r="A202" s="33" t="str">
        <f>IFERROR(__xludf.DUMMYFUNCTION("""COMPUTED_VALUE"""),"Sequence information")</f>
        <v>Sequence information</v>
      </c>
      <c r="B202" s="33" t="str">
        <f>IFERROR(__xludf.DUMMYFUNCTION("""COMPUTED_VALUE"""),"purpose_of_sequencing_details")</f>
        <v>purpose_of_sequencing_details</v>
      </c>
      <c r="C202" s="33"/>
      <c r="D202" s="33"/>
      <c r="E202" s="33" t="str">
        <f>IFERROR(__xludf.DUMMYFUNCTION("""COMPUTED_VALUE"""),"GENEPIO:0001446")</f>
        <v>GENEPIO:0001446</v>
      </c>
      <c r="F202" s="33" t="str">
        <f>IFERROR(__xludf.DUMMYFUNCTION("""COMPUTED_VALUE"""),"The description of why the sample was sequenced providing specific details.")</f>
        <v>The description of why the sample was sequenced providing specific details.</v>
      </c>
      <c r="G202" s="33" t="str">
        <f>IFERROR(__xludf.DUMMYFUNCTION("""COMPUTED_VALUE"""),"Provide an expanded description of why the sample was sequenced using free text. The description may include the importance of the sequences for a particular public health investigation/surveillance activity/research question. Suggested standardized descr"&amp;"iptions include: Assessing public health control measures, Determining early introductions and spread, Investigating airline-related exposures, Investigating remote regions, Investigating health care workers, Investigating schools/universities.")</f>
        <v>Provide an expanded description of why the sample was sequenced using free text. The description may include the importance of the sequences for a particular public health investigation/surveillance activity/research question. Suggested standardized descriptions include: Assessing public health control measures, Determining early introductions and spread, Investigating airline-related exposures, Investigating remote regions, Investigating health care workers, Investigating schools/universities.</v>
      </c>
      <c r="H202" s="33" t="str">
        <f>IFERROR(__xludf.DUMMYFUNCTION("""COMPUTED_VALUE"""),"Investigating schools/universities")</f>
        <v>Investigating schools/universities</v>
      </c>
      <c r="I202" s="33"/>
      <c r="J202" s="33"/>
      <c r="K202" s="34" t="s">
        <v>19</v>
      </c>
      <c r="L202" s="34" t="s">
        <v>19</v>
      </c>
      <c r="M202" s="34" t="s">
        <v>19</v>
      </c>
      <c r="N202" s="33"/>
      <c r="O202" s="33" t="str">
        <f>IFERROR(__xludf.DUMMYFUNCTION("""COMPUTED_VALUE"""),"HPAI;HPAI_Food;HPAI_WW;HPAI_Enviro;HPAI_Host")</f>
        <v>HPAI;HPAI_Food;HPAI_WW;HPAI_Enviro;HPAI_Host</v>
      </c>
      <c r="P202" s="33"/>
      <c r="Q202" s="33"/>
      <c r="R202" s="33"/>
      <c r="S202" s="33"/>
      <c r="T202" s="33"/>
      <c r="U202" s="33"/>
      <c r="V202" s="33"/>
      <c r="W202" s="33"/>
      <c r="X202" s="33"/>
      <c r="Y202" s="33"/>
      <c r="Z202" s="33"/>
      <c r="AA202" s="33"/>
      <c r="AB202" s="33"/>
    </row>
    <row r="203">
      <c r="A203" s="33" t="str">
        <f>IFERROR(__xludf.DUMMYFUNCTION("""COMPUTED_VALUE"""),"Sequence information")</f>
        <v>Sequence information</v>
      </c>
      <c r="B203" s="33" t="str">
        <f>IFERROR(__xludf.DUMMYFUNCTION("""COMPUTED_VALUE"""),"sequenced_by")</f>
        <v>sequenced_by</v>
      </c>
      <c r="C203" s="33" t="b">
        <f>IFERROR(__xludf.DUMMYFUNCTION("""COMPUTED_VALUE"""),TRUE)</f>
        <v>1</v>
      </c>
      <c r="D203" s="33"/>
      <c r="E203" s="33" t="str">
        <f>IFERROR(__xludf.DUMMYFUNCTION("""COMPUTED_VALUE"""),"GENEPIO:0100416")</f>
        <v>GENEPIO:0100416</v>
      </c>
      <c r="F203" s="33" t="str">
        <f>IFERROR(__xludf.DUMMYFUNCTION("""COMPUTED_VALUE"""),"The name of the agency, organization or institution responsible for sequencing the isolate's genome.")</f>
        <v>The name of the agency, organization or institution responsible for sequencing the isolate's genome.</v>
      </c>
      <c r="G203" s="33" t="str">
        <f>IFERROR(__xludf.DUMMYFUNCTION("""COMPUTED_VALUE"""),"Provide the name of the agency, organization or institution that performed the sequencing in full (avoid abbreviations). If the information is unknown or cannot be provided, leave blank or provide a null value.")</f>
        <v>Provide the name of the agency, organization or institution that performed the sequencing in full (avoid abbreviations). If the information is unknown or cannot be provided, leave blank or provide a null value.</v>
      </c>
      <c r="H203" s="33" t="str">
        <f>IFERROR(__xludf.DUMMYFUNCTION("""COMPUTED_VALUE"""),"Public Health Agency of Canada (PHAC) [GENEPIO:0100551]")</f>
        <v>Public Health Agency of Canada (PHAC) [GENEPIO:0100551]</v>
      </c>
      <c r="I203" s="33"/>
      <c r="J203" s="33"/>
      <c r="K203" s="34" t="s">
        <v>19</v>
      </c>
      <c r="L203" s="34" t="s">
        <v>19</v>
      </c>
      <c r="M203" s="34" t="s">
        <v>19</v>
      </c>
      <c r="N203" s="33"/>
      <c r="O203" s="33" t="str">
        <f>IFERROR(__xludf.DUMMYFUNCTION("""COMPUTED_VALUE"""),"HPAI;HPAI_Food;HPAI_WW;HPAI_Enviro;HPAI_Host")</f>
        <v>HPAI;HPAI_Food;HPAI_WW;HPAI_Enviro;HPAI_Host</v>
      </c>
      <c r="P203" s="33"/>
      <c r="Q203" s="33"/>
      <c r="R203" s="33"/>
      <c r="S203" s="33"/>
      <c r="T203" s="33"/>
      <c r="U203" s="33"/>
      <c r="V203" s="33"/>
      <c r="W203" s="33"/>
      <c r="X203" s="33"/>
      <c r="Y203" s="33"/>
      <c r="Z203" s="33"/>
      <c r="AA203" s="33"/>
      <c r="AB203" s="33"/>
    </row>
    <row r="204">
      <c r="A204" s="33" t="str">
        <f>IFERROR(__xludf.DUMMYFUNCTION("""COMPUTED_VALUE"""),"Sequence information")</f>
        <v>Sequence information</v>
      </c>
      <c r="B204" s="33" t="str">
        <f>IFERROR(__xludf.DUMMYFUNCTION("""COMPUTED_VALUE"""),"sequenced_by_laboratory_name")</f>
        <v>sequenced_by_laboratory_name</v>
      </c>
      <c r="C204" s="33"/>
      <c r="D204" s="33"/>
      <c r="E204" s="33" t="str">
        <f>IFERROR(__xludf.DUMMYFUNCTION("""COMPUTED_VALUE"""),"GENEPIO:0100470")</f>
        <v>GENEPIO:0100470</v>
      </c>
      <c r="F204" s="33" t="str">
        <f>IFERROR(__xludf.DUMMYFUNCTION("""COMPUTED_VALUE"""),"The specific laboratory affiliation of the responsible for sequencing the isolate's genome.")</f>
        <v>The specific laboratory affiliation of the responsible for sequencing the isolate's genome.</v>
      </c>
      <c r="G204" s="33" t="str">
        <f>IFERROR(__xludf.DUMMYFUNCTION("""COMPUTED_VALUE"""),"Provide the name of the specific laboratory that that performed the sequencing in full (avoid abbreviations). If the information is unknown or cannot be provided, leave blank or provide a null value.")</f>
        <v>Provide the name of the specific laboratory that that performed the sequencing in full (avoid abbreviations). If the information is unknown or cannot be provided, leave blank or provide a null value.</v>
      </c>
      <c r="H204" s="33" t="str">
        <f>IFERROR(__xludf.DUMMYFUNCTION("""COMPUTED_VALUE"""),"Topp Lab")</f>
        <v>Topp Lab</v>
      </c>
      <c r="I204" s="33"/>
      <c r="J204" s="33"/>
      <c r="K204" s="34" t="s">
        <v>19</v>
      </c>
      <c r="L204" s="34" t="s">
        <v>19</v>
      </c>
      <c r="M204" s="34" t="s">
        <v>19</v>
      </c>
      <c r="N204" s="33"/>
      <c r="O204" s="33" t="str">
        <f>IFERROR(__xludf.DUMMYFUNCTION("""COMPUTED_VALUE"""),"HPAI;HPAI_Food;HPAI_WW;HPAI_Enviro;HPAI_Host")</f>
        <v>HPAI;HPAI_Food;HPAI_WW;HPAI_Enviro;HPAI_Host</v>
      </c>
      <c r="P204" s="33"/>
      <c r="Q204" s="33"/>
      <c r="R204" s="33"/>
      <c r="S204" s="33"/>
      <c r="T204" s="33"/>
      <c r="U204" s="33"/>
      <c r="V204" s="33"/>
      <c r="W204" s="33"/>
      <c r="X204" s="33"/>
      <c r="Y204" s="33"/>
      <c r="Z204" s="33"/>
      <c r="AA204" s="33"/>
      <c r="AB204" s="33"/>
    </row>
    <row r="205">
      <c r="A205" s="33" t="str">
        <f>IFERROR(__xludf.DUMMYFUNCTION("""COMPUTED_VALUE"""),"Sequence information")</f>
        <v>Sequence information</v>
      </c>
      <c r="B205" s="33" t="str">
        <f>IFERROR(__xludf.DUMMYFUNCTION("""COMPUTED_VALUE"""),"sequenced_by_contact_name")</f>
        <v>sequenced_by_contact_name</v>
      </c>
      <c r="C205" s="33" t="b">
        <f>IFERROR(__xludf.DUMMYFUNCTION("""COMPUTED_VALUE"""),TRUE)</f>
        <v>1</v>
      </c>
      <c r="D205" s="33"/>
      <c r="E205" s="33" t="str">
        <f>IFERROR(__xludf.DUMMYFUNCTION("""COMPUTED_VALUE"""),"GENEPIO:0100471")</f>
        <v>GENEPIO:0100471</v>
      </c>
      <c r="F205" s="33" t="str">
        <f>IFERROR(__xludf.DUMMYFUNCTION("""COMPUTED_VALUE"""),"The name or title of the contact responsible for follow-up regarding the sequence.")</f>
        <v>The name or title of the contact responsible for follow-up regarding the sequence.</v>
      </c>
      <c r="G205" s="33" t="str">
        <f>IFERROR(__xludf.DUMMYFUNCTION("""COMPUTED_VALUE"""),"Provide the name of an individual or their job title. As personnel turnover may render the contact's name obsolete, it is more prefereable to provide a job title for ensuring accuracy of information and institutional memory. If the information is unknown "&amp;"or cannot be provided, leave blank or provide a null value.")</f>
        <v>Provide the name of an individual or their job title. As personnel turnover may render the contact's name obsolete, it is more prefereable to provide a job title for ensuring accuracy of information and institutional memory. If the information is unknown or cannot be provided, leave blank or provide a null value.</v>
      </c>
      <c r="H205" s="33" t="str">
        <f>IFERROR(__xludf.DUMMYFUNCTION("""COMPUTED_VALUE"""),"Enterics Lab Manager")</f>
        <v>Enterics Lab Manager</v>
      </c>
      <c r="I205" s="33"/>
      <c r="J205" s="33"/>
      <c r="K205" s="34" t="s">
        <v>19</v>
      </c>
      <c r="L205" s="34" t="s">
        <v>19</v>
      </c>
      <c r="M205" s="34" t="s">
        <v>19</v>
      </c>
      <c r="N205" s="33"/>
      <c r="O205" s="33" t="str">
        <f>IFERROR(__xludf.DUMMYFUNCTION("""COMPUTED_VALUE"""),"HPAI;HPAI_Food;HPAI_WW;HPAI_Enviro;HPAI_Host")</f>
        <v>HPAI;HPAI_Food;HPAI_WW;HPAI_Enviro;HPAI_Host</v>
      </c>
      <c r="P205" s="33"/>
      <c r="Q205" s="33"/>
      <c r="R205" s="33"/>
      <c r="S205" s="33"/>
      <c r="T205" s="33"/>
      <c r="U205" s="33"/>
      <c r="V205" s="33"/>
      <c r="W205" s="33"/>
      <c r="X205" s="33"/>
      <c r="Y205" s="33"/>
      <c r="Z205" s="33"/>
      <c r="AA205" s="33"/>
      <c r="AB205" s="33"/>
    </row>
    <row r="206">
      <c r="A206" s="33" t="str">
        <f>IFERROR(__xludf.DUMMYFUNCTION("""COMPUTED_VALUE"""),"Sequence information")</f>
        <v>Sequence information</v>
      </c>
      <c r="B206" s="33" t="str">
        <f>IFERROR(__xludf.DUMMYFUNCTION("""COMPUTED_VALUE"""),"sequenced_by_contact_email")</f>
        <v>sequenced_by_contact_email</v>
      </c>
      <c r="C206" s="33" t="b">
        <f>IFERROR(__xludf.DUMMYFUNCTION("""COMPUTED_VALUE"""),TRUE)</f>
        <v>1</v>
      </c>
      <c r="D206" s="33"/>
      <c r="E206" s="33" t="str">
        <f>IFERROR(__xludf.DUMMYFUNCTION("""COMPUTED_VALUE"""),"GENEPIO:0100422")</f>
        <v>GENEPIO:0100422</v>
      </c>
      <c r="F206" s="33" t="str">
        <f>IFERROR(__xludf.DUMMYFUNCTION("""COMPUTED_VALUE"""),"The email address of the contact responsible for follow-up regarding the sequence.")</f>
        <v>The email address of the contact responsible for follow-up regarding the sequence.</v>
      </c>
      <c r="G206" s="33" t="str">
        <f>IFERROR(__xludf.DUMMYFUNCTION("""COMPUTED_VALUE"""),"Provide the email associated with the listed contact. As personnel turnover may render an individual's email obsolete, it is more prefereable to provide an address for a position or lab, to ensure accuracy of information and institutional memory. If the i"&amp;"nformation is unknown or cannot be provided, leave blank or provide a null value.")</f>
        <v>Provide the email associated with the listed contact. As personnel turnover may render an individual's email obsolete, it is more prefereable to provide an address for a position or lab, to ensure accuracy of information and institutional memory. If the information is unknown or cannot be provided, leave blank or provide a null value.</v>
      </c>
      <c r="H206" s="33" t="str">
        <f>IFERROR(__xludf.DUMMYFUNCTION("""COMPUTED_VALUE"""),"enterics@lab.ca")</f>
        <v>enterics@lab.ca</v>
      </c>
      <c r="I206" s="33"/>
      <c r="J206" s="33"/>
      <c r="K206" s="34" t="s">
        <v>19</v>
      </c>
      <c r="L206" s="34" t="s">
        <v>19</v>
      </c>
      <c r="M206" s="34" t="s">
        <v>19</v>
      </c>
      <c r="N206" s="33"/>
      <c r="O206" s="33" t="str">
        <f>IFERROR(__xludf.DUMMYFUNCTION("""COMPUTED_VALUE"""),"HPAI;HPAI_Food;HPAI_WW;HPAI_Enviro;HPAI_Host")</f>
        <v>HPAI;HPAI_Food;HPAI_WW;HPAI_Enviro;HPAI_Host</v>
      </c>
      <c r="P206" s="33"/>
      <c r="Q206" s="33"/>
      <c r="R206" s="33"/>
      <c r="S206" s="33"/>
      <c r="T206" s="33"/>
      <c r="U206" s="33"/>
      <c r="V206" s="33"/>
      <c r="W206" s="33"/>
      <c r="X206" s="33"/>
      <c r="Y206" s="33"/>
      <c r="Z206" s="33"/>
      <c r="AA206" s="33"/>
      <c r="AB206" s="33"/>
    </row>
    <row r="207">
      <c r="A207" s="33" t="str">
        <f>IFERROR(__xludf.DUMMYFUNCTION("""COMPUTED_VALUE"""),"Sequence information")</f>
        <v>Sequence information</v>
      </c>
      <c r="B207" s="33" t="str">
        <f>IFERROR(__xludf.DUMMYFUNCTION("""COMPUTED_VALUE"""),"sequence_submitted_by")</f>
        <v>sequence_submitted_by</v>
      </c>
      <c r="C207" s="33"/>
      <c r="D207" s="33" t="b">
        <f>IFERROR(__xludf.DUMMYFUNCTION("""COMPUTED_VALUE"""),TRUE)</f>
        <v>1</v>
      </c>
      <c r="E207" s="33" t="str">
        <f>IFERROR(__xludf.DUMMYFUNCTION("""COMPUTED_VALUE"""),"GENEPIO:0001159")</f>
        <v>GENEPIO:0001159</v>
      </c>
      <c r="F207" s="33" t="str">
        <f>IFERROR(__xludf.DUMMYFUNCTION("""COMPUTED_VALUE"""),"The name of the agency that submitted the sequence to a database.")</f>
        <v>The name of the agency that submitted the sequence to a database.</v>
      </c>
      <c r="G207" s="33" t="str">
        <f>IFERROR(__xludf.DUMMYFUNCTION("""COMPUTED_VALUE"""),"The name of the agency should be written out in full, (with minor exceptions) and be consistent across multiple submissions. For Canadian institutions submitting specimens rather than sequencing data, please put the ""National Microbiology Laboratory (NML"&amp;")"".")</f>
        <v>The name of the agency should be written out in full, (with minor exceptions) and be consistent across multiple submissions. For Canadian institutions submitting specimens rather than sequencing data, please put the "National Microbiology Laboratory (NML)".</v>
      </c>
      <c r="H207" s="33" t="str">
        <f>IFERROR(__xludf.DUMMYFUNCTION("""COMPUTED_VALUE"""),"Public Health Ontario (PHO)")</f>
        <v>Public Health Ontario (PHO)</v>
      </c>
      <c r="I207" s="33"/>
      <c r="J207" s="33"/>
      <c r="K207" s="34" t="s">
        <v>19</v>
      </c>
      <c r="L207" s="34" t="s">
        <v>19</v>
      </c>
      <c r="M207" s="34" t="s">
        <v>19</v>
      </c>
      <c r="N207" s="33"/>
      <c r="O207" s="33" t="str">
        <f>IFERROR(__xludf.DUMMYFUNCTION("""COMPUTED_VALUE"""),"HPAI;HPAI_Food;HPAI_WW;HPAI_Enviro;HPAI_Host")</f>
        <v>HPAI;HPAI_Food;HPAI_WW;HPAI_Enviro;HPAI_Host</v>
      </c>
      <c r="P207" s="33"/>
      <c r="Q207" s="33"/>
      <c r="R207" s="33"/>
      <c r="S207" s="33"/>
      <c r="T207" s="33"/>
      <c r="U207" s="33"/>
      <c r="V207" s="33"/>
      <c r="W207" s="33"/>
      <c r="X207" s="33"/>
      <c r="Y207" s="33"/>
      <c r="Z207" s="33"/>
      <c r="AA207" s="33"/>
      <c r="AB207" s="33"/>
    </row>
    <row r="208">
      <c r="A208" s="33" t="str">
        <f>IFERROR(__xludf.DUMMYFUNCTION("""COMPUTED_VALUE"""),"Sequence information")</f>
        <v>Sequence information</v>
      </c>
      <c r="B208" s="33" t="str">
        <f>IFERROR(__xludf.DUMMYFUNCTION("""COMPUTED_VALUE"""),"sequence_submitter_contact_email")</f>
        <v>sequence_submitter_contact_email</v>
      </c>
      <c r="C208" s="33"/>
      <c r="D208" s="33" t="b">
        <f>IFERROR(__xludf.DUMMYFUNCTION("""COMPUTED_VALUE"""),TRUE)</f>
        <v>1</v>
      </c>
      <c r="E208" s="33" t="str">
        <f>IFERROR(__xludf.DUMMYFUNCTION("""COMPUTED_VALUE"""),"GENEPIO:0001165")</f>
        <v>GENEPIO:0001165</v>
      </c>
      <c r="F208" s="33" t="str">
        <f>IFERROR(__xludf.DUMMYFUNCTION("""COMPUTED_VALUE"""),"The email address of the contact responsible for follow-up regarding the sequence.")</f>
        <v>The email address of the contact responsible for follow-up regarding the sequence.</v>
      </c>
      <c r="G208" s="33" t="str">
        <f>IFERROR(__xludf.DUMMYFUNCTION("""COMPUTED_VALUE"""),"The email address can represent a specific individual or laboratory.")</f>
        <v>The email address can represent a specific individual or laboratory.</v>
      </c>
      <c r="H208" s="33" t="str">
        <f>IFERROR(__xludf.DUMMYFUNCTION("""COMPUTED_VALUE"""),"RespLab@lab.ca")</f>
        <v>RespLab@lab.ca</v>
      </c>
      <c r="I208" s="33"/>
      <c r="J208" s="33"/>
      <c r="K208" s="34" t="s">
        <v>19</v>
      </c>
      <c r="L208" s="34" t="s">
        <v>19</v>
      </c>
      <c r="M208" s="34" t="s">
        <v>19</v>
      </c>
      <c r="N208" s="33"/>
      <c r="O208" s="33" t="str">
        <f>IFERROR(__xludf.DUMMYFUNCTION("""COMPUTED_VALUE"""),"HPAI;HPAI_Food;HPAI_WW;HPAI_Enviro;HPAI_Host")</f>
        <v>HPAI;HPAI_Food;HPAI_WW;HPAI_Enviro;HPAI_Host</v>
      </c>
      <c r="P208" s="33"/>
      <c r="Q208" s="33"/>
      <c r="R208" s="33"/>
      <c r="S208" s="33"/>
      <c r="T208" s="33"/>
      <c r="U208" s="33"/>
      <c r="V208" s="33"/>
      <c r="W208" s="33"/>
      <c r="X208" s="33"/>
      <c r="Y208" s="33"/>
      <c r="Z208" s="33"/>
      <c r="AA208" s="33"/>
      <c r="AB208" s="33"/>
    </row>
    <row r="209">
      <c r="A209" s="33" t="str">
        <f>IFERROR(__xludf.DUMMYFUNCTION("""COMPUTED_VALUE"""),"Sample collection and processing")</f>
        <v>Sample collection and processing</v>
      </c>
      <c r="B209" s="33" t="str">
        <f>IFERROR(__xludf.DUMMYFUNCTION("""COMPUTED_VALUE"""),"nucleic_acid_extraction_method")</f>
        <v>nucleic_acid_extraction_method</v>
      </c>
      <c r="C209" s="33"/>
      <c r="D209" s="33"/>
      <c r="E209" s="35" t="str">
        <f>IFERROR(__xludf.DUMMYFUNCTION("""COMPUTED_VALUE"""),"GENEPIO:0100939")</f>
        <v>GENEPIO:0100939</v>
      </c>
      <c r="F209" s="33" t="str">
        <f>IFERROR(__xludf.DUMMYFUNCTION("""COMPUTED_VALUE"""),"The process used to extract genomic material from a sample.")</f>
        <v>The process used to extract genomic material from a sample.</v>
      </c>
      <c r="G209" s="33" t="str">
        <f>IFERROR(__xludf.DUMMYFUNCTION("""COMPUTED_VALUE"""),"Briefly describe the extraction method used.")</f>
        <v>Briefly describe the extraction method used.</v>
      </c>
      <c r="H209" s="33" t="str">
        <f>IFERROR(__xludf.DUMMYFUNCTION("""COMPUTED_VALUE"""),"Direct wastewater RNA capture and purification via the ""Sewage, Salt, Silica and SARS-CoV-2 (4S)"" method v4 found at https://www.protocols.io/view/v-4-direct-wastewater-rna-capture-and-purification-36wgq581ygk5/v4")</f>
        <v>Direct wastewater RNA capture and purification via the "Sewage, Salt, Silica and SARS-CoV-2 (4S)" method v4 found at https://www.protocols.io/view/v-4-direct-wastewater-rna-capture-and-purification-36wgq581ygk5/v4</v>
      </c>
      <c r="I209" s="33"/>
      <c r="J209" s="33"/>
      <c r="K209" s="34" t="s">
        <v>19</v>
      </c>
      <c r="L209" s="34" t="s">
        <v>19</v>
      </c>
      <c r="M209" s="34" t="s">
        <v>19</v>
      </c>
      <c r="N209" s="33"/>
      <c r="O209" s="33" t="str">
        <f>IFERROR(__xludf.DUMMYFUNCTION("""COMPUTED_VALUE"""),"HPAI;HPAI_Food;HPAI_WW;HPAI_Enviro;HPAI_Host")</f>
        <v>HPAI;HPAI_Food;HPAI_WW;HPAI_Enviro;HPAI_Host</v>
      </c>
      <c r="P209" s="33"/>
      <c r="Q209" s="33"/>
      <c r="R209" s="33"/>
      <c r="S209" s="33"/>
      <c r="T209" s="33"/>
      <c r="U209" s="33"/>
      <c r="V209" s="33"/>
      <c r="W209" s="33"/>
      <c r="X209" s="33"/>
      <c r="Y209" s="33"/>
      <c r="Z209" s="33"/>
      <c r="AA209" s="33"/>
      <c r="AB209" s="33"/>
    </row>
    <row r="210">
      <c r="A210" s="33" t="str">
        <f>IFERROR(__xludf.DUMMYFUNCTION("""COMPUTED_VALUE"""),"Sample collection and processing")</f>
        <v>Sample collection and processing</v>
      </c>
      <c r="B210" s="33" t="str">
        <f>IFERROR(__xludf.DUMMYFUNCTION("""COMPUTED_VALUE"""),"nucleic_acid_extraction_kit")</f>
        <v>nucleic_acid_extraction_kit</v>
      </c>
      <c r="C210" s="33"/>
      <c r="D210" s="33"/>
      <c r="E210" s="35" t="str">
        <f>IFERROR(__xludf.DUMMYFUNCTION("""COMPUTED_VALUE"""),"GENEPIO:0100772")</f>
        <v>GENEPIO:0100772</v>
      </c>
      <c r="F210" s="33" t="str">
        <f>IFERROR(__xludf.DUMMYFUNCTION("""COMPUTED_VALUE"""),"The kit used to extract genomic material from a sample")</f>
        <v>The kit used to extract genomic material from a sample</v>
      </c>
      <c r="G210" s="33" t="str">
        <f>IFERROR(__xludf.DUMMYFUNCTION("""COMPUTED_VALUE"""),"Provide the name of the genomic extraction kit used.")</f>
        <v>Provide the name of the genomic extraction kit used.</v>
      </c>
      <c r="H210" s="33" t="str">
        <f>IFERROR(__xludf.DUMMYFUNCTION("""COMPUTED_VALUE"""),"QIAamp PowerFecal Pro DNA Kit")</f>
        <v>QIAamp PowerFecal Pro DNA Kit</v>
      </c>
      <c r="I210" s="33"/>
      <c r="J210" s="33"/>
      <c r="K210" s="34" t="s">
        <v>19</v>
      </c>
      <c r="L210" s="34" t="s">
        <v>19</v>
      </c>
      <c r="M210" s="34" t="s">
        <v>19</v>
      </c>
      <c r="N210" s="33"/>
      <c r="O210" s="33" t="str">
        <f>IFERROR(__xludf.DUMMYFUNCTION("""COMPUTED_VALUE"""),"HPAI;HPAI_Food;HPAI_WW;HPAI_Enviro;HPAI_Host")</f>
        <v>HPAI;HPAI_Food;HPAI_WW;HPAI_Enviro;HPAI_Host</v>
      </c>
      <c r="P210" s="33"/>
      <c r="Q210" s="33"/>
      <c r="R210" s="33"/>
      <c r="S210" s="33"/>
      <c r="T210" s="33"/>
      <c r="U210" s="33"/>
      <c r="V210" s="33"/>
      <c r="W210" s="33"/>
      <c r="X210" s="33"/>
      <c r="Y210" s="33"/>
      <c r="Z210" s="33"/>
      <c r="AA210" s="33"/>
      <c r="AB210" s="33"/>
    </row>
    <row r="211">
      <c r="A211" s="33" t="str">
        <f>IFERROR(__xludf.DUMMYFUNCTION("""COMPUTED_VALUE"""),"Sample collection and processing")</f>
        <v>Sample collection and processing</v>
      </c>
      <c r="B211" s="33" t="str">
        <f>IFERROR(__xludf.DUMMYFUNCTION("""COMPUTED_VALUE"""),"endogenous control details")</f>
        <v>endogenous control details</v>
      </c>
      <c r="C211" s="33"/>
      <c r="D211" s="33" t="b">
        <f>IFERROR(__xludf.DUMMYFUNCTION("""COMPUTED_VALUE"""),TRUE)</f>
        <v>1</v>
      </c>
      <c r="E211" s="35" t="str">
        <f>IFERROR(__xludf.DUMMYFUNCTION("""COMPUTED_VALUE"""),"GENEPIO:0100923")</f>
        <v>GENEPIO:0100923</v>
      </c>
      <c r="F211" s="33" t="str">
        <f>IFERROR(__xludf.DUMMYFUNCTION("""COMPUTED_VALUE"""),"The description of the endogenous controls included when extracting a sample.")</f>
        <v>The description of the endogenous controls included when extracting a sample.</v>
      </c>
      <c r="G211" s="33" t="str">
        <f>IFERROR(__xludf.DUMMYFUNCTION("""COMPUTED_VALUE"""),"Provide the names of endogenous controls that were used as a reference during extraction. If relevant, include titers of these controls, as well as whether any controls were expected but not identified in the sample.")</f>
        <v>Provide the names of endogenous controls that were used as a reference during extraction. If relevant, include titers of these controls, as well as whether any controls were expected but not identified in the sample.</v>
      </c>
      <c r="H211" s="33"/>
      <c r="I211" s="33"/>
      <c r="J211" s="33"/>
      <c r="K211" s="34" t="s">
        <v>19</v>
      </c>
      <c r="L211" s="34" t="s">
        <v>19</v>
      </c>
      <c r="M211" s="34" t="s">
        <v>19</v>
      </c>
      <c r="N211" s="33"/>
      <c r="O211" s="33" t="str">
        <f>IFERROR(__xludf.DUMMYFUNCTION("""COMPUTED_VALUE"""),"HPAI;HPAI_Food;HPAI_WW;HPAI_Enviro;HPAI_Host")</f>
        <v>HPAI;HPAI_Food;HPAI_WW;HPAI_Enviro;HPAI_Host</v>
      </c>
      <c r="P211" s="33"/>
      <c r="Q211" s="33"/>
      <c r="R211" s="33"/>
      <c r="S211" s="33"/>
      <c r="T211" s="33"/>
      <c r="U211" s="33"/>
      <c r="V211" s="33"/>
      <c r="W211" s="33"/>
      <c r="X211" s="33"/>
      <c r="Y211" s="33"/>
      <c r="Z211" s="33"/>
      <c r="AA211" s="33"/>
      <c r="AB211" s="33"/>
    </row>
    <row r="212">
      <c r="A212" s="33" t="str">
        <f>IFERROR(__xludf.DUMMYFUNCTION("""COMPUTED_VALUE"""),"Sequence information")</f>
        <v>Sequence information</v>
      </c>
      <c r="B212" s="33" t="str">
        <f>IFERROR(__xludf.DUMMYFUNCTION("""COMPUTED_VALUE"""),"sequencing_project_name")</f>
        <v>sequencing_project_name</v>
      </c>
      <c r="C212" s="33"/>
      <c r="D212" s="33"/>
      <c r="E212" s="33" t="str">
        <f>IFERROR(__xludf.DUMMYFUNCTION("""COMPUTED_VALUE"""),"GENEPIO:0100472")</f>
        <v>GENEPIO:0100472</v>
      </c>
      <c r="F212" s="33" t="str">
        <f>IFERROR(__xludf.DUMMYFUNCTION("""COMPUTED_VALUE"""),"The name of the project/initiative/program for which sequencing was performed.")</f>
        <v>The name of the project/initiative/program for which sequencing was performed.</v>
      </c>
      <c r="G212" s="33" t="str">
        <f>IFERROR(__xludf.DUMMYFUNCTION("""COMPUTED_VALUE"""),"Provide the name of the project and/or the project ID here. If the information is unknown or cannot be provided, leave blank or provide a null value.")</f>
        <v>Provide the name of the project and/or the project ID here. If the information is unknown or cannot be provided, leave blank or provide a null value.</v>
      </c>
      <c r="H212" s="33" t="str">
        <f>IFERROR(__xludf.DUMMYFUNCTION("""COMPUTED_VALUE"""),"AMR-GRDI (PA-1356)")</f>
        <v>AMR-GRDI (PA-1356)</v>
      </c>
      <c r="I212" s="33"/>
      <c r="J212" s="33"/>
      <c r="K212" s="34" t="s">
        <v>19</v>
      </c>
      <c r="L212" s="34" t="s">
        <v>19</v>
      </c>
      <c r="M212" s="34" t="s">
        <v>19</v>
      </c>
      <c r="N212" s="33"/>
      <c r="O212" s="33" t="str">
        <f>IFERROR(__xludf.DUMMYFUNCTION("""COMPUTED_VALUE"""),"HPAI;HPAI_Food;HPAI_WW;HPAI_Enviro;HPAI_Host")</f>
        <v>HPAI;HPAI_Food;HPAI_WW;HPAI_Enviro;HPAI_Host</v>
      </c>
      <c r="P212" s="33"/>
      <c r="Q212" s="33"/>
      <c r="R212" s="33"/>
      <c r="S212" s="33"/>
      <c r="T212" s="33"/>
      <c r="U212" s="33"/>
      <c r="V212" s="33"/>
      <c r="W212" s="33"/>
      <c r="X212" s="33"/>
      <c r="Y212" s="33"/>
      <c r="Z212" s="33"/>
      <c r="AA212" s="33"/>
      <c r="AB212" s="33"/>
    </row>
    <row r="213">
      <c r="A213" s="33" t="str">
        <f>IFERROR(__xludf.DUMMYFUNCTION("""COMPUTED_VALUE"""),"Sequence information")</f>
        <v>Sequence information</v>
      </c>
      <c r="B213" s="33" t="str">
        <f>IFERROR(__xludf.DUMMYFUNCTION("""COMPUTED_VALUE"""),"sequencing_platform")</f>
        <v>sequencing_platform</v>
      </c>
      <c r="C213" s="33"/>
      <c r="D213" s="33"/>
      <c r="E213" s="33" t="str">
        <f>IFERROR(__xludf.DUMMYFUNCTION("""COMPUTED_VALUE"""),"GENEPIO:0100473")</f>
        <v>GENEPIO:0100473</v>
      </c>
      <c r="F213" s="33" t="str">
        <f>IFERROR(__xludf.DUMMYFUNCTION("""COMPUTED_VALUE"""),"The platform technology used to perform the sequencing.")</f>
        <v>The platform technology used to perform the sequencing.</v>
      </c>
      <c r="G213" s="33" t="str">
        <f>IFERROR(__xludf.DUMMYFUNCTION("""COMPUTED_VALUE"""),"Provide the name of the company that created the sequencing instrument by selecting a value from the template pick list. If the information is unknown or cannot be provided, leave blank or provide a null value.")</f>
        <v>Provide the name of the company that created the sequencing instrument by selecting a value from the template pick list. If the information is unknown or cannot be provided, leave blank or provide a null value.</v>
      </c>
      <c r="H213" s="33" t="str">
        <f>IFERROR(__xludf.DUMMYFUNCTION("""COMPUTED_VALUE"""),"Illumina [GENEPIO:0001923]")</f>
        <v>Illumina [GENEPIO:0001923]</v>
      </c>
      <c r="I213" s="33"/>
      <c r="J213" s="33"/>
      <c r="K213" s="34" t="s">
        <v>19</v>
      </c>
      <c r="L213" s="34" t="s">
        <v>19</v>
      </c>
      <c r="M213" s="34" t="s">
        <v>19</v>
      </c>
      <c r="N213" s="33"/>
      <c r="O213" s="33" t="str">
        <f>IFERROR(__xludf.DUMMYFUNCTION("""COMPUTED_VALUE"""),"HPAI;HPAI_Food;HPAI_WW;HPAI_Enviro;HPAI_Host")</f>
        <v>HPAI;HPAI_Food;HPAI_WW;HPAI_Enviro;HPAI_Host</v>
      </c>
      <c r="P213" s="33"/>
      <c r="Q213" s="33"/>
      <c r="R213" s="33"/>
      <c r="S213" s="33"/>
      <c r="T213" s="33"/>
      <c r="U213" s="33"/>
      <c r="V213" s="33"/>
      <c r="W213" s="33"/>
      <c r="X213" s="33"/>
      <c r="Y213" s="33"/>
      <c r="Z213" s="33"/>
      <c r="AA213" s="33"/>
      <c r="AB213" s="33"/>
    </row>
    <row r="214">
      <c r="A214" s="33" t="str">
        <f>IFERROR(__xludf.DUMMYFUNCTION("""COMPUTED_VALUE"""),"Sequence information")</f>
        <v>Sequence information</v>
      </c>
      <c r="B214" s="33" t="str">
        <f>IFERROR(__xludf.DUMMYFUNCTION("""COMPUTED_VALUE"""),"sequencing_instrument")</f>
        <v>sequencing_instrument</v>
      </c>
      <c r="C214" s="33"/>
      <c r="D214" s="33"/>
      <c r="E214" s="33" t="str">
        <f>IFERROR(__xludf.DUMMYFUNCTION("""COMPUTED_VALUE"""),"GENEPIO:0001452")</f>
        <v>GENEPIO:0001452</v>
      </c>
      <c r="F214" s="33" t="str">
        <f>IFERROR(__xludf.DUMMYFUNCTION("""COMPUTED_VALUE"""),"The model of the sequencing instrument used.")</f>
        <v>The model of the sequencing instrument used.</v>
      </c>
      <c r="G214" s="33" t="str">
        <f>IFERROR(__xludf.DUMMYFUNCTION("""COMPUTED_VALUE"""),"Provide the model sequencing instrument by selecting a value from the template pick list. If the information is unknown or cannot be provided, leave blank or provide a null value.")</f>
        <v>Provide the model sequencing instrument by selecting a value from the template pick list. If the information is unknown or cannot be provided, leave blank or provide a null value.</v>
      </c>
      <c r="H214" s="33" t="str">
        <f>IFERROR(__xludf.DUMMYFUNCTION("""COMPUTED_VALUE"""),"Illumina HiSeq 2500 [GENEPIO:0100117]")</f>
        <v>Illumina HiSeq 2500 [GENEPIO:0100117]</v>
      </c>
      <c r="I214" s="33"/>
      <c r="J214" s="33"/>
      <c r="K214" s="34" t="s">
        <v>19</v>
      </c>
      <c r="L214" s="34" t="s">
        <v>19</v>
      </c>
      <c r="M214" s="34" t="s">
        <v>19</v>
      </c>
      <c r="N214" s="33"/>
      <c r="O214" s="33" t="str">
        <f>IFERROR(__xludf.DUMMYFUNCTION("""COMPUTED_VALUE"""),"HPAI;HPAI_Food;HPAI_WW;HPAI_Enviro;HPAI_Host")</f>
        <v>HPAI;HPAI_Food;HPAI_WW;HPAI_Enviro;HPAI_Host</v>
      </c>
      <c r="P214" s="33"/>
      <c r="Q214" s="33"/>
      <c r="R214" s="33"/>
      <c r="S214" s="33"/>
      <c r="T214" s="33"/>
      <c r="U214" s="33"/>
      <c r="V214" s="33"/>
      <c r="W214" s="33"/>
      <c r="X214" s="33"/>
      <c r="Y214" s="33"/>
      <c r="Z214" s="33"/>
      <c r="AA214" s="33"/>
      <c r="AB214" s="33"/>
    </row>
    <row r="215">
      <c r="A215" s="33" t="str">
        <f>IFERROR(__xludf.DUMMYFUNCTION("""COMPUTED_VALUE"""),"Sequence information")</f>
        <v>Sequence information</v>
      </c>
      <c r="B215" s="33" t="str">
        <f>IFERROR(__xludf.DUMMYFUNCTION("""COMPUTED_VALUE"""),"library_preparation_kit")</f>
        <v>library_preparation_kit</v>
      </c>
      <c r="C215" s="33"/>
      <c r="D215" s="33"/>
      <c r="E215" s="33" t="str">
        <f>IFERROR(__xludf.DUMMYFUNCTION("""COMPUTED_VALUE"""),"GENEPIO:0001450")</f>
        <v>GENEPIO:0001450</v>
      </c>
      <c r="F215" s="33" t="str">
        <f>IFERROR(__xludf.DUMMYFUNCTION("""COMPUTED_VALUE"""),"The name of the DNA library preparation kit used to generate the library being sequenced.")</f>
        <v>The name of the DNA library preparation kit used to generate the library being sequenced.</v>
      </c>
      <c r="G215" s="33" t="str">
        <f>IFERROR(__xludf.DUMMYFUNCTION("""COMPUTED_VALUE"""),"Provide the name of the library preparation kit used.")</f>
        <v>Provide the name of the library preparation kit used.</v>
      </c>
      <c r="H215" s="33" t="str">
        <f>IFERROR(__xludf.DUMMYFUNCTION("""COMPUTED_VALUE"""),"Nextera XT")</f>
        <v>Nextera XT</v>
      </c>
      <c r="I215" s="33"/>
      <c r="J215" s="33"/>
      <c r="K215" s="34" t="s">
        <v>19</v>
      </c>
      <c r="L215" s="34" t="s">
        <v>19</v>
      </c>
      <c r="M215" s="34" t="s">
        <v>19</v>
      </c>
      <c r="N215" s="33"/>
      <c r="O215" s="33" t="str">
        <f>IFERROR(__xludf.DUMMYFUNCTION("""COMPUTED_VALUE"""),"HPAI;HPAI_Food;HPAI_WW;HPAI_Enviro;HPAI_Host")</f>
        <v>HPAI;HPAI_Food;HPAI_WW;HPAI_Enviro;HPAI_Host</v>
      </c>
      <c r="P215" s="33"/>
      <c r="Q215" s="33"/>
      <c r="R215" s="33"/>
      <c r="S215" s="33"/>
      <c r="T215" s="33"/>
      <c r="U215" s="33"/>
      <c r="V215" s="33"/>
      <c r="W215" s="33"/>
      <c r="X215" s="33"/>
      <c r="Y215" s="33"/>
      <c r="Z215" s="33"/>
      <c r="AA215" s="33"/>
      <c r="AB215" s="33"/>
    </row>
    <row r="216">
      <c r="A216" s="33" t="str">
        <f>IFERROR(__xludf.DUMMYFUNCTION("""COMPUTED_VALUE"""),"Sequence information")</f>
        <v>Sequence information</v>
      </c>
      <c r="B216" s="33" t="str">
        <f>IFERROR(__xludf.DUMMYFUNCTION("""COMPUTED_VALUE"""),"DNA_fragment_length")</f>
        <v>DNA_fragment_length</v>
      </c>
      <c r="C216" s="33"/>
      <c r="D216" s="33"/>
      <c r="E216" s="35" t="str">
        <f>IFERROR(__xludf.DUMMYFUNCTION("""COMPUTED_VALUE"""),"GENEPIO:0100843")</f>
        <v>GENEPIO:0100843</v>
      </c>
      <c r="F216" s="33" t="str">
        <f>IFERROR(__xludf.DUMMYFUNCTION("""COMPUTED_VALUE"""),"The length of the DNA fragment generated by mechanical shearing or enzymatic digestion for the purposes of library preparation.")</f>
        <v>The length of the DNA fragment generated by mechanical shearing or enzymatic digestion for the purposes of library preparation.</v>
      </c>
      <c r="G216" s="33" t="str">
        <f>IFERROR(__xludf.DUMMYFUNCTION("""COMPUTED_VALUE"""),"Provide the fragment length in base pairs (do not include the units).")</f>
        <v>Provide the fragment length in base pairs (do not include the units).</v>
      </c>
      <c r="H216" s="33">
        <f>IFERROR(__xludf.DUMMYFUNCTION("""COMPUTED_VALUE"""),400.0)</f>
        <v>400</v>
      </c>
      <c r="I216" s="33"/>
      <c r="J216" s="33"/>
      <c r="K216" s="34" t="s">
        <v>19</v>
      </c>
      <c r="L216" s="34" t="s">
        <v>19</v>
      </c>
      <c r="M216" s="34" t="s">
        <v>19</v>
      </c>
      <c r="N216" s="33"/>
      <c r="O216" s="33" t="str">
        <f>IFERROR(__xludf.DUMMYFUNCTION("""COMPUTED_VALUE"""),"HPAI;HPAI_Food;HPAI_WW;HPAI_Enviro;HPAI_Host")</f>
        <v>HPAI;HPAI_Food;HPAI_WW;HPAI_Enviro;HPAI_Host</v>
      </c>
      <c r="P216" s="33"/>
      <c r="Q216" s="33"/>
      <c r="R216" s="33"/>
      <c r="S216" s="33"/>
      <c r="T216" s="33"/>
      <c r="U216" s="33"/>
      <c r="V216" s="33"/>
      <c r="W216" s="33"/>
      <c r="X216" s="33"/>
      <c r="Y216" s="33"/>
      <c r="Z216" s="33"/>
      <c r="AA216" s="33"/>
      <c r="AB216" s="33"/>
    </row>
    <row r="217">
      <c r="A217" s="33" t="str">
        <f>IFERROR(__xludf.DUMMYFUNCTION("""COMPUTED_VALUE"""),"Sequence information")</f>
        <v>Sequence information</v>
      </c>
      <c r="B217" s="33" t="str">
        <f>IFERROR(__xludf.DUMMYFUNCTION("""COMPUTED_VALUE"""),"genomic_target_enrichment_method")</f>
        <v>genomic_target_enrichment_method</v>
      </c>
      <c r="C217" s="33"/>
      <c r="D217" s="33"/>
      <c r="E217" s="35" t="str">
        <f>IFERROR(__xludf.DUMMYFUNCTION("""COMPUTED_VALUE"""),"GENEPIO:0100966")</f>
        <v>GENEPIO:0100966</v>
      </c>
      <c r="F217" s="33" t="str">
        <f>IFERROR(__xludf.DUMMYFUNCTION("""COMPUTED_VALUE"""),"The molecular technique used to selectively capture and amplify specific regions of interest from a genome.")</f>
        <v>The molecular technique used to selectively capture and amplify specific regions of interest from a genome.</v>
      </c>
      <c r="G217" s="33" t="str">
        <f>IFERROR(__xludf.DUMMYFUNCTION("""COMPUTED_VALUE"""),"Provide the name of the enrichment method")</f>
        <v>Provide the name of the enrichment method</v>
      </c>
      <c r="H217" s="33" t="str">
        <f>IFERROR(__xludf.DUMMYFUNCTION("""COMPUTED_VALUE"""),"Hybrid selection method (bait-capture) [GENEPIO:0001950]")</f>
        <v>Hybrid selection method (bait-capture) [GENEPIO:0001950]</v>
      </c>
      <c r="I217" s="33"/>
      <c r="J217" s="33"/>
      <c r="K217" s="34" t="s">
        <v>19</v>
      </c>
      <c r="L217" s="34" t="s">
        <v>19</v>
      </c>
      <c r="M217" s="34" t="s">
        <v>19</v>
      </c>
      <c r="N217" s="33"/>
      <c r="O217" s="33" t="str">
        <f>IFERROR(__xludf.DUMMYFUNCTION("""COMPUTED_VALUE"""),"HPAI;HPAI_Food;HPAI_WW;HPAI_Enviro;HPAI_Host")</f>
        <v>HPAI;HPAI_Food;HPAI_WW;HPAI_Enviro;HPAI_Host</v>
      </c>
      <c r="P217" s="33"/>
      <c r="Q217" s="33"/>
      <c r="R217" s="33"/>
      <c r="S217" s="33"/>
      <c r="T217" s="33"/>
      <c r="U217" s="33"/>
      <c r="V217" s="33"/>
      <c r="W217" s="33"/>
      <c r="X217" s="33"/>
      <c r="Y217" s="33"/>
      <c r="Z217" s="33"/>
      <c r="AA217" s="33"/>
      <c r="AB217" s="33"/>
    </row>
    <row r="218">
      <c r="A218" s="33" t="str">
        <f>IFERROR(__xludf.DUMMYFUNCTION("""COMPUTED_VALUE"""),"Sequence information")</f>
        <v>Sequence information</v>
      </c>
      <c r="B218" s="33" t="str">
        <f>IFERROR(__xludf.DUMMYFUNCTION("""COMPUTED_VALUE"""),"genomic_target_enrichment_method_details")</f>
        <v>genomic_target_enrichment_method_details</v>
      </c>
      <c r="C218" s="33"/>
      <c r="D218" s="33"/>
      <c r="E218" s="35" t="str">
        <f>IFERROR(__xludf.DUMMYFUNCTION("""COMPUTED_VALUE"""),"GENEPIO:0100967")</f>
        <v>GENEPIO:0100967</v>
      </c>
      <c r="F218" s="33" t="str">
        <f>IFERROR(__xludf.DUMMYFUNCTION("""COMPUTED_VALUE"""),"Details that provide additional context to the molecular technique used to selectively capture and amplify specific regions of interest from a genome.")</f>
        <v>Details that provide additional context to the molecular technique used to selectively capture and amplify specific regions of interest from a genome.</v>
      </c>
      <c r="G218" s="33" t="str">
        <f>IFERROR(__xludf.DUMMYFUNCTION("""COMPUTED_VALUE"""),"Provide details that are applicable to the method you used. Note: If bait-capture methods were used for enrichment, provide the panel name and version number (or a URL providing that information).")</f>
        <v>Provide details that are applicable to the method you used. Note: If bait-capture methods were used for enrichment, provide the panel name and version number (or a URL providing that information).</v>
      </c>
      <c r="H218" s="33" t="str">
        <f>IFERROR(__xludf.DUMMYFUNCTION("""COMPUTED_VALUE"""),"enrichment was done using Twist's respiratory virus research panel: https://www.twistbioscience.com/products/ngs/fixed-panels/respiratory-virus-research-panel")</f>
        <v>enrichment was done using Twist's respiratory virus research panel: https://www.twistbioscience.com/products/ngs/fixed-panels/respiratory-virus-research-panel</v>
      </c>
      <c r="I218" s="33"/>
      <c r="J218" s="33"/>
      <c r="K218" s="34" t="s">
        <v>19</v>
      </c>
      <c r="L218" s="34" t="s">
        <v>19</v>
      </c>
      <c r="M218" s="34" t="s">
        <v>19</v>
      </c>
      <c r="N218" s="33"/>
      <c r="O218" s="33" t="str">
        <f>IFERROR(__xludf.DUMMYFUNCTION("""COMPUTED_VALUE"""),"HPAI;HPAI_Food;HPAI_WW;HPAI_Enviro;HPAI_Host")</f>
        <v>HPAI;HPAI_Food;HPAI_WW;HPAI_Enviro;HPAI_Host</v>
      </c>
      <c r="P218" s="33"/>
      <c r="Q218" s="33"/>
      <c r="R218" s="33"/>
      <c r="S218" s="33"/>
      <c r="T218" s="33"/>
      <c r="U218" s="33"/>
      <c r="V218" s="33"/>
      <c r="W218" s="33"/>
      <c r="X218" s="33"/>
      <c r="Y218" s="33"/>
      <c r="Z218" s="33"/>
      <c r="AA218" s="33"/>
      <c r="AB218" s="33"/>
    </row>
    <row r="219">
      <c r="A219" s="33" t="str">
        <f>IFERROR(__xludf.DUMMYFUNCTION("""COMPUTED_VALUE"""),"Sequence information")</f>
        <v>Sequence information</v>
      </c>
      <c r="B219" s="36" t="str">
        <f>IFERROR(__xludf.DUMMYFUNCTION("""COMPUTED_VALUE"""),"amplicon_pcr_primer_scheme")</f>
        <v>amplicon_pcr_primer_scheme</v>
      </c>
      <c r="C219" s="36"/>
      <c r="D219" s="36"/>
      <c r="E219" s="33" t="str">
        <f>IFERROR(__xludf.DUMMYFUNCTION("""COMPUTED_VALUE"""),"GENEPIO:0001456")</f>
        <v>GENEPIO:0001456</v>
      </c>
      <c r="F219" s="33" t="str">
        <f>IFERROR(__xludf.DUMMYFUNCTION("""COMPUTED_VALUE"""),"The specifications of the primers (primer sequences, binding positions, fragment size generated etc) used to generate the amplicons to be sequenced.")</f>
        <v>The specifications of the primers (primer sequences, binding positions, fragment size generated etc) used to generate the amplicons to be sequenced.</v>
      </c>
      <c r="G219" s="33" t="str">
        <f>IFERROR(__xludf.DUMMYFUNCTION("""COMPUTED_VALUE"""),"Provide the name and version of the primer scheme used to generate the amplicons for sequencing.")</f>
        <v>Provide the name and version of the primer scheme used to generate the amplicons for sequencing.</v>
      </c>
      <c r="H219" s="41" t="str">
        <f>IFERROR(__xludf.DUMMYFUNCTION("""COMPUTED_VALUE"""),"artic v3")</f>
        <v>artic v3</v>
      </c>
      <c r="I219" s="33"/>
      <c r="J219" s="33"/>
      <c r="K219" s="34" t="s">
        <v>19</v>
      </c>
      <c r="L219" s="34" t="s">
        <v>19</v>
      </c>
      <c r="M219" s="34" t="s">
        <v>19</v>
      </c>
      <c r="N219" s="33"/>
      <c r="O219" s="33" t="str">
        <f>IFERROR(__xludf.DUMMYFUNCTION("""COMPUTED_VALUE"""),"HPAI;HPAI_Food;HPAI_WW;HPAI_Enviro;HPAI_Host")</f>
        <v>HPAI;HPAI_Food;HPAI_WW;HPAI_Enviro;HPAI_Host</v>
      </c>
      <c r="P219" s="33"/>
      <c r="Q219" s="33"/>
      <c r="R219" s="33"/>
      <c r="S219" s="33"/>
      <c r="T219" s="33"/>
      <c r="U219" s="33"/>
      <c r="V219" s="33"/>
      <c r="W219" s="33"/>
      <c r="X219" s="33"/>
      <c r="Y219" s="33"/>
      <c r="Z219" s="33"/>
      <c r="AA219" s="33"/>
      <c r="AB219" s="33"/>
    </row>
    <row r="220">
      <c r="A220" s="33" t="str">
        <f>IFERROR(__xludf.DUMMYFUNCTION("""COMPUTED_VALUE"""),"Sequence information")</f>
        <v>Sequence information</v>
      </c>
      <c r="B220" s="36" t="str">
        <f>IFERROR(__xludf.DUMMYFUNCTION("""COMPUTED_VALUE"""),"amplicon_size")</f>
        <v>amplicon_size</v>
      </c>
      <c r="C220" s="36"/>
      <c r="D220" s="36"/>
      <c r="E220" s="33" t="str">
        <f>IFERROR(__xludf.DUMMYFUNCTION("""COMPUTED_VALUE"""),"GENEPIO:0001449")</f>
        <v>GENEPIO:0001449</v>
      </c>
      <c r="F220" s="33" t="str">
        <f>IFERROR(__xludf.DUMMYFUNCTION("""COMPUTED_VALUE"""),"The length of the amplicon generated by PCR amplification.")</f>
        <v>The length of the amplicon generated by PCR amplification.</v>
      </c>
      <c r="G220" s="33" t="str">
        <f>IFERROR(__xludf.DUMMYFUNCTION("""COMPUTED_VALUE"""),"Provide the amplicon size expressed in base pairs.")</f>
        <v>Provide the amplicon size expressed in base pairs.</v>
      </c>
      <c r="H220" s="33">
        <f>IFERROR(__xludf.DUMMYFUNCTION("""COMPUTED_VALUE"""),300.0)</f>
        <v>300</v>
      </c>
      <c r="I220" s="33"/>
      <c r="J220" s="33"/>
      <c r="K220" s="34" t="s">
        <v>19</v>
      </c>
      <c r="L220" s="34" t="s">
        <v>19</v>
      </c>
      <c r="M220" s="34" t="s">
        <v>19</v>
      </c>
      <c r="N220" s="33"/>
      <c r="O220" s="33" t="str">
        <f>IFERROR(__xludf.DUMMYFUNCTION("""COMPUTED_VALUE"""),"HPAI;HPAI_Food;HPAI_WW;HPAI_Enviro;HPAI_Host")</f>
        <v>HPAI;HPAI_Food;HPAI_WW;HPAI_Enviro;HPAI_Host</v>
      </c>
      <c r="P220" s="33"/>
      <c r="Q220" s="33"/>
      <c r="R220" s="33"/>
      <c r="S220" s="33"/>
      <c r="T220" s="33"/>
      <c r="U220" s="33"/>
      <c r="V220" s="33"/>
      <c r="W220" s="33"/>
      <c r="X220" s="33"/>
      <c r="Y220" s="33"/>
      <c r="Z220" s="33"/>
      <c r="AA220" s="33"/>
      <c r="AB220" s="33"/>
    </row>
    <row r="221">
      <c r="A221" s="33" t="str">
        <f>IFERROR(__xludf.DUMMYFUNCTION("""COMPUTED_VALUE"""),"Sequence information")</f>
        <v>Sequence information</v>
      </c>
      <c r="B221" s="36" t="str">
        <f>IFERROR(__xludf.DUMMYFUNCTION("""COMPUTED_VALUE"""),"sequencing_flow_cell_version")</f>
        <v>sequencing_flow_cell_version</v>
      </c>
      <c r="C221" s="36"/>
      <c r="D221" s="36"/>
      <c r="E221" s="35" t="str">
        <f>IFERROR(__xludf.DUMMYFUNCTION("""COMPUTED_VALUE"""),"GENEPIO:0101102")</f>
        <v>GENEPIO:0101102</v>
      </c>
      <c r="F221" s="33" t="str">
        <f>IFERROR(__xludf.DUMMYFUNCTION("""COMPUTED_VALUE"""),"The version number of the flow cell used for generating sequence data.")</f>
        <v>The version number of the flow cell used for generating sequence data.</v>
      </c>
      <c r="G221" s="33" t="str">
        <f>IFERROR(__xludf.DUMMYFUNCTION("""COMPUTED_VALUE"""),"Flow cells can vary in terms of design, chemistry, capacity, etc. The version of the flow cell used to generate sequence data can affect sequence quantity and quality. Record the version of the flow cell used to generate sequence data. Do not include ""ve"&amp;"rsion"" or ""v"" in the version number.")</f>
        <v>Flow cells can vary in terms of design, chemistry, capacity, etc. The version of the flow cell used to generate sequence data can affect sequence quantity and quality. Record the version of the flow cell used to generate sequence data. Do not include "version" or "v" in the version number.</v>
      </c>
      <c r="H221" s="33" t="str">
        <f>IFERROR(__xludf.DUMMYFUNCTION("""COMPUTED_VALUE"""),"R.9.4.1")</f>
        <v>R.9.4.1</v>
      </c>
      <c r="I221" s="33"/>
      <c r="J221" s="33"/>
      <c r="K221" s="34" t="s">
        <v>19</v>
      </c>
      <c r="L221" s="34" t="s">
        <v>19</v>
      </c>
      <c r="M221" s="34" t="s">
        <v>19</v>
      </c>
      <c r="N221" s="33"/>
      <c r="O221" s="33" t="str">
        <f>IFERROR(__xludf.DUMMYFUNCTION("""COMPUTED_VALUE"""),"HPAI;HPAI_Food;HPAI_WW;HPAI_Enviro;HPAI_Host")</f>
        <v>HPAI;HPAI_Food;HPAI_WW;HPAI_Enviro;HPAI_Host</v>
      </c>
      <c r="P221" s="33"/>
      <c r="Q221" s="33"/>
      <c r="R221" s="33"/>
      <c r="S221" s="33"/>
      <c r="T221" s="33"/>
      <c r="U221" s="33"/>
      <c r="V221" s="33"/>
      <c r="W221" s="33"/>
      <c r="X221" s="33"/>
      <c r="Y221" s="33"/>
      <c r="Z221" s="33"/>
      <c r="AA221" s="33"/>
      <c r="AB221" s="33"/>
    </row>
    <row r="222">
      <c r="A222" s="33" t="str">
        <f>IFERROR(__xludf.DUMMYFUNCTION("""COMPUTED_VALUE"""),"Sequence information")</f>
        <v>Sequence information</v>
      </c>
      <c r="B222" s="36" t="str">
        <f>IFERROR(__xludf.DUMMYFUNCTION("""COMPUTED_VALUE"""),"sequencing_protocol")</f>
        <v>sequencing_protocol</v>
      </c>
      <c r="C222" s="36"/>
      <c r="D222" s="36"/>
      <c r="E222" s="33" t="str">
        <f>IFERROR(__xludf.DUMMYFUNCTION("""COMPUTED_VALUE"""),"GENEPIO:0001454")</f>
        <v>GENEPIO:0001454</v>
      </c>
      <c r="F222" s="33" t="str">
        <f>IFERROR(__xludf.DUMMYFUNCTION("""COMPUTED_VALUE"""),"The protocol or method used for sequencing.")</f>
        <v>The protocol or method used for sequencing.</v>
      </c>
      <c r="G222" s="33" t="str">
        <f>IFERROR(__xludf.DUMMYFUNCTION("""COMPUTED_VALUE"""),"Provide the name and version of the procedure or protocol used for sequencing. You can also provide a link to a protocol online.")</f>
        <v>Provide the name and version of the procedure or protocol used for sequencing. You can also provide a link to a protocol online.</v>
      </c>
      <c r="H222" s="41" t="str">
        <f>IFERROR(__xludf.DUMMYFUNCTION("""COMPUTED_VALUE"""),"https://www.protocols.io/view/ncov-2019-sequencing-protocol-bbmuik6w?version_warning=no")</f>
        <v>https://www.protocols.io/view/ncov-2019-sequencing-protocol-bbmuik6w?version_warning=no</v>
      </c>
      <c r="I222" s="33"/>
      <c r="J222" s="33"/>
      <c r="K222" s="34" t="s">
        <v>19</v>
      </c>
      <c r="L222" s="34" t="s">
        <v>19</v>
      </c>
      <c r="M222" s="34" t="s">
        <v>19</v>
      </c>
      <c r="N222" s="33"/>
      <c r="O222" s="33" t="str">
        <f>IFERROR(__xludf.DUMMYFUNCTION("""COMPUTED_VALUE"""),"HPAI;HPAI_Food;HPAI_WW;HPAI_Enviro;HPAI_Host")</f>
        <v>HPAI;HPAI_Food;HPAI_WW;HPAI_Enviro;HPAI_Host</v>
      </c>
      <c r="P222" s="33"/>
      <c r="Q222" s="33"/>
      <c r="R222" s="33"/>
      <c r="S222" s="33"/>
      <c r="T222" s="33"/>
      <c r="U222" s="33"/>
      <c r="V222" s="33"/>
      <c r="W222" s="33"/>
      <c r="X222" s="33"/>
      <c r="Y222" s="33"/>
      <c r="Z222" s="33"/>
      <c r="AA222" s="33"/>
      <c r="AB222" s="33"/>
    </row>
    <row r="223">
      <c r="A223" s="33" t="str">
        <f>IFERROR(__xludf.DUMMYFUNCTION("""COMPUTED_VALUE"""),"Sequence information")</f>
        <v>Sequence information</v>
      </c>
      <c r="B223" s="36" t="str">
        <f>IFERROR(__xludf.DUMMYFUNCTION("""COMPUTED_VALUE"""),"r1_fastq_filename")</f>
        <v>r1_fastq_filename</v>
      </c>
      <c r="C223" s="36"/>
      <c r="D223" s="36"/>
      <c r="E223" s="33" t="str">
        <f>IFERROR(__xludf.DUMMYFUNCTION("""COMPUTED_VALUE"""),"GENEPIO:0001476")</f>
        <v>GENEPIO:0001476</v>
      </c>
      <c r="F223" s="33" t="str">
        <f>IFERROR(__xludf.DUMMYFUNCTION("""COMPUTED_VALUE"""),"The user-specified filename of the r1 FASTQ file.")</f>
        <v>The user-specified filename of the r1 FASTQ file.</v>
      </c>
      <c r="G223" s="33" t="str">
        <f>IFERROR(__xludf.DUMMYFUNCTION("""COMPUTED_VALUE"""),"Provide the r1 FASTQ filename.")</f>
        <v>Provide the r1 FASTQ filename.</v>
      </c>
      <c r="H223" s="33" t="str">
        <f>IFERROR(__xludf.DUMMYFUNCTION("""COMPUTED_VALUE"""),"ABC123_S1_L001_R1_001.fastq.gz")</f>
        <v>ABC123_S1_L001_R1_001.fastq.gz</v>
      </c>
      <c r="I223" s="33"/>
      <c r="J223" s="33"/>
      <c r="K223" s="34" t="s">
        <v>19</v>
      </c>
      <c r="L223" s="34" t="s">
        <v>19</v>
      </c>
      <c r="M223" s="34" t="s">
        <v>19</v>
      </c>
      <c r="N223" s="33"/>
      <c r="O223" s="33" t="str">
        <f>IFERROR(__xludf.DUMMYFUNCTION("""COMPUTED_VALUE"""),"HPAI;HPAI_Food;HPAI_WW;HPAI_Enviro;HPAI_Host")</f>
        <v>HPAI;HPAI_Food;HPAI_WW;HPAI_Enviro;HPAI_Host</v>
      </c>
      <c r="P223" s="33"/>
      <c r="Q223" s="33"/>
      <c r="R223" s="33"/>
      <c r="S223" s="33"/>
      <c r="T223" s="33"/>
      <c r="U223" s="33"/>
      <c r="V223" s="33"/>
      <c r="W223" s="33"/>
      <c r="X223" s="33"/>
      <c r="Y223" s="33"/>
      <c r="Z223" s="33"/>
      <c r="AA223" s="33"/>
      <c r="AB223" s="33"/>
    </row>
    <row r="224">
      <c r="A224" s="33" t="str">
        <f>IFERROR(__xludf.DUMMYFUNCTION("""COMPUTED_VALUE"""),"Sequence information")</f>
        <v>Sequence information</v>
      </c>
      <c r="B224" s="36" t="str">
        <f>IFERROR(__xludf.DUMMYFUNCTION("""COMPUTED_VALUE"""),"r2_fastq_filename")</f>
        <v>r2_fastq_filename</v>
      </c>
      <c r="C224" s="36"/>
      <c r="D224" s="36"/>
      <c r="E224" s="33" t="str">
        <f>IFERROR(__xludf.DUMMYFUNCTION("""COMPUTED_VALUE"""),"GENEPIO:0001477")</f>
        <v>GENEPIO:0001477</v>
      </c>
      <c r="F224" s="33" t="str">
        <f>IFERROR(__xludf.DUMMYFUNCTION("""COMPUTED_VALUE"""),"The user-specified filename of the r2 FASTQ file.")</f>
        <v>The user-specified filename of the r2 FASTQ file.</v>
      </c>
      <c r="G224" s="33" t="str">
        <f>IFERROR(__xludf.DUMMYFUNCTION("""COMPUTED_VALUE"""),"Provide the r2 FASTQ filename.")</f>
        <v>Provide the r2 FASTQ filename.</v>
      </c>
      <c r="H224" s="33" t="str">
        <f>IFERROR(__xludf.DUMMYFUNCTION("""COMPUTED_VALUE"""),"ABC123_S1_L001_R2_001.fastq.gz")</f>
        <v>ABC123_S1_L001_R2_001.fastq.gz</v>
      </c>
      <c r="I224" s="33"/>
      <c r="J224" s="33"/>
      <c r="K224" s="34" t="s">
        <v>19</v>
      </c>
      <c r="L224" s="34" t="s">
        <v>19</v>
      </c>
      <c r="M224" s="34" t="s">
        <v>19</v>
      </c>
      <c r="N224" s="33"/>
      <c r="O224" s="33" t="str">
        <f>IFERROR(__xludf.DUMMYFUNCTION("""COMPUTED_VALUE"""),"HPAI;HPAI_Food;HPAI_WW;HPAI_Enviro;HPAI_Host")</f>
        <v>HPAI;HPAI_Food;HPAI_WW;HPAI_Enviro;HPAI_Host</v>
      </c>
      <c r="P224" s="33"/>
      <c r="Q224" s="33"/>
      <c r="R224" s="33"/>
      <c r="S224" s="33"/>
      <c r="T224" s="33"/>
      <c r="U224" s="33"/>
      <c r="V224" s="33"/>
      <c r="W224" s="33"/>
      <c r="X224" s="33"/>
      <c r="Y224" s="33"/>
      <c r="Z224" s="33"/>
      <c r="AA224" s="33"/>
      <c r="AB224" s="33"/>
    </row>
    <row r="225">
      <c r="A225" s="33" t="str">
        <f>IFERROR(__xludf.DUMMYFUNCTION("""COMPUTED_VALUE"""),"Sequence information")</f>
        <v>Sequence information</v>
      </c>
      <c r="B225" s="36" t="str">
        <f>IFERROR(__xludf.DUMMYFUNCTION("""COMPUTED_VALUE"""),"fast5_filename")</f>
        <v>fast5_filename</v>
      </c>
      <c r="C225" s="36"/>
      <c r="D225" s="36"/>
      <c r="E225" s="33" t="str">
        <f>IFERROR(__xludf.DUMMYFUNCTION("""COMPUTED_VALUE"""),"GENEPIO:0001480")</f>
        <v>GENEPIO:0001480</v>
      </c>
      <c r="F225" s="33" t="str">
        <f>IFERROR(__xludf.DUMMYFUNCTION("""COMPUTED_VALUE"""),"The user-specified filename of the FAST5 file.")</f>
        <v>The user-specified filename of the FAST5 file.</v>
      </c>
      <c r="G225" s="33" t="str">
        <f>IFERROR(__xludf.DUMMYFUNCTION("""COMPUTED_VALUE"""),"Provide the FAST5 filename.")</f>
        <v>Provide the FAST5 filename.</v>
      </c>
      <c r="H225" s="33" t="str">
        <f>IFERROR(__xludf.DUMMYFUNCTION("""COMPUTED_VALUE"""),"batch1a_sequences.fast5")</f>
        <v>batch1a_sequences.fast5</v>
      </c>
      <c r="I225" s="33"/>
      <c r="J225" s="33"/>
      <c r="K225" s="34" t="s">
        <v>19</v>
      </c>
      <c r="L225" s="34" t="s">
        <v>19</v>
      </c>
      <c r="M225" s="34" t="s">
        <v>19</v>
      </c>
      <c r="N225" s="33"/>
      <c r="O225" s="33" t="str">
        <f>IFERROR(__xludf.DUMMYFUNCTION("""COMPUTED_VALUE"""),"HPAI;HPAI_Food;HPAI_WW;HPAI_Enviro;HPAI_Host")</f>
        <v>HPAI;HPAI_Food;HPAI_WW;HPAI_Enviro;HPAI_Host</v>
      </c>
      <c r="P225" s="33"/>
      <c r="Q225" s="33"/>
      <c r="R225" s="33"/>
      <c r="S225" s="33"/>
      <c r="T225" s="33"/>
      <c r="U225" s="33"/>
      <c r="V225" s="33"/>
      <c r="W225" s="33"/>
      <c r="X225" s="33"/>
      <c r="Y225" s="33"/>
      <c r="Z225" s="33"/>
      <c r="AA225" s="33"/>
      <c r="AB225" s="33"/>
    </row>
    <row r="226">
      <c r="A226" s="33" t="str">
        <f>IFERROR(__xludf.DUMMYFUNCTION("""COMPUTED_VALUE"""),"Sequence information")</f>
        <v>Sequence information</v>
      </c>
      <c r="B226" s="36" t="str">
        <f>IFERROR(__xludf.DUMMYFUNCTION("""COMPUTED_VALUE"""),"genome sequence file name")</f>
        <v>genome sequence file name</v>
      </c>
      <c r="C226" s="36"/>
      <c r="D226" s="36"/>
      <c r="E226" s="35" t="str">
        <f>IFERROR(__xludf.DUMMYFUNCTION("""COMPUTED_VALUE"""),"GENEPIO:0101715")</f>
        <v>GENEPIO:0101715</v>
      </c>
      <c r="F226" s="33" t="str">
        <f>IFERROR(__xludf.DUMMYFUNCTION("""COMPUTED_VALUE"""),"The name of the sequence file.")</f>
        <v>The name of the sequence file.</v>
      </c>
      <c r="G226" s="33" t="str">
        <f>IFERROR(__xludf.DUMMYFUNCTION("""COMPUTED_VALUE"""),"Provide the name and version number, with the file extension, of the processed genome sequence file e.g. a consensus sequence FASTA file or a genome assembly file.")</f>
        <v>Provide the name and version number, with the file extension, of the processed genome sequence file e.g. a consensus sequence FASTA file or a genome assembly file.</v>
      </c>
      <c r="H226" s="33" t="str">
        <f>IFERROR(__xludf.DUMMYFUNCTION("""COMPUTED_VALUE"""),"mpxvassembly.fasta")</f>
        <v>mpxvassembly.fasta</v>
      </c>
      <c r="I226" s="33"/>
      <c r="J226" s="33"/>
      <c r="K226" s="34" t="s">
        <v>19</v>
      </c>
      <c r="L226" s="34" t="s">
        <v>19</v>
      </c>
      <c r="M226" s="34" t="s">
        <v>19</v>
      </c>
      <c r="N226" s="33"/>
      <c r="O226" s="33" t="str">
        <f>IFERROR(__xludf.DUMMYFUNCTION("""COMPUTED_VALUE"""),"HPAI;HPAI_Food;HPAI_WW;HPAI_Enviro;HPAI_Host")</f>
        <v>HPAI;HPAI_Food;HPAI_WW;HPAI_Enviro;HPAI_Host</v>
      </c>
      <c r="P226" s="33"/>
      <c r="Q226" s="33"/>
      <c r="R226" s="33"/>
      <c r="S226" s="33"/>
      <c r="T226" s="33"/>
      <c r="U226" s="33"/>
      <c r="V226" s="33"/>
      <c r="W226" s="33"/>
      <c r="X226" s="33"/>
      <c r="Y226" s="33"/>
      <c r="Z226" s="33"/>
      <c r="AA226" s="33"/>
      <c r="AB226" s="33"/>
    </row>
    <row r="227">
      <c r="A227" s="33" t="str">
        <f>IFERROR(__xludf.DUMMYFUNCTION("""COMPUTED_VALUE"""),"Sequence information")</f>
        <v>Sequence information</v>
      </c>
      <c r="B227" s="36" t="str">
        <f>IFERROR(__xludf.DUMMYFUNCTION("""COMPUTED_VALUE"""),"assembly_filename")</f>
        <v>assembly_filename</v>
      </c>
      <c r="C227" s="36"/>
      <c r="D227" s="36"/>
      <c r="E227" s="33" t="str">
        <f>IFERROR(__xludf.DUMMYFUNCTION("""COMPUTED_VALUE"""),"GENEPIO:0001461")</f>
        <v>GENEPIO:0001461</v>
      </c>
      <c r="F227" s="33" t="str">
        <f>IFERROR(__xludf.DUMMYFUNCTION("""COMPUTED_VALUE"""),"The user-defined filename of the FASTA file.")</f>
        <v>The user-defined filename of the FASTA file.</v>
      </c>
      <c r="G227" s="33" t="str">
        <f>IFERROR(__xludf.DUMMYFUNCTION("""COMPUTED_VALUE"""),"Provide the FASTA filename.")</f>
        <v>Provide the FASTA filename.</v>
      </c>
      <c r="H227" s="33" t="str">
        <f>IFERROR(__xludf.DUMMYFUNCTION("""COMPUTED_VALUE"""),"pathogenassembly123.fasta")</f>
        <v>pathogenassembly123.fasta</v>
      </c>
      <c r="I227" s="33"/>
      <c r="J227" s="33"/>
      <c r="K227" s="34" t="s">
        <v>19</v>
      </c>
      <c r="L227" s="34" t="s">
        <v>19</v>
      </c>
      <c r="M227" s="34" t="s">
        <v>19</v>
      </c>
      <c r="N227" s="33"/>
      <c r="O227" s="33" t="str">
        <f>IFERROR(__xludf.DUMMYFUNCTION("""COMPUTED_VALUE"""),"HPAI;HPAI_Food;HPAI_WW;HPAI_Enviro;HPAI_Host")</f>
        <v>HPAI;HPAI_Food;HPAI_WW;HPAI_Enviro;HPAI_Host</v>
      </c>
      <c r="P227" s="33"/>
      <c r="Q227" s="33"/>
      <c r="R227" s="33"/>
      <c r="S227" s="33"/>
      <c r="T227" s="33"/>
      <c r="U227" s="33"/>
      <c r="V227" s="33"/>
      <c r="W227" s="33"/>
      <c r="X227" s="33"/>
      <c r="Y227" s="33"/>
      <c r="Z227" s="33"/>
      <c r="AA227" s="33"/>
      <c r="AB227" s="33"/>
    </row>
    <row r="228">
      <c r="A228" s="33"/>
      <c r="B228" s="36" t="str">
        <f>IFERROR(__xludf.DUMMYFUNCTION("""COMPUTED_VALUE"""),"Bioinformatics and QC metrics")</f>
        <v>Bioinformatics and QC metrics</v>
      </c>
      <c r="C228" s="36" t="str">
        <f>IFERROR(__xludf.DUMMYFUNCTION("""COMPUTED_VALUE"""),"")</f>
        <v/>
      </c>
      <c r="D228" s="36" t="str">
        <f>IFERROR(__xludf.DUMMYFUNCTION("""COMPUTED_VALUE"""),"")</f>
        <v/>
      </c>
      <c r="E228" s="33" t="str">
        <f>IFERROR(__xludf.DUMMYFUNCTION("""COMPUTED_VALUE"""),"GENEPIO:0001457")</f>
        <v>GENEPIO:0001457</v>
      </c>
      <c r="F228" s="33"/>
      <c r="G228" s="33"/>
      <c r="H228" s="33"/>
      <c r="I228" s="33"/>
      <c r="J228" s="33"/>
      <c r="K228" s="34"/>
      <c r="L228" s="34"/>
      <c r="M228" s="34"/>
      <c r="N228" s="33"/>
      <c r="O228" s="33" t="str">
        <f>IFERROR(__xludf.DUMMYFUNCTION("""COMPUTED_VALUE"""),"HPAI;HPAI_Food;HPAI_WW;HPAI_Enviro;HPAI_Host")</f>
        <v>HPAI;HPAI_Food;HPAI_WW;HPAI_Enviro;HPAI_Host</v>
      </c>
      <c r="P228" s="33"/>
      <c r="Q228" s="33"/>
      <c r="R228" s="33"/>
      <c r="S228" s="33"/>
      <c r="T228" s="33"/>
      <c r="U228" s="33"/>
      <c r="V228" s="33"/>
      <c r="W228" s="33"/>
      <c r="X228" s="33"/>
      <c r="Y228" s="33"/>
      <c r="Z228" s="33"/>
      <c r="AA228" s="33"/>
      <c r="AB228" s="33"/>
    </row>
    <row r="229">
      <c r="A229" s="33" t="str">
        <f>IFERROR(__xludf.DUMMYFUNCTION("""COMPUTED_VALUE"""),"Bioinformatics and QC metrics")</f>
        <v>Bioinformatics and QC metrics</v>
      </c>
      <c r="B229" s="36" t="str">
        <f>IFERROR(__xludf.DUMMYFUNCTION("""COMPUTED_VALUE"""),"quality control method name")</f>
        <v>quality control method name</v>
      </c>
      <c r="C229" s="36"/>
      <c r="D229" s="36"/>
      <c r="E229" s="33" t="str">
        <f>IFERROR(__xludf.DUMMYFUNCTION("""COMPUTED_VALUE"""),"GENEPIO:0100557")</f>
        <v>GENEPIO:0100557</v>
      </c>
      <c r="F229" s="33" t="str">
        <f>IFERROR(__xludf.DUMMYFUNCTION("""COMPUTED_VALUE"""),"The name of the method used to assess whether a sequence passed a predetermined quality control threshold.")</f>
        <v>The name of the method used to assess whether a sequence passed a predetermined quality control threshold.</v>
      </c>
      <c r="G229" s="33" t="str">
        <f>IFERROR(__xludf.DUMMYFUNCTION("""COMPUTED_VALUE"""),"Providing the name of the method used for quality control is very important for interpreting the rest of the QC information. Method names can be provided as the name of a pipeline or a link to a GitHub repository. Multiple methods should be listed and sep"&amp;"arated by a semi-colon. Do not include QC tags in other fields if no method name is provided.")</f>
        <v>Providing the name of the method used for quality control is very important for interpreting the rest of the QC information. Method names can be provided as the name of a pipeline or a link to a GitHub repository. Multiple methods should be listed and separated by a semi-colon. Do not include QC tags in other fields if no method name is provided.</v>
      </c>
      <c r="H229" s="33" t="str">
        <f>IFERROR(__xludf.DUMMYFUNCTION("""COMPUTED_VALUE"""),"ncov-tools")</f>
        <v>ncov-tools</v>
      </c>
      <c r="I229" s="33"/>
      <c r="J229" s="33"/>
      <c r="K229" s="34" t="s">
        <v>19</v>
      </c>
      <c r="L229" s="34" t="s">
        <v>19</v>
      </c>
      <c r="M229" s="34" t="s">
        <v>19</v>
      </c>
      <c r="N229" s="33"/>
      <c r="O229" s="33" t="str">
        <f>IFERROR(__xludf.DUMMYFUNCTION("""COMPUTED_VALUE"""),"HPAI;HPAI_Food;HPAI_WW;HPAI_Enviro;HPAI_Host")</f>
        <v>HPAI;HPAI_Food;HPAI_WW;HPAI_Enviro;HPAI_Host</v>
      </c>
      <c r="P229" s="33"/>
      <c r="Q229" s="33"/>
      <c r="R229" s="33"/>
      <c r="S229" s="33"/>
      <c r="T229" s="33"/>
      <c r="U229" s="33"/>
      <c r="V229" s="33"/>
      <c r="W229" s="33"/>
      <c r="X229" s="33"/>
      <c r="Y229" s="33"/>
      <c r="Z229" s="33"/>
      <c r="AA229" s="33"/>
      <c r="AB229" s="33"/>
    </row>
    <row r="230">
      <c r="A230" s="33" t="str">
        <f>IFERROR(__xludf.DUMMYFUNCTION("""COMPUTED_VALUE"""),"Bioinformatics and QC metrics")</f>
        <v>Bioinformatics and QC metrics</v>
      </c>
      <c r="B230" s="36" t="str">
        <f>IFERROR(__xludf.DUMMYFUNCTION("""COMPUTED_VALUE"""),"quality control method version")</f>
        <v>quality control method version</v>
      </c>
      <c r="C230" s="36"/>
      <c r="D230" s="36"/>
      <c r="E230" s="33" t="str">
        <f>IFERROR(__xludf.DUMMYFUNCTION("""COMPUTED_VALUE"""),"GENEPIO:0100558")</f>
        <v>GENEPIO:0100558</v>
      </c>
      <c r="F230" s="33" t="str">
        <f>IFERROR(__xludf.DUMMYFUNCTION("""COMPUTED_VALUE"""),"The version number of the method used to assess whether a sequence passed a predetermined quality control threshold.")</f>
        <v>The version number of the method used to assess whether a sequence passed a predetermined quality control threshold.</v>
      </c>
      <c r="G230" s="33" t="str">
        <f>IFERROR(__xludf.DUMMYFUNCTION("""COMPUTED_VALUE"""),"Methods updates can make big differences to their outputs. Provide the version of the method used for quality control. The version can be expressed using whatever convention the developer implements (e.g. date, semantic versioning). If multiple methods we"&amp;"re used, record the version numbers in the same order as the method names. Separate the version numbers using a semi-colon.")</f>
        <v>Methods updates can make big differences to their outputs. Provide the version of the method used for quality control. The version can be expressed using whatever convention the developer implements (e.g. date, semantic versioning). If multiple methods were used, record the version numbers in the same order as the method names. Separate the version numbers using a semi-colon.</v>
      </c>
      <c r="H230" s="33" t="str">
        <f>IFERROR(__xludf.DUMMYFUNCTION("""COMPUTED_VALUE"""),"1.2.3")</f>
        <v>1.2.3</v>
      </c>
      <c r="I230" s="33"/>
      <c r="J230" s="33"/>
      <c r="K230" s="34" t="s">
        <v>19</v>
      </c>
      <c r="L230" s="34" t="s">
        <v>19</v>
      </c>
      <c r="M230" s="34" t="s">
        <v>19</v>
      </c>
      <c r="N230" s="33"/>
      <c r="O230" s="33" t="str">
        <f>IFERROR(__xludf.DUMMYFUNCTION("""COMPUTED_VALUE"""),"HPAI;HPAI_Food;HPAI_WW;HPAI_Enviro;HPAI_Host")</f>
        <v>HPAI;HPAI_Food;HPAI_WW;HPAI_Enviro;HPAI_Host</v>
      </c>
      <c r="P230" s="33"/>
      <c r="Q230" s="33"/>
      <c r="R230" s="33"/>
      <c r="S230" s="33"/>
      <c r="T230" s="33"/>
      <c r="U230" s="33"/>
      <c r="V230" s="33"/>
      <c r="W230" s="33"/>
      <c r="X230" s="33"/>
      <c r="Y230" s="33"/>
      <c r="Z230" s="33"/>
      <c r="AA230" s="33"/>
      <c r="AB230" s="33"/>
    </row>
    <row r="231">
      <c r="A231" s="33" t="str">
        <f>IFERROR(__xludf.DUMMYFUNCTION("""COMPUTED_VALUE"""),"Bioinformatics and QC metrics")</f>
        <v>Bioinformatics and QC metrics</v>
      </c>
      <c r="B231" s="36" t="str">
        <f>IFERROR(__xludf.DUMMYFUNCTION("""COMPUTED_VALUE"""),"quality control determination")</f>
        <v>quality control determination</v>
      </c>
      <c r="C231" s="36"/>
      <c r="D231" s="36"/>
      <c r="E231" s="33" t="str">
        <f>IFERROR(__xludf.DUMMYFUNCTION("""COMPUTED_VALUE"""),"GENEPIO:0100559")</f>
        <v>GENEPIO:0100559</v>
      </c>
      <c r="F231" s="33" t="str">
        <f>IFERROR(__xludf.DUMMYFUNCTION("""COMPUTED_VALUE"""),"The determination of a quality control assessment.")</f>
        <v>The determination of a quality control assessment.</v>
      </c>
      <c r="G231" s="33" t="str">
        <f>IFERROR(__xludf.DUMMYFUNCTION("""COMPUTED_VALUE"""),"Select a value from the pick list provided. If a desired value is missing, submit a new term request to the PHA4GE QC Tag GitHub issuetracker using the New Term Request form.")</f>
        <v>Select a value from the pick list provided. If a desired value is missing, submit a new term request to the PHA4GE QC Tag GitHub issuetracker using the New Term Request form.</v>
      </c>
      <c r="H231" s="33" t="str">
        <f>IFERROR(__xludf.DUMMYFUNCTION("""COMPUTED_VALUE"""),"sequence failed quality control")</f>
        <v>sequence failed quality control</v>
      </c>
      <c r="I231" s="33"/>
      <c r="J231" s="33"/>
      <c r="K231" s="34" t="s">
        <v>19</v>
      </c>
      <c r="L231" s="34" t="s">
        <v>19</v>
      </c>
      <c r="M231" s="34" t="s">
        <v>19</v>
      </c>
      <c r="N231" s="33"/>
      <c r="O231" s="33" t="str">
        <f>IFERROR(__xludf.DUMMYFUNCTION("""COMPUTED_VALUE"""),"HPAI;HPAI_Food;HPAI_WW;HPAI_Enviro;HPAI_Host")</f>
        <v>HPAI;HPAI_Food;HPAI_WW;HPAI_Enviro;HPAI_Host</v>
      </c>
      <c r="P231" s="33"/>
      <c r="Q231" s="33"/>
      <c r="R231" s="33"/>
      <c r="S231" s="33"/>
      <c r="T231" s="33"/>
      <c r="U231" s="33"/>
      <c r="V231" s="33"/>
      <c r="W231" s="33"/>
      <c r="X231" s="33"/>
      <c r="Y231" s="33"/>
      <c r="Z231" s="33"/>
      <c r="AA231" s="33"/>
      <c r="AB231" s="33"/>
    </row>
    <row r="232">
      <c r="A232" s="33" t="str">
        <f>IFERROR(__xludf.DUMMYFUNCTION("""COMPUTED_VALUE"""),"Bioinformatics and QC metrics")</f>
        <v>Bioinformatics and QC metrics</v>
      </c>
      <c r="B232" s="36" t="str">
        <f>IFERROR(__xludf.DUMMYFUNCTION("""COMPUTED_VALUE"""),"quality control issues")</f>
        <v>quality control issues</v>
      </c>
      <c r="C232" s="36"/>
      <c r="D232" s="36"/>
      <c r="E232" s="33" t="str">
        <f>IFERROR(__xludf.DUMMYFUNCTION("""COMPUTED_VALUE"""),"GENEPIO:0100560")</f>
        <v>GENEPIO:0100560</v>
      </c>
      <c r="F232" s="33" t="str">
        <f>IFERROR(__xludf.DUMMYFUNCTION("""COMPUTED_VALUE"""),"The reason contributing to, or causing, a low quality determination in a quality control assessment.")</f>
        <v>The reason contributing to, or causing, a low quality determination in a quality control assessment.</v>
      </c>
      <c r="G232" s="33" t="str">
        <f>IFERROR(__xludf.DUMMYFUNCTION("""COMPUTED_VALUE"""),"Select a value from the pick list provided. If a desired value is missing, submit a new term request to the PHA4GE QC Tag GitHub issuetracker using the New Term Request form.")</f>
        <v>Select a value from the pick list provided. If a desired value is missing, submit a new term request to the PHA4GE QC Tag GitHub issuetracker using the New Term Request form.</v>
      </c>
      <c r="H232" s="33" t="str">
        <f>IFERROR(__xludf.DUMMYFUNCTION("""COMPUTED_VALUE"""),"low average genome coverage")</f>
        <v>low average genome coverage</v>
      </c>
      <c r="I232" s="33"/>
      <c r="J232" s="33"/>
      <c r="K232" s="34" t="s">
        <v>19</v>
      </c>
      <c r="L232" s="34" t="s">
        <v>19</v>
      </c>
      <c r="M232" s="34" t="s">
        <v>19</v>
      </c>
      <c r="N232" s="33"/>
      <c r="O232" s="33" t="str">
        <f>IFERROR(__xludf.DUMMYFUNCTION("""COMPUTED_VALUE"""),"HPAI;HPAI_Food;HPAI_WW;HPAI_Enviro;HPAI_Host")</f>
        <v>HPAI;HPAI_Food;HPAI_WW;HPAI_Enviro;HPAI_Host</v>
      </c>
      <c r="P232" s="33"/>
      <c r="Q232" s="33"/>
      <c r="R232" s="33"/>
      <c r="S232" s="33"/>
      <c r="T232" s="33"/>
      <c r="U232" s="33"/>
      <c r="V232" s="33"/>
      <c r="W232" s="33"/>
      <c r="X232" s="33"/>
      <c r="Y232" s="33"/>
      <c r="Z232" s="33"/>
      <c r="AA232" s="33"/>
      <c r="AB232" s="33"/>
    </row>
    <row r="233">
      <c r="A233" s="33" t="str">
        <f>IFERROR(__xludf.DUMMYFUNCTION("""COMPUTED_VALUE"""),"Bioinformatics and QC metrics")</f>
        <v>Bioinformatics and QC metrics</v>
      </c>
      <c r="B233" s="33" t="str">
        <f>IFERROR(__xludf.DUMMYFUNCTION("""COMPUTED_VALUE"""),"quality control details")</f>
        <v>quality control details</v>
      </c>
      <c r="C233" s="33"/>
      <c r="D233" s="33"/>
      <c r="E233" s="35" t="str">
        <f>IFERROR(__xludf.DUMMYFUNCTION("""COMPUTED_VALUE"""),"GENEPIO:0100561")</f>
        <v>GENEPIO:0100561</v>
      </c>
      <c r="F233" s="33" t="str">
        <f>IFERROR(__xludf.DUMMYFUNCTION("""COMPUTED_VALUE"""),"The details surrounding a low quality determination in a quality control assessment.")</f>
        <v>The details surrounding a low quality determination in a quality control assessment.</v>
      </c>
      <c r="G233" s="33" t="str">
        <f>IFERROR(__xludf.DUMMYFUNCTION("""COMPUTED_VALUE"""),"Provide notes or details regarding QC results using free text.")</f>
        <v>Provide notes or details regarding QC results using free text.</v>
      </c>
      <c r="H233" s="38" t="str">
        <f>IFERROR(__xludf.DUMMYFUNCTION("""COMPUTED_VALUE"""),"CT value of 39. Low viral load. Low DNA concentration after amplification.")</f>
        <v>CT value of 39. Low viral load. Low DNA concentration after amplification.</v>
      </c>
      <c r="I233" s="33"/>
      <c r="J233" s="33"/>
      <c r="K233" s="34" t="s">
        <v>19</v>
      </c>
      <c r="L233" s="34" t="s">
        <v>19</v>
      </c>
      <c r="M233" s="34" t="s">
        <v>19</v>
      </c>
      <c r="O233" s="28" t="str">
        <f>IFERROR(__xludf.DUMMYFUNCTION("""COMPUTED_VALUE"""),"HPAI;HPAI_Food;HPAI_WW;HPAI_Enviro;HPAI_Host")</f>
        <v>HPAI;HPAI_Food;HPAI_WW;HPAI_Enviro;HPAI_Host</v>
      </c>
    </row>
    <row r="234">
      <c r="A234" s="33" t="str">
        <f>IFERROR(__xludf.DUMMYFUNCTION("""COMPUTED_VALUE"""),"Bioinformatics and QC metrics")</f>
        <v>Bioinformatics and QC metrics</v>
      </c>
      <c r="B234" s="36" t="str">
        <f>IFERROR(__xludf.DUMMYFUNCTION("""COMPUTED_VALUE"""),"raw sequence data processing method")</f>
        <v>raw sequence data processing method</v>
      </c>
      <c r="C234" s="36"/>
      <c r="D234" s="36" t="b">
        <f>IFERROR(__xludf.DUMMYFUNCTION("""COMPUTED_VALUE"""),TRUE)</f>
        <v>1</v>
      </c>
      <c r="E234" s="33" t="str">
        <f>IFERROR(__xludf.DUMMYFUNCTION("""COMPUTED_VALUE"""),"GENEPIO:0001458")</f>
        <v>GENEPIO:0001458</v>
      </c>
      <c r="F234" s="33" t="str">
        <f>IFERROR(__xludf.DUMMYFUNCTION("""COMPUTED_VALUE"""),"The method used for raw data processing such as removing barcodes, adapter trimming, filtering etc.")</f>
        <v>The method used for raw data processing such as removing barcodes, adapter trimming, filtering etc.</v>
      </c>
      <c r="G234" s="33" t="str">
        <f>IFERROR(__xludf.DUMMYFUNCTION("""COMPUTED_VALUE"""),"Raw data processing can have a significant impact on data quality and how it can be used. Provide the names and version numbers of software used for trimming adaptors, quality filtering, etc (e.g. Trimmomatic v. 0.38, Porechop v. 0.2.3), or a link to a Gi"&amp;"tHub protocol. ")</f>
        <v>Raw data processing can have a significant impact on data quality and how it can be used. Provide the names and version numbers of software used for trimming adaptors, quality filtering, etc (e.g. Trimmomatic v. 0.38, Porechop v. 0.2.3), or a link to a GitHub protocol. </v>
      </c>
      <c r="H234" s="33" t="str">
        <f>IFERROR(__xludf.DUMMYFUNCTION("""COMPUTED_VALUE"""),"Porechop 0.2.3")</f>
        <v>Porechop 0.2.3</v>
      </c>
      <c r="I234" s="33"/>
      <c r="J234" s="33"/>
      <c r="K234" s="34" t="s">
        <v>19</v>
      </c>
      <c r="L234" s="34" t="s">
        <v>19</v>
      </c>
      <c r="M234" s="34" t="s">
        <v>19</v>
      </c>
      <c r="N234" s="33"/>
      <c r="O234" s="33" t="str">
        <f>IFERROR(__xludf.DUMMYFUNCTION("""COMPUTED_VALUE"""),"HPAI;HPAI_Food;HPAI_WW;HPAI_Enviro;HPAI_Host")</f>
        <v>HPAI;HPAI_Food;HPAI_WW;HPAI_Enviro;HPAI_Host</v>
      </c>
      <c r="P234" s="33"/>
      <c r="Q234" s="33"/>
      <c r="R234" s="33"/>
      <c r="S234" s="33"/>
      <c r="T234" s="33"/>
      <c r="U234" s="33"/>
      <c r="V234" s="33"/>
      <c r="W234" s="33"/>
      <c r="X234" s="33"/>
      <c r="Y234" s="33"/>
      <c r="Z234" s="33"/>
      <c r="AA234" s="33"/>
      <c r="AB234" s="33"/>
    </row>
    <row r="235">
      <c r="A235" s="33" t="str">
        <f>IFERROR(__xludf.DUMMYFUNCTION("""COMPUTED_VALUE"""),"Bioinformatics and QC metrics")</f>
        <v>Bioinformatics and QC metrics</v>
      </c>
      <c r="B235" s="36" t="str">
        <f>IFERROR(__xludf.DUMMYFUNCTION("""COMPUTED_VALUE"""),"dehosting method")</f>
        <v>dehosting method</v>
      </c>
      <c r="C235" s="36"/>
      <c r="D235" s="36" t="b">
        <f>IFERROR(__xludf.DUMMYFUNCTION("""COMPUTED_VALUE"""),TRUE)</f>
        <v>1</v>
      </c>
      <c r="E235" s="33" t="str">
        <f>IFERROR(__xludf.DUMMYFUNCTION("""COMPUTED_VALUE"""),"GENEPIO:0001459")</f>
        <v>GENEPIO:0001459</v>
      </c>
      <c r="F235" s="33" t="str">
        <f>IFERROR(__xludf.DUMMYFUNCTION("""COMPUTED_VALUE"""),"The method used to remove host reads from the pathogen sequence.")</f>
        <v>The method used to remove host reads from the pathogen sequence.</v>
      </c>
      <c r="G235" s="33" t="str">
        <f>IFERROR(__xludf.DUMMYFUNCTION("""COMPUTED_VALUE"""),"Provide the name and version number of the software used to remove host reads.")</f>
        <v>Provide the name and version number of the software used to remove host reads.</v>
      </c>
      <c r="H235" s="33" t="str">
        <f>IFERROR(__xludf.DUMMYFUNCTION("""COMPUTED_VALUE"""),"Nanostripper")</f>
        <v>Nanostripper</v>
      </c>
      <c r="I235" s="33"/>
      <c r="J235" s="33"/>
      <c r="K235" s="34" t="s">
        <v>19</v>
      </c>
      <c r="L235" s="34" t="s">
        <v>19</v>
      </c>
      <c r="M235" s="34" t="s">
        <v>19</v>
      </c>
      <c r="N235" s="33"/>
      <c r="O235" s="33" t="str">
        <f>IFERROR(__xludf.DUMMYFUNCTION("""COMPUTED_VALUE"""),"HPAI;HPAI_Food;HPAI_WW;HPAI_Enviro;HPAI_Host")</f>
        <v>HPAI;HPAI_Food;HPAI_WW;HPAI_Enviro;HPAI_Host</v>
      </c>
      <c r="P235" s="33"/>
      <c r="Q235" s="33"/>
      <c r="R235" s="33"/>
      <c r="S235" s="33"/>
      <c r="T235" s="33"/>
      <c r="U235" s="33"/>
      <c r="V235" s="33"/>
      <c r="W235" s="33"/>
      <c r="X235" s="33"/>
      <c r="Y235" s="33"/>
      <c r="Z235" s="33"/>
      <c r="AA235" s="33"/>
      <c r="AB235" s="33"/>
    </row>
    <row r="236">
      <c r="A236" s="33" t="str">
        <f>IFERROR(__xludf.DUMMYFUNCTION("""COMPUTED_VALUE"""),"Bioinformatics and QC metrics")</f>
        <v>Bioinformatics and QC metrics</v>
      </c>
      <c r="B236" s="36" t="str">
        <f>IFERROR(__xludf.DUMMYFUNCTION("""COMPUTED_VALUE"""),"sequence assembly software name")</f>
        <v>sequence assembly software name</v>
      </c>
      <c r="C236" s="36"/>
      <c r="D236" s="36"/>
      <c r="E236" s="35" t="str">
        <f>IFERROR(__xludf.DUMMYFUNCTION("""COMPUTED_VALUE"""),"GENEPIO:0100825")</f>
        <v>GENEPIO:0100825</v>
      </c>
      <c r="F236" s="33" t="str">
        <f>IFERROR(__xludf.DUMMYFUNCTION("""COMPUTED_VALUE"""),"The name of the software used to assemble a sequence.")</f>
        <v>The name of the software used to assemble a sequence.</v>
      </c>
      <c r="G236" s="33" t="str">
        <f>IFERROR(__xludf.DUMMYFUNCTION("""COMPUTED_VALUE"""),"Provide the name of the software used to assemble the sequence.")</f>
        <v>Provide the name of the software used to assemble the sequence.</v>
      </c>
      <c r="H236" s="33" t="str">
        <f>IFERROR(__xludf.DUMMYFUNCTION("""COMPUTED_VALUE"""),"SPAdes Genome Assembler, Canu, wtdbg2, velvet")</f>
        <v>SPAdes Genome Assembler, Canu, wtdbg2, velvet</v>
      </c>
      <c r="I236" s="33"/>
      <c r="J236" s="33"/>
      <c r="K236" s="34" t="s">
        <v>19</v>
      </c>
      <c r="L236" s="34" t="s">
        <v>19</v>
      </c>
      <c r="M236" s="34" t="s">
        <v>19</v>
      </c>
      <c r="N236" s="33"/>
      <c r="O236" s="33" t="str">
        <f>IFERROR(__xludf.DUMMYFUNCTION("""COMPUTED_VALUE"""),"HPAI;HPAI_Food;HPAI_WW;HPAI_Enviro;HPAI_Host")</f>
        <v>HPAI;HPAI_Food;HPAI_WW;HPAI_Enviro;HPAI_Host</v>
      </c>
      <c r="P236" s="33"/>
      <c r="Q236" s="33"/>
      <c r="R236" s="33"/>
      <c r="S236" s="33"/>
      <c r="T236" s="33"/>
      <c r="U236" s="33"/>
      <c r="V236" s="33"/>
      <c r="W236" s="33"/>
      <c r="X236" s="33"/>
      <c r="Y236" s="33"/>
      <c r="Z236" s="33"/>
      <c r="AA236" s="33"/>
      <c r="AB236" s="33"/>
    </row>
    <row r="237">
      <c r="A237" s="33" t="str">
        <f>IFERROR(__xludf.DUMMYFUNCTION("""COMPUTED_VALUE"""),"Bioinformatics and QC metrics")</f>
        <v>Bioinformatics and QC metrics</v>
      </c>
      <c r="B237" s="36" t="str">
        <f>IFERROR(__xludf.DUMMYFUNCTION("""COMPUTED_VALUE"""),"sequence assembly software version")</f>
        <v>sequence assembly software version</v>
      </c>
      <c r="C237" s="36"/>
      <c r="D237" s="36"/>
      <c r="E237" s="35" t="str">
        <f>IFERROR(__xludf.DUMMYFUNCTION("""COMPUTED_VALUE"""),"GENEPIO:0100826")</f>
        <v>GENEPIO:0100826</v>
      </c>
      <c r="F237" s="33" t="str">
        <f>IFERROR(__xludf.DUMMYFUNCTION("""COMPUTED_VALUE"""),"The version of the software used to assemble a sequence.")</f>
        <v>The version of the software used to assemble a sequence.</v>
      </c>
      <c r="G237" s="33" t="str">
        <f>IFERROR(__xludf.DUMMYFUNCTION("""COMPUTED_VALUE"""),"Provide the version of the software used to assemble the sequence.")</f>
        <v>Provide the version of the software used to assemble the sequence.</v>
      </c>
      <c r="H237" s="33" t="str">
        <f>IFERROR(__xludf.DUMMYFUNCTION("""COMPUTED_VALUE"""),"3.15.5")</f>
        <v>3.15.5</v>
      </c>
      <c r="I237" s="33"/>
      <c r="J237" s="33"/>
      <c r="K237" s="34" t="s">
        <v>19</v>
      </c>
      <c r="L237" s="34" t="s">
        <v>19</v>
      </c>
      <c r="M237" s="34" t="s">
        <v>19</v>
      </c>
      <c r="N237" s="33"/>
      <c r="O237" s="33" t="str">
        <f>IFERROR(__xludf.DUMMYFUNCTION("""COMPUTED_VALUE"""),"HPAI;HPAI_Food;HPAI_WW;HPAI_Enviro;HPAI_Host")</f>
        <v>HPAI;HPAI_Food;HPAI_WW;HPAI_Enviro;HPAI_Host</v>
      </c>
      <c r="P237" s="33"/>
      <c r="Q237" s="33"/>
      <c r="R237" s="33"/>
      <c r="S237" s="33"/>
      <c r="T237" s="33"/>
      <c r="U237" s="33"/>
      <c r="V237" s="33"/>
      <c r="W237" s="33"/>
      <c r="X237" s="33"/>
      <c r="Y237" s="33"/>
      <c r="Z237" s="33"/>
      <c r="AA237" s="33"/>
      <c r="AB237" s="33"/>
    </row>
    <row r="238">
      <c r="A238" s="33" t="str">
        <f>IFERROR(__xludf.DUMMYFUNCTION("""COMPUTED_VALUE"""),"Bioinformatics and QC metrics")</f>
        <v>Bioinformatics and QC metrics</v>
      </c>
      <c r="B238" s="36" t="str">
        <f>IFERROR(__xludf.DUMMYFUNCTION("""COMPUTED_VALUE"""),"consensus sequence software name")</f>
        <v>consensus sequence software name</v>
      </c>
      <c r="C238" s="36"/>
      <c r="D238" s="36"/>
      <c r="E238" s="33" t="str">
        <f>IFERROR(__xludf.DUMMYFUNCTION("""COMPUTED_VALUE"""),"GENEPIO:0001463")</f>
        <v>GENEPIO:0001463</v>
      </c>
      <c r="F238" s="33" t="str">
        <f>IFERROR(__xludf.DUMMYFUNCTION("""COMPUTED_VALUE"""),"The name of the software used to generate the consensus sequence.")</f>
        <v>The name of the software used to generate the consensus sequence.</v>
      </c>
      <c r="G238" s="33" t="str">
        <f>IFERROR(__xludf.DUMMYFUNCTION("""COMPUTED_VALUE"""),"Provide the name of the software used to generate the consensus sequence.")</f>
        <v>Provide the name of the software used to generate the consensus sequence.</v>
      </c>
      <c r="H238" s="33" t="str">
        <f>IFERROR(__xludf.DUMMYFUNCTION("""COMPUTED_VALUE"""),"iVar")</f>
        <v>iVar</v>
      </c>
      <c r="I238" s="33"/>
      <c r="J238" s="33"/>
      <c r="K238" s="34" t="s">
        <v>19</v>
      </c>
      <c r="L238" s="34" t="s">
        <v>19</v>
      </c>
      <c r="M238" s="34" t="s">
        <v>19</v>
      </c>
      <c r="N238" s="33"/>
      <c r="O238" s="33" t="str">
        <f>IFERROR(__xludf.DUMMYFUNCTION("""COMPUTED_VALUE"""),"HPAI;HPAI_Food;HPAI_WW;HPAI_Enviro;HPAI_Host")</f>
        <v>HPAI;HPAI_Food;HPAI_WW;HPAI_Enviro;HPAI_Host</v>
      </c>
      <c r="P238" s="33"/>
      <c r="Q238" s="33"/>
      <c r="R238" s="33"/>
      <c r="S238" s="33"/>
      <c r="T238" s="33"/>
      <c r="U238" s="33"/>
      <c r="V238" s="33"/>
      <c r="W238" s="33"/>
      <c r="X238" s="33"/>
      <c r="Y238" s="33"/>
      <c r="Z238" s="33"/>
      <c r="AA238" s="33"/>
      <c r="AB238" s="33"/>
    </row>
    <row r="239">
      <c r="A239" s="33" t="str">
        <f>IFERROR(__xludf.DUMMYFUNCTION("""COMPUTED_VALUE"""),"Bioinformatics and QC metrics")</f>
        <v>Bioinformatics and QC metrics</v>
      </c>
      <c r="B239" s="36" t="str">
        <f>IFERROR(__xludf.DUMMYFUNCTION("""COMPUTED_VALUE"""),"consensus sequence software version")</f>
        <v>consensus sequence software version</v>
      </c>
      <c r="C239" s="36"/>
      <c r="D239" s="36"/>
      <c r="E239" s="33" t="str">
        <f>IFERROR(__xludf.DUMMYFUNCTION("""COMPUTED_VALUE"""),"GENEPIO:0001469")</f>
        <v>GENEPIO:0001469</v>
      </c>
      <c r="F239" s="33" t="str">
        <f>IFERROR(__xludf.DUMMYFUNCTION("""COMPUTED_VALUE"""),"The version of the software used to generate the consensus sequence.")</f>
        <v>The version of the software used to generate the consensus sequence.</v>
      </c>
      <c r="G239" s="33" t="str">
        <f>IFERROR(__xludf.DUMMYFUNCTION("""COMPUTED_VALUE"""),"Provide the version of the software used to generate the consensus sequence.")</f>
        <v>Provide the version of the software used to generate the consensus sequence.</v>
      </c>
      <c r="H239" s="33">
        <f>IFERROR(__xludf.DUMMYFUNCTION("""COMPUTED_VALUE"""),1.3)</f>
        <v>1.3</v>
      </c>
      <c r="I239" s="33"/>
      <c r="J239" s="33"/>
      <c r="K239" s="34" t="s">
        <v>19</v>
      </c>
      <c r="L239" s="34" t="s">
        <v>19</v>
      </c>
      <c r="M239" s="34" t="s">
        <v>19</v>
      </c>
      <c r="N239" s="33"/>
      <c r="O239" s="33" t="str">
        <f>IFERROR(__xludf.DUMMYFUNCTION("""COMPUTED_VALUE"""),"HPAI;HPAI_Food;HPAI_WW;HPAI_Enviro;HPAI_Host")</f>
        <v>HPAI;HPAI_Food;HPAI_WW;HPAI_Enviro;HPAI_Host</v>
      </c>
      <c r="P239" s="33"/>
      <c r="Q239" s="33"/>
      <c r="R239" s="33"/>
      <c r="S239" s="33"/>
      <c r="T239" s="33"/>
      <c r="U239" s="33"/>
      <c r="V239" s="33"/>
      <c r="W239" s="33"/>
      <c r="X239" s="33"/>
      <c r="Y239" s="33"/>
      <c r="Z239" s="33"/>
      <c r="AA239" s="33"/>
      <c r="AB239" s="33"/>
    </row>
    <row r="240">
      <c r="A240" s="33" t="str">
        <f>IFERROR(__xludf.DUMMYFUNCTION("""COMPUTED_VALUE"""),"Bioinformatics and QC metrics")</f>
        <v>Bioinformatics and QC metrics</v>
      </c>
      <c r="B240" s="36" t="str">
        <f>IFERROR(__xludf.DUMMYFUNCTION("""COMPUTED_VALUE"""),"breadth of coverage value")</f>
        <v>breadth of coverage value</v>
      </c>
      <c r="C240" s="36"/>
      <c r="D240" s="36"/>
      <c r="E240" s="33" t="str">
        <f>IFERROR(__xludf.DUMMYFUNCTION("""COMPUTED_VALUE"""),"GENEPIO:0001472")</f>
        <v>GENEPIO:0001472</v>
      </c>
      <c r="F240" s="33" t="str">
        <f>IFERROR(__xludf.DUMMYFUNCTION("""COMPUTED_VALUE"""),"The percentage of the reference genome covered by the sequenced data, to a prescribed depth.")</f>
        <v>The percentage of the reference genome covered by the sequenced data, to a prescribed depth.</v>
      </c>
      <c r="G240" s="33" t="str">
        <f>IFERROR(__xludf.DUMMYFUNCTION("""COMPUTED_VALUE"""),"Provide value as a percent.")</f>
        <v>Provide value as a percent.</v>
      </c>
      <c r="H240" s="33">
        <f>IFERROR(__xludf.DUMMYFUNCTION("""COMPUTED_VALUE"""),95.0)</f>
        <v>95</v>
      </c>
      <c r="I240" s="33"/>
      <c r="J240" s="33"/>
      <c r="K240" s="34" t="s">
        <v>19</v>
      </c>
      <c r="L240" s="34" t="s">
        <v>19</v>
      </c>
      <c r="M240" s="34" t="s">
        <v>19</v>
      </c>
      <c r="N240" s="33"/>
      <c r="O240" s="33" t="str">
        <f>IFERROR(__xludf.DUMMYFUNCTION("""COMPUTED_VALUE"""),"HPAI;HPAI_Food;HPAI_WW;HPAI_Enviro;HPAI_Host")</f>
        <v>HPAI;HPAI_Food;HPAI_WW;HPAI_Enviro;HPAI_Host</v>
      </c>
      <c r="P240" s="33"/>
      <c r="Q240" s="33"/>
      <c r="R240" s="33"/>
      <c r="S240" s="33"/>
      <c r="T240" s="33"/>
      <c r="U240" s="33"/>
      <c r="V240" s="33"/>
      <c r="W240" s="33"/>
      <c r="X240" s="33"/>
      <c r="Y240" s="33"/>
      <c r="Z240" s="33"/>
      <c r="AA240" s="33"/>
      <c r="AB240" s="33"/>
    </row>
    <row r="241">
      <c r="A241" s="33" t="str">
        <f>IFERROR(__xludf.DUMMYFUNCTION("""COMPUTED_VALUE"""),"Bioinformatics and QC metrics")</f>
        <v>Bioinformatics and QC metrics</v>
      </c>
      <c r="B241" s="36" t="str">
        <f>IFERROR(__xludf.DUMMYFUNCTION("""COMPUTED_VALUE"""),"depth of coverage value")</f>
        <v>depth of coverage value</v>
      </c>
      <c r="C241" s="36"/>
      <c r="D241" s="36"/>
      <c r="E241" s="33" t="str">
        <f>IFERROR(__xludf.DUMMYFUNCTION("""COMPUTED_VALUE"""),"GENEPIO:0001474")</f>
        <v>GENEPIO:0001474</v>
      </c>
      <c r="F241" s="33" t="str">
        <f>IFERROR(__xludf.DUMMYFUNCTION("""COMPUTED_VALUE"""),"The average number of reads representing a given nucleotide in the reconstructed sequence.")</f>
        <v>The average number of reads representing a given nucleotide in the reconstructed sequence.</v>
      </c>
      <c r="G241" s="33" t="str">
        <f>IFERROR(__xludf.DUMMYFUNCTION("""COMPUTED_VALUE"""),"Provide value as a fold of coverage.")</f>
        <v>Provide value as a fold of coverage.</v>
      </c>
      <c r="H241" s="33">
        <f>IFERROR(__xludf.DUMMYFUNCTION("""COMPUTED_VALUE"""),400.0)</f>
        <v>400</v>
      </c>
      <c r="I241" s="33"/>
      <c r="J241" s="33"/>
      <c r="K241" s="34" t="s">
        <v>19</v>
      </c>
      <c r="L241" s="34" t="s">
        <v>19</v>
      </c>
      <c r="M241" s="34" t="s">
        <v>19</v>
      </c>
      <c r="N241" s="33"/>
      <c r="O241" s="33" t="str">
        <f>IFERROR(__xludf.DUMMYFUNCTION("""COMPUTED_VALUE"""),"HPAI;HPAI_Food;HPAI_WW;HPAI_Enviro;HPAI_Host")</f>
        <v>HPAI;HPAI_Food;HPAI_WW;HPAI_Enviro;HPAI_Host</v>
      </c>
      <c r="P241" s="33"/>
      <c r="Q241" s="33"/>
      <c r="R241" s="33"/>
      <c r="S241" s="33"/>
      <c r="T241" s="33"/>
      <c r="U241" s="33"/>
      <c r="V241" s="33"/>
      <c r="W241" s="33"/>
      <c r="X241" s="33"/>
      <c r="Y241" s="33"/>
      <c r="Z241" s="33"/>
      <c r="AA241" s="33"/>
      <c r="AB241" s="33"/>
    </row>
    <row r="242">
      <c r="A242" s="33" t="str">
        <f>IFERROR(__xludf.DUMMYFUNCTION("""COMPUTED_VALUE"""),"Bioinformatics and QC metrics")</f>
        <v>Bioinformatics and QC metrics</v>
      </c>
      <c r="B242" s="36" t="str">
        <f>IFERROR(__xludf.DUMMYFUNCTION("""COMPUTED_VALUE"""),"depth of coverage threshold")</f>
        <v>depth of coverage threshold</v>
      </c>
      <c r="C242" s="36"/>
      <c r="D242" s="36"/>
      <c r="E242" s="33" t="str">
        <f>IFERROR(__xludf.DUMMYFUNCTION("""COMPUTED_VALUE"""),"GENEPIO:0001475")</f>
        <v>GENEPIO:0001475</v>
      </c>
      <c r="F242" s="33" t="str">
        <f>IFERROR(__xludf.DUMMYFUNCTION("""COMPUTED_VALUE"""),"The threshold used as a cut-off for the depth of coverage.")</f>
        <v>The threshold used as a cut-off for the depth of coverage.</v>
      </c>
      <c r="G242" s="33" t="str">
        <f>IFERROR(__xludf.DUMMYFUNCTION("""COMPUTED_VALUE"""),"Provide the threshold fold coverage.")</f>
        <v>Provide the threshold fold coverage.</v>
      </c>
      <c r="H242" s="33">
        <f>IFERROR(__xludf.DUMMYFUNCTION("""COMPUTED_VALUE"""),100.0)</f>
        <v>100</v>
      </c>
      <c r="I242" s="33"/>
      <c r="J242" s="33"/>
      <c r="K242" s="34" t="s">
        <v>19</v>
      </c>
      <c r="L242" s="34" t="s">
        <v>19</v>
      </c>
      <c r="M242" s="34" t="s">
        <v>19</v>
      </c>
      <c r="N242" s="33"/>
      <c r="O242" s="33" t="str">
        <f>IFERROR(__xludf.DUMMYFUNCTION("""COMPUTED_VALUE"""),"HPAI;HPAI_Food;HPAI_WW;HPAI_Enviro;HPAI_Host")</f>
        <v>HPAI;HPAI_Food;HPAI_WW;HPAI_Enviro;HPAI_Host</v>
      </c>
      <c r="P242" s="33"/>
      <c r="Q242" s="33"/>
      <c r="R242" s="33"/>
      <c r="S242" s="33"/>
      <c r="T242" s="33"/>
      <c r="U242" s="33"/>
      <c r="V242" s="33"/>
      <c r="W242" s="33"/>
      <c r="X242" s="33"/>
      <c r="Y242" s="33"/>
      <c r="Z242" s="33"/>
      <c r="AA242" s="33"/>
      <c r="AB242" s="33"/>
    </row>
    <row r="243">
      <c r="A243" s="33" t="str">
        <f>IFERROR(__xludf.DUMMYFUNCTION("""COMPUTED_VALUE"""),"Bioinformatics and QC metrics")</f>
        <v>Bioinformatics and QC metrics</v>
      </c>
      <c r="B243" s="36" t="str">
        <f>IFERROR(__xludf.DUMMYFUNCTION("""COMPUTED_VALUE"""),"genome completeness")</f>
        <v>genome completeness</v>
      </c>
      <c r="C243" s="36"/>
      <c r="D243" s="36"/>
      <c r="E243" s="35" t="str">
        <f>IFERROR(__xludf.DUMMYFUNCTION("""COMPUTED_VALUE"""),"GENEPIO:0100844")</f>
        <v>GENEPIO:0100844</v>
      </c>
      <c r="F243" s="33" t="str">
        <f>IFERROR(__xludf.DUMMYFUNCTION("""COMPUTED_VALUE"""),"The percentage of expected genes identified in the genome being sequenced. Missing genes indicate missing genomic regions (incompleteness) in the data.")</f>
        <v>The percentage of expected genes identified in the genome being sequenced. Missing genes indicate missing genomic regions (incompleteness) in the data.</v>
      </c>
      <c r="G243" s="33" t="str">
        <f>IFERROR(__xludf.DUMMYFUNCTION("""COMPUTED_VALUE"""),"Provide the genome completeness as a percent (no need to include units).")</f>
        <v>Provide the genome completeness as a percent (no need to include units).</v>
      </c>
      <c r="H243" s="33">
        <f>IFERROR(__xludf.DUMMYFUNCTION("""COMPUTED_VALUE"""),85.0)</f>
        <v>85</v>
      </c>
      <c r="I243" s="33"/>
      <c r="J243" s="33"/>
      <c r="K243" s="34" t="s">
        <v>19</v>
      </c>
      <c r="L243" s="34" t="s">
        <v>19</v>
      </c>
      <c r="M243" s="34" t="s">
        <v>19</v>
      </c>
      <c r="N243" s="33"/>
      <c r="O243" s="33" t="str">
        <f>IFERROR(__xludf.DUMMYFUNCTION("""COMPUTED_VALUE"""),"HPAI;HPAI_Food;HPAI_WW;HPAI_Enviro;HPAI_Host")</f>
        <v>HPAI;HPAI_Food;HPAI_WW;HPAI_Enviro;HPAI_Host</v>
      </c>
      <c r="P243" s="33"/>
      <c r="Q243" s="33"/>
      <c r="R243" s="33"/>
      <c r="S243" s="33"/>
      <c r="T243" s="33"/>
      <c r="U243" s="33"/>
      <c r="V243" s="33"/>
      <c r="W243" s="33"/>
      <c r="X243" s="33"/>
      <c r="Y243" s="33"/>
      <c r="Z243" s="33"/>
      <c r="AA243" s="33"/>
      <c r="AB243" s="33"/>
    </row>
    <row r="244">
      <c r="A244" s="33" t="str">
        <f>IFERROR(__xludf.DUMMYFUNCTION("""COMPUTED_VALUE"""),"Bioinformatics and QC metrics")</f>
        <v>Bioinformatics and QC metrics</v>
      </c>
      <c r="B244" s="36" t="str">
        <f>IFERROR(__xludf.DUMMYFUNCTION("""COMPUTED_VALUE"""),"number of base pairs sequenced")</f>
        <v>number of base pairs sequenced</v>
      </c>
      <c r="C244" s="36"/>
      <c r="D244" s="36"/>
      <c r="E244" s="33" t="str">
        <f>IFERROR(__xludf.DUMMYFUNCTION("""COMPUTED_VALUE"""),"GENEPIO:0001482")</f>
        <v>GENEPIO:0001482</v>
      </c>
      <c r="F244" s="33" t="str">
        <f>IFERROR(__xludf.DUMMYFUNCTION("""COMPUTED_VALUE"""),"The number of total base pairs generated by the sequencing process.")</f>
        <v>The number of total base pairs generated by the sequencing process.</v>
      </c>
      <c r="G244" s="33" t="str">
        <f>IFERROR(__xludf.DUMMYFUNCTION("""COMPUTED_VALUE"""),"Provide a numerical value (no need to include units).")</f>
        <v>Provide a numerical value (no need to include units).</v>
      </c>
      <c r="H244" s="33">
        <f>IFERROR(__xludf.DUMMYFUNCTION("""COMPUTED_VALUE"""),387566.0)</f>
        <v>387566</v>
      </c>
      <c r="I244" s="33"/>
      <c r="J244" s="33"/>
      <c r="K244" s="34" t="s">
        <v>19</v>
      </c>
      <c r="L244" s="34" t="s">
        <v>19</v>
      </c>
      <c r="M244" s="34" t="s">
        <v>19</v>
      </c>
      <c r="N244" s="33"/>
      <c r="O244" s="33" t="str">
        <f>IFERROR(__xludf.DUMMYFUNCTION("""COMPUTED_VALUE"""),"HPAI;HPAI_Food;HPAI_WW;HPAI_Enviro;HPAI_Host")</f>
        <v>HPAI;HPAI_Food;HPAI_WW;HPAI_Enviro;HPAI_Host</v>
      </c>
      <c r="P244" s="33"/>
      <c r="Q244" s="33"/>
      <c r="R244" s="33"/>
      <c r="S244" s="33"/>
      <c r="T244" s="33"/>
      <c r="U244" s="33"/>
      <c r="V244" s="33"/>
      <c r="W244" s="33"/>
      <c r="X244" s="33"/>
      <c r="Y244" s="33"/>
      <c r="Z244" s="33"/>
      <c r="AA244" s="33"/>
      <c r="AB244" s="33"/>
    </row>
    <row r="245">
      <c r="A245" s="33" t="str">
        <f>IFERROR(__xludf.DUMMYFUNCTION("""COMPUTED_VALUE"""),"Bioinformatics and QC metrics")</f>
        <v>Bioinformatics and QC metrics</v>
      </c>
      <c r="B245" s="36" t="str">
        <f>IFERROR(__xludf.DUMMYFUNCTION("""COMPUTED_VALUE"""),"number of total reads")</f>
        <v>number of total reads</v>
      </c>
      <c r="C245" s="36"/>
      <c r="D245" s="36"/>
      <c r="E245" s="35" t="str">
        <f>IFERROR(__xludf.DUMMYFUNCTION("""COMPUTED_VALUE"""),"GENEPIO:0100827")</f>
        <v>GENEPIO:0100827</v>
      </c>
      <c r="F245" s="33" t="str">
        <f>IFERROR(__xludf.DUMMYFUNCTION("""COMPUTED_VALUE"""),"The total number of non-unique reads generated by the sequencing process.")</f>
        <v>The total number of non-unique reads generated by the sequencing process.</v>
      </c>
      <c r="G245" s="33" t="str">
        <f>IFERROR(__xludf.DUMMYFUNCTION("""COMPUTED_VALUE"""),"Provide a numerical value (no need to include units).")</f>
        <v>Provide a numerical value (no need to include units).</v>
      </c>
      <c r="H245" s="33">
        <f>IFERROR(__xludf.DUMMYFUNCTION("""COMPUTED_VALUE"""),423867.0)</f>
        <v>423867</v>
      </c>
      <c r="I245" s="33"/>
      <c r="J245" s="33"/>
      <c r="K245" s="34" t="s">
        <v>19</v>
      </c>
      <c r="L245" s="34" t="s">
        <v>19</v>
      </c>
      <c r="M245" s="34" t="s">
        <v>19</v>
      </c>
      <c r="N245" s="33"/>
      <c r="O245" s="33" t="str">
        <f>IFERROR(__xludf.DUMMYFUNCTION("""COMPUTED_VALUE"""),"HPAI;HPAI_Food;HPAI_WW;HPAI_Enviro;HPAI_Host")</f>
        <v>HPAI;HPAI_Food;HPAI_WW;HPAI_Enviro;HPAI_Host</v>
      </c>
      <c r="P245" s="33"/>
      <c r="Q245" s="33"/>
      <c r="R245" s="33"/>
      <c r="S245" s="33"/>
      <c r="T245" s="33"/>
      <c r="U245" s="33"/>
      <c r="V245" s="33"/>
      <c r="W245" s="33"/>
      <c r="X245" s="33"/>
      <c r="Y245" s="33"/>
      <c r="Z245" s="33"/>
      <c r="AA245" s="33"/>
      <c r="AB245" s="33"/>
    </row>
    <row r="246">
      <c r="A246" s="33" t="str">
        <f>IFERROR(__xludf.DUMMYFUNCTION("""COMPUTED_VALUE"""),"Bioinformatics and QC metrics")</f>
        <v>Bioinformatics and QC metrics</v>
      </c>
      <c r="B246" s="36" t="str">
        <f>IFERROR(__xludf.DUMMYFUNCTION("""COMPUTED_VALUE"""),"number of unique reads")</f>
        <v>number of unique reads</v>
      </c>
      <c r="C246" s="36"/>
      <c r="D246" s="36"/>
      <c r="E246" s="35" t="str">
        <f>IFERROR(__xludf.DUMMYFUNCTION("""COMPUTED_VALUE"""),"GENEPIO:0100828")</f>
        <v>GENEPIO:0100828</v>
      </c>
      <c r="F246" s="33" t="str">
        <f>IFERROR(__xludf.DUMMYFUNCTION("""COMPUTED_VALUE"""),"The number of unique reads generated by the sequencing process.")</f>
        <v>The number of unique reads generated by the sequencing process.</v>
      </c>
      <c r="G246" s="33" t="str">
        <f>IFERROR(__xludf.DUMMYFUNCTION("""COMPUTED_VALUE"""),"Provide a numerical value (no need to include units).")</f>
        <v>Provide a numerical value (no need to include units).</v>
      </c>
      <c r="H246" s="33">
        <f>IFERROR(__xludf.DUMMYFUNCTION("""COMPUTED_VALUE"""),248236.0)</f>
        <v>248236</v>
      </c>
      <c r="I246" s="33"/>
      <c r="J246" s="33"/>
      <c r="K246" s="34" t="s">
        <v>19</v>
      </c>
      <c r="L246" s="34" t="s">
        <v>19</v>
      </c>
      <c r="M246" s="34" t="s">
        <v>19</v>
      </c>
      <c r="N246" s="33"/>
      <c r="O246" s="33" t="str">
        <f>IFERROR(__xludf.DUMMYFUNCTION("""COMPUTED_VALUE"""),"HPAI;HPAI_Food;HPAI_WW;HPAI_Enviro;HPAI_Host")</f>
        <v>HPAI;HPAI_Food;HPAI_WW;HPAI_Enviro;HPAI_Host</v>
      </c>
      <c r="P246" s="33"/>
      <c r="Q246" s="33"/>
      <c r="R246" s="33"/>
      <c r="S246" s="33"/>
      <c r="T246" s="33"/>
      <c r="U246" s="33"/>
      <c r="V246" s="33"/>
      <c r="W246" s="33"/>
      <c r="X246" s="33"/>
      <c r="Y246" s="33"/>
      <c r="Z246" s="33"/>
      <c r="AA246" s="33"/>
      <c r="AB246" s="33"/>
    </row>
    <row r="247">
      <c r="A247" s="33" t="str">
        <f>IFERROR(__xludf.DUMMYFUNCTION("""COMPUTED_VALUE"""),"Bioinformatics and QC metrics")</f>
        <v>Bioinformatics and QC metrics</v>
      </c>
      <c r="B247" s="36" t="str">
        <f>IFERROR(__xludf.DUMMYFUNCTION("""COMPUTED_VALUE"""),"minimum post-trimming read length")</f>
        <v>minimum post-trimming read length</v>
      </c>
      <c r="C247" s="36"/>
      <c r="D247" s="36"/>
      <c r="E247" s="35" t="str">
        <f>IFERROR(__xludf.DUMMYFUNCTION("""COMPUTED_VALUE"""),"GENEPIO:0100829")</f>
        <v>GENEPIO:0100829</v>
      </c>
      <c r="F247" s="33" t="str">
        <f>IFERROR(__xludf.DUMMYFUNCTION("""COMPUTED_VALUE"""),"The threshold used as a cut-off for the minimum length of a read after trimming.")</f>
        <v>The threshold used as a cut-off for the minimum length of a read after trimming.</v>
      </c>
      <c r="G247" s="33" t="str">
        <f>IFERROR(__xludf.DUMMYFUNCTION("""COMPUTED_VALUE"""),"Provide a numerical value (no need to include units).")</f>
        <v>Provide a numerical value (no need to include units).</v>
      </c>
      <c r="H247" s="33">
        <f>IFERROR(__xludf.DUMMYFUNCTION("""COMPUTED_VALUE"""),150.0)</f>
        <v>150</v>
      </c>
      <c r="I247" s="33"/>
      <c r="J247" s="33"/>
      <c r="K247" s="34" t="s">
        <v>19</v>
      </c>
      <c r="L247" s="34" t="s">
        <v>19</v>
      </c>
      <c r="M247" s="34" t="s">
        <v>19</v>
      </c>
      <c r="N247" s="33"/>
      <c r="O247" s="33" t="str">
        <f>IFERROR(__xludf.DUMMYFUNCTION("""COMPUTED_VALUE"""),"HPAI;HPAI_Food;HPAI_WW;HPAI_Enviro;HPAI_Host")</f>
        <v>HPAI;HPAI_Food;HPAI_WW;HPAI_Enviro;HPAI_Host</v>
      </c>
      <c r="P247" s="33"/>
      <c r="Q247" s="33"/>
      <c r="R247" s="33"/>
      <c r="S247" s="33"/>
      <c r="T247" s="33"/>
      <c r="U247" s="33"/>
      <c r="V247" s="33"/>
      <c r="W247" s="33"/>
      <c r="X247" s="33"/>
      <c r="Y247" s="33"/>
      <c r="Z247" s="33"/>
      <c r="AA247" s="33"/>
      <c r="AB247" s="33"/>
    </row>
    <row r="248">
      <c r="A248" s="33" t="str">
        <f>IFERROR(__xludf.DUMMYFUNCTION("""COMPUTED_VALUE"""),"Bioinformatics and QC metrics")</f>
        <v>Bioinformatics and QC metrics</v>
      </c>
      <c r="B248" s="36" t="str">
        <f>IFERROR(__xludf.DUMMYFUNCTION("""COMPUTED_VALUE"""),"number of contigs")</f>
        <v>number of contigs</v>
      </c>
      <c r="C248" s="36"/>
      <c r="D248" s="36"/>
      <c r="E248" s="35" t="str">
        <f>IFERROR(__xludf.DUMMYFUNCTION("""COMPUTED_VALUE"""),"GENEPIO:0100937")</f>
        <v>GENEPIO:0100937</v>
      </c>
      <c r="F248" s="33" t="str">
        <f>IFERROR(__xludf.DUMMYFUNCTION("""COMPUTED_VALUE"""),"The number of contigs (contiguous sequences) in a sequence assembly.")</f>
        <v>The number of contigs (contiguous sequences) in a sequence assembly.</v>
      </c>
      <c r="G248" s="33" t="str">
        <f>IFERROR(__xludf.DUMMYFUNCTION("""COMPUTED_VALUE"""),"Provide a numerical value.")</f>
        <v>Provide a numerical value.</v>
      </c>
      <c r="H248" s="33">
        <f>IFERROR(__xludf.DUMMYFUNCTION("""COMPUTED_VALUE"""),10.0)</f>
        <v>10</v>
      </c>
      <c r="I248" s="33"/>
      <c r="J248" s="33"/>
      <c r="K248" s="34" t="s">
        <v>19</v>
      </c>
      <c r="L248" s="34" t="s">
        <v>19</v>
      </c>
      <c r="M248" s="34" t="s">
        <v>19</v>
      </c>
      <c r="N248" s="33"/>
      <c r="O248" s="33" t="str">
        <f>IFERROR(__xludf.DUMMYFUNCTION("""COMPUTED_VALUE"""),"HPAI;HPAI_Food;HPAI_WW;HPAI_Enviro;HPAI_Host")</f>
        <v>HPAI;HPAI_Food;HPAI_WW;HPAI_Enviro;HPAI_Host</v>
      </c>
      <c r="P248" s="33"/>
      <c r="Q248" s="33"/>
      <c r="R248" s="33"/>
      <c r="S248" s="33"/>
      <c r="T248" s="33"/>
      <c r="U248" s="33"/>
      <c r="V248" s="33"/>
      <c r="W248" s="33"/>
      <c r="X248" s="33"/>
      <c r="Y248" s="33"/>
      <c r="Z248" s="33"/>
      <c r="AA248" s="33"/>
      <c r="AB248" s="33"/>
    </row>
    <row r="249">
      <c r="A249" s="33" t="str">
        <f>IFERROR(__xludf.DUMMYFUNCTION("""COMPUTED_VALUE"""),"Bioinformatics and QC metrics")</f>
        <v>Bioinformatics and QC metrics</v>
      </c>
      <c r="B249" s="36" t="str">
        <f>IFERROR(__xludf.DUMMYFUNCTION("""COMPUTED_VALUE"""),"percent Ns across total genome length")</f>
        <v>percent Ns across total genome length</v>
      </c>
      <c r="C249" s="36"/>
      <c r="D249" s="36"/>
      <c r="E249" s="35" t="str">
        <f>IFERROR(__xludf.DUMMYFUNCTION("""COMPUTED_VALUE"""),"GENEPIO:0100830")</f>
        <v>GENEPIO:0100830</v>
      </c>
      <c r="F249" s="33" t="str">
        <f>IFERROR(__xludf.DUMMYFUNCTION("""COMPUTED_VALUE"""),"The percentage of the assembly that consists of ambiguous bases (Ns).")</f>
        <v>The percentage of the assembly that consists of ambiguous bases (Ns).</v>
      </c>
      <c r="G249" s="33" t="str">
        <f>IFERROR(__xludf.DUMMYFUNCTION("""COMPUTED_VALUE"""),"Provide a numerical value (no need to include units).")</f>
        <v>Provide a numerical value (no need to include units).</v>
      </c>
      <c r="H249" s="33">
        <f>IFERROR(__xludf.DUMMYFUNCTION("""COMPUTED_VALUE"""),2.0)</f>
        <v>2</v>
      </c>
      <c r="I249" s="33"/>
      <c r="J249" s="33"/>
      <c r="K249" s="34" t="s">
        <v>19</v>
      </c>
      <c r="L249" s="34" t="s">
        <v>19</v>
      </c>
      <c r="M249" s="34" t="s">
        <v>19</v>
      </c>
      <c r="N249" s="33"/>
      <c r="O249" s="33" t="str">
        <f>IFERROR(__xludf.DUMMYFUNCTION("""COMPUTED_VALUE"""),"HPAI;HPAI_Food;HPAI_WW;HPAI_Enviro;HPAI_Host")</f>
        <v>HPAI;HPAI_Food;HPAI_WW;HPAI_Enviro;HPAI_Host</v>
      </c>
      <c r="P249" s="33"/>
      <c r="Q249" s="33"/>
      <c r="R249" s="33"/>
      <c r="S249" s="33"/>
      <c r="T249" s="33"/>
      <c r="U249" s="33"/>
      <c r="V249" s="33"/>
      <c r="W249" s="33"/>
      <c r="X249" s="33"/>
      <c r="Y249" s="33"/>
      <c r="Z249" s="33"/>
      <c r="AA249" s="33"/>
      <c r="AB249" s="33"/>
    </row>
    <row r="250">
      <c r="A250" s="33" t="str">
        <f>IFERROR(__xludf.DUMMYFUNCTION("""COMPUTED_VALUE"""),"Bioinformatics and QC metrics")</f>
        <v>Bioinformatics and QC metrics</v>
      </c>
      <c r="B250" s="36" t="str">
        <f>IFERROR(__xludf.DUMMYFUNCTION("""COMPUTED_VALUE"""),"Ns per 100 kbp")</f>
        <v>Ns per 100 kbp</v>
      </c>
      <c r="C250" s="36"/>
      <c r="D250" s="36"/>
      <c r="E250" s="35" t="str">
        <f>IFERROR(__xludf.DUMMYFUNCTION("""COMPUTED_VALUE"""),"GENEPIO:0001484")</f>
        <v>GENEPIO:0001484</v>
      </c>
      <c r="F250" s="33" t="str">
        <f>IFERROR(__xludf.DUMMYFUNCTION("""COMPUTED_VALUE"""),"The number of ambiguous bases (Ns) normalized per 100 kilobasepairs (kbp).")</f>
        <v>The number of ambiguous bases (Ns) normalized per 100 kilobasepairs (kbp).</v>
      </c>
      <c r="G250" s="33" t="str">
        <f>IFERROR(__xludf.DUMMYFUNCTION("""COMPUTED_VALUE"""),"Provide a numerical value (no need to include units).")</f>
        <v>Provide a numerical value (no need to include units).</v>
      </c>
      <c r="H250" s="33">
        <f>IFERROR(__xludf.DUMMYFUNCTION("""COMPUTED_VALUE"""),342.0)</f>
        <v>342</v>
      </c>
      <c r="I250" s="33"/>
      <c r="J250" s="33"/>
      <c r="K250" s="34" t="s">
        <v>19</v>
      </c>
      <c r="L250" s="34" t="s">
        <v>19</v>
      </c>
      <c r="M250" s="34" t="s">
        <v>19</v>
      </c>
      <c r="N250" s="33"/>
      <c r="O250" s="33" t="str">
        <f>IFERROR(__xludf.DUMMYFUNCTION("""COMPUTED_VALUE"""),"HPAI;HPAI_Food;HPAI_WW;HPAI_Enviro;HPAI_Host")</f>
        <v>HPAI;HPAI_Food;HPAI_WW;HPAI_Enviro;HPAI_Host</v>
      </c>
      <c r="P250" s="33"/>
      <c r="Q250" s="33"/>
      <c r="R250" s="33"/>
      <c r="S250" s="33"/>
      <c r="T250" s="33"/>
      <c r="U250" s="33"/>
      <c r="V250" s="33"/>
      <c r="W250" s="33"/>
      <c r="X250" s="33"/>
      <c r="Y250" s="33"/>
      <c r="Z250" s="33"/>
      <c r="AA250" s="33"/>
      <c r="AB250" s="33"/>
    </row>
    <row r="251">
      <c r="A251" s="33" t="str">
        <f>IFERROR(__xludf.DUMMYFUNCTION("""COMPUTED_VALUE"""),"Bioinformatics and QC metrics")</f>
        <v>Bioinformatics and QC metrics</v>
      </c>
      <c r="B251" s="36" t="str">
        <f>IFERROR(__xludf.DUMMYFUNCTION("""COMPUTED_VALUE"""),"N50")</f>
        <v>N50</v>
      </c>
      <c r="C251" s="36"/>
      <c r="D251" s="36"/>
      <c r="E251" s="33" t="str">
        <f>IFERROR(__xludf.DUMMYFUNCTION("""COMPUTED_VALUE"""),"GENEPIO:0100938")</f>
        <v>GENEPIO:0100938</v>
      </c>
      <c r="F251" s="33" t="str">
        <f>IFERROR(__xludf.DUMMYFUNCTION("""COMPUTED_VALUE"""),"The length of the shortest read that, together with other reads, represents at least 50% of the nucleotides in a set of sequences.")</f>
        <v>The length of the shortest read that, together with other reads, represents at least 50% of the nucleotides in a set of sequences.</v>
      </c>
      <c r="G251" s="33" t="str">
        <f>IFERROR(__xludf.DUMMYFUNCTION("""COMPUTED_VALUE"""),"Provide the N50 value in Mb.")</f>
        <v>Provide the N50 value in Mb.</v>
      </c>
      <c r="H251" s="33">
        <f>IFERROR(__xludf.DUMMYFUNCTION("""COMPUTED_VALUE"""),150.0)</f>
        <v>150</v>
      </c>
      <c r="I251" s="33"/>
      <c r="J251" s="33"/>
      <c r="K251" s="34" t="s">
        <v>19</v>
      </c>
      <c r="L251" s="34" t="s">
        <v>19</v>
      </c>
      <c r="M251" s="34" t="s">
        <v>19</v>
      </c>
      <c r="N251" s="33"/>
      <c r="O251" s="33" t="str">
        <f>IFERROR(__xludf.DUMMYFUNCTION("""COMPUTED_VALUE"""),"HPAI;HPAI_Food;HPAI_WW;HPAI_Enviro;HPAI_Host")</f>
        <v>HPAI;HPAI_Food;HPAI_WW;HPAI_Enviro;HPAI_Host</v>
      </c>
      <c r="P251" s="33"/>
      <c r="Q251" s="33"/>
      <c r="R251" s="33"/>
      <c r="S251" s="33"/>
      <c r="T251" s="33"/>
      <c r="U251" s="33"/>
      <c r="V251" s="33"/>
      <c r="W251" s="33"/>
      <c r="X251" s="33"/>
      <c r="Y251" s="33"/>
      <c r="Z251" s="33"/>
      <c r="AA251" s="33"/>
      <c r="AB251" s="33"/>
    </row>
    <row r="252">
      <c r="A252" s="33" t="str">
        <f>IFERROR(__xludf.DUMMYFUNCTION("""COMPUTED_VALUE"""),"Bioinformatics and QC metrics")</f>
        <v>Bioinformatics and QC metrics</v>
      </c>
      <c r="B252" s="36" t="str">
        <f>IFERROR(__xludf.DUMMYFUNCTION("""COMPUTED_VALUE"""),"percent read contamination ")</f>
        <v>percent read contamination </v>
      </c>
      <c r="C252" s="36"/>
      <c r="D252" s="36"/>
      <c r="E252" s="35" t="str">
        <f>IFERROR(__xludf.DUMMYFUNCTION("""COMPUTED_VALUE"""),"GENEPIO:0100845")</f>
        <v>GENEPIO:0100845</v>
      </c>
      <c r="F252" s="33" t="str">
        <f>IFERROR(__xludf.DUMMYFUNCTION("""COMPUTED_VALUE"""),"The percent of the total number of reads identified as contamination (not belonging to the target organism) in a sequence dataset.")</f>
        <v>The percent of the total number of reads identified as contamination (not belonging to the target organism) in a sequence dataset.</v>
      </c>
      <c r="G252" s="33" t="str">
        <f>IFERROR(__xludf.DUMMYFUNCTION("""COMPUTED_VALUE"""),"Provide the percent contamination value (no need to include units).")</f>
        <v>Provide the percent contamination value (no need to include units).</v>
      </c>
      <c r="H252" s="33">
        <f>IFERROR(__xludf.DUMMYFUNCTION("""COMPUTED_VALUE"""),2.0)</f>
        <v>2</v>
      </c>
      <c r="I252" s="33"/>
      <c r="J252" s="33"/>
      <c r="K252" s="34" t="s">
        <v>19</v>
      </c>
      <c r="L252" s="34" t="s">
        <v>19</v>
      </c>
      <c r="M252" s="34" t="s">
        <v>19</v>
      </c>
      <c r="N252" s="33"/>
      <c r="O252" s="33" t="str">
        <f>IFERROR(__xludf.DUMMYFUNCTION("""COMPUTED_VALUE"""),"HPAI;HPAI_Food;HPAI_WW;HPAI_Enviro;HPAI_Host")</f>
        <v>HPAI;HPAI_Food;HPAI_WW;HPAI_Enviro;HPAI_Host</v>
      </c>
      <c r="P252" s="33"/>
      <c r="Q252" s="33"/>
      <c r="R252" s="33"/>
      <c r="S252" s="33"/>
      <c r="T252" s="33"/>
      <c r="U252" s="33"/>
      <c r="V252" s="33"/>
      <c r="W252" s="33"/>
      <c r="X252" s="33"/>
      <c r="Y252" s="33"/>
      <c r="Z252" s="33"/>
      <c r="AA252" s="33"/>
      <c r="AB252" s="33"/>
    </row>
    <row r="253">
      <c r="A253" s="33" t="str">
        <f>IFERROR(__xludf.DUMMYFUNCTION("""COMPUTED_VALUE"""),"Bioinformatics and QC metrics")</f>
        <v>Bioinformatics and QC metrics</v>
      </c>
      <c r="B253" s="36" t="str">
        <f>IFERROR(__xludf.DUMMYFUNCTION("""COMPUTED_VALUE"""),"sequence assembly length")</f>
        <v>sequence assembly length</v>
      </c>
      <c r="C253" s="36"/>
      <c r="D253" s="36"/>
      <c r="E253" s="35" t="str">
        <f>IFERROR(__xludf.DUMMYFUNCTION("""COMPUTED_VALUE"""),"GENEPIO:0100846")</f>
        <v>GENEPIO:0100846</v>
      </c>
      <c r="F253" s="33" t="str">
        <f>IFERROR(__xludf.DUMMYFUNCTION("""COMPUTED_VALUE"""),"The length of the genome generated by assembling reads using a scaffold or by reference-based mapping.")</f>
        <v>The length of the genome generated by assembling reads using a scaffold or by reference-based mapping.</v>
      </c>
      <c r="G253" s="33" t="str">
        <f>IFERROR(__xludf.DUMMYFUNCTION("""COMPUTED_VALUE"""),"Provide a numerical value (no need to include units).")</f>
        <v>Provide a numerical value (no need to include units).</v>
      </c>
      <c r="H253" s="33">
        <f>IFERROR(__xludf.DUMMYFUNCTION("""COMPUTED_VALUE"""),34272.0)</f>
        <v>34272</v>
      </c>
      <c r="I253" s="33"/>
      <c r="J253" s="33"/>
      <c r="K253" s="34" t="s">
        <v>19</v>
      </c>
      <c r="L253" s="34" t="s">
        <v>19</v>
      </c>
      <c r="M253" s="34" t="s">
        <v>19</v>
      </c>
      <c r="N253" s="33"/>
      <c r="O253" s="33" t="str">
        <f>IFERROR(__xludf.DUMMYFUNCTION("""COMPUTED_VALUE"""),"HPAI;HPAI_Food;HPAI_WW;HPAI_Enviro;HPAI_Host")</f>
        <v>HPAI;HPAI_Food;HPAI_WW;HPAI_Enviro;HPAI_Host</v>
      </c>
      <c r="P253" s="33"/>
      <c r="Q253" s="33"/>
      <c r="R253" s="33"/>
      <c r="S253" s="33"/>
      <c r="T253" s="33"/>
      <c r="U253" s="33"/>
      <c r="V253" s="33"/>
      <c r="W253" s="33"/>
      <c r="X253" s="33"/>
      <c r="Y253" s="33"/>
      <c r="Z253" s="33"/>
      <c r="AA253" s="33"/>
      <c r="AB253" s="33"/>
    </row>
    <row r="254">
      <c r="A254" s="33" t="str">
        <f>IFERROR(__xludf.DUMMYFUNCTION("""COMPUTED_VALUE"""),"Bioinformatics and QC metrics")</f>
        <v>Bioinformatics and QC metrics</v>
      </c>
      <c r="B254" s="36" t="str">
        <f>IFERROR(__xludf.DUMMYFUNCTION("""COMPUTED_VALUE"""),"consensus genome length")</f>
        <v>consensus genome length</v>
      </c>
      <c r="C254" s="36"/>
      <c r="D254" s="36"/>
      <c r="E254" s="33" t="str">
        <f>IFERROR(__xludf.DUMMYFUNCTION("""COMPUTED_VALUE"""),"GENEPIO:0001483")</f>
        <v>GENEPIO:0001483</v>
      </c>
      <c r="F254" s="33" t="str">
        <f>IFERROR(__xludf.DUMMYFUNCTION("""COMPUTED_VALUE"""),"The length of the genome defined by the most common nucleotides at each position.")</f>
        <v>The length of the genome defined by the most common nucleotides at each position.</v>
      </c>
      <c r="G254" s="33" t="str">
        <f>IFERROR(__xludf.DUMMYFUNCTION("""COMPUTED_VALUE"""),"Provide a numerical value (no need to include units).")</f>
        <v>Provide a numerical value (no need to include units).</v>
      </c>
      <c r="H254" s="33">
        <f>IFERROR(__xludf.DUMMYFUNCTION("""COMPUTED_VALUE"""),38677.0)</f>
        <v>38677</v>
      </c>
      <c r="I254" s="33"/>
      <c r="J254" s="33"/>
      <c r="K254" s="34" t="s">
        <v>19</v>
      </c>
      <c r="L254" s="34" t="s">
        <v>19</v>
      </c>
      <c r="M254" s="34" t="s">
        <v>19</v>
      </c>
      <c r="N254" s="33"/>
      <c r="O254" s="33" t="str">
        <f>IFERROR(__xludf.DUMMYFUNCTION("""COMPUTED_VALUE"""),"HPAI;HPAI_Food;HPAI_WW;HPAI_Enviro;HPAI_Host")</f>
        <v>HPAI;HPAI_Food;HPAI_WW;HPAI_Enviro;HPAI_Host</v>
      </c>
      <c r="P254" s="33"/>
      <c r="Q254" s="33"/>
      <c r="R254" s="33"/>
      <c r="S254" s="33"/>
      <c r="T254" s="33"/>
      <c r="U254" s="33"/>
      <c r="V254" s="33"/>
      <c r="W254" s="33"/>
      <c r="X254" s="33"/>
      <c r="Y254" s="33"/>
      <c r="Z254" s="33"/>
      <c r="AA254" s="33"/>
      <c r="AB254" s="33"/>
    </row>
    <row r="255">
      <c r="A255" s="33" t="str">
        <f>IFERROR(__xludf.DUMMYFUNCTION("""COMPUTED_VALUE"""),"Bioinformatics and QC metrics")</f>
        <v>Bioinformatics and QC metrics</v>
      </c>
      <c r="B255" s="36" t="str">
        <f>IFERROR(__xludf.DUMMYFUNCTION("""COMPUTED_VALUE"""),"reference genome accession")</f>
        <v>reference genome accession</v>
      </c>
      <c r="C255" s="36"/>
      <c r="D255" s="36"/>
      <c r="E255" s="33" t="str">
        <f>IFERROR(__xludf.DUMMYFUNCTION("""COMPUTED_VALUE"""),"GENEPIO:0001485")</f>
        <v>GENEPIO:0001485</v>
      </c>
      <c r="F255" s="33" t="str">
        <f>IFERROR(__xludf.DUMMYFUNCTION("""COMPUTED_VALUE"""),"A persistent, unique identifier of a genome database entry.")</f>
        <v>A persistent, unique identifier of a genome database entry.</v>
      </c>
      <c r="G255" s="33" t="str">
        <f>IFERROR(__xludf.DUMMYFUNCTION("""COMPUTED_VALUE"""),"Provide the accession number of the reference genome.")</f>
        <v>Provide the accession number of the reference genome.</v>
      </c>
      <c r="H255" s="33" t="str">
        <f>IFERROR(__xludf.DUMMYFUNCTION("""COMPUTED_VALUE"""),"NC_045512.2")</f>
        <v>NC_045512.2</v>
      </c>
      <c r="I255" s="33"/>
      <c r="J255" s="33"/>
      <c r="K255" s="34" t="s">
        <v>19</v>
      </c>
      <c r="L255" s="34" t="s">
        <v>19</v>
      </c>
      <c r="M255" s="34" t="s">
        <v>19</v>
      </c>
      <c r="N255" s="33"/>
      <c r="O255" s="33" t="str">
        <f>IFERROR(__xludf.DUMMYFUNCTION("""COMPUTED_VALUE"""),"HPAI;HPAI_Food;HPAI_WW;HPAI_Enviro;HPAI_Host")</f>
        <v>HPAI;HPAI_Food;HPAI_WW;HPAI_Enviro;HPAI_Host</v>
      </c>
      <c r="P255" s="33"/>
      <c r="Q255" s="33"/>
      <c r="R255" s="33"/>
      <c r="S255" s="33"/>
      <c r="T255" s="33"/>
      <c r="U255" s="33"/>
      <c r="V255" s="33"/>
      <c r="W255" s="33"/>
      <c r="X255" s="33"/>
      <c r="Y255" s="33"/>
      <c r="Z255" s="33"/>
      <c r="AA255" s="33"/>
      <c r="AB255" s="33"/>
    </row>
    <row r="256">
      <c r="A256" s="33" t="str">
        <f>IFERROR(__xludf.DUMMYFUNCTION("""COMPUTED_VALUE"""),"Bioinformatics and QC metrics")</f>
        <v>Bioinformatics and QC metrics</v>
      </c>
      <c r="B256" s="36" t="str">
        <f>IFERROR(__xludf.DUMMYFUNCTION("""COMPUTED_VALUE"""),"deduplication method")</f>
        <v>deduplication method</v>
      </c>
      <c r="C256" s="36"/>
      <c r="D256" s="36"/>
      <c r="E256" s="35" t="str">
        <f>IFERROR(__xludf.DUMMYFUNCTION("""COMPUTED_VALUE"""),"GENEPIO:0100831")</f>
        <v>GENEPIO:0100831</v>
      </c>
      <c r="F256" s="33" t="str">
        <f>IFERROR(__xludf.DUMMYFUNCTION("""COMPUTED_VALUE"""),"The method used to remove duplicated reads in a sequence read dataset.")</f>
        <v>The method used to remove duplicated reads in a sequence read dataset.</v>
      </c>
      <c r="G256" s="33" t="str">
        <f>IFERROR(__xludf.DUMMYFUNCTION("""COMPUTED_VALUE"""),"Provide the deduplication software name followed by the version, or a link to a tool or method.")</f>
        <v>Provide the deduplication software name followed by the version, or a link to a tool or method.</v>
      </c>
      <c r="H256" s="33" t="str">
        <f>IFERROR(__xludf.DUMMYFUNCTION("""COMPUTED_VALUE"""),"DeDup 0.12.8")</f>
        <v>DeDup 0.12.8</v>
      </c>
      <c r="I256" s="33"/>
      <c r="J256" s="33"/>
      <c r="K256" s="34" t="s">
        <v>19</v>
      </c>
      <c r="L256" s="34" t="s">
        <v>19</v>
      </c>
      <c r="M256" s="34" t="s">
        <v>19</v>
      </c>
      <c r="N256" s="33"/>
      <c r="O256" s="33" t="str">
        <f>IFERROR(__xludf.DUMMYFUNCTION("""COMPUTED_VALUE"""),"HPAI;HPAI_Food;HPAI_WW;HPAI_Enviro;HPAI_Host")</f>
        <v>HPAI;HPAI_Food;HPAI_WW;HPAI_Enviro;HPAI_Host</v>
      </c>
      <c r="P256" s="33"/>
      <c r="Q256" s="33"/>
      <c r="R256" s="33"/>
      <c r="S256" s="33"/>
      <c r="T256" s="33"/>
      <c r="U256" s="33"/>
      <c r="V256" s="33"/>
      <c r="W256" s="33"/>
      <c r="X256" s="33"/>
      <c r="Y256" s="33"/>
      <c r="Z256" s="33"/>
      <c r="AA256" s="33"/>
      <c r="AB256" s="33"/>
    </row>
    <row r="257">
      <c r="A257" s="33" t="str">
        <f>IFERROR(__xludf.DUMMYFUNCTION("""COMPUTED_VALUE"""),"Bioinformatics and QC metrics")</f>
        <v>Bioinformatics and QC metrics</v>
      </c>
      <c r="B257" s="36" t="str">
        <f>IFERROR(__xludf.DUMMYFUNCTION("""COMPUTED_VALUE"""),"bioinformatics protocol")</f>
        <v>bioinformatics protocol</v>
      </c>
      <c r="C257" s="36"/>
      <c r="D257" s="36"/>
      <c r="E257" s="33" t="str">
        <f>IFERROR(__xludf.DUMMYFUNCTION("""COMPUTED_VALUE"""),"GENEPIO:0001489")</f>
        <v>GENEPIO:0001489</v>
      </c>
      <c r="F257" s="33" t="str">
        <f>IFERROR(__xludf.DUMMYFUNCTION("""COMPUTED_VALUE"""),"A description of the overall bioinformatics strategy used.")</f>
        <v>A description of the overall bioinformatics strategy used.</v>
      </c>
      <c r="G257" s="33" t="str">
        <f>IFERROR(__xludf.DUMMYFUNCTION("""COMPUTED_VALUE"""),"Further details regarding the methods used to process raw data, and/or generate assemblies, and/or generate consensus sequences can. This information can be provided in an SOP or protocol or pipeline/workflow. Provide the name and version number of the pr"&amp;"otocol, or a GitHub link to a pipeline or workflow.")</f>
        <v>Further details regarding the methods used to process raw data, and/or generate assemblies, and/or generate consensus sequences can. This information can be provided in an SOP or protocol or pipeline/workflow. Provide the name and version number of the protocol, or a GitHub link to a pipeline or workflow.</v>
      </c>
      <c r="H257" s="41" t="str">
        <f>IFERROR(__xludf.DUMMYFUNCTION("""COMPUTED_VALUE"""),"https://github.com/phac-nml/ncov2019-artic-nf")</f>
        <v>https://github.com/phac-nml/ncov2019-artic-nf</v>
      </c>
      <c r="I257" s="33"/>
      <c r="J257" s="33"/>
      <c r="K257" s="34" t="s">
        <v>19</v>
      </c>
      <c r="L257" s="34" t="s">
        <v>19</v>
      </c>
      <c r="M257" s="34" t="s">
        <v>19</v>
      </c>
      <c r="N257" s="33"/>
      <c r="O257" s="33" t="str">
        <f>IFERROR(__xludf.DUMMYFUNCTION("""COMPUTED_VALUE"""),"HPAI;HPAI_Food;HPAI_WW;HPAI_Enviro;HPAI_Host")</f>
        <v>HPAI;HPAI_Food;HPAI_WW;HPAI_Enviro;HPAI_Host</v>
      </c>
      <c r="P257" s="33"/>
      <c r="Q257" s="33"/>
      <c r="R257" s="33"/>
      <c r="S257" s="33"/>
      <c r="T257" s="33"/>
      <c r="U257" s="33"/>
      <c r="V257" s="33"/>
      <c r="W257" s="33"/>
      <c r="X257" s="33"/>
      <c r="Y257" s="33"/>
      <c r="Z257" s="33"/>
      <c r="AA257" s="33"/>
      <c r="AB257" s="33"/>
    </row>
    <row r="258">
      <c r="A258" s="33"/>
      <c r="B258" s="36" t="str">
        <f>IFERROR(__xludf.DUMMYFUNCTION("""COMPUTED_VALUE"""),"Taxonomic identification information")</f>
        <v>Taxonomic identification information</v>
      </c>
      <c r="C258" s="36" t="str">
        <f>IFERROR(__xludf.DUMMYFUNCTION("""COMPUTED_VALUE"""),"")</f>
        <v/>
      </c>
      <c r="D258" s="36" t="str">
        <f>IFERROR(__xludf.DUMMYFUNCTION("""COMPUTED_VALUE"""),"")</f>
        <v/>
      </c>
      <c r="E258" s="33" t="str">
        <f>IFERROR(__xludf.DUMMYFUNCTION("""COMPUTED_VALUE"""),"GENEPIO:0101082")</f>
        <v>GENEPIO:0101082</v>
      </c>
      <c r="F258" s="33"/>
      <c r="G258" s="33"/>
      <c r="H258" s="33"/>
      <c r="I258" s="33"/>
      <c r="J258" s="33"/>
      <c r="K258" s="34"/>
      <c r="L258" s="34"/>
      <c r="M258" s="34"/>
      <c r="N258" s="33"/>
      <c r="O258" s="33" t="str">
        <f>IFERROR(__xludf.DUMMYFUNCTION("""COMPUTED_VALUE"""),"HPAI;HPAI_Food;HPAI_WW;HPAI_Enviro;HPAI_Host")</f>
        <v>HPAI;HPAI_Food;HPAI_WW;HPAI_Enviro;HPAI_Host</v>
      </c>
      <c r="P258" s="33"/>
      <c r="Q258" s="33"/>
      <c r="R258" s="33"/>
      <c r="S258" s="33"/>
      <c r="T258" s="33"/>
      <c r="U258" s="33"/>
      <c r="V258" s="33"/>
      <c r="W258" s="33"/>
      <c r="X258" s="33"/>
      <c r="Y258" s="33"/>
      <c r="Z258" s="33"/>
      <c r="AA258" s="33"/>
      <c r="AB258" s="33"/>
    </row>
    <row r="259">
      <c r="A259" s="33" t="str">
        <f>IFERROR(__xludf.DUMMYFUNCTION("""COMPUTED_VALUE"""),"Taxonomic identification information")</f>
        <v>Taxonomic identification information</v>
      </c>
      <c r="B259" s="36" t="str">
        <f>IFERROR(__xludf.DUMMYFUNCTION("""COMPUTED_VALUE"""),"read mapping software name")</f>
        <v>read mapping software name</v>
      </c>
      <c r="C259" s="36"/>
      <c r="D259" s="36"/>
      <c r="E259" s="35" t="str">
        <f>IFERROR(__xludf.DUMMYFUNCTION("""COMPUTED_VALUE"""),"GENEPIO:0100832")</f>
        <v>GENEPIO:0100832</v>
      </c>
      <c r="F259" s="33" t="str">
        <f>IFERROR(__xludf.DUMMYFUNCTION("""COMPUTED_VALUE"""),"The name of the software used to map sequence reads to a reference genome or set of reference genes.")</f>
        <v>The name of the software used to map sequence reads to a reference genome or set of reference genes.</v>
      </c>
      <c r="G259" s="33" t="str">
        <f>IFERROR(__xludf.DUMMYFUNCTION("""COMPUTED_VALUE"""),"Provide the name of the read mapping software.")</f>
        <v>Provide the name of the read mapping software.</v>
      </c>
      <c r="H259" s="33" t="str">
        <f>IFERROR(__xludf.DUMMYFUNCTION("""COMPUTED_VALUE"""),"Bowtie2, BWA-MEM, TopHat")</f>
        <v>Bowtie2, BWA-MEM, TopHat</v>
      </c>
      <c r="I259" s="33"/>
      <c r="J259" s="33"/>
      <c r="K259" s="34" t="s">
        <v>19</v>
      </c>
      <c r="L259" s="34" t="s">
        <v>19</v>
      </c>
      <c r="M259" s="34" t="s">
        <v>19</v>
      </c>
      <c r="N259" s="33"/>
      <c r="O259" s="33" t="str">
        <f>IFERROR(__xludf.DUMMYFUNCTION("""COMPUTED_VALUE"""),"HPAI;HPAI_Food;HPAI_WW;HPAI_Enviro;HPAI_Host")</f>
        <v>HPAI;HPAI_Food;HPAI_WW;HPAI_Enviro;HPAI_Host</v>
      </c>
      <c r="P259" s="33"/>
      <c r="Q259" s="33"/>
      <c r="R259" s="33"/>
      <c r="S259" s="33"/>
      <c r="T259" s="33"/>
      <c r="U259" s="33"/>
      <c r="V259" s="33"/>
      <c r="W259" s="33"/>
      <c r="X259" s="33"/>
      <c r="Y259" s="33"/>
      <c r="Z259" s="33"/>
      <c r="AA259" s="33"/>
      <c r="AB259" s="33"/>
    </row>
    <row r="260">
      <c r="A260" s="33" t="str">
        <f>IFERROR(__xludf.DUMMYFUNCTION("""COMPUTED_VALUE"""),"Taxonomic identification information")</f>
        <v>Taxonomic identification information</v>
      </c>
      <c r="B260" s="36" t="str">
        <f>IFERROR(__xludf.DUMMYFUNCTION("""COMPUTED_VALUE"""),"read mapping software version")</f>
        <v>read mapping software version</v>
      </c>
      <c r="C260" s="36"/>
      <c r="D260" s="36"/>
      <c r="E260" s="35" t="str">
        <f>IFERROR(__xludf.DUMMYFUNCTION("""COMPUTED_VALUE"""),"GENEPIO:0100833")</f>
        <v>GENEPIO:0100833</v>
      </c>
      <c r="F260" s="33" t="str">
        <f>IFERROR(__xludf.DUMMYFUNCTION("""COMPUTED_VALUE"""),"The version of the software used to map sequence reads to a reference genome or set of reference genes.")</f>
        <v>The version of the software used to map sequence reads to a reference genome or set of reference genes.</v>
      </c>
      <c r="G260" s="33" t="str">
        <f>IFERROR(__xludf.DUMMYFUNCTION("""COMPUTED_VALUE"""),"Provide the version number of the read mapping software.")</f>
        <v>Provide the version number of the read mapping software.</v>
      </c>
      <c r="H260" s="33" t="str">
        <f>IFERROR(__xludf.DUMMYFUNCTION("""COMPUTED_VALUE"""),"2.5.1")</f>
        <v>2.5.1</v>
      </c>
      <c r="I260" s="33"/>
      <c r="J260" s="33"/>
      <c r="K260" s="34" t="s">
        <v>19</v>
      </c>
      <c r="L260" s="34" t="s">
        <v>19</v>
      </c>
      <c r="M260" s="34" t="s">
        <v>19</v>
      </c>
      <c r="N260" s="33"/>
      <c r="O260" s="33" t="str">
        <f>IFERROR(__xludf.DUMMYFUNCTION("""COMPUTED_VALUE"""),"HPAI;HPAI_Food;HPAI_WW;HPAI_Enviro;HPAI_Host")</f>
        <v>HPAI;HPAI_Food;HPAI_WW;HPAI_Enviro;HPAI_Host</v>
      </c>
      <c r="P260" s="33"/>
      <c r="Q260" s="33"/>
      <c r="R260" s="33"/>
      <c r="S260" s="33"/>
      <c r="T260" s="33"/>
      <c r="U260" s="33"/>
      <c r="V260" s="33"/>
      <c r="W260" s="33"/>
      <c r="X260" s="33"/>
      <c r="Y260" s="33"/>
      <c r="Z260" s="33"/>
      <c r="AA260" s="33"/>
      <c r="AB260" s="33"/>
    </row>
    <row r="261">
      <c r="A261" s="33" t="str">
        <f>IFERROR(__xludf.DUMMYFUNCTION("""COMPUTED_VALUE"""),"Taxonomic identification information")</f>
        <v>Taxonomic identification information</v>
      </c>
      <c r="B261" s="36" t="str">
        <f>IFERROR(__xludf.DUMMYFUNCTION("""COMPUTED_VALUE"""),"taxonomic reference database name")</f>
        <v>taxonomic reference database name</v>
      </c>
      <c r="C261" s="36"/>
      <c r="D261" s="36"/>
      <c r="E261" s="35" t="str">
        <f>IFERROR(__xludf.DUMMYFUNCTION("""COMPUTED_VALUE"""),"GENEPIO:0100834")</f>
        <v>GENEPIO:0100834</v>
      </c>
      <c r="F261" s="33" t="str">
        <f>IFERROR(__xludf.DUMMYFUNCTION("""COMPUTED_VALUE"""),"The name of the taxonomic reference database used to identify the organism.")</f>
        <v>The name of the taxonomic reference database used to identify the organism.</v>
      </c>
      <c r="G261" s="33" t="str">
        <f>IFERROR(__xludf.DUMMYFUNCTION("""COMPUTED_VALUE"""),"Provide the name of the taxonomic reference database.")</f>
        <v>Provide the name of the taxonomic reference database.</v>
      </c>
      <c r="H261" s="33" t="str">
        <f>IFERROR(__xludf.DUMMYFUNCTION("""COMPUTED_VALUE"""),"NCBITaxon")</f>
        <v>NCBITaxon</v>
      </c>
      <c r="I261" s="33"/>
      <c r="J261" s="33"/>
      <c r="K261" s="34" t="s">
        <v>19</v>
      </c>
      <c r="L261" s="34" t="s">
        <v>19</v>
      </c>
      <c r="M261" s="34" t="s">
        <v>19</v>
      </c>
      <c r="N261" s="33"/>
      <c r="O261" s="33" t="str">
        <f>IFERROR(__xludf.DUMMYFUNCTION("""COMPUTED_VALUE"""),"HPAI;HPAI_Food;HPAI_WW;HPAI_Enviro;HPAI_Host")</f>
        <v>HPAI;HPAI_Food;HPAI_WW;HPAI_Enviro;HPAI_Host</v>
      </c>
      <c r="P261" s="33"/>
      <c r="Q261" s="33"/>
      <c r="R261" s="33"/>
      <c r="S261" s="33"/>
      <c r="T261" s="33"/>
      <c r="U261" s="33"/>
      <c r="V261" s="33"/>
      <c r="W261" s="33"/>
      <c r="X261" s="33"/>
      <c r="Y261" s="33"/>
      <c r="Z261" s="33"/>
      <c r="AA261" s="33"/>
      <c r="AB261" s="33"/>
    </row>
    <row r="262">
      <c r="A262" s="33" t="str">
        <f>IFERROR(__xludf.DUMMYFUNCTION("""COMPUTED_VALUE"""),"Taxonomic identification information")</f>
        <v>Taxonomic identification information</v>
      </c>
      <c r="B262" s="36" t="str">
        <f>IFERROR(__xludf.DUMMYFUNCTION("""COMPUTED_VALUE"""),"taxonomic reference database version")</f>
        <v>taxonomic reference database version</v>
      </c>
      <c r="C262" s="36"/>
      <c r="D262" s="36"/>
      <c r="E262" s="35" t="str">
        <f>IFERROR(__xludf.DUMMYFUNCTION("""COMPUTED_VALUE"""),"GENEPIO:0100835")</f>
        <v>GENEPIO:0100835</v>
      </c>
      <c r="F262" s="33" t="str">
        <f>IFERROR(__xludf.DUMMYFUNCTION("""COMPUTED_VALUE"""),"The version of the taxonomic reference database used to identify the organism.")</f>
        <v>The version of the taxonomic reference database used to identify the organism.</v>
      </c>
      <c r="G262" s="33" t="str">
        <f>IFERROR(__xludf.DUMMYFUNCTION("""COMPUTED_VALUE"""),"Provide the version number of the taxonomic reference database.")</f>
        <v>Provide the version number of the taxonomic reference database.</v>
      </c>
      <c r="H262" s="33">
        <f>IFERROR(__xludf.DUMMYFUNCTION("""COMPUTED_VALUE"""),1.3)</f>
        <v>1.3</v>
      </c>
      <c r="I262" s="33"/>
      <c r="J262" s="33"/>
      <c r="K262" s="34" t="s">
        <v>19</v>
      </c>
      <c r="L262" s="34" t="s">
        <v>19</v>
      </c>
      <c r="M262" s="34" t="s">
        <v>19</v>
      </c>
      <c r="N262" s="33"/>
      <c r="O262" s="33" t="str">
        <f>IFERROR(__xludf.DUMMYFUNCTION("""COMPUTED_VALUE"""),"HPAI;HPAI_Food;HPAI_WW;HPAI_Enviro;HPAI_Host")</f>
        <v>HPAI;HPAI_Food;HPAI_WW;HPAI_Enviro;HPAI_Host</v>
      </c>
      <c r="P262" s="33"/>
      <c r="Q262" s="33"/>
      <c r="R262" s="33"/>
      <c r="S262" s="33"/>
      <c r="T262" s="33"/>
      <c r="U262" s="33"/>
      <c r="V262" s="33"/>
      <c r="W262" s="33"/>
      <c r="X262" s="33"/>
      <c r="Y262" s="33"/>
      <c r="Z262" s="33"/>
      <c r="AA262" s="33"/>
      <c r="AB262" s="33"/>
    </row>
    <row r="263">
      <c r="A263" s="33" t="str">
        <f>IFERROR(__xludf.DUMMYFUNCTION("""COMPUTED_VALUE"""),"Taxonomic identification information")</f>
        <v>Taxonomic identification information</v>
      </c>
      <c r="B263" s="33" t="str">
        <f>IFERROR(__xludf.DUMMYFUNCTION("""COMPUTED_VALUE"""),"taxonomic analysis report filename")</f>
        <v>taxonomic analysis report filename</v>
      </c>
      <c r="C263" s="33"/>
      <c r="D263" s="33"/>
      <c r="E263" s="35" t="str">
        <f>IFERROR(__xludf.DUMMYFUNCTION("""COMPUTED_VALUE"""),"GENEPIO:0101074")</f>
        <v>GENEPIO:0101074</v>
      </c>
      <c r="F263" s="33" t="str">
        <f>IFERROR(__xludf.DUMMYFUNCTION("""COMPUTED_VALUE"""),"The filename of the report containing the results of a taxonomic analysis.")</f>
        <v>The filename of the report containing the results of a taxonomic analysis.</v>
      </c>
      <c r="G263" s="33" t="str">
        <f>IFERROR(__xludf.DUMMYFUNCTION("""COMPUTED_VALUE"""),"Provide the filename of the report containing the results of the taxonomic analysis.")</f>
        <v>Provide the filename of the report containing the results of the taxonomic analysis.</v>
      </c>
      <c r="H263" s="38" t="str">
        <f>IFERROR(__xludf.DUMMYFUNCTION("""COMPUTED_VALUE"""),"WWtax_report_Feb1_2024.doc")</f>
        <v>WWtax_report_Feb1_2024.doc</v>
      </c>
      <c r="I263" s="33"/>
      <c r="J263" s="33"/>
      <c r="K263" s="34" t="s">
        <v>19</v>
      </c>
      <c r="L263" s="34" t="s">
        <v>19</v>
      </c>
      <c r="M263" s="34" t="s">
        <v>19</v>
      </c>
      <c r="O263" s="28" t="str">
        <f>IFERROR(__xludf.DUMMYFUNCTION("""COMPUTED_VALUE"""),"HPAI;HPAI_Food;HPAI_WW;HPAI_Enviro;HPAI_Host")</f>
        <v>HPAI;HPAI_Food;HPAI_WW;HPAI_Enviro;HPAI_Host</v>
      </c>
    </row>
    <row r="264">
      <c r="A264" s="33" t="str">
        <f>IFERROR(__xludf.DUMMYFUNCTION("""COMPUTED_VALUE"""),"Taxonomic identification information")</f>
        <v>Taxonomic identification information</v>
      </c>
      <c r="B264" s="36" t="str">
        <f>IFERROR(__xludf.DUMMYFUNCTION("""COMPUTED_VALUE"""),"taxonomic analysis date")</f>
        <v>taxonomic analysis date</v>
      </c>
      <c r="C264" s="36"/>
      <c r="D264" s="36"/>
      <c r="E264" s="35" t="str">
        <f>IFERROR(__xludf.DUMMYFUNCTION("""COMPUTED_VALUE"""),"GENEPIO:0101075")</f>
        <v>GENEPIO:0101075</v>
      </c>
      <c r="F264" s="33" t="str">
        <f>IFERROR(__xludf.DUMMYFUNCTION("""COMPUTED_VALUE"""),"The date a taxonomic analysis was performed.")</f>
        <v>The date a taxonomic analysis was performed.</v>
      </c>
      <c r="G264" s="33" t="str">
        <f>IFERROR(__xludf.DUMMYFUNCTION("""COMPUTED_VALUE"""),"Providing the date that an analyis was performed can help provide context for tool and reference database versions. Provide the date that the taxonomic analysis was performed in ISO 8601 format, i.e. ""YYYY-MM-DD"".")</f>
        <v>Providing the date that an analyis was performed can help provide context for tool and reference database versions. Provide the date that the taxonomic analysis was performed in ISO 8601 format, i.e. "YYYY-MM-DD".</v>
      </c>
      <c r="H264" s="38">
        <f>IFERROR(__xludf.DUMMYFUNCTION("""COMPUTED_VALUE"""),45323.0)</f>
        <v>45323</v>
      </c>
      <c r="I264" s="33"/>
      <c r="J264" s="33"/>
      <c r="K264" s="34" t="s">
        <v>19</v>
      </c>
      <c r="L264" s="34" t="s">
        <v>19</v>
      </c>
      <c r="M264" s="34" t="s">
        <v>19</v>
      </c>
      <c r="N264" s="33"/>
      <c r="O264" s="33" t="str">
        <f>IFERROR(__xludf.DUMMYFUNCTION("""COMPUTED_VALUE"""),"HPAI;HPAI_Food;HPAI_WW;HPAI_Enviro;HPAI_Host")</f>
        <v>HPAI;HPAI_Food;HPAI_WW;HPAI_Enviro;HPAI_Host</v>
      </c>
      <c r="P264" s="33"/>
      <c r="Q264" s="33"/>
      <c r="R264" s="33"/>
      <c r="S264" s="33"/>
      <c r="T264" s="33"/>
      <c r="U264" s="33"/>
      <c r="V264" s="33"/>
      <c r="W264" s="33"/>
      <c r="X264" s="33"/>
      <c r="Y264" s="33"/>
      <c r="Z264" s="33"/>
      <c r="AA264" s="33"/>
      <c r="AB264" s="33"/>
    </row>
    <row r="265">
      <c r="A265" s="33" t="str">
        <f>IFERROR(__xludf.DUMMYFUNCTION("""COMPUTED_VALUE"""),"Taxonomic identification information")</f>
        <v>Taxonomic identification information</v>
      </c>
      <c r="B265" s="36" t="str">
        <f>IFERROR(__xludf.DUMMYFUNCTION("""COMPUTED_VALUE"""),"read mapping criteria")</f>
        <v>read mapping criteria</v>
      </c>
      <c r="C265" s="36"/>
      <c r="D265" s="36"/>
      <c r="E265" s="35" t="str">
        <f>IFERROR(__xludf.DUMMYFUNCTION("""COMPUTED_VALUE"""),"GENEPIO:0100836")</f>
        <v>GENEPIO:0100836</v>
      </c>
      <c r="F265" s="33" t="str">
        <f>IFERROR(__xludf.DUMMYFUNCTION("""COMPUTED_VALUE"""),"A description of the criteria used to map reads to a reference sequence.")</f>
        <v>A description of the criteria used to map reads to a reference sequence.</v>
      </c>
      <c r="G265" s="33" t="str">
        <f>IFERROR(__xludf.DUMMYFUNCTION("""COMPUTED_VALUE"""),"Provide a description of the read mapping criteria.")</f>
        <v>Provide a description of the read mapping criteria.</v>
      </c>
      <c r="H265" s="33" t="str">
        <f>IFERROR(__xludf.DUMMYFUNCTION("""COMPUTED_VALUE"""),"Phred score &gt;20")</f>
        <v>Phred score &gt;20</v>
      </c>
      <c r="I265" s="33"/>
      <c r="J265" s="33"/>
      <c r="K265" s="34" t="s">
        <v>19</v>
      </c>
      <c r="L265" s="34" t="s">
        <v>19</v>
      </c>
      <c r="M265" s="34" t="s">
        <v>19</v>
      </c>
      <c r="N265" s="33"/>
      <c r="O265" s="33" t="str">
        <f>IFERROR(__xludf.DUMMYFUNCTION("""COMPUTED_VALUE"""),"HPAI;HPAI_Food;HPAI_WW;HPAI_Enviro;HPAI_Host")</f>
        <v>HPAI;HPAI_Food;HPAI_WW;HPAI_Enviro;HPAI_Host</v>
      </c>
      <c r="P265" s="33"/>
      <c r="Q265" s="33"/>
      <c r="R265" s="33"/>
      <c r="S265" s="33"/>
      <c r="T265" s="33"/>
      <c r="U265" s="33"/>
      <c r="V265" s="33"/>
      <c r="W265" s="33"/>
      <c r="X265" s="33"/>
      <c r="Y265" s="33"/>
      <c r="Z265" s="33"/>
      <c r="AA265" s="33"/>
      <c r="AB265" s="33"/>
    </row>
    <row r="266">
      <c r="A266" s="33"/>
      <c r="B266" s="36" t="str">
        <f>IFERROR(__xludf.DUMMYFUNCTION("""COMPUTED_VALUE"""),"Pathogen diagnostic testing")</f>
        <v>Pathogen diagnostic testing</v>
      </c>
      <c r="C266" s="36" t="str">
        <f>IFERROR(__xludf.DUMMYFUNCTION("""COMPUTED_VALUE"""),"")</f>
        <v/>
      </c>
      <c r="D266" s="36" t="str">
        <f>IFERROR(__xludf.DUMMYFUNCTION("""COMPUTED_VALUE"""),"")</f>
        <v/>
      </c>
      <c r="E266" s="33" t="str">
        <f>IFERROR(__xludf.DUMMYFUNCTION("""COMPUTED_VALUE"""),"GENEPIO:0001506")</f>
        <v>GENEPIO:0001506</v>
      </c>
      <c r="F266" s="33"/>
      <c r="G266" s="33"/>
      <c r="H266" s="33"/>
      <c r="I266" s="33"/>
      <c r="J266" s="33"/>
      <c r="K266" s="34"/>
      <c r="L266" s="34"/>
      <c r="M266" s="34"/>
      <c r="N266" s="33"/>
      <c r="O266" s="33" t="str">
        <f>IFERROR(__xludf.DUMMYFUNCTION("""COMPUTED_VALUE"""),"HPAI;HPAI_Food;HPAI_WW;HPAI_Enviro;HPAI_Host")</f>
        <v>HPAI;HPAI_Food;HPAI_WW;HPAI_Enviro;HPAI_Host</v>
      </c>
      <c r="P266" s="33"/>
      <c r="Q266" s="33"/>
      <c r="R266" s="33"/>
      <c r="S266" s="33"/>
      <c r="T266" s="33"/>
      <c r="U266" s="33"/>
      <c r="V266" s="33"/>
      <c r="W266" s="33"/>
      <c r="X266" s="33"/>
      <c r="Y266" s="33"/>
      <c r="Z266" s="33"/>
      <c r="AA266" s="33"/>
      <c r="AB266" s="33"/>
    </row>
    <row r="267">
      <c r="A267" s="33" t="str">
        <f>IFERROR(__xludf.DUMMYFUNCTION("""COMPUTED_VALUE"""),"Pathogen diagnostic testing")</f>
        <v>Pathogen diagnostic testing</v>
      </c>
      <c r="B267" s="36" t="str">
        <f>IFERROR(__xludf.DUMMYFUNCTION("""COMPUTED_VALUE"""),"genetic target name")</f>
        <v>genetic target name</v>
      </c>
      <c r="C267" s="36"/>
      <c r="D267" s="36"/>
      <c r="E267" s="35" t="str">
        <f>IFERROR(__xludf.DUMMYFUNCTION("""COMPUTED_VALUE"""),"GENEPIO:0101116")</f>
        <v>GENEPIO:0101116</v>
      </c>
      <c r="F267" s="33" t="str">
        <f>IFERROR(__xludf.DUMMYFUNCTION("""COMPUTED_VALUE"""),"The name of the genetic marker used for testing.")</f>
        <v>The name of the genetic marker used for testing.</v>
      </c>
      <c r="G267" s="41" t="str">
        <f>IFERROR(__xludf.DUMMYFUNCTION("""COMPUTED_VALUE"""),"Provide the full name of the gene used in the test. Standardized gene names can be found in the Gene Ontology using this look-up service: https://bit.ly/2Sq1LbI")</f>
        <v>Provide the full name of the gene used in the test. Standardized gene names can be found in the Gene Ontology using this look-up service: https://bit.ly/2Sq1LbI</v>
      </c>
      <c r="H267" s="33" t="str">
        <f>IFERROR(__xludf.DUMMYFUNCTION("""COMPUTED_VALUE"""),"gyrase A")</f>
        <v>gyrase A</v>
      </c>
      <c r="I267" s="33"/>
      <c r="J267" s="33"/>
      <c r="K267" s="34" t="s">
        <v>19</v>
      </c>
      <c r="L267" s="34" t="s">
        <v>19</v>
      </c>
      <c r="M267" s="34" t="s">
        <v>19</v>
      </c>
      <c r="N267" s="33"/>
      <c r="O267" s="33" t="str">
        <f>IFERROR(__xludf.DUMMYFUNCTION("""COMPUTED_VALUE"""),"HPAI;HPAI_Food;HPAI_WW;HPAI_Enviro;HPAI_Host")</f>
        <v>HPAI;HPAI_Food;HPAI_WW;HPAI_Enviro;HPAI_Host</v>
      </c>
      <c r="P267" s="33"/>
      <c r="Q267" s="33"/>
      <c r="R267" s="33"/>
      <c r="S267" s="33"/>
      <c r="T267" s="33"/>
      <c r="U267" s="33"/>
      <c r="V267" s="33"/>
      <c r="W267" s="33"/>
      <c r="X267" s="33"/>
      <c r="Y267" s="33"/>
      <c r="Z267" s="33"/>
      <c r="AA267" s="33"/>
      <c r="AB267" s="33"/>
    </row>
    <row r="268">
      <c r="A268" s="33" t="str">
        <f>IFERROR(__xludf.DUMMYFUNCTION("""COMPUTED_VALUE"""),"Pathogen diagnostic testing")</f>
        <v>Pathogen diagnostic testing</v>
      </c>
      <c r="B268" s="36" t="str">
        <f>IFERROR(__xludf.DUMMYFUNCTION("""COMPUTED_VALUE"""),"genetic target region")</f>
        <v>genetic target region</v>
      </c>
      <c r="C268" s="36"/>
      <c r="D268" s="36"/>
      <c r="E268" s="35" t="str">
        <f>IFERROR(__xludf.DUMMYFUNCTION("""COMPUTED_VALUE"""),"GENEPIO:0101117")</f>
        <v>GENEPIO:0101117</v>
      </c>
      <c r="F268" s="33" t="str">
        <f>IFERROR(__xludf.DUMMYFUNCTION("""COMPUTED_VALUE"""),"The specific region or segment of a genetic sequence used for testing or analysis.")</f>
        <v>The specific region or segment of a genetic sequence used for testing or analysis.</v>
      </c>
      <c r="G268" s="33"/>
      <c r="H268" s="33"/>
      <c r="I268" s="33"/>
      <c r="J268" s="33"/>
      <c r="K268" s="34" t="s">
        <v>19</v>
      </c>
      <c r="L268" s="34" t="s">
        <v>19</v>
      </c>
      <c r="M268" s="34" t="s">
        <v>19</v>
      </c>
      <c r="N268" s="33"/>
      <c r="O268" s="33" t="str">
        <f>IFERROR(__xludf.DUMMYFUNCTION("""COMPUTED_VALUE"""),"HPAI;HPAI_Food;HPAI_WW;HPAI_Enviro;HPAI_Host")</f>
        <v>HPAI;HPAI_Food;HPAI_WW;HPAI_Enviro;HPAI_Host</v>
      </c>
      <c r="P268" s="33"/>
      <c r="Q268" s="33"/>
      <c r="R268" s="33"/>
      <c r="S268" s="33"/>
      <c r="T268" s="33"/>
      <c r="U268" s="33"/>
      <c r="V268" s="33"/>
      <c r="W268" s="33"/>
      <c r="X268" s="33"/>
      <c r="Y268" s="33"/>
      <c r="Z268" s="33"/>
      <c r="AA268" s="33"/>
      <c r="AB268" s="33"/>
    </row>
    <row r="269">
      <c r="A269" s="33" t="str">
        <f>IFERROR(__xludf.DUMMYFUNCTION("""COMPUTED_VALUE"""),"Pathogen diagnostic testing")</f>
        <v>Pathogen diagnostic testing</v>
      </c>
      <c r="B269" s="36" t="str">
        <f>IFERROR(__xludf.DUMMYFUNCTION("""COMPUTED_VALUE"""),"genetic target region reference genome")</f>
        <v>genetic target region reference genome</v>
      </c>
      <c r="C269" s="36"/>
      <c r="D269" s="36"/>
      <c r="E269" s="35" t="str">
        <f>IFERROR(__xludf.DUMMYFUNCTION("""COMPUTED_VALUE"""),"GENEPIO:0101118")</f>
        <v>GENEPIO:0101118</v>
      </c>
      <c r="F269" s="33" t="str">
        <f>IFERROR(__xludf.DUMMYFUNCTION("""COMPUTED_VALUE"""),"The reference genome version used to determine the coordinates or identity of the genetic target region in testing or analysis.")</f>
        <v>The reference genome version used to determine the coordinates or identity of the genetic target region in testing or analysis.</v>
      </c>
      <c r="G269" s="33"/>
      <c r="H269" s="33"/>
      <c r="I269" s="33"/>
      <c r="J269" s="33"/>
      <c r="K269" s="34" t="s">
        <v>19</v>
      </c>
      <c r="L269" s="34" t="s">
        <v>19</v>
      </c>
      <c r="M269" s="34" t="s">
        <v>19</v>
      </c>
      <c r="N269" s="33"/>
      <c r="O269" s="33" t="str">
        <f>IFERROR(__xludf.DUMMYFUNCTION("""COMPUTED_VALUE"""),"HPAI;HPAI_Food;HPAI_WW;HPAI_Enviro;HPAI_Host")</f>
        <v>HPAI;HPAI_Food;HPAI_WW;HPAI_Enviro;HPAI_Host</v>
      </c>
      <c r="P269" s="33"/>
      <c r="Q269" s="33"/>
      <c r="R269" s="33"/>
      <c r="S269" s="33"/>
      <c r="T269" s="33"/>
      <c r="U269" s="33"/>
      <c r="V269" s="33"/>
      <c r="W269" s="33"/>
      <c r="X269" s="33"/>
      <c r="Y269" s="33"/>
      <c r="Z269" s="33"/>
      <c r="AA269" s="33"/>
      <c r="AB269" s="33"/>
    </row>
    <row r="270">
      <c r="A270" s="33" t="str">
        <f>IFERROR(__xludf.DUMMYFUNCTION("""COMPUTED_VALUE"""),"Pathogen diagnostic testing")</f>
        <v>Pathogen diagnostic testing</v>
      </c>
      <c r="B270" s="36" t="str">
        <f>IFERROR(__xludf.DUMMYFUNCTION("""COMPUTED_VALUE"""),"diagnostic target presence")</f>
        <v>diagnostic target presence</v>
      </c>
      <c r="C270" s="36"/>
      <c r="D270" s="36"/>
      <c r="E270" s="35" t="str">
        <f>IFERROR(__xludf.DUMMYFUNCTION("""COMPUTED_VALUE"""),"GENEPIO:0100962")</f>
        <v>GENEPIO:0100962</v>
      </c>
      <c r="F270" s="33" t="str">
        <f>IFERROR(__xludf.DUMMYFUNCTION("""COMPUTED_VALUE"""),"The binary value of the result from a diagnostic test.")</f>
        <v>The binary value of the result from a diagnostic test.</v>
      </c>
      <c r="G270" s="33" t="str">
        <f>IFERROR(__xludf.DUMMYFUNCTION("""COMPUTED_VALUE"""),"Select a value from the pick list provided, to describe whether a target was determined to be present or absent within a sample.")</f>
        <v>Select a value from the pick list provided, to describe whether a target was determined to be present or absent within a sample.</v>
      </c>
      <c r="H270" s="33" t="str">
        <f>IFERROR(__xludf.DUMMYFUNCTION("""COMPUTED_VALUE"""),"diagnostic target present")</f>
        <v>diagnostic target present</v>
      </c>
      <c r="I270" s="33"/>
      <c r="J270" s="33"/>
      <c r="K270" s="34" t="s">
        <v>19</v>
      </c>
      <c r="L270" s="34" t="s">
        <v>19</v>
      </c>
      <c r="M270" s="34" t="s">
        <v>19</v>
      </c>
      <c r="N270" s="33"/>
      <c r="O270" s="33" t="str">
        <f>IFERROR(__xludf.DUMMYFUNCTION("""COMPUTED_VALUE"""),"HPAI;HPAI_Food;HPAI_WW;HPAI_Enviro;HPAI_Host")</f>
        <v>HPAI;HPAI_Food;HPAI_WW;HPAI_Enviro;HPAI_Host</v>
      </c>
      <c r="P270" s="33"/>
      <c r="Q270" s="33"/>
      <c r="R270" s="33"/>
      <c r="S270" s="33"/>
      <c r="T270" s="33"/>
      <c r="U270" s="33"/>
      <c r="V270" s="33"/>
      <c r="W270" s="33"/>
      <c r="X270" s="33"/>
      <c r="Y270" s="33"/>
      <c r="Z270" s="33"/>
      <c r="AA270" s="33"/>
      <c r="AB270" s="33"/>
    </row>
    <row r="271">
      <c r="A271" s="33" t="str">
        <f>IFERROR(__xludf.DUMMYFUNCTION("""COMPUTED_VALUE"""),"Pathogen diagnostic testing")</f>
        <v>Pathogen diagnostic testing</v>
      </c>
      <c r="B271" s="33" t="str">
        <f>IFERROR(__xludf.DUMMYFUNCTION("""COMPUTED_VALUE"""),"diagnostic measurement value")</f>
        <v>diagnostic measurement value</v>
      </c>
      <c r="C271" s="33"/>
      <c r="D271" s="33"/>
      <c r="E271" s="35" t="str">
        <f>IFERROR(__xludf.DUMMYFUNCTION("""COMPUTED_VALUE"""),"GENEPIO:0100963")</f>
        <v>GENEPIO:0100963</v>
      </c>
      <c r="F271" s="33" t="str">
        <f>IFERROR(__xludf.DUMMYFUNCTION("""COMPUTED_VALUE"""),"The value of the result from a diagnostic test.")</f>
        <v>The value of the result from a diagnostic test.</v>
      </c>
      <c r="G271" s="33" t="str">
        <f>IFERROR(__xludf.DUMMYFUNCTION("""COMPUTED_VALUE"""),"Provide the numerical result of a diagnostic test (no need to include units).")</f>
        <v>Provide the numerical result of a diagnostic test (no need to include units).</v>
      </c>
      <c r="H271" s="38">
        <f>IFERROR(__xludf.DUMMYFUNCTION("""COMPUTED_VALUE"""),1000.0)</f>
        <v>1000</v>
      </c>
      <c r="I271" s="33"/>
      <c r="J271" s="33"/>
      <c r="K271" s="34" t="s">
        <v>19</v>
      </c>
      <c r="L271" s="34" t="s">
        <v>19</v>
      </c>
      <c r="M271" s="34" t="s">
        <v>19</v>
      </c>
      <c r="O271" s="28" t="str">
        <f>IFERROR(__xludf.DUMMYFUNCTION("""COMPUTED_VALUE"""),"HPAI;HPAI_Food;HPAI_WW;HPAI_Enviro;HPAI_Host")</f>
        <v>HPAI;HPAI_Food;HPAI_WW;HPAI_Enviro;HPAI_Host</v>
      </c>
    </row>
    <row r="272">
      <c r="A272" s="33" t="str">
        <f>IFERROR(__xludf.DUMMYFUNCTION("""COMPUTED_VALUE"""),"Pathogen diagnostic testing")</f>
        <v>Pathogen diagnostic testing</v>
      </c>
      <c r="B272" s="36" t="str">
        <f>IFERROR(__xludf.DUMMYFUNCTION("""COMPUTED_VALUE"""),"diagnostic measurement unit")</f>
        <v>diagnostic measurement unit</v>
      </c>
      <c r="C272" s="36"/>
      <c r="D272" s="36"/>
      <c r="E272" s="35" t="str">
        <f>IFERROR(__xludf.DUMMYFUNCTION("""COMPUTED_VALUE"""),"GENEPIO:0100964")</f>
        <v>GENEPIO:0100964</v>
      </c>
      <c r="F272" s="33" t="str">
        <f>IFERROR(__xludf.DUMMYFUNCTION("""COMPUTED_VALUE"""),"The unit of the result from a diagnostic test.")</f>
        <v>The unit of the result from a diagnostic test.</v>
      </c>
      <c r="G272" s="33" t="str">
        <f>IFERROR(__xludf.DUMMYFUNCTION("""COMPUTED_VALUE"""),"Select a value from the pick list provided, to describe the units of the given diagnostic test.")</f>
        <v>Select a value from the pick list provided, to describe the units of the given diagnostic test.</v>
      </c>
      <c r="H272" s="33" t="str">
        <f>IFERROR(__xludf.DUMMYFUNCTION("""COMPUTED_VALUE"""),"cycle threshold (Ct) ")</f>
        <v>cycle threshold (Ct) </v>
      </c>
      <c r="I272" s="33"/>
      <c r="J272" s="33"/>
      <c r="K272" s="34" t="s">
        <v>19</v>
      </c>
      <c r="L272" s="34" t="s">
        <v>19</v>
      </c>
      <c r="M272" s="34" t="s">
        <v>19</v>
      </c>
      <c r="N272" s="33"/>
      <c r="O272" s="33" t="str">
        <f>IFERROR(__xludf.DUMMYFUNCTION("""COMPUTED_VALUE"""),"HPAI;HPAI_Food;HPAI_WW;HPAI_Enviro;HPAI_Host")</f>
        <v>HPAI;HPAI_Food;HPAI_WW;HPAI_Enviro;HPAI_Host</v>
      </c>
      <c r="P272" s="33"/>
      <c r="Q272" s="33"/>
      <c r="R272" s="33"/>
      <c r="S272" s="33"/>
      <c r="T272" s="33"/>
      <c r="U272" s="33"/>
      <c r="V272" s="33"/>
      <c r="W272" s="33"/>
      <c r="X272" s="33"/>
      <c r="Y272" s="33"/>
      <c r="Z272" s="33"/>
      <c r="AA272" s="33"/>
      <c r="AB272" s="33"/>
    </row>
    <row r="273">
      <c r="A273" s="33" t="str">
        <f>IFERROR(__xludf.DUMMYFUNCTION("""COMPUTED_VALUE"""),"Pathogen diagnostic testing")</f>
        <v>Pathogen diagnostic testing</v>
      </c>
      <c r="B273" s="36" t="str">
        <f>IFERROR(__xludf.DUMMYFUNCTION("""COMPUTED_VALUE"""),"diagnostic measurement method")</f>
        <v>diagnostic measurement method</v>
      </c>
      <c r="C273" s="36"/>
      <c r="D273" s="36"/>
      <c r="E273" s="35" t="str">
        <f>IFERROR(__xludf.DUMMYFUNCTION("""COMPUTED_VALUE"""),"GENEPIO:0100965")</f>
        <v>GENEPIO:0100965</v>
      </c>
      <c r="F273" s="33" t="str">
        <f>IFERROR(__xludf.DUMMYFUNCTION("""COMPUTED_VALUE"""),"The method by which a diagnostic result was determined.")</f>
        <v>The method by which a diagnostic result was determined.</v>
      </c>
      <c r="G273" s="33" t="str">
        <f>IFERROR(__xludf.DUMMYFUNCTION("""COMPUTED_VALUE"""),"Select a value from the pick list provided to describe the method used for a given diagnostic test.")</f>
        <v>Select a value from the pick list provided to describe the method used for a given diagnostic test.</v>
      </c>
      <c r="H273" s="33" t="str">
        <f>IFERROR(__xludf.DUMMYFUNCTION("""COMPUTED_VALUE"""),"qPCR")</f>
        <v>qPCR</v>
      </c>
      <c r="I273" s="33"/>
      <c r="J273" s="33"/>
      <c r="K273" s="34" t="s">
        <v>19</v>
      </c>
      <c r="L273" s="34" t="s">
        <v>19</v>
      </c>
      <c r="M273" s="34" t="s">
        <v>19</v>
      </c>
      <c r="N273" s="33"/>
      <c r="O273" s="33" t="str">
        <f>IFERROR(__xludf.DUMMYFUNCTION("""COMPUTED_VALUE"""),"HPAI;HPAI_Food;HPAI_WW;HPAI_Enviro;HPAI_Host")</f>
        <v>HPAI;HPAI_Food;HPAI_WW;HPAI_Enviro;HPAI_Host</v>
      </c>
      <c r="P273" s="33"/>
      <c r="Q273" s="33"/>
      <c r="R273" s="33"/>
      <c r="S273" s="33"/>
      <c r="T273" s="33"/>
      <c r="U273" s="33"/>
      <c r="V273" s="33"/>
      <c r="W273" s="33"/>
      <c r="X273" s="33"/>
      <c r="Y273" s="33"/>
      <c r="Z273" s="33"/>
      <c r="AA273" s="33"/>
      <c r="AB273" s="33"/>
    </row>
    <row r="274">
      <c r="A274" s="33" t="str">
        <f>IFERROR(__xludf.DUMMYFUNCTION("""COMPUTED_VALUE"""),"Pathogen diagnostic testing")</f>
        <v>Pathogen diagnostic testing</v>
      </c>
      <c r="B274" s="36" t="str">
        <f>IFERROR(__xludf.DUMMYFUNCTION("""COMPUTED_VALUE"""),"diagnostic testing threshold value")</f>
        <v>diagnostic testing threshold value</v>
      </c>
      <c r="C274" s="36"/>
      <c r="D274" s="36"/>
      <c r="E274" s="35" t="str">
        <f>IFERROR(__xludf.DUMMYFUNCTION("""COMPUTED_VALUE"""),"GENEPIO:0101104")</f>
        <v>GENEPIO:0101104</v>
      </c>
      <c r="F274" s="33" t="str">
        <f>IFERROR(__xludf.DUMMYFUNCTION("""COMPUTED_VALUE"""),"The numerical value which represents the threshold above/below which interpretation can be drawn on the diagnostic test")</f>
        <v>The numerical value which represents the threshold above/below which interpretation can be drawn on the diagnostic test</v>
      </c>
      <c r="G274" s="33"/>
      <c r="H274" s="33"/>
      <c r="I274" s="33"/>
      <c r="J274" s="33"/>
      <c r="K274" s="34" t="s">
        <v>19</v>
      </c>
      <c r="L274" s="34" t="s">
        <v>19</v>
      </c>
      <c r="M274" s="34" t="s">
        <v>19</v>
      </c>
      <c r="N274" s="33"/>
      <c r="O274" s="33" t="str">
        <f>IFERROR(__xludf.DUMMYFUNCTION("""COMPUTED_VALUE"""),"HPAI;HPAI_Food;HPAI_WW;HPAI_Enviro;HPAI_Host")</f>
        <v>HPAI;HPAI_Food;HPAI_WW;HPAI_Enviro;HPAI_Host</v>
      </c>
      <c r="P274" s="33"/>
      <c r="Q274" s="33"/>
      <c r="R274" s="33"/>
      <c r="S274" s="33"/>
      <c r="T274" s="33"/>
      <c r="U274" s="33"/>
      <c r="V274" s="33"/>
      <c r="W274" s="33"/>
      <c r="X274" s="33"/>
      <c r="Y274" s="33"/>
      <c r="Z274" s="33"/>
      <c r="AA274" s="33"/>
      <c r="AB274" s="33"/>
    </row>
    <row r="275">
      <c r="A275" s="33" t="str">
        <f>IFERROR(__xludf.DUMMYFUNCTION("""COMPUTED_VALUE"""),"Pathogen diagnostic testing")</f>
        <v>Pathogen diagnostic testing</v>
      </c>
      <c r="B275" s="36" t="str">
        <f>IFERROR(__xludf.DUMMYFUNCTION("""COMPUTED_VALUE"""),"diagnostic testing threshold units")</f>
        <v>diagnostic testing threshold units</v>
      </c>
      <c r="C275" s="36"/>
      <c r="D275" s="36"/>
      <c r="E275" s="35" t="str">
        <f>IFERROR(__xludf.DUMMYFUNCTION("""COMPUTED_VALUE"""),"GENEPIO:0101105")</f>
        <v>GENEPIO:0101105</v>
      </c>
      <c r="F275" s="33" t="str">
        <f>IFERROR(__xludf.DUMMYFUNCTION("""COMPUTED_VALUE"""),"The unit which are attributed to the threshold above/below which interpretation can be drawn on the diagnostic test")</f>
        <v>The unit which are attributed to the threshold above/below which interpretation can be drawn on the diagnostic test</v>
      </c>
      <c r="G275" s="33"/>
      <c r="H275" s="33"/>
      <c r="I275" s="33"/>
      <c r="J275" s="33"/>
      <c r="K275" s="34" t="s">
        <v>19</v>
      </c>
      <c r="L275" s="34" t="s">
        <v>19</v>
      </c>
      <c r="M275" s="34" t="s">
        <v>19</v>
      </c>
      <c r="N275" s="33"/>
      <c r="O275" s="33" t="str">
        <f>IFERROR(__xludf.DUMMYFUNCTION("""COMPUTED_VALUE"""),"HPAI;HPAI_Food;HPAI_WW;HPAI_Enviro;HPAI_Host")</f>
        <v>HPAI;HPAI_Food;HPAI_WW;HPAI_Enviro;HPAI_Host</v>
      </c>
      <c r="P275" s="33"/>
      <c r="Q275" s="33"/>
      <c r="R275" s="33"/>
      <c r="S275" s="33"/>
      <c r="T275" s="33"/>
      <c r="U275" s="33"/>
      <c r="V275" s="33"/>
      <c r="W275" s="33"/>
      <c r="X275" s="33"/>
      <c r="Y275" s="33"/>
      <c r="Z275" s="33"/>
      <c r="AA275" s="33"/>
      <c r="AB275" s="33"/>
    </row>
    <row r="276">
      <c r="A276" s="33" t="str">
        <f>IFERROR(__xludf.DUMMYFUNCTION("""COMPUTED_VALUE"""),"Pathogen diagnostic testing")</f>
        <v>Pathogen diagnostic testing</v>
      </c>
      <c r="B276" s="36" t="str">
        <f>IFERROR(__xludf.DUMMYFUNCTION("""COMPUTED_VALUE"""),"diagnostic testing details")</f>
        <v>diagnostic testing details</v>
      </c>
      <c r="C276" s="36"/>
      <c r="D276" s="36"/>
      <c r="E276" s="35" t="str">
        <f>IFERROR(__xludf.DUMMYFUNCTION("""COMPUTED_VALUE"""),"GENEPIO:0101106")</f>
        <v>GENEPIO:0101106</v>
      </c>
      <c r="F276" s="33" t="str">
        <f>IFERROR(__xludf.DUMMYFUNCTION("""COMPUTED_VALUE"""),"Describe any details of the diagnsotic testing.")</f>
        <v>Describe any details of the diagnsotic testing.</v>
      </c>
      <c r="G276" s="33"/>
      <c r="H276" s="33"/>
      <c r="I276" s="33"/>
      <c r="J276" s="33"/>
      <c r="K276" s="34" t="s">
        <v>19</v>
      </c>
      <c r="L276" s="34" t="s">
        <v>19</v>
      </c>
      <c r="M276" s="34" t="s">
        <v>19</v>
      </c>
      <c r="N276" s="33"/>
      <c r="O276" s="33" t="str">
        <f>IFERROR(__xludf.DUMMYFUNCTION("""COMPUTED_VALUE"""),"HPAI;HPAI_Food;HPAI_WW;HPAI_Enviro;HPAI_Host")</f>
        <v>HPAI;HPAI_Food;HPAI_WW;HPAI_Enviro;HPAI_Host</v>
      </c>
      <c r="P276" s="33"/>
      <c r="Q276" s="33"/>
      <c r="R276" s="33"/>
      <c r="S276" s="33"/>
      <c r="T276" s="33"/>
      <c r="U276" s="33"/>
      <c r="V276" s="33"/>
      <c r="W276" s="33"/>
      <c r="X276" s="33"/>
      <c r="Y276" s="33"/>
      <c r="Z276" s="33"/>
      <c r="AA276" s="33"/>
      <c r="AB276" s="33"/>
    </row>
    <row r="277">
      <c r="A277" s="33"/>
      <c r="B277" s="36" t="str">
        <f>IFERROR(__xludf.DUMMYFUNCTION("""COMPUTED_VALUE"""),"Risk assessment information")</f>
        <v>Risk assessment information</v>
      </c>
      <c r="C277" s="36"/>
      <c r="D277" s="36"/>
      <c r="E277" s="33" t="str">
        <f>IFERROR(__xludf.DUMMYFUNCTION("""COMPUTED_VALUE"""),"GENEPIO:0100478")</f>
        <v>GENEPIO:0100478</v>
      </c>
      <c r="F277" s="33"/>
      <c r="G277" s="33"/>
      <c r="H277" s="33"/>
      <c r="I277" s="33"/>
      <c r="J277" s="33"/>
      <c r="K277" s="34"/>
      <c r="L277" s="34"/>
      <c r="M277" s="34"/>
      <c r="N277" s="33"/>
      <c r="O277" s="33" t="str">
        <f>IFERROR(__xludf.DUMMYFUNCTION("""COMPUTED_VALUE"""),"HPAI;HPAI_Food;HPAI_WW;HPAI_Enviro;HPAI_Host")</f>
        <v>HPAI;HPAI_Food;HPAI_WW;HPAI_Enviro;HPAI_Host</v>
      </c>
      <c r="P277" s="33"/>
      <c r="Q277" s="33"/>
      <c r="R277" s="33"/>
      <c r="S277" s="33"/>
      <c r="T277" s="33"/>
      <c r="U277" s="33"/>
      <c r="V277" s="33"/>
      <c r="W277" s="33"/>
      <c r="X277" s="33"/>
      <c r="Y277" s="33"/>
      <c r="Z277" s="33"/>
      <c r="AA277" s="33"/>
      <c r="AB277" s="33"/>
    </row>
    <row r="278">
      <c r="A278" s="33" t="str">
        <f>IFERROR(__xludf.DUMMYFUNCTION("""COMPUTED_VALUE"""),"Risk assessment information")</f>
        <v>Risk assessment information</v>
      </c>
      <c r="B278" s="36" t="str">
        <f>IFERROR(__xludf.DUMMYFUNCTION("""COMPUTED_VALUE"""),"prevalence_metrics")</f>
        <v>prevalence_metrics</v>
      </c>
      <c r="C278" s="36"/>
      <c r="D278" s="36" t="b">
        <f>IFERROR(__xludf.DUMMYFUNCTION("""COMPUTED_VALUE"""),TRUE)</f>
        <v>1</v>
      </c>
      <c r="E278" s="33" t="str">
        <f>IFERROR(__xludf.DUMMYFUNCTION("""COMPUTED_VALUE"""),"GENEPIO:0100480")</f>
        <v>GENEPIO:0100480</v>
      </c>
      <c r="F278" s="33" t="str">
        <f>IFERROR(__xludf.DUMMYFUNCTION("""COMPUTED_VALUE"""),"Metrics regarding the prevalence of the pathogen of interest obtained from a surveillance project.")</f>
        <v>Metrics regarding the prevalence of the pathogen of interest obtained from a surveillance project.</v>
      </c>
      <c r="G278" s="33" t="str">
        <f>IFERROR(__xludf.DUMMYFUNCTION("""COMPUTED_VALUE"""),"Risk assessment requires detailed information regarding the quantities of a pathogen in a specified location, commodity, or environment. As such, it is useful for risk assessors to know what types of information are available through documented methods an"&amp;"d results. Provide the metric types that are available in the surveillance project sample plan by selecting them from the pick list. The metrics of interest are "" Number of total samples collected"", ""Number of positive samples"", ""Average count of haz"&amp;"ard organism"", ""Average count of indicator organism"". You do not need to provide the actual values, just indicate that the information is available.")</f>
        <v>Risk assessment requires detailed information regarding the quantities of a pathogen in a specified location, commodity, or environment. As such, it is useful for risk assessors to know what types of information are available through documented methods and results. Provide the metric types that are available in the surveillance project sample plan by selecting them from the pick list. The metrics of interest are " Number of total samples collected", "Number of positive samples", "Average count of hazard organism", "Average count of indicator organism". You do not need to provide the actual values, just indicate that the information is available.</v>
      </c>
      <c r="H278" s="33" t="str">
        <f>IFERROR(__xludf.DUMMYFUNCTION("""COMPUTED_VALUE"""),"Number of total samples collected, Number of positive samples")</f>
        <v>Number of total samples collected, Number of positive samples</v>
      </c>
      <c r="I278" s="33"/>
      <c r="J278" s="33"/>
      <c r="K278" s="34" t="s">
        <v>19</v>
      </c>
      <c r="L278" s="34" t="s">
        <v>19</v>
      </c>
      <c r="M278" s="34" t="s">
        <v>19</v>
      </c>
      <c r="N278" s="33"/>
      <c r="O278" s="33" t="str">
        <f>IFERROR(__xludf.DUMMYFUNCTION("""COMPUTED_VALUE"""),"HPAI;HPAI_Food;HPAI_WW;HPAI_Enviro;HPAI_Host")</f>
        <v>HPAI;HPAI_Food;HPAI_WW;HPAI_Enviro;HPAI_Host</v>
      </c>
      <c r="P278" s="33"/>
      <c r="Q278" s="33"/>
      <c r="R278" s="33"/>
      <c r="S278" s="33"/>
      <c r="T278" s="33"/>
      <c r="U278" s="33"/>
      <c r="V278" s="33"/>
      <c r="W278" s="33"/>
      <c r="X278" s="33"/>
      <c r="Y278" s="33"/>
      <c r="Z278" s="33"/>
      <c r="AA278" s="33"/>
      <c r="AB278" s="33"/>
    </row>
    <row r="279">
      <c r="A279" s="33" t="str">
        <f>IFERROR(__xludf.DUMMYFUNCTION("""COMPUTED_VALUE"""),"Risk assessment information")</f>
        <v>Risk assessment information</v>
      </c>
      <c r="B279" s="36" t="str">
        <f>IFERROR(__xludf.DUMMYFUNCTION("""COMPUTED_VALUE"""),"prevalence_metrics_details")</f>
        <v>prevalence_metrics_details</v>
      </c>
      <c r="C279" s="36"/>
      <c r="D279" s="36" t="b">
        <f>IFERROR(__xludf.DUMMYFUNCTION("""COMPUTED_VALUE"""),TRUE)</f>
        <v>1</v>
      </c>
      <c r="E279" s="33" t="str">
        <f>IFERROR(__xludf.DUMMYFUNCTION("""COMPUTED_VALUE"""),"GENEPIO:0100481")</f>
        <v>GENEPIO:0100481</v>
      </c>
      <c r="F279" s="33" t="str">
        <f>IFERROR(__xludf.DUMMYFUNCTION("""COMPUTED_VALUE"""),"The details pertaining to the prevalence metrics from a surveillance project.")</f>
        <v>The details pertaining to the prevalence metrics from a surveillance project.</v>
      </c>
      <c r="G279" s="33" t="str">
        <f>IFERROR(__xludf.DUMMYFUNCTION("""COMPUTED_VALUE"""),"If there are details pertaining to samples or organism counts in the sample plan that might be informative, provide details using free text.")</f>
        <v>If there are details pertaining to samples or organism counts in the sample plan that might be informative, provide details using free text.</v>
      </c>
      <c r="H279" s="33" t="str">
        <f>IFERROR(__xludf.DUMMYFUNCTION("""COMPUTED_VALUE"""),"Hazard organism counts (i.e. Salmonella) do not distinguish between serovars.")</f>
        <v>Hazard organism counts (i.e. Salmonella) do not distinguish between serovars.</v>
      </c>
      <c r="I279" s="33"/>
      <c r="J279" s="33"/>
      <c r="K279" s="34" t="s">
        <v>19</v>
      </c>
      <c r="L279" s="34" t="s">
        <v>19</v>
      </c>
      <c r="M279" s="34" t="s">
        <v>19</v>
      </c>
      <c r="N279" s="33"/>
      <c r="O279" s="33" t="str">
        <f>IFERROR(__xludf.DUMMYFUNCTION("""COMPUTED_VALUE"""),"HPAI;HPAI_Food;HPAI_WW;HPAI_Enviro;HPAI_Host")</f>
        <v>HPAI;HPAI_Food;HPAI_WW;HPAI_Enviro;HPAI_Host</v>
      </c>
      <c r="P279" s="33"/>
      <c r="Q279" s="33"/>
      <c r="R279" s="33"/>
      <c r="S279" s="33"/>
      <c r="T279" s="33"/>
      <c r="U279" s="33"/>
      <c r="V279" s="33"/>
      <c r="W279" s="33"/>
      <c r="X279" s="33"/>
      <c r="Y279" s="33"/>
      <c r="Z279" s="33"/>
      <c r="AA279" s="33"/>
      <c r="AB279" s="33"/>
    </row>
    <row r="280">
      <c r="A280" s="33" t="str">
        <f>IFERROR(__xludf.DUMMYFUNCTION("""COMPUTED_VALUE"""),"Risk assessment information")</f>
        <v>Risk assessment information</v>
      </c>
      <c r="B280" s="36" t="str">
        <f>IFERROR(__xludf.DUMMYFUNCTION("""COMPUTED_VALUE"""),"stage_of_production")</f>
        <v>stage_of_production</v>
      </c>
      <c r="C280" s="36"/>
      <c r="D280" s="36" t="b">
        <f>IFERROR(__xludf.DUMMYFUNCTION("""COMPUTED_VALUE"""),TRUE)</f>
        <v>1</v>
      </c>
      <c r="E280" s="33" t="str">
        <f>IFERROR(__xludf.DUMMYFUNCTION("""COMPUTED_VALUE"""),"GENEPIO:0100482")</f>
        <v>GENEPIO:0100482</v>
      </c>
      <c r="F280" s="33" t="str">
        <f>IFERROR(__xludf.DUMMYFUNCTION("""COMPUTED_VALUE"""),"The stage of food production.")</f>
        <v>The stage of food production.</v>
      </c>
      <c r="G280" s="33" t="str">
        <f>IFERROR(__xludf.DUMMYFUNCTION("""COMPUTED_VALUE"""),"Provide the stage of food production as free text.")</f>
        <v>Provide the stage of food production as free text.</v>
      </c>
      <c r="H280" s="33" t="str">
        <f>IFERROR(__xludf.DUMMYFUNCTION("""COMPUTED_VALUE"""),"Abattoir [ENVO:01000925]")</f>
        <v>Abattoir [ENVO:01000925]</v>
      </c>
      <c r="I280" s="33"/>
      <c r="J280" s="33"/>
      <c r="K280" s="34" t="s">
        <v>19</v>
      </c>
      <c r="L280" s="34" t="s">
        <v>19</v>
      </c>
      <c r="M280" s="34" t="s">
        <v>19</v>
      </c>
      <c r="N280" s="33"/>
      <c r="O280" s="33" t="str">
        <f>IFERROR(__xludf.DUMMYFUNCTION("""COMPUTED_VALUE"""),"HPAI;HPAI_Food;HPAI_WW;HPAI_Enviro;HPAI_Host")</f>
        <v>HPAI;HPAI_Food;HPAI_WW;HPAI_Enviro;HPAI_Host</v>
      </c>
      <c r="P280" s="33"/>
      <c r="Q280" s="33"/>
      <c r="R280" s="33"/>
      <c r="S280" s="33"/>
      <c r="T280" s="33"/>
      <c r="U280" s="33"/>
      <c r="V280" s="33"/>
      <c r="W280" s="33"/>
      <c r="X280" s="33"/>
      <c r="Y280" s="33"/>
      <c r="Z280" s="33"/>
      <c r="AA280" s="33"/>
      <c r="AB280" s="33"/>
    </row>
    <row r="281">
      <c r="A281" s="33" t="str">
        <f>IFERROR(__xludf.DUMMYFUNCTION("""COMPUTED_VALUE"""),"Risk assessment information")</f>
        <v>Risk assessment information</v>
      </c>
      <c r="B281" s="36" t="str">
        <f>IFERROR(__xludf.DUMMYFUNCTION("""COMPUTED_VALUE"""),"experimental_intervention")</f>
        <v>experimental_intervention</v>
      </c>
      <c r="C281" s="36"/>
      <c r="D281" s="36" t="b">
        <f>IFERROR(__xludf.DUMMYFUNCTION("""COMPUTED_VALUE"""),TRUE)</f>
        <v>1</v>
      </c>
      <c r="E281" s="33" t="str">
        <f>IFERROR(__xludf.DUMMYFUNCTION("""COMPUTED_VALUE"""),"GENEPIO:0100483")</f>
        <v>GENEPIO:0100483</v>
      </c>
      <c r="F281" s="33" t="str">
        <f>IFERROR(__xludf.DUMMYFUNCTION("""COMPUTED_VALUE"""),"The category of the experimental intervention applied in the food production system.")</f>
        <v>The category of the experimental intervention applied in the food production system.</v>
      </c>
      <c r="G281" s="33" t="str">
        <f>IFERROR(__xludf.DUMMYFUNCTION("""COMPUTED_VALUE"""),"In some surveys, a particular intervention in the food supply chain in studied. If there was an intervention specified in the sample plan, select the intervention category from the pick list provided.")</f>
        <v>In some surveys, a particular intervention in the food supply chain in studied. If there was an intervention specified in the sample plan, select the intervention category from the pick list provided.</v>
      </c>
      <c r="H281" s="33" t="str">
        <f>IFERROR(__xludf.DUMMYFUNCTION("""COMPUTED_VALUE"""),"Vaccination [NCIT:C15346]")</f>
        <v>Vaccination [NCIT:C15346]</v>
      </c>
      <c r="I281" s="33"/>
      <c r="J281" s="33"/>
      <c r="K281" s="34" t="s">
        <v>19</v>
      </c>
      <c r="L281" s="34" t="s">
        <v>19</v>
      </c>
      <c r="M281" s="34" t="s">
        <v>19</v>
      </c>
      <c r="N281" s="33"/>
      <c r="O281" s="33" t="str">
        <f>IFERROR(__xludf.DUMMYFUNCTION("""COMPUTED_VALUE"""),"HPAI;HPAI_Food;HPAI_WW;HPAI_Enviro;HPAI_Host")</f>
        <v>HPAI;HPAI_Food;HPAI_WW;HPAI_Enviro;HPAI_Host</v>
      </c>
      <c r="P281" s="33"/>
      <c r="Q281" s="33"/>
      <c r="R281" s="33"/>
      <c r="S281" s="33"/>
      <c r="T281" s="33"/>
      <c r="U281" s="33"/>
      <c r="V281" s="33"/>
      <c r="W281" s="33"/>
      <c r="X281" s="33"/>
      <c r="Y281" s="33"/>
      <c r="Z281" s="33"/>
      <c r="AA281" s="33"/>
      <c r="AB281" s="33"/>
    </row>
    <row r="282">
      <c r="A282" s="33" t="str">
        <f>IFERROR(__xludf.DUMMYFUNCTION("""COMPUTED_VALUE"""),"Risk assessment information")</f>
        <v>Risk assessment information</v>
      </c>
      <c r="B282" s="33" t="str">
        <f>IFERROR(__xludf.DUMMYFUNCTION("""COMPUTED_VALUE"""),"experiment_intervention_details")</f>
        <v>experiment_intervention_details</v>
      </c>
      <c r="C282" s="33"/>
      <c r="D282" s="33" t="b">
        <f>IFERROR(__xludf.DUMMYFUNCTION("""COMPUTED_VALUE"""),TRUE)</f>
        <v>1</v>
      </c>
      <c r="E282" s="35" t="str">
        <f>IFERROR(__xludf.DUMMYFUNCTION("""COMPUTED_VALUE"""),"GENEPIO:0100484")</f>
        <v>GENEPIO:0100484</v>
      </c>
      <c r="F282" s="33" t="str">
        <f>IFERROR(__xludf.DUMMYFUNCTION("""COMPUTED_VALUE"""),"The details of the experimental intervention applied in the food production system.")</f>
        <v>The details of the experimental intervention applied in the food production system.</v>
      </c>
      <c r="G282" s="33" t="str">
        <f>IFERROR(__xludf.DUMMYFUNCTION("""COMPUTED_VALUE"""),"If an experimental intervention was applied in the survey, provide details in this field as free text.")</f>
        <v>If an experimental intervention was applied in the survey, provide details in this field as free text.</v>
      </c>
      <c r="H282" s="38" t="str">
        <f>IFERROR(__xludf.DUMMYFUNCTION("""COMPUTED_VALUE"""),"2% cranberry solution mixed in feed")</f>
        <v>2% cranberry solution mixed in feed</v>
      </c>
      <c r="I282" s="33"/>
      <c r="J282" s="33"/>
      <c r="K282" s="34" t="s">
        <v>19</v>
      </c>
      <c r="L282" s="34" t="s">
        <v>19</v>
      </c>
      <c r="M282" s="34" t="s">
        <v>19</v>
      </c>
      <c r="O282" s="28" t="str">
        <f>IFERROR(__xludf.DUMMYFUNCTION("""COMPUTED_VALUE"""),"HPAI;HPAI_Food;HPAI_WW;HPAI_Enviro;HPAI_Host")</f>
        <v>HPAI;HPAI_Food;HPAI_WW;HPAI_Enviro;HPAI_Host</v>
      </c>
    </row>
    <row r="283">
      <c r="A283" s="33"/>
      <c r="B283" s="36"/>
      <c r="C283" s="36"/>
      <c r="D283" s="36"/>
      <c r="E283" s="33"/>
      <c r="F283" s="33"/>
      <c r="G283" s="33"/>
      <c r="H283" s="33"/>
      <c r="I283" s="33"/>
      <c r="J283" s="33"/>
      <c r="K283" s="34" t="s">
        <v>19</v>
      </c>
      <c r="L283" s="34" t="s">
        <v>19</v>
      </c>
      <c r="M283" s="34" t="s">
        <v>19</v>
      </c>
      <c r="N283" s="33"/>
      <c r="O283" s="33"/>
      <c r="P283" s="33"/>
      <c r="Q283" s="33"/>
      <c r="R283" s="33"/>
      <c r="S283" s="33"/>
      <c r="T283" s="33"/>
      <c r="U283" s="33"/>
      <c r="V283" s="33"/>
      <c r="W283" s="33"/>
      <c r="X283" s="33"/>
      <c r="Y283" s="33"/>
      <c r="Z283" s="33"/>
      <c r="AA283" s="33"/>
      <c r="AB283" s="33"/>
    </row>
    <row r="284">
      <c r="A284" s="33"/>
      <c r="B284" s="36"/>
      <c r="C284" s="36"/>
      <c r="D284" s="36"/>
      <c r="E284" s="33"/>
      <c r="F284" s="33"/>
      <c r="G284" s="33"/>
      <c r="H284" s="33"/>
      <c r="I284" s="33"/>
      <c r="J284" s="33"/>
      <c r="K284" s="34" t="s">
        <v>19</v>
      </c>
      <c r="L284" s="34" t="s">
        <v>19</v>
      </c>
      <c r="M284" s="34" t="s">
        <v>19</v>
      </c>
      <c r="N284" s="33"/>
      <c r="O284" s="33"/>
      <c r="P284" s="33"/>
      <c r="Q284" s="33"/>
      <c r="R284" s="33"/>
      <c r="S284" s="33"/>
      <c r="T284" s="33"/>
      <c r="U284" s="33"/>
      <c r="V284" s="33"/>
      <c r="W284" s="33"/>
      <c r="X284" s="33"/>
      <c r="Y284" s="33"/>
      <c r="Z284" s="33"/>
      <c r="AA284" s="33"/>
      <c r="AB284" s="33"/>
    </row>
    <row r="285">
      <c r="A285" s="28"/>
      <c r="B285" s="42"/>
      <c r="C285" s="42"/>
      <c r="D285" s="42"/>
      <c r="E285" s="28"/>
      <c r="F285" s="28"/>
      <c r="G285" s="28"/>
      <c r="H285" s="28"/>
      <c r="O285" s="28"/>
    </row>
    <row r="286">
      <c r="A286" s="28"/>
      <c r="B286" s="42"/>
      <c r="C286" s="42"/>
      <c r="D286" s="42"/>
      <c r="E286" s="28"/>
      <c r="F286" s="28"/>
      <c r="G286" s="28"/>
      <c r="H286" s="28"/>
      <c r="O286" s="28"/>
    </row>
    <row r="287">
      <c r="A287" s="28"/>
      <c r="B287" s="42"/>
      <c r="C287" s="42"/>
      <c r="D287" s="42"/>
      <c r="E287" s="28"/>
      <c r="F287" s="28"/>
      <c r="G287" s="28"/>
      <c r="H287" s="28"/>
      <c r="O287" s="28"/>
    </row>
    <row r="288">
      <c r="A288" s="28"/>
      <c r="B288" s="42"/>
      <c r="C288" s="42"/>
      <c r="D288" s="42"/>
      <c r="E288" s="28"/>
      <c r="F288" s="28"/>
      <c r="G288" s="28"/>
      <c r="H288" s="28"/>
      <c r="O288" s="28"/>
    </row>
    <row r="289">
      <c r="A289" s="28"/>
      <c r="B289" s="42"/>
      <c r="C289" s="42"/>
      <c r="D289" s="42"/>
      <c r="E289" s="28"/>
      <c r="F289" s="28"/>
      <c r="G289" s="28"/>
      <c r="H289" s="28"/>
      <c r="O289" s="28"/>
    </row>
    <row r="290">
      <c r="A290" s="28"/>
      <c r="B290" s="42"/>
      <c r="C290" s="42"/>
      <c r="D290" s="42"/>
      <c r="E290" s="28"/>
      <c r="F290" s="28"/>
      <c r="G290" s="28"/>
      <c r="H290" s="28"/>
      <c r="O290" s="28"/>
    </row>
    <row r="291">
      <c r="A291" s="28"/>
      <c r="B291" s="42"/>
      <c r="C291" s="42"/>
      <c r="D291" s="42"/>
      <c r="E291" s="28"/>
      <c r="F291" s="28"/>
      <c r="G291" s="28"/>
      <c r="H291" s="28"/>
      <c r="O291" s="28"/>
    </row>
    <row r="292">
      <c r="A292" s="28"/>
      <c r="B292" s="42"/>
      <c r="C292" s="42"/>
      <c r="D292" s="42"/>
      <c r="E292" s="28"/>
      <c r="F292" s="28"/>
      <c r="G292" s="28"/>
      <c r="H292" s="28"/>
      <c r="O292" s="28"/>
    </row>
    <row r="293">
      <c r="A293" s="28"/>
      <c r="B293" s="42"/>
      <c r="C293" s="42"/>
      <c r="D293" s="42"/>
      <c r="E293" s="28"/>
      <c r="F293" s="28"/>
      <c r="G293" s="28"/>
      <c r="H293" s="28"/>
      <c r="O293" s="28"/>
    </row>
    <row r="294">
      <c r="A294" s="28"/>
      <c r="B294" s="42"/>
      <c r="C294" s="42"/>
      <c r="D294" s="42"/>
      <c r="E294" s="28"/>
      <c r="F294" s="28"/>
      <c r="G294" s="28"/>
      <c r="H294" s="28"/>
      <c r="O294" s="28"/>
    </row>
    <row r="295">
      <c r="A295" s="28"/>
      <c r="B295" s="42"/>
      <c r="C295" s="42"/>
      <c r="D295" s="42"/>
      <c r="E295" s="28"/>
      <c r="F295" s="28"/>
      <c r="G295" s="28"/>
      <c r="H295" s="28"/>
      <c r="O295" s="28"/>
    </row>
    <row r="296">
      <c r="A296" s="28"/>
      <c r="B296" s="42"/>
      <c r="C296" s="42"/>
      <c r="D296" s="42"/>
      <c r="E296" s="28"/>
      <c r="F296" s="28"/>
      <c r="G296" s="28"/>
      <c r="H296" s="28"/>
      <c r="O296" s="28"/>
    </row>
    <row r="297">
      <c r="A297" s="28"/>
      <c r="B297" s="42"/>
      <c r="C297" s="42"/>
      <c r="D297" s="42"/>
      <c r="E297" s="28"/>
      <c r="F297" s="28"/>
      <c r="G297" s="28"/>
      <c r="H297" s="28"/>
      <c r="O297" s="28"/>
    </row>
    <row r="298">
      <c r="A298" s="28"/>
      <c r="B298" s="42"/>
      <c r="C298" s="42"/>
      <c r="D298" s="42"/>
      <c r="E298" s="28"/>
      <c r="F298" s="28"/>
      <c r="G298" s="28"/>
      <c r="H298" s="28"/>
      <c r="O298" s="28"/>
    </row>
    <row r="299">
      <c r="A299" s="28"/>
      <c r="B299" s="42"/>
      <c r="C299" s="42"/>
      <c r="D299" s="42"/>
      <c r="E299" s="28"/>
      <c r="F299" s="28"/>
      <c r="G299" s="28"/>
      <c r="H299" s="28"/>
      <c r="O299" s="28"/>
    </row>
    <row r="300">
      <c r="A300" s="28"/>
      <c r="B300" s="42"/>
      <c r="C300" s="42"/>
      <c r="D300" s="42"/>
      <c r="E300" s="28"/>
      <c r="F300" s="28"/>
      <c r="G300" s="28"/>
      <c r="H300" s="28"/>
      <c r="O300" s="28"/>
    </row>
    <row r="301">
      <c r="A301" s="28"/>
      <c r="B301" s="42"/>
      <c r="C301" s="42"/>
      <c r="D301" s="42"/>
      <c r="E301" s="28"/>
      <c r="F301" s="28"/>
      <c r="G301" s="28"/>
      <c r="H301" s="28"/>
      <c r="O301" s="28"/>
    </row>
    <row r="302">
      <c r="A302" s="28"/>
      <c r="B302" s="42"/>
      <c r="C302" s="42"/>
      <c r="D302" s="42"/>
      <c r="E302" s="28"/>
      <c r="F302" s="28"/>
      <c r="G302" s="28"/>
      <c r="H302" s="28"/>
      <c r="O302" s="28"/>
    </row>
    <row r="303">
      <c r="A303" s="28"/>
      <c r="B303" s="42"/>
      <c r="C303" s="42"/>
      <c r="D303" s="42"/>
      <c r="E303" s="28"/>
      <c r="F303" s="28"/>
      <c r="G303" s="28"/>
      <c r="H303" s="28"/>
      <c r="O303" s="28"/>
    </row>
    <row r="304">
      <c r="A304" s="28"/>
      <c r="B304" s="42"/>
      <c r="C304" s="42"/>
      <c r="D304" s="42"/>
      <c r="E304" s="28"/>
      <c r="F304" s="28"/>
      <c r="G304" s="28"/>
      <c r="H304" s="28"/>
      <c r="O304" s="28"/>
    </row>
    <row r="305">
      <c r="A305" s="28"/>
      <c r="B305" s="42"/>
      <c r="C305" s="42"/>
      <c r="D305" s="42"/>
      <c r="E305" s="28"/>
      <c r="F305" s="28"/>
      <c r="G305" s="28"/>
      <c r="H305" s="28"/>
      <c r="O305" s="28"/>
    </row>
    <row r="306">
      <c r="A306" s="28"/>
      <c r="B306" s="42"/>
      <c r="C306" s="42"/>
      <c r="D306" s="42"/>
      <c r="E306" s="28"/>
      <c r="F306" s="28"/>
      <c r="G306" s="28"/>
      <c r="H306" s="28"/>
      <c r="O306" s="28"/>
    </row>
    <row r="307">
      <c r="A307" s="28"/>
      <c r="B307" s="42"/>
      <c r="C307" s="42"/>
      <c r="D307" s="42"/>
      <c r="E307" s="28"/>
      <c r="F307" s="28"/>
      <c r="G307" s="28"/>
      <c r="H307" s="28"/>
      <c r="O307" s="28"/>
    </row>
    <row r="308">
      <c r="A308" s="28"/>
      <c r="B308" s="42"/>
      <c r="C308" s="42"/>
      <c r="D308" s="42"/>
      <c r="E308" s="28"/>
      <c r="F308" s="28"/>
      <c r="G308" s="28"/>
      <c r="H308" s="28"/>
      <c r="O308" s="28"/>
    </row>
    <row r="309">
      <c r="A309" s="28"/>
      <c r="B309" s="42"/>
      <c r="C309" s="42"/>
      <c r="D309" s="42"/>
      <c r="E309" s="28"/>
      <c r="F309" s="28"/>
      <c r="G309" s="28"/>
      <c r="H309" s="28"/>
      <c r="O309" s="28"/>
    </row>
    <row r="310">
      <c r="A310" s="28"/>
      <c r="B310" s="42"/>
      <c r="C310" s="42"/>
      <c r="D310" s="42"/>
      <c r="E310" s="28"/>
      <c r="F310" s="28"/>
      <c r="G310" s="28"/>
      <c r="H310" s="28"/>
      <c r="O310" s="28"/>
    </row>
    <row r="311">
      <c r="A311" s="28"/>
      <c r="B311" s="42"/>
      <c r="C311" s="42"/>
      <c r="D311" s="42"/>
      <c r="E311" s="28"/>
      <c r="F311" s="28"/>
      <c r="G311" s="28"/>
      <c r="H311" s="28"/>
      <c r="O311" s="28"/>
    </row>
    <row r="312">
      <c r="A312" s="28"/>
      <c r="B312" s="42"/>
      <c r="C312" s="42"/>
      <c r="D312" s="42"/>
      <c r="E312" s="28"/>
      <c r="F312" s="28"/>
      <c r="G312" s="28"/>
      <c r="H312" s="28"/>
      <c r="O312" s="28"/>
    </row>
    <row r="313">
      <c r="A313" s="28"/>
      <c r="B313" s="42"/>
      <c r="C313" s="42"/>
      <c r="D313" s="42"/>
      <c r="E313" s="28"/>
      <c r="F313" s="28"/>
      <c r="G313" s="28"/>
      <c r="H313" s="28"/>
      <c r="O313" s="28"/>
    </row>
    <row r="314">
      <c r="A314" s="28"/>
      <c r="B314" s="42"/>
      <c r="C314" s="42"/>
      <c r="D314" s="42"/>
      <c r="E314" s="28"/>
      <c r="F314" s="28"/>
      <c r="G314" s="28"/>
      <c r="H314" s="28"/>
      <c r="O314" s="28"/>
    </row>
    <row r="315">
      <c r="A315" s="28"/>
      <c r="B315" s="42"/>
      <c r="C315" s="42"/>
      <c r="D315" s="42"/>
      <c r="E315" s="28"/>
      <c r="F315" s="28"/>
      <c r="G315" s="28"/>
      <c r="H315" s="28"/>
      <c r="O315" s="28"/>
    </row>
    <row r="316">
      <c r="A316" s="28"/>
      <c r="B316" s="42"/>
      <c r="C316" s="42"/>
      <c r="D316" s="42"/>
      <c r="E316" s="28"/>
      <c r="F316" s="28"/>
      <c r="G316" s="28"/>
      <c r="H316" s="28"/>
      <c r="O316" s="28"/>
    </row>
    <row r="317">
      <c r="A317" s="28"/>
      <c r="B317" s="42"/>
      <c r="C317" s="42"/>
      <c r="D317" s="42"/>
      <c r="E317" s="28"/>
      <c r="F317" s="28"/>
      <c r="G317" s="28"/>
      <c r="H317" s="28"/>
      <c r="O317" s="28"/>
    </row>
    <row r="318">
      <c r="A318" s="28"/>
      <c r="B318" s="42"/>
      <c r="C318" s="42"/>
      <c r="D318" s="42"/>
      <c r="E318" s="28"/>
      <c r="F318" s="28"/>
      <c r="G318" s="28"/>
      <c r="H318" s="28"/>
      <c r="O318" s="28"/>
    </row>
    <row r="319">
      <c r="A319" s="28"/>
      <c r="B319" s="42"/>
      <c r="C319" s="42"/>
      <c r="D319" s="42"/>
      <c r="E319" s="28"/>
      <c r="F319" s="28"/>
      <c r="G319" s="28"/>
      <c r="H319" s="28"/>
      <c r="O319" s="28"/>
    </row>
    <row r="320">
      <c r="A320" s="28"/>
      <c r="B320" s="42"/>
      <c r="C320" s="42"/>
      <c r="D320" s="42"/>
      <c r="E320" s="28"/>
      <c r="F320" s="28"/>
      <c r="G320" s="28"/>
      <c r="H320" s="28"/>
      <c r="O320" s="28"/>
    </row>
    <row r="321">
      <c r="A321" s="28"/>
      <c r="B321" s="42"/>
      <c r="C321" s="42"/>
      <c r="D321" s="42"/>
      <c r="E321" s="28"/>
      <c r="F321" s="28"/>
      <c r="G321" s="28"/>
      <c r="H321" s="28"/>
      <c r="O321" s="28"/>
    </row>
    <row r="322">
      <c r="A322" s="28"/>
      <c r="B322" s="42"/>
      <c r="C322" s="42"/>
      <c r="D322" s="42"/>
      <c r="E322" s="28"/>
      <c r="F322" s="28"/>
      <c r="G322" s="28"/>
      <c r="H322" s="28"/>
      <c r="O322" s="28"/>
    </row>
    <row r="323">
      <c r="A323" s="28"/>
      <c r="B323" s="42"/>
      <c r="C323" s="42"/>
      <c r="D323" s="42"/>
      <c r="E323" s="28"/>
      <c r="F323" s="28"/>
      <c r="G323" s="28"/>
      <c r="H323" s="28"/>
      <c r="O323" s="28"/>
    </row>
    <row r="324">
      <c r="A324" s="28"/>
      <c r="B324" s="42"/>
      <c r="C324" s="42"/>
      <c r="D324" s="42"/>
      <c r="E324" s="28"/>
      <c r="F324" s="28"/>
      <c r="G324" s="28"/>
      <c r="H324" s="28"/>
      <c r="O324" s="28"/>
    </row>
    <row r="325">
      <c r="A325" s="28"/>
      <c r="B325" s="42"/>
      <c r="C325" s="42"/>
      <c r="D325" s="42"/>
      <c r="E325" s="28"/>
      <c r="F325" s="28"/>
      <c r="G325" s="28"/>
      <c r="H325" s="28"/>
      <c r="O325" s="28"/>
    </row>
    <row r="326">
      <c r="A326" s="28"/>
      <c r="B326" s="42"/>
      <c r="C326" s="42"/>
      <c r="D326" s="42"/>
      <c r="E326" s="28"/>
      <c r="F326" s="28"/>
      <c r="G326" s="28"/>
      <c r="H326" s="28"/>
      <c r="O326" s="28"/>
    </row>
    <row r="327">
      <c r="A327" s="28"/>
      <c r="B327" s="42"/>
      <c r="C327" s="42"/>
      <c r="D327" s="42"/>
      <c r="E327" s="28"/>
      <c r="F327" s="28"/>
      <c r="G327" s="28"/>
      <c r="H327" s="28"/>
      <c r="O327" s="28"/>
    </row>
    <row r="328">
      <c r="A328" s="28"/>
      <c r="B328" s="42"/>
      <c r="C328" s="42"/>
      <c r="D328" s="42"/>
      <c r="E328" s="28"/>
      <c r="F328" s="28"/>
      <c r="G328" s="28"/>
      <c r="H328" s="28"/>
      <c r="O328" s="28"/>
    </row>
    <row r="329">
      <c r="A329" s="28"/>
      <c r="B329" s="42"/>
      <c r="C329" s="42"/>
      <c r="D329" s="42"/>
      <c r="E329" s="28"/>
      <c r="F329" s="28"/>
      <c r="G329" s="28"/>
      <c r="H329" s="28"/>
      <c r="O329" s="28"/>
    </row>
    <row r="330">
      <c r="A330" s="28"/>
      <c r="B330" s="42"/>
      <c r="C330" s="42"/>
      <c r="D330" s="42"/>
      <c r="E330" s="28"/>
      <c r="F330" s="28"/>
      <c r="G330" s="28"/>
      <c r="H330" s="28"/>
      <c r="O330" s="28"/>
    </row>
    <row r="331">
      <c r="A331" s="28"/>
      <c r="B331" s="42"/>
      <c r="C331" s="42"/>
      <c r="D331" s="42"/>
      <c r="E331" s="28"/>
      <c r="F331" s="28"/>
      <c r="G331" s="28"/>
      <c r="H331" s="28"/>
      <c r="O331" s="28"/>
    </row>
    <row r="332">
      <c r="A332" s="28"/>
      <c r="B332" s="42"/>
      <c r="C332" s="42"/>
      <c r="D332" s="42"/>
      <c r="E332" s="28"/>
      <c r="F332" s="28"/>
      <c r="G332" s="28"/>
      <c r="H332" s="28"/>
      <c r="O332" s="28"/>
    </row>
    <row r="333">
      <c r="A333" s="28"/>
      <c r="B333" s="42"/>
      <c r="C333" s="42"/>
      <c r="D333" s="42"/>
      <c r="E333" s="28"/>
      <c r="F333" s="28"/>
      <c r="G333" s="28"/>
      <c r="H333" s="28"/>
      <c r="O333" s="28"/>
    </row>
    <row r="334">
      <c r="A334" s="28"/>
      <c r="B334" s="42"/>
      <c r="C334" s="42"/>
      <c r="D334" s="42"/>
      <c r="E334" s="28"/>
      <c r="F334" s="28"/>
      <c r="G334" s="28"/>
      <c r="H334" s="28"/>
      <c r="O334" s="28"/>
    </row>
    <row r="335">
      <c r="A335" s="28"/>
      <c r="B335" s="42"/>
      <c r="C335" s="42"/>
      <c r="D335" s="42"/>
      <c r="E335" s="28"/>
      <c r="F335" s="28"/>
      <c r="G335" s="28"/>
      <c r="H335" s="28"/>
      <c r="O335" s="28"/>
    </row>
    <row r="336">
      <c r="A336" s="28"/>
      <c r="B336" s="42"/>
      <c r="C336" s="42"/>
      <c r="D336" s="42"/>
      <c r="E336" s="28"/>
      <c r="F336" s="28"/>
      <c r="G336" s="28"/>
      <c r="H336" s="28"/>
      <c r="O336" s="28"/>
    </row>
    <row r="337">
      <c r="A337" s="28"/>
      <c r="B337" s="42"/>
      <c r="C337" s="42"/>
      <c r="D337" s="42"/>
      <c r="E337" s="28"/>
      <c r="F337" s="28"/>
      <c r="G337" s="28"/>
      <c r="H337" s="28"/>
      <c r="O337" s="28"/>
    </row>
    <row r="338">
      <c r="A338" s="28"/>
      <c r="B338" s="42"/>
      <c r="C338" s="42"/>
      <c r="D338" s="42"/>
      <c r="E338" s="28"/>
      <c r="F338" s="28"/>
      <c r="G338" s="28"/>
      <c r="H338" s="28"/>
      <c r="O338" s="28"/>
    </row>
    <row r="339">
      <c r="A339" s="28"/>
      <c r="B339" s="42"/>
      <c r="C339" s="42"/>
      <c r="D339" s="42"/>
      <c r="E339" s="28"/>
      <c r="F339" s="28"/>
      <c r="G339" s="28"/>
      <c r="H339" s="28"/>
      <c r="O339" s="28"/>
    </row>
    <row r="340">
      <c r="A340" s="28"/>
      <c r="B340" s="42"/>
      <c r="C340" s="42"/>
      <c r="D340" s="42"/>
      <c r="E340" s="28"/>
      <c r="F340" s="28"/>
      <c r="G340" s="28"/>
      <c r="H340" s="28"/>
      <c r="O340" s="28"/>
    </row>
    <row r="341">
      <c r="A341" s="28"/>
      <c r="B341" s="42"/>
      <c r="C341" s="42"/>
      <c r="D341" s="42"/>
      <c r="E341" s="28"/>
      <c r="F341" s="28"/>
      <c r="G341" s="28"/>
      <c r="H341" s="28"/>
      <c r="O341" s="28"/>
    </row>
    <row r="342">
      <c r="A342" s="28"/>
      <c r="B342" s="42"/>
      <c r="C342" s="42"/>
      <c r="D342" s="42"/>
      <c r="E342" s="28"/>
      <c r="F342" s="28"/>
      <c r="G342" s="28"/>
      <c r="H342" s="28"/>
      <c r="O342" s="28"/>
    </row>
    <row r="343">
      <c r="A343" s="28"/>
      <c r="B343" s="42"/>
      <c r="C343" s="42"/>
      <c r="D343" s="42"/>
      <c r="E343" s="28"/>
      <c r="F343" s="28"/>
      <c r="G343" s="28"/>
      <c r="H343" s="28"/>
      <c r="O343" s="28"/>
    </row>
    <row r="344">
      <c r="A344" s="28"/>
      <c r="B344" s="42"/>
      <c r="C344" s="42"/>
      <c r="D344" s="42"/>
      <c r="E344" s="28"/>
      <c r="F344" s="28"/>
      <c r="G344" s="28"/>
      <c r="H344" s="28"/>
      <c r="O344" s="28"/>
    </row>
    <row r="345">
      <c r="A345" s="28"/>
      <c r="B345" s="42"/>
      <c r="C345" s="42"/>
      <c r="D345" s="42"/>
      <c r="E345" s="28"/>
      <c r="F345" s="28"/>
      <c r="G345" s="28"/>
      <c r="H345" s="28"/>
      <c r="O345" s="28"/>
    </row>
    <row r="346">
      <c r="A346" s="28"/>
      <c r="B346" s="42"/>
      <c r="C346" s="42"/>
      <c r="D346" s="42"/>
      <c r="E346" s="28"/>
      <c r="F346" s="28"/>
      <c r="G346" s="28"/>
      <c r="H346" s="28"/>
      <c r="O346" s="28"/>
    </row>
    <row r="347">
      <c r="A347" s="28"/>
      <c r="B347" s="42"/>
      <c r="C347" s="42"/>
      <c r="D347" s="42"/>
      <c r="E347" s="28"/>
      <c r="F347" s="28"/>
      <c r="G347" s="28"/>
      <c r="H347" s="28"/>
      <c r="O347" s="28"/>
    </row>
    <row r="348">
      <c r="A348" s="28"/>
      <c r="B348" s="42"/>
      <c r="C348" s="42"/>
      <c r="D348" s="42"/>
      <c r="E348" s="28"/>
      <c r="F348" s="28"/>
      <c r="G348" s="28"/>
      <c r="H348" s="28"/>
      <c r="O348" s="28"/>
    </row>
    <row r="349">
      <c r="A349" s="28"/>
      <c r="B349" s="42"/>
      <c r="C349" s="42"/>
      <c r="D349" s="42"/>
      <c r="E349" s="28"/>
      <c r="F349" s="28"/>
      <c r="G349" s="28"/>
      <c r="H349" s="28"/>
      <c r="O349" s="28"/>
    </row>
    <row r="350">
      <c r="A350" s="28"/>
      <c r="B350" s="42"/>
      <c r="C350" s="42"/>
      <c r="D350" s="42"/>
      <c r="E350" s="28"/>
      <c r="F350" s="28"/>
      <c r="G350" s="28"/>
      <c r="H350" s="28"/>
      <c r="O350" s="28"/>
    </row>
    <row r="351">
      <c r="A351" s="28"/>
      <c r="B351" s="42"/>
      <c r="C351" s="42"/>
      <c r="D351" s="42"/>
      <c r="E351" s="28"/>
      <c r="F351" s="28"/>
      <c r="G351" s="28"/>
      <c r="H351" s="28"/>
      <c r="O351" s="28"/>
    </row>
    <row r="352">
      <c r="A352" s="28"/>
      <c r="B352" s="42"/>
      <c r="C352" s="42"/>
      <c r="D352" s="42"/>
      <c r="E352" s="28"/>
      <c r="F352" s="28"/>
      <c r="G352" s="28"/>
      <c r="H352" s="28"/>
      <c r="O352" s="28"/>
    </row>
    <row r="353">
      <c r="A353" s="28"/>
      <c r="B353" s="42"/>
      <c r="C353" s="42"/>
      <c r="D353" s="42"/>
      <c r="E353" s="28"/>
      <c r="F353" s="28"/>
      <c r="G353" s="28"/>
      <c r="H353" s="28"/>
      <c r="O353" s="28"/>
    </row>
    <row r="354">
      <c r="A354" s="28"/>
      <c r="B354" s="42"/>
      <c r="C354" s="42"/>
      <c r="D354" s="42"/>
      <c r="E354" s="28"/>
      <c r="F354" s="28"/>
      <c r="G354" s="28"/>
      <c r="H354" s="28"/>
      <c r="O354" s="28"/>
    </row>
    <row r="355">
      <c r="A355" s="28"/>
      <c r="B355" s="42"/>
      <c r="C355" s="42"/>
      <c r="D355" s="42"/>
      <c r="E355" s="28"/>
      <c r="F355" s="28"/>
      <c r="G355" s="28"/>
      <c r="H355" s="28"/>
      <c r="O355" s="28"/>
    </row>
    <row r="356">
      <c r="A356" s="28"/>
      <c r="B356" s="42"/>
      <c r="C356" s="42"/>
      <c r="D356" s="42"/>
      <c r="E356" s="28"/>
      <c r="F356" s="28"/>
      <c r="G356" s="28"/>
      <c r="H356" s="28"/>
      <c r="O356" s="28"/>
    </row>
    <row r="357">
      <c r="A357" s="28"/>
      <c r="B357" s="42"/>
      <c r="C357" s="42"/>
      <c r="D357" s="42"/>
      <c r="E357" s="28"/>
      <c r="F357" s="28"/>
      <c r="G357" s="28"/>
      <c r="H357" s="28"/>
      <c r="O357" s="28"/>
    </row>
    <row r="358">
      <c r="A358" s="28"/>
      <c r="B358" s="42"/>
      <c r="C358" s="42"/>
      <c r="D358" s="42"/>
      <c r="E358" s="28"/>
      <c r="F358" s="28"/>
      <c r="G358" s="28"/>
      <c r="H358" s="28"/>
      <c r="O358" s="28"/>
    </row>
    <row r="359">
      <c r="A359" s="28"/>
      <c r="B359" s="42"/>
      <c r="C359" s="42"/>
      <c r="D359" s="42"/>
      <c r="E359" s="28"/>
      <c r="F359" s="28"/>
      <c r="G359" s="28"/>
      <c r="H359" s="28"/>
      <c r="O359" s="28"/>
    </row>
    <row r="360">
      <c r="A360" s="28"/>
      <c r="B360" s="42"/>
      <c r="C360" s="42"/>
      <c r="D360" s="42"/>
      <c r="E360" s="28"/>
      <c r="F360" s="28"/>
      <c r="G360" s="28"/>
      <c r="H360" s="28"/>
      <c r="O360" s="28"/>
    </row>
    <row r="361">
      <c r="A361" s="28"/>
      <c r="B361" s="42"/>
      <c r="C361" s="42"/>
      <c r="D361" s="42"/>
      <c r="E361" s="28"/>
      <c r="F361" s="28"/>
      <c r="G361" s="28"/>
      <c r="H361" s="28"/>
      <c r="O361" s="28"/>
    </row>
    <row r="362">
      <c r="A362" s="28"/>
      <c r="B362" s="42"/>
      <c r="C362" s="42"/>
      <c r="D362" s="42"/>
      <c r="E362" s="28"/>
      <c r="F362" s="28"/>
      <c r="G362" s="28"/>
      <c r="H362" s="28"/>
      <c r="O362" s="28"/>
    </row>
    <row r="363">
      <c r="A363" s="28"/>
      <c r="B363" s="42"/>
      <c r="C363" s="42"/>
      <c r="D363" s="42"/>
      <c r="E363" s="28"/>
      <c r="F363" s="28"/>
      <c r="G363" s="28"/>
      <c r="H363" s="28"/>
      <c r="O363" s="28"/>
    </row>
    <row r="364">
      <c r="A364" s="28"/>
      <c r="B364" s="42"/>
      <c r="C364" s="42"/>
      <c r="D364" s="42"/>
      <c r="E364" s="28"/>
      <c r="F364" s="28"/>
      <c r="G364" s="28"/>
      <c r="H364" s="28"/>
      <c r="O364" s="28"/>
    </row>
    <row r="365">
      <c r="A365" s="28"/>
      <c r="B365" s="42"/>
      <c r="C365" s="42"/>
      <c r="D365" s="42"/>
      <c r="E365" s="28"/>
      <c r="F365" s="28"/>
      <c r="G365" s="28"/>
      <c r="H365" s="28"/>
      <c r="O365" s="28"/>
    </row>
    <row r="366">
      <c r="A366" s="28"/>
      <c r="B366" s="42"/>
      <c r="C366" s="42"/>
      <c r="D366" s="42"/>
      <c r="E366" s="28"/>
      <c r="F366" s="28"/>
      <c r="G366" s="28"/>
      <c r="H366" s="28"/>
      <c r="O366" s="28"/>
    </row>
    <row r="367">
      <c r="A367" s="28"/>
      <c r="B367" s="42"/>
      <c r="C367" s="42"/>
      <c r="D367" s="42"/>
      <c r="E367" s="28"/>
      <c r="F367" s="28"/>
      <c r="G367" s="28"/>
      <c r="H367" s="28"/>
      <c r="O367" s="28"/>
    </row>
    <row r="368">
      <c r="A368" s="28"/>
      <c r="B368" s="42"/>
      <c r="C368" s="42"/>
      <c r="D368" s="42"/>
      <c r="E368" s="28"/>
      <c r="F368" s="28"/>
      <c r="G368" s="28"/>
      <c r="H368" s="28"/>
      <c r="O368" s="28"/>
    </row>
    <row r="369">
      <c r="A369" s="28"/>
      <c r="B369" s="42"/>
      <c r="C369" s="42"/>
      <c r="D369" s="42"/>
      <c r="E369" s="28"/>
      <c r="F369" s="28"/>
      <c r="G369" s="28"/>
      <c r="H369" s="28"/>
      <c r="O369" s="28"/>
    </row>
    <row r="370">
      <c r="A370" s="28"/>
      <c r="B370" s="42"/>
      <c r="C370" s="42"/>
      <c r="D370" s="42"/>
      <c r="E370" s="28"/>
      <c r="F370" s="28"/>
      <c r="G370" s="28"/>
      <c r="H370" s="28"/>
      <c r="O370" s="28"/>
    </row>
    <row r="371">
      <c r="A371" s="28"/>
      <c r="B371" s="42"/>
      <c r="C371" s="42"/>
      <c r="D371" s="42"/>
      <c r="E371" s="28"/>
      <c r="F371" s="28"/>
      <c r="G371" s="28"/>
      <c r="H371" s="28"/>
      <c r="O371" s="28"/>
    </row>
    <row r="372">
      <c r="A372" s="28"/>
      <c r="B372" s="42"/>
      <c r="C372" s="42"/>
      <c r="D372" s="42"/>
      <c r="E372" s="28"/>
      <c r="F372" s="28"/>
      <c r="G372" s="28"/>
      <c r="H372" s="28"/>
      <c r="O372" s="28"/>
    </row>
    <row r="373">
      <c r="A373" s="28"/>
      <c r="B373" s="42"/>
      <c r="C373" s="42"/>
      <c r="D373" s="42"/>
      <c r="E373" s="28"/>
      <c r="F373" s="28"/>
      <c r="G373" s="28"/>
      <c r="H373" s="28"/>
      <c r="O373" s="28"/>
    </row>
    <row r="374">
      <c r="A374" s="28"/>
      <c r="B374" s="42"/>
      <c r="C374" s="42"/>
      <c r="D374" s="42"/>
      <c r="E374" s="28"/>
      <c r="F374" s="28"/>
      <c r="G374" s="28"/>
      <c r="H374" s="28"/>
      <c r="O374" s="28"/>
    </row>
    <row r="375">
      <c r="A375" s="28"/>
      <c r="B375" s="42"/>
      <c r="C375" s="42"/>
      <c r="D375" s="42"/>
      <c r="E375" s="28"/>
      <c r="F375" s="28"/>
      <c r="G375" s="28"/>
      <c r="H375" s="28"/>
      <c r="O375" s="28"/>
    </row>
    <row r="376">
      <c r="A376" s="28"/>
      <c r="B376" s="42"/>
      <c r="C376" s="42"/>
      <c r="D376" s="42"/>
      <c r="E376" s="28"/>
      <c r="F376" s="28"/>
      <c r="G376" s="28"/>
      <c r="H376" s="28"/>
      <c r="O376" s="28"/>
    </row>
    <row r="377">
      <c r="A377" s="28"/>
      <c r="B377" s="42"/>
      <c r="C377" s="42"/>
      <c r="D377" s="42"/>
      <c r="E377" s="28"/>
      <c r="F377" s="28"/>
      <c r="G377" s="28"/>
      <c r="H377" s="28"/>
      <c r="O377" s="28"/>
    </row>
    <row r="378">
      <c r="A378" s="28"/>
      <c r="B378" s="42"/>
      <c r="C378" s="42"/>
      <c r="D378" s="42"/>
      <c r="E378" s="28"/>
      <c r="F378" s="28"/>
      <c r="G378" s="28"/>
      <c r="H378" s="28"/>
      <c r="O378" s="28"/>
    </row>
    <row r="379">
      <c r="A379" s="28"/>
      <c r="B379" s="42"/>
      <c r="C379" s="42"/>
      <c r="D379" s="42"/>
      <c r="E379" s="28"/>
      <c r="F379" s="28"/>
      <c r="G379" s="28"/>
      <c r="H379" s="28"/>
      <c r="O379" s="28"/>
    </row>
    <row r="380">
      <c r="A380" s="28"/>
      <c r="B380" s="42"/>
      <c r="C380" s="42"/>
      <c r="D380" s="42"/>
      <c r="E380" s="28"/>
      <c r="F380" s="28"/>
      <c r="G380" s="28"/>
      <c r="H380" s="28"/>
      <c r="O380" s="28"/>
    </row>
    <row r="381">
      <c r="A381" s="28"/>
      <c r="B381" s="42"/>
      <c r="C381" s="42"/>
      <c r="D381" s="42"/>
      <c r="E381" s="28"/>
      <c r="F381" s="28"/>
      <c r="G381" s="28"/>
      <c r="H381" s="28"/>
      <c r="O381" s="28"/>
    </row>
    <row r="382">
      <c r="A382" s="28"/>
      <c r="B382" s="42"/>
      <c r="C382" s="42"/>
      <c r="D382" s="42"/>
      <c r="E382" s="28"/>
      <c r="F382" s="28"/>
      <c r="G382" s="28"/>
      <c r="H382" s="28"/>
      <c r="O382" s="28"/>
    </row>
    <row r="383">
      <c r="A383" s="28"/>
      <c r="B383" s="42"/>
      <c r="C383" s="42"/>
      <c r="D383" s="42"/>
      <c r="E383" s="28"/>
      <c r="F383" s="28"/>
      <c r="G383" s="28"/>
      <c r="H383" s="28"/>
      <c r="O383" s="28"/>
    </row>
    <row r="384">
      <c r="A384" s="28"/>
      <c r="B384" s="42"/>
      <c r="C384" s="42"/>
      <c r="D384" s="42"/>
      <c r="E384" s="28"/>
      <c r="F384" s="28"/>
      <c r="G384" s="28"/>
      <c r="H384" s="28"/>
      <c r="O384" s="28"/>
    </row>
    <row r="385">
      <c r="A385" s="28"/>
      <c r="B385" s="42"/>
      <c r="C385" s="42"/>
      <c r="D385" s="42"/>
      <c r="E385" s="28"/>
      <c r="F385" s="28"/>
      <c r="G385" s="28"/>
      <c r="H385" s="28"/>
      <c r="O385" s="28"/>
    </row>
    <row r="386">
      <c r="A386" s="28"/>
      <c r="B386" s="42"/>
      <c r="C386" s="42"/>
      <c r="D386" s="42"/>
      <c r="E386" s="28"/>
      <c r="F386" s="28"/>
      <c r="G386" s="28"/>
      <c r="H386" s="28"/>
      <c r="O386" s="28"/>
    </row>
    <row r="387">
      <c r="A387" s="28"/>
      <c r="B387" s="42"/>
      <c r="C387" s="42"/>
      <c r="D387" s="42"/>
      <c r="E387" s="28"/>
      <c r="F387" s="28"/>
      <c r="G387" s="28"/>
      <c r="H387" s="28"/>
      <c r="O387" s="28"/>
    </row>
    <row r="388">
      <c r="A388" s="28"/>
      <c r="B388" s="42"/>
      <c r="C388" s="42"/>
      <c r="D388" s="42"/>
      <c r="E388" s="28"/>
      <c r="F388" s="28"/>
      <c r="G388" s="28"/>
      <c r="H388" s="28"/>
      <c r="O388" s="28"/>
    </row>
    <row r="389">
      <c r="A389" s="28"/>
      <c r="B389" s="42"/>
      <c r="C389" s="42"/>
      <c r="D389" s="42"/>
      <c r="E389" s="28"/>
      <c r="F389" s="28"/>
      <c r="G389" s="28"/>
      <c r="H389" s="28"/>
      <c r="O389" s="28"/>
    </row>
    <row r="390">
      <c r="A390" s="28"/>
      <c r="B390" s="42"/>
      <c r="C390" s="42"/>
      <c r="D390" s="42"/>
      <c r="E390" s="28"/>
      <c r="F390" s="28"/>
      <c r="G390" s="28"/>
      <c r="H390" s="28"/>
      <c r="O390" s="28"/>
    </row>
    <row r="391">
      <c r="A391" s="28"/>
      <c r="B391" s="42"/>
      <c r="C391" s="42"/>
      <c r="D391" s="42"/>
      <c r="E391" s="28"/>
      <c r="F391" s="28"/>
      <c r="G391" s="28"/>
      <c r="H391" s="28"/>
      <c r="O391" s="28"/>
    </row>
    <row r="392">
      <c r="A392" s="28"/>
      <c r="B392" s="42"/>
      <c r="C392" s="42"/>
      <c r="D392" s="42"/>
      <c r="E392" s="28"/>
      <c r="F392" s="28"/>
      <c r="G392" s="28"/>
      <c r="H392" s="28"/>
      <c r="O392" s="28"/>
    </row>
    <row r="393">
      <c r="A393" s="28"/>
      <c r="B393" s="42"/>
      <c r="C393" s="42"/>
      <c r="D393" s="42"/>
      <c r="E393" s="28"/>
      <c r="F393" s="28"/>
      <c r="G393" s="28"/>
      <c r="H393" s="28"/>
      <c r="O393" s="28"/>
    </row>
    <row r="394">
      <c r="A394" s="28"/>
      <c r="B394" s="42"/>
      <c r="C394" s="42"/>
      <c r="D394" s="42"/>
      <c r="E394" s="28"/>
      <c r="F394" s="28"/>
      <c r="G394" s="28"/>
      <c r="H394" s="28"/>
      <c r="O394" s="28"/>
    </row>
    <row r="395">
      <c r="A395" s="28"/>
      <c r="B395" s="42"/>
      <c r="C395" s="42"/>
      <c r="D395" s="42"/>
      <c r="E395" s="28"/>
      <c r="F395" s="28"/>
      <c r="G395" s="28"/>
      <c r="H395" s="28"/>
      <c r="O395" s="28"/>
    </row>
    <row r="396">
      <c r="A396" s="28"/>
      <c r="B396" s="42"/>
      <c r="C396" s="42"/>
      <c r="D396" s="42"/>
      <c r="E396" s="28"/>
      <c r="F396" s="28"/>
      <c r="G396" s="28"/>
      <c r="H396" s="28"/>
      <c r="O396" s="28"/>
    </row>
    <row r="397">
      <c r="A397" s="28"/>
      <c r="B397" s="42"/>
      <c r="C397" s="42"/>
      <c r="D397" s="42"/>
      <c r="E397" s="28"/>
      <c r="F397" s="28"/>
      <c r="G397" s="28"/>
      <c r="H397" s="28"/>
      <c r="O397" s="28"/>
    </row>
    <row r="398">
      <c r="A398" s="28"/>
      <c r="B398" s="42"/>
      <c r="C398" s="42"/>
      <c r="D398" s="42"/>
      <c r="E398" s="28"/>
      <c r="F398" s="28"/>
      <c r="G398" s="28"/>
      <c r="H398" s="28"/>
      <c r="O398" s="28"/>
    </row>
    <row r="399">
      <c r="A399" s="28"/>
      <c r="B399" s="42"/>
      <c r="C399" s="42"/>
      <c r="D399" s="42"/>
      <c r="E399" s="28"/>
      <c r="F399" s="28"/>
      <c r="G399" s="28"/>
      <c r="H399" s="28"/>
      <c r="O399" s="28"/>
    </row>
    <row r="400">
      <c r="A400" s="28"/>
      <c r="B400" s="42"/>
      <c r="C400" s="42"/>
      <c r="D400" s="42"/>
      <c r="E400" s="28"/>
      <c r="F400" s="28"/>
      <c r="G400" s="28"/>
      <c r="H400" s="28"/>
      <c r="O400" s="28"/>
    </row>
    <row r="401">
      <c r="A401" s="28"/>
      <c r="B401" s="42"/>
      <c r="C401" s="42"/>
      <c r="D401" s="42"/>
      <c r="E401" s="28"/>
      <c r="F401" s="28"/>
      <c r="G401" s="28"/>
      <c r="H401" s="28"/>
      <c r="O401" s="28"/>
    </row>
    <row r="402">
      <c r="A402" s="28"/>
      <c r="B402" s="42"/>
      <c r="C402" s="42"/>
      <c r="D402" s="42"/>
      <c r="E402" s="28"/>
      <c r="F402" s="28"/>
      <c r="G402" s="28"/>
      <c r="H402" s="28"/>
      <c r="O402" s="28"/>
    </row>
    <row r="403">
      <c r="A403" s="28"/>
      <c r="B403" s="42"/>
      <c r="C403" s="42"/>
      <c r="D403" s="42"/>
      <c r="E403" s="28"/>
      <c r="F403" s="28"/>
      <c r="G403" s="28"/>
      <c r="H403" s="28"/>
      <c r="O403" s="28"/>
    </row>
    <row r="404">
      <c r="A404" s="28"/>
      <c r="B404" s="42"/>
      <c r="C404" s="42"/>
      <c r="D404" s="42"/>
      <c r="E404" s="28"/>
      <c r="F404" s="28"/>
      <c r="G404" s="28"/>
      <c r="H404" s="28"/>
      <c r="O404" s="28"/>
    </row>
    <row r="405">
      <c r="A405" s="28"/>
      <c r="B405" s="42"/>
      <c r="C405" s="42"/>
      <c r="D405" s="42"/>
      <c r="E405" s="28"/>
      <c r="F405" s="28"/>
      <c r="G405" s="28"/>
      <c r="H405" s="28"/>
      <c r="O405" s="28"/>
    </row>
    <row r="406">
      <c r="A406" s="28"/>
      <c r="B406" s="42"/>
      <c r="C406" s="42"/>
      <c r="D406" s="42"/>
      <c r="E406" s="28"/>
      <c r="F406" s="28"/>
      <c r="G406" s="28"/>
      <c r="H406" s="28"/>
      <c r="O406" s="28"/>
    </row>
    <row r="407">
      <c r="A407" s="28"/>
      <c r="B407" s="42"/>
      <c r="C407" s="42"/>
      <c r="D407" s="42"/>
      <c r="E407" s="28"/>
      <c r="F407" s="28"/>
      <c r="G407" s="28"/>
      <c r="H407" s="28"/>
      <c r="O407" s="28"/>
    </row>
    <row r="408">
      <c r="A408" s="28"/>
      <c r="B408" s="42"/>
      <c r="C408" s="42"/>
      <c r="D408" s="42"/>
      <c r="E408" s="28"/>
      <c r="F408" s="28"/>
      <c r="G408" s="28"/>
      <c r="H408" s="28"/>
      <c r="O408" s="28"/>
    </row>
    <row r="409">
      <c r="A409" s="28"/>
      <c r="B409" s="42"/>
      <c r="C409" s="42"/>
      <c r="D409" s="42"/>
      <c r="E409" s="28"/>
      <c r="F409" s="28"/>
      <c r="G409" s="28"/>
      <c r="H409" s="28"/>
      <c r="O409" s="28"/>
    </row>
    <row r="410">
      <c r="A410" s="28"/>
      <c r="B410" s="42"/>
      <c r="C410" s="42"/>
      <c r="D410" s="42"/>
      <c r="E410" s="28"/>
      <c r="F410" s="28"/>
      <c r="G410" s="28"/>
      <c r="H410" s="28"/>
      <c r="O410" s="28"/>
    </row>
    <row r="411">
      <c r="A411" s="28"/>
      <c r="B411" s="42"/>
      <c r="C411" s="42"/>
      <c r="D411" s="42"/>
      <c r="E411" s="28"/>
      <c r="F411" s="28"/>
      <c r="G411" s="28"/>
      <c r="H411" s="28"/>
      <c r="O411" s="28"/>
    </row>
    <row r="412">
      <c r="A412" s="28"/>
      <c r="B412" s="42"/>
      <c r="C412" s="42"/>
      <c r="D412" s="42"/>
      <c r="E412" s="28"/>
      <c r="F412" s="28"/>
      <c r="G412" s="28"/>
      <c r="H412" s="28"/>
      <c r="O412" s="28"/>
    </row>
    <row r="413">
      <c r="A413" s="28"/>
      <c r="B413" s="42"/>
      <c r="C413" s="42"/>
      <c r="D413" s="42"/>
      <c r="E413" s="28"/>
      <c r="F413" s="28"/>
      <c r="G413" s="28"/>
      <c r="H413" s="28"/>
      <c r="O413" s="28"/>
    </row>
    <row r="414">
      <c r="A414" s="28"/>
      <c r="B414" s="42"/>
      <c r="C414" s="42"/>
      <c r="D414" s="42"/>
      <c r="E414" s="28"/>
      <c r="F414" s="28"/>
      <c r="G414" s="28"/>
      <c r="H414" s="28"/>
      <c r="O414" s="28"/>
    </row>
    <row r="415">
      <c r="A415" s="28"/>
      <c r="B415" s="42"/>
      <c r="C415" s="42"/>
      <c r="D415" s="42"/>
      <c r="E415" s="28"/>
      <c r="F415" s="28"/>
      <c r="G415" s="28"/>
      <c r="H415" s="28"/>
      <c r="O415" s="28"/>
    </row>
    <row r="416">
      <c r="A416" s="28"/>
      <c r="B416" s="42"/>
      <c r="C416" s="42"/>
      <c r="D416" s="42"/>
      <c r="E416" s="28"/>
      <c r="F416" s="28"/>
      <c r="G416" s="28"/>
      <c r="H416" s="28"/>
      <c r="O416" s="28"/>
    </row>
    <row r="417">
      <c r="A417" s="28"/>
      <c r="B417" s="42"/>
      <c r="C417" s="42"/>
      <c r="D417" s="42"/>
      <c r="E417" s="28"/>
      <c r="F417" s="28"/>
      <c r="G417" s="28"/>
      <c r="H417" s="28"/>
      <c r="O417" s="28"/>
    </row>
    <row r="418">
      <c r="A418" s="28"/>
      <c r="B418" s="42"/>
      <c r="C418" s="42"/>
      <c r="D418" s="42"/>
      <c r="E418" s="28"/>
      <c r="F418" s="28"/>
      <c r="G418" s="28"/>
      <c r="H418" s="28"/>
      <c r="O418" s="28"/>
    </row>
    <row r="419">
      <c r="A419" s="28"/>
      <c r="B419" s="42"/>
      <c r="C419" s="42"/>
      <c r="D419" s="42"/>
      <c r="E419" s="28"/>
      <c r="F419" s="28"/>
      <c r="G419" s="28"/>
      <c r="H419" s="28"/>
      <c r="O419" s="28"/>
    </row>
    <row r="420">
      <c r="A420" s="28"/>
      <c r="B420" s="42"/>
      <c r="C420" s="42"/>
      <c r="D420" s="42"/>
      <c r="E420" s="28"/>
      <c r="F420" s="28"/>
      <c r="G420" s="28"/>
      <c r="H420" s="28"/>
      <c r="O420" s="28"/>
    </row>
    <row r="421">
      <c r="A421" s="28"/>
      <c r="B421" s="42"/>
      <c r="C421" s="42"/>
      <c r="D421" s="42"/>
      <c r="E421" s="28"/>
      <c r="F421" s="28"/>
      <c r="G421" s="28"/>
      <c r="H421" s="28"/>
      <c r="O421" s="28"/>
    </row>
    <row r="422">
      <c r="A422" s="28"/>
      <c r="B422" s="42"/>
      <c r="C422" s="42"/>
      <c r="D422" s="42"/>
      <c r="E422" s="28"/>
      <c r="F422" s="28"/>
      <c r="G422" s="28"/>
      <c r="H422" s="28"/>
      <c r="O422" s="28"/>
    </row>
    <row r="423">
      <c r="A423" s="28"/>
      <c r="B423" s="42"/>
      <c r="C423" s="42"/>
      <c r="D423" s="42"/>
      <c r="E423" s="28"/>
      <c r="F423" s="28"/>
      <c r="G423" s="28"/>
      <c r="H423" s="28"/>
      <c r="O423" s="28"/>
    </row>
    <row r="424">
      <c r="A424" s="28"/>
      <c r="B424" s="42"/>
      <c r="C424" s="42"/>
      <c r="D424" s="42"/>
      <c r="E424" s="28"/>
      <c r="F424" s="28"/>
      <c r="G424" s="28"/>
      <c r="H424" s="28"/>
      <c r="O424" s="28"/>
    </row>
    <row r="425">
      <c r="A425" s="28"/>
      <c r="B425" s="42"/>
      <c r="C425" s="42"/>
      <c r="D425" s="42"/>
      <c r="E425" s="28"/>
      <c r="F425" s="28"/>
      <c r="G425" s="28"/>
      <c r="H425" s="28"/>
      <c r="O425" s="28"/>
    </row>
    <row r="426">
      <c r="A426" s="28"/>
      <c r="B426" s="42"/>
      <c r="C426" s="42"/>
      <c r="D426" s="42"/>
      <c r="E426" s="28"/>
      <c r="F426" s="28"/>
      <c r="G426" s="28"/>
      <c r="H426" s="28"/>
      <c r="O426" s="28"/>
    </row>
    <row r="427">
      <c r="A427" s="28"/>
      <c r="B427" s="42"/>
      <c r="C427" s="42"/>
      <c r="D427" s="42"/>
      <c r="E427" s="28"/>
      <c r="F427" s="28"/>
      <c r="G427" s="28"/>
      <c r="H427" s="28"/>
      <c r="O427" s="28"/>
    </row>
    <row r="428">
      <c r="A428" s="28"/>
      <c r="B428" s="42"/>
      <c r="C428" s="42"/>
      <c r="D428" s="42"/>
      <c r="E428" s="28"/>
      <c r="F428" s="28"/>
      <c r="G428" s="28"/>
      <c r="H428" s="28"/>
      <c r="O428" s="28"/>
    </row>
    <row r="429">
      <c r="A429" s="28"/>
      <c r="B429" s="42"/>
      <c r="C429" s="42"/>
      <c r="D429" s="42"/>
      <c r="E429" s="28"/>
      <c r="F429" s="28"/>
      <c r="G429" s="28"/>
      <c r="H429" s="28"/>
      <c r="O429" s="28"/>
    </row>
    <row r="430">
      <c r="A430" s="28"/>
      <c r="B430" s="42"/>
      <c r="C430" s="42"/>
      <c r="D430" s="42"/>
      <c r="E430" s="28"/>
      <c r="F430" s="28"/>
      <c r="G430" s="28"/>
      <c r="H430" s="28"/>
      <c r="O430" s="28"/>
    </row>
    <row r="431">
      <c r="A431" s="28"/>
      <c r="B431" s="42"/>
      <c r="C431" s="42"/>
      <c r="D431" s="42"/>
      <c r="E431" s="28"/>
      <c r="F431" s="28"/>
      <c r="G431" s="28"/>
      <c r="H431" s="28"/>
      <c r="O431" s="28"/>
    </row>
    <row r="432">
      <c r="A432" s="28"/>
      <c r="B432" s="42"/>
      <c r="C432" s="42"/>
      <c r="D432" s="42"/>
      <c r="E432" s="28"/>
      <c r="F432" s="28"/>
      <c r="G432" s="28"/>
      <c r="H432" s="28"/>
      <c r="O432" s="28"/>
    </row>
    <row r="433">
      <c r="A433" s="28"/>
      <c r="B433" s="42"/>
      <c r="C433" s="42"/>
      <c r="D433" s="42"/>
      <c r="E433" s="28"/>
      <c r="F433" s="28"/>
      <c r="G433" s="28"/>
      <c r="H433" s="28"/>
      <c r="O433" s="28"/>
    </row>
    <row r="434">
      <c r="A434" s="28"/>
      <c r="B434" s="42"/>
      <c r="C434" s="42"/>
      <c r="D434" s="42"/>
      <c r="E434" s="28"/>
      <c r="F434" s="28"/>
      <c r="G434" s="28"/>
      <c r="H434" s="28"/>
      <c r="O434" s="28"/>
    </row>
    <row r="435">
      <c r="A435" s="28"/>
      <c r="B435" s="42"/>
      <c r="C435" s="42"/>
      <c r="D435" s="42"/>
      <c r="E435" s="28"/>
      <c r="F435" s="28"/>
      <c r="G435" s="28"/>
      <c r="H435" s="28"/>
      <c r="O435" s="28"/>
    </row>
    <row r="436">
      <c r="A436" s="28"/>
      <c r="B436" s="42"/>
      <c r="C436" s="42"/>
      <c r="D436" s="42"/>
      <c r="E436" s="28"/>
      <c r="F436" s="28"/>
      <c r="G436" s="28"/>
      <c r="H436" s="28"/>
      <c r="O436" s="28"/>
    </row>
    <row r="437">
      <c r="A437" s="28"/>
      <c r="B437" s="42"/>
      <c r="C437" s="42"/>
      <c r="D437" s="42"/>
      <c r="E437" s="28"/>
      <c r="F437" s="28"/>
      <c r="G437" s="28"/>
      <c r="H437" s="28"/>
      <c r="O437" s="28"/>
    </row>
    <row r="438">
      <c r="A438" s="28"/>
      <c r="B438" s="42"/>
      <c r="C438" s="42"/>
      <c r="D438" s="42"/>
      <c r="E438" s="28"/>
      <c r="F438" s="28"/>
      <c r="G438" s="28"/>
      <c r="H438" s="28"/>
      <c r="O438" s="28"/>
    </row>
    <row r="439">
      <c r="A439" s="28"/>
      <c r="B439" s="42"/>
      <c r="C439" s="42"/>
      <c r="D439" s="42"/>
      <c r="E439" s="28"/>
      <c r="F439" s="28"/>
      <c r="G439" s="28"/>
      <c r="H439" s="28"/>
      <c r="O439" s="28"/>
    </row>
    <row r="440">
      <c r="A440" s="28"/>
      <c r="B440" s="42"/>
      <c r="C440" s="42"/>
      <c r="D440" s="42"/>
      <c r="E440" s="28"/>
      <c r="F440" s="28"/>
      <c r="G440" s="28"/>
      <c r="H440" s="28"/>
      <c r="O440" s="28"/>
    </row>
    <row r="441">
      <c r="A441" s="28"/>
      <c r="B441" s="42"/>
      <c r="C441" s="42"/>
      <c r="D441" s="42"/>
      <c r="E441" s="28"/>
      <c r="F441" s="28"/>
      <c r="G441" s="28"/>
      <c r="H441" s="28"/>
      <c r="O441" s="28"/>
    </row>
    <row r="442">
      <c r="A442" s="28"/>
      <c r="B442" s="42"/>
      <c r="C442" s="42"/>
      <c r="D442" s="42"/>
      <c r="E442" s="28"/>
      <c r="F442" s="28"/>
      <c r="G442" s="28"/>
      <c r="H442" s="28"/>
      <c r="O442" s="28"/>
    </row>
    <row r="443">
      <c r="A443" s="28"/>
      <c r="B443" s="42"/>
      <c r="C443" s="42"/>
      <c r="D443" s="42"/>
      <c r="E443" s="28"/>
      <c r="F443" s="28"/>
      <c r="G443" s="28"/>
      <c r="H443" s="28"/>
      <c r="O443" s="28"/>
    </row>
    <row r="444">
      <c r="A444" s="28"/>
      <c r="B444" s="42"/>
      <c r="C444" s="42"/>
      <c r="D444" s="42"/>
      <c r="E444" s="28"/>
      <c r="F444" s="28"/>
      <c r="G444" s="28"/>
      <c r="H444" s="28"/>
      <c r="O444" s="28"/>
    </row>
    <row r="445">
      <c r="A445" s="28"/>
      <c r="B445" s="42"/>
      <c r="C445" s="42"/>
      <c r="D445" s="42"/>
      <c r="E445" s="28"/>
      <c r="F445" s="28"/>
      <c r="G445" s="28"/>
      <c r="H445" s="28"/>
      <c r="O445" s="28"/>
    </row>
    <row r="446">
      <c r="A446" s="28"/>
      <c r="B446" s="42"/>
      <c r="C446" s="42"/>
      <c r="D446" s="42"/>
      <c r="E446" s="28"/>
      <c r="F446" s="28"/>
      <c r="G446" s="28"/>
      <c r="H446" s="28"/>
      <c r="O446" s="28"/>
    </row>
    <row r="447">
      <c r="A447" s="28"/>
      <c r="B447" s="42"/>
      <c r="C447" s="42"/>
      <c r="D447" s="42"/>
      <c r="E447" s="28"/>
      <c r="F447" s="28"/>
      <c r="G447" s="28"/>
      <c r="H447" s="28"/>
      <c r="O447" s="28"/>
    </row>
    <row r="448">
      <c r="A448" s="28"/>
      <c r="B448" s="42"/>
      <c r="C448" s="42"/>
      <c r="D448" s="42"/>
      <c r="E448" s="28"/>
      <c r="F448" s="28"/>
      <c r="G448" s="28"/>
      <c r="H448" s="28"/>
      <c r="O448" s="28"/>
    </row>
    <row r="449">
      <c r="A449" s="28"/>
      <c r="B449" s="42"/>
      <c r="C449" s="42"/>
      <c r="D449" s="42"/>
      <c r="E449" s="28"/>
      <c r="F449" s="28"/>
      <c r="G449" s="28"/>
      <c r="H449" s="28"/>
      <c r="O449" s="28"/>
    </row>
    <row r="450">
      <c r="A450" s="28"/>
      <c r="B450" s="42"/>
      <c r="C450" s="42"/>
      <c r="D450" s="42"/>
      <c r="E450" s="28"/>
      <c r="F450" s="28"/>
      <c r="G450" s="28"/>
      <c r="H450" s="28"/>
      <c r="O450" s="28"/>
    </row>
    <row r="451">
      <c r="A451" s="28"/>
      <c r="B451" s="42"/>
      <c r="C451" s="42"/>
      <c r="D451" s="42"/>
      <c r="E451" s="28"/>
      <c r="F451" s="28"/>
      <c r="G451" s="28"/>
      <c r="H451" s="28"/>
      <c r="O451" s="28"/>
    </row>
    <row r="452">
      <c r="A452" s="28"/>
      <c r="B452" s="42"/>
      <c r="C452" s="42"/>
      <c r="D452" s="42"/>
      <c r="E452" s="28"/>
      <c r="F452" s="28"/>
      <c r="G452" s="28"/>
      <c r="H452" s="28"/>
      <c r="O452" s="28"/>
    </row>
    <row r="453">
      <c r="A453" s="28"/>
      <c r="B453" s="42"/>
      <c r="C453" s="42"/>
      <c r="D453" s="42"/>
      <c r="E453" s="28"/>
      <c r="F453" s="28"/>
      <c r="G453" s="28"/>
      <c r="H453" s="28"/>
      <c r="O453" s="28"/>
    </row>
    <row r="454">
      <c r="A454" s="28"/>
      <c r="B454" s="42"/>
      <c r="C454" s="42"/>
      <c r="D454" s="42"/>
      <c r="E454" s="28"/>
      <c r="F454" s="28"/>
      <c r="G454" s="28"/>
      <c r="H454" s="28"/>
      <c r="O454" s="28"/>
    </row>
    <row r="455">
      <c r="A455" s="28"/>
      <c r="B455" s="42"/>
      <c r="C455" s="42"/>
      <c r="D455" s="42"/>
      <c r="E455" s="28"/>
      <c r="F455" s="28"/>
      <c r="G455" s="28"/>
      <c r="H455" s="28"/>
      <c r="O455" s="28"/>
    </row>
    <row r="456">
      <c r="A456" s="28"/>
      <c r="B456" s="42"/>
      <c r="C456" s="42"/>
      <c r="D456" s="42"/>
      <c r="E456" s="28"/>
      <c r="F456" s="28"/>
      <c r="G456" s="28"/>
      <c r="H456" s="28"/>
      <c r="O456" s="28"/>
    </row>
    <row r="457">
      <c r="A457" s="28"/>
      <c r="B457" s="42"/>
      <c r="C457" s="42"/>
      <c r="D457" s="42"/>
      <c r="E457" s="28"/>
      <c r="F457" s="28"/>
      <c r="G457" s="28"/>
      <c r="H457" s="28"/>
      <c r="O457" s="28"/>
    </row>
    <row r="458">
      <c r="A458" s="28"/>
      <c r="B458" s="42"/>
      <c r="C458" s="42"/>
      <c r="D458" s="42"/>
      <c r="E458" s="28"/>
      <c r="F458" s="28"/>
      <c r="G458" s="28"/>
      <c r="H458" s="28"/>
      <c r="O458" s="28"/>
    </row>
    <row r="459">
      <c r="A459" s="28"/>
      <c r="B459" s="42"/>
      <c r="C459" s="42"/>
      <c r="D459" s="42"/>
      <c r="E459" s="28"/>
      <c r="F459" s="28"/>
      <c r="G459" s="28"/>
      <c r="H459" s="28"/>
      <c r="O459" s="28"/>
    </row>
    <row r="460">
      <c r="A460" s="28"/>
      <c r="B460" s="42"/>
      <c r="C460" s="42"/>
      <c r="D460" s="42"/>
      <c r="E460" s="28"/>
      <c r="F460" s="28"/>
      <c r="G460" s="28"/>
      <c r="H460" s="28"/>
      <c r="O460" s="28"/>
    </row>
    <row r="461">
      <c r="A461" s="28"/>
      <c r="B461" s="42"/>
      <c r="C461" s="42"/>
      <c r="D461" s="42"/>
      <c r="E461" s="28"/>
      <c r="F461" s="28"/>
      <c r="G461" s="28"/>
      <c r="H461" s="28"/>
      <c r="O461" s="28"/>
    </row>
    <row r="462">
      <c r="A462" s="28"/>
      <c r="B462" s="42"/>
      <c r="C462" s="42"/>
      <c r="D462" s="42"/>
      <c r="E462" s="28"/>
      <c r="F462" s="28"/>
      <c r="G462" s="28"/>
      <c r="H462" s="28"/>
      <c r="O462" s="28"/>
    </row>
    <row r="463">
      <c r="A463" s="28"/>
      <c r="B463" s="42"/>
      <c r="C463" s="42"/>
      <c r="D463" s="42"/>
      <c r="E463" s="28"/>
      <c r="F463" s="28"/>
      <c r="G463" s="28"/>
      <c r="H463" s="28"/>
      <c r="O463" s="28"/>
    </row>
    <row r="464">
      <c r="A464" s="28"/>
      <c r="B464" s="42"/>
      <c r="C464" s="42"/>
      <c r="D464" s="42"/>
      <c r="E464" s="28"/>
      <c r="F464" s="28"/>
      <c r="G464" s="28"/>
      <c r="H464" s="28"/>
      <c r="O464" s="28"/>
    </row>
    <row r="465">
      <c r="A465" s="28"/>
      <c r="B465" s="42"/>
      <c r="C465" s="42"/>
      <c r="D465" s="42"/>
      <c r="E465" s="28"/>
      <c r="F465" s="28"/>
      <c r="G465" s="28"/>
      <c r="H465" s="28"/>
      <c r="O465" s="28"/>
    </row>
    <row r="466">
      <c r="A466" s="28"/>
      <c r="B466" s="42"/>
      <c r="C466" s="42"/>
      <c r="D466" s="42"/>
      <c r="E466" s="28"/>
      <c r="F466" s="28"/>
      <c r="G466" s="28"/>
      <c r="H466" s="28"/>
      <c r="O466" s="28"/>
    </row>
    <row r="467">
      <c r="A467" s="28"/>
      <c r="B467" s="42"/>
      <c r="C467" s="42"/>
      <c r="D467" s="42"/>
      <c r="E467" s="28"/>
      <c r="F467" s="28"/>
      <c r="G467" s="28"/>
      <c r="H467" s="28"/>
      <c r="O467" s="28"/>
    </row>
    <row r="468">
      <c r="A468" s="28"/>
      <c r="B468" s="42"/>
      <c r="C468" s="42"/>
      <c r="D468" s="42"/>
      <c r="E468" s="28"/>
      <c r="F468" s="28"/>
      <c r="G468" s="28"/>
      <c r="H468" s="28"/>
      <c r="O468" s="28"/>
    </row>
    <row r="469">
      <c r="A469" s="28"/>
      <c r="B469" s="42"/>
      <c r="C469" s="42"/>
      <c r="D469" s="42"/>
      <c r="E469" s="28"/>
      <c r="F469" s="28"/>
      <c r="G469" s="28"/>
      <c r="H469" s="28"/>
      <c r="O469" s="28"/>
    </row>
    <row r="470">
      <c r="A470" s="28"/>
      <c r="B470" s="42"/>
      <c r="C470" s="42"/>
      <c r="D470" s="42"/>
      <c r="E470" s="28"/>
      <c r="F470" s="28"/>
      <c r="G470" s="28"/>
      <c r="H470" s="28"/>
      <c r="O470" s="28"/>
    </row>
    <row r="471">
      <c r="A471" s="28"/>
      <c r="B471" s="42"/>
      <c r="C471" s="42"/>
      <c r="D471" s="42"/>
      <c r="E471" s="28"/>
      <c r="F471" s="28"/>
      <c r="G471" s="28"/>
      <c r="H471" s="28"/>
      <c r="O471" s="28"/>
    </row>
    <row r="472">
      <c r="A472" s="28"/>
      <c r="B472" s="42"/>
      <c r="C472" s="42"/>
      <c r="D472" s="42"/>
      <c r="E472" s="28"/>
      <c r="F472" s="28"/>
      <c r="G472" s="28"/>
      <c r="H472" s="28"/>
      <c r="O472" s="28"/>
    </row>
    <row r="473">
      <c r="A473" s="28"/>
      <c r="B473" s="42"/>
      <c r="C473" s="42"/>
      <c r="D473" s="42"/>
      <c r="E473" s="28"/>
      <c r="F473" s="28"/>
      <c r="G473" s="28"/>
      <c r="H473" s="28"/>
      <c r="O473" s="28"/>
    </row>
    <row r="474">
      <c r="A474" s="28"/>
      <c r="B474" s="42"/>
      <c r="C474" s="42"/>
      <c r="D474" s="42"/>
      <c r="E474" s="28"/>
      <c r="F474" s="28"/>
      <c r="G474" s="28"/>
      <c r="H474" s="28"/>
      <c r="O474" s="28"/>
    </row>
    <row r="475">
      <c r="A475" s="28"/>
      <c r="B475" s="42"/>
      <c r="C475" s="42"/>
      <c r="D475" s="42"/>
      <c r="E475" s="28"/>
      <c r="F475" s="28"/>
      <c r="G475" s="28"/>
      <c r="H475" s="28"/>
      <c r="O475" s="28"/>
    </row>
    <row r="476">
      <c r="A476" s="28"/>
      <c r="B476" s="42"/>
      <c r="C476" s="42"/>
      <c r="D476" s="42"/>
      <c r="E476" s="28"/>
      <c r="F476" s="28"/>
      <c r="G476" s="28"/>
      <c r="H476" s="28"/>
      <c r="O476" s="28"/>
    </row>
    <row r="477">
      <c r="A477" s="28"/>
      <c r="B477" s="42"/>
      <c r="C477" s="42"/>
      <c r="D477" s="42"/>
      <c r="E477" s="28"/>
      <c r="F477" s="28"/>
      <c r="G477" s="28"/>
      <c r="H477" s="28"/>
      <c r="O477" s="28"/>
    </row>
    <row r="478">
      <c r="A478" s="28"/>
      <c r="B478" s="42"/>
      <c r="C478" s="42"/>
      <c r="D478" s="42"/>
      <c r="E478" s="28"/>
      <c r="F478" s="28"/>
      <c r="G478" s="28"/>
      <c r="H478" s="28"/>
      <c r="O478" s="28"/>
    </row>
    <row r="479">
      <c r="A479" s="28"/>
      <c r="B479" s="42"/>
      <c r="C479" s="42"/>
      <c r="D479" s="42"/>
      <c r="E479" s="28"/>
      <c r="F479" s="28"/>
      <c r="G479" s="28"/>
      <c r="H479" s="28"/>
      <c r="O479" s="28"/>
    </row>
    <row r="480">
      <c r="A480" s="28"/>
      <c r="B480" s="42"/>
      <c r="C480" s="42"/>
      <c r="D480" s="42"/>
      <c r="E480" s="28"/>
      <c r="F480" s="28"/>
      <c r="G480" s="28"/>
      <c r="H480" s="28"/>
      <c r="O480" s="28"/>
    </row>
    <row r="481">
      <c r="A481" s="28"/>
      <c r="B481" s="42"/>
      <c r="C481" s="42"/>
      <c r="D481" s="42"/>
      <c r="E481" s="28"/>
      <c r="F481" s="28"/>
      <c r="G481" s="28"/>
      <c r="H481" s="28"/>
      <c r="O481" s="28"/>
    </row>
    <row r="482">
      <c r="A482" s="28"/>
      <c r="B482" s="42"/>
      <c r="C482" s="42"/>
      <c r="D482" s="42"/>
      <c r="E482" s="28"/>
      <c r="F482" s="28"/>
      <c r="G482" s="28"/>
      <c r="H482" s="28"/>
      <c r="O482" s="28"/>
    </row>
    <row r="483">
      <c r="A483" s="28"/>
      <c r="B483" s="42"/>
      <c r="C483" s="42"/>
      <c r="D483" s="42"/>
      <c r="E483" s="28"/>
      <c r="F483" s="28"/>
      <c r="G483" s="28"/>
      <c r="H483" s="28"/>
      <c r="O483" s="28"/>
    </row>
    <row r="484">
      <c r="A484" s="28"/>
      <c r="B484" s="42"/>
      <c r="C484" s="42"/>
      <c r="D484" s="42"/>
      <c r="E484" s="28"/>
      <c r="F484" s="28"/>
      <c r="G484" s="28"/>
      <c r="H484" s="28"/>
      <c r="O484" s="28"/>
    </row>
    <row r="485">
      <c r="A485" s="28"/>
      <c r="B485" s="42"/>
      <c r="C485" s="42"/>
      <c r="D485" s="42"/>
      <c r="E485" s="28"/>
      <c r="F485" s="28"/>
      <c r="G485" s="28"/>
      <c r="H485" s="28"/>
      <c r="O485" s="28"/>
    </row>
    <row r="486">
      <c r="A486" s="28"/>
      <c r="B486" s="42"/>
      <c r="C486" s="42"/>
      <c r="D486" s="42"/>
      <c r="E486" s="28"/>
      <c r="F486" s="28"/>
      <c r="G486" s="28"/>
      <c r="H486" s="28"/>
      <c r="O486" s="28"/>
    </row>
    <row r="487">
      <c r="A487" s="28"/>
      <c r="B487" s="42"/>
      <c r="C487" s="42"/>
      <c r="D487" s="42"/>
      <c r="E487" s="28"/>
      <c r="F487" s="28"/>
      <c r="G487" s="28"/>
      <c r="H487" s="28"/>
      <c r="O487" s="28"/>
    </row>
    <row r="488">
      <c r="A488" s="28"/>
      <c r="B488" s="42"/>
      <c r="C488" s="42"/>
      <c r="D488" s="42"/>
      <c r="E488" s="28"/>
      <c r="F488" s="28"/>
      <c r="G488" s="28"/>
      <c r="H488" s="28"/>
      <c r="O488" s="28"/>
    </row>
    <row r="489">
      <c r="A489" s="28"/>
      <c r="B489" s="42"/>
      <c r="C489" s="42"/>
      <c r="D489" s="42"/>
      <c r="E489" s="28"/>
      <c r="F489" s="28"/>
      <c r="G489" s="28"/>
      <c r="H489" s="28"/>
      <c r="O489" s="28"/>
    </row>
    <row r="490">
      <c r="A490" s="28"/>
      <c r="B490" s="42"/>
      <c r="C490" s="42"/>
      <c r="D490" s="42"/>
      <c r="E490" s="28"/>
      <c r="F490" s="28"/>
      <c r="G490" s="28"/>
      <c r="H490" s="28"/>
      <c r="O490" s="28"/>
    </row>
    <row r="491">
      <c r="A491" s="28"/>
      <c r="B491" s="42"/>
      <c r="C491" s="42"/>
      <c r="D491" s="42"/>
      <c r="E491" s="28"/>
      <c r="F491" s="28"/>
      <c r="G491" s="28"/>
      <c r="H491" s="28"/>
      <c r="O491" s="28"/>
    </row>
    <row r="492">
      <c r="A492" s="28"/>
      <c r="B492" s="42"/>
      <c r="C492" s="42"/>
      <c r="D492" s="42"/>
      <c r="E492" s="28"/>
      <c r="F492" s="28"/>
      <c r="G492" s="28"/>
      <c r="H492" s="28"/>
      <c r="O492" s="28"/>
    </row>
    <row r="493">
      <c r="A493" s="28"/>
      <c r="B493" s="42"/>
      <c r="C493" s="42"/>
      <c r="D493" s="42"/>
      <c r="E493" s="28"/>
      <c r="F493" s="28"/>
      <c r="G493" s="28"/>
      <c r="H493" s="28"/>
      <c r="O493" s="28"/>
    </row>
    <row r="494">
      <c r="A494" s="28"/>
      <c r="B494" s="42"/>
      <c r="C494" s="42"/>
      <c r="D494" s="42"/>
      <c r="E494" s="28"/>
      <c r="F494" s="28"/>
      <c r="G494" s="28"/>
      <c r="H494" s="28"/>
      <c r="O494" s="28"/>
    </row>
    <row r="495">
      <c r="A495" s="28"/>
      <c r="B495" s="42"/>
      <c r="C495" s="42"/>
      <c r="D495" s="42"/>
      <c r="E495" s="28"/>
      <c r="F495" s="28"/>
      <c r="G495" s="28"/>
      <c r="H495" s="28"/>
      <c r="O495" s="28"/>
    </row>
    <row r="496">
      <c r="A496" s="28"/>
      <c r="B496" s="42"/>
      <c r="C496" s="42"/>
      <c r="D496" s="42"/>
      <c r="E496" s="28"/>
      <c r="F496" s="28"/>
      <c r="G496" s="28"/>
      <c r="H496" s="28"/>
      <c r="O496" s="28"/>
    </row>
    <row r="497">
      <c r="A497" s="28"/>
      <c r="B497" s="42"/>
      <c r="C497" s="42"/>
      <c r="D497" s="42"/>
      <c r="E497" s="28"/>
      <c r="F497" s="28"/>
      <c r="G497" s="28"/>
      <c r="H497" s="28"/>
      <c r="O497" s="28"/>
    </row>
    <row r="498">
      <c r="A498" s="28"/>
      <c r="B498" s="42"/>
      <c r="C498" s="42"/>
      <c r="D498" s="42"/>
      <c r="E498" s="28"/>
      <c r="F498" s="28"/>
      <c r="G498" s="28"/>
      <c r="H498" s="28"/>
      <c r="O498" s="28"/>
    </row>
    <row r="499">
      <c r="A499" s="28"/>
      <c r="B499" s="42"/>
      <c r="C499" s="42"/>
      <c r="D499" s="42"/>
      <c r="E499" s="28"/>
      <c r="F499" s="28"/>
      <c r="G499" s="28"/>
      <c r="H499" s="28"/>
      <c r="O499" s="28"/>
    </row>
    <row r="500">
      <c r="A500" s="28"/>
      <c r="B500" s="42"/>
      <c r="C500" s="42"/>
      <c r="D500" s="42"/>
      <c r="E500" s="28"/>
      <c r="F500" s="28"/>
      <c r="G500" s="28"/>
      <c r="H500" s="28"/>
      <c r="O500" s="28"/>
    </row>
    <row r="501">
      <c r="A501" s="28"/>
      <c r="B501" s="42"/>
      <c r="C501" s="42"/>
      <c r="D501" s="42"/>
      <c r="E501" s="28"/>
      <c r="F501" s="28"/>
      <c r="G501" s="28"/>
      <c r="H501" s="28"/>
      <c r="O501" s="28"/>
    </row>
    <row r="502">
      <c r="A502" s="28"/>
      <c r="B502" s="42"/>
      <c r="C502" s="42"/>
      <c r="D502" s="42"/>
      <c r="E502" s="28"/>
      <c r="F502" s="28"/>
      <c r="G502" s="28"/>
      <c r="H502" s="28"/>
      <c r="O502" s="28"/>
    </row>
    <row r="503">
      <c r="A503" s="28"/>
      <c r="B503" s="42"/>
      <c r="C503" s="42"/>
      <c r="D503" s="42"/>
      <c r="E503" s="28"/>
      <c r="F503" s="28"/>
      <c r="G503" s="28"/>
      <c r="H503" s="28"/>
      <c r="O503" s="28"/>
    </row>
    <row r="504">
      <c r="A504" s="28"/>
      <c r="B504" s="42"/>
      <c r="C504" s="42"/>
      <c r="D504" s="42"/>
      <c r="E504" s="28"/>
      <c r="F504" s="28"/>
      <c r="G504" s="28"/>
      <c r="H504" s="28"/>
      <c r="O504" s="28"/>
    </row>
    <row r="505">
      <c r="A505" s="28"/>
      <c r="B505" s="42"/>
      <c r="C505" s="42"/>
      <c r="D505" s="42"/>
      <c r="E505" s="28"/>
      <c r="F505" s="28"/>
      <c r="G505" s="28"/>
      <c r="H505" s="28"/>
      <c r="O505" s="28"/>
    </row>
    <row r="506">
      <c r="A506" s="28"/>
      <c r="B506" s="42"/>
      <c r="C506" s="42"/>
      <c r="D506" s="42"/>
      <c r="E506" s="28"/>
      <c r="F506" s="28"/>
      <c r="G506" s="28"/>
      <c r="H506" s="28"/>
      <c r="O506" s="28"/>
    </row>
    <row r="507">
      <c r="A507" s="28"/>
      <c r="B507" s="42"/>
      <c r="C507" s="42"/>
      <c r="D507" s="42"/>
      <c r="E507" s="28"/>
      <c r="F507" s="28"/>
      <c r="G507" s="28"/>
      <c r="H507" s="28"/>
      <c r="O507" s="28"/>
    </row>
    <row r="508">
      <c r="A508" s="28"/>
      <c r="B508" s="42"/>
      <c r="C508" s="42"/>
      <c r="D508" s="42"/>
      <c r="E508" s="28"/>
      <c r="F508" s="28"/>
      <c r="G508" s="28"/>
      <c r="H508" s="28"/>
      <c r="O508" s="28"/>
    </row>
    <row r="509">
      <c r="A509" s="28"/>
      <c r="B509" s="42"/>
      <c r="C509" s="42"/>
      <c r="D509" s="42"/>
      <c r="E509" s="28"/>
      <c r="F509" s="28"/>
      <c r="G509" s="28"/>
      <c r="H509" s="28"/>
      <c r="O509" s="28"/>
    </row>
    <row r="510">
      <c r="A510" s="28"/>
      <c r="B510" s="42"/>
      <c r="C510" s="42"/>
      <c r="D510" s="42"/>
      <c r="E510" s="28"/>
      <c r="F510" s="28"/>
      <c r="G510" s="28"/>
      <c r="H510" s="28"/>
      <c r="O510" s="28"/>
    </row>
    <row r="511">
      <c r="A511" s="28"/>
      <c r="B511" s="42"/>
      <c r="C511" s="42"/>
      <c r="D511" s="42"/>
      <c r="E511" s="28"/>
      <c r="F511" s="28"/>
      <c r="G511" s="28"/>
      <c r="H511" s="28"/>
      <c r="O511" s="28"/>
    </row>
    <row r="512">
      <c r="A512" s="28"/>
      <c r="B512" s="42"/>
      <c r="C512" s="42"/>
      <c r="D512" s="42"/>
      <c r="E512" s="28"/>
      <c r="F512" s="28"/>
      <c r="G512" s="28"/>
      <c r="H512" s="28"/>
      <c r="O512" s="28"/>
    </row>
    <row r="513">
      <c r="A513" s="28"/>
      <c r="B513" s="42"/>
      <c r="C513" s="42"/>
      <c r="D513" s="42"/>
      <c r="E513" s="28"/>
      <c r="F513" s="28"/>
      <c r="G513" s="28"/>
      <c r="H513" s="28"/>
      <c r="O513" s="28"/>
    </row>
    <row r="514">
      <c r="A514" s="28"/>
      <c r="B514" s="42"/>
      <c r="C514" s="42"/>
      <c r="D514" s="42"/>
      <c r="E514" s="28"/>
      <c r="F514" s="28"/>
      <c r="G514" s="28"/>
      <c r="H514" s="28"/>
      <c r="O514" s="28"/>
    </row>
    <row r="515">
      <c r="A515" s="28"/>
      <c r="B515" s="42"/>
      <c r="C515" s="42"/>
      <c r="D515" s="42"/>
      <c r="E515" s="28"/>
      <c r="F515" s="28"/>
      <c r="G515" s="28"/>
      <c r="H515" s="28"/>
      <c r="O515" s="28"/>
    </row>
    <row r="516">
      <c r="A516" s="28"/>
      <c r="B516" s="42"/>
      <c r="C516" s="42"/>
      <c r="D516" s="42"/>
      <c r="E516" s="28"/>
      <c r="F516" s="28"/>
      <c r="G516" s="28"/>
      <c r="H516" s="28"/>
      <c r="O516" s="28"/>
    </row>
    <row r="517">
      <c r="A517" s="28"/>
      <c r="B517" s="42"/>
      <c r="C517" s="42"/>
      <c r="D517" s="42"/>
      <c r="E517" s="28"/>
      <c r="F517" s="28"/>
      <c r="G517" s="28"/>
      <c r="H517" s="28"/>
      <c r="O517" s="28"/>
    </row>
    <row r="518">
      <c r="A518" s="28"/>
      <c r="B518" s="42"/>
      <c r="C518" s="42"/>
      <c r="D518" s="42"/>
      <c r="E518" s="28"/>
      <c r="F518" s="28"/>
      <c r="G518" s="28"/>
      <c r="H518" s="28"/>
      <c r="O518" s="28"/>
    </row>
    <row r="519">
      <c r="A519" s="28"/>
      <c r="B519" s="42"/>
      <c r="C519" s="42"/>
      <c r="D519" s="42"/>
      <c r="E519" s="28"/>
      <c r="F519" s="28"/>
      <c r="G519" s="28"/>
      <c r="H519" s="28"/>
      <c r="O519" s="28"/>
    </row>
    <row r="520">
      <c r="A520" s="28"/>
      <c r="B520" s="42"/>
      <c r="C520" s="42"/>
      <c r="D520" s="42"/>
      <c r="E520" s="28"/>
      <c r="F520" s="28"/>
      <c r="G520" s="28"/>
      <c r="H520" s="28"/>
      <c r="O520" s="28"/>
    </row>
    <row r="521">
      <c r="A521" s="28"/>
      <c r="B521" s="42"/>
      <c r="C521" s="42"/>
      <c r="D521" s="42"/>
      <c r="E521" s="28"/>
      <c r="F521" s="28"/>
      <c r="G521" s="28"/>
      <c r="H521" s="28"/>
      <c r="O521" s="28"/>
    </row>
    <row r="522">
      <c r="A522" s="28"/>
      <c r="B522" s="42"/>
      <c r="C522" s="42"/>
      <c r="D522" s="42"/>
      <c r="E522" s="28"/>
      <c r="F522" s="28"/>
      <c r="G522" s="28"/>
      <c r="H522" s="28"/>
      <c r="O522" s="28"/>
    </row>
    <row r="523">
      <c r="A523" s="28"/>
      <c r="B523" s="42"/>
      <c r="C523" s="42"/>
      <c r="D523" s="42"/>
      <c r="E523" s="28"/>
      <c r="F523" s="28"/>
      <c r="G523" s="28"/>
      <c r="H523" s="28"/>
      <c r="O523" s="28"/>
    </row>
    <row r="524">
      <c r="A524" s="28"/>
      <c r="B524" s="42"/>
      <c r="C524" s="42"/>
      <c r="D524" s="42"/>
      <c r="E524" s="28"/>
      <c r="F524" s="28"/>
      <c r="G524" s="28"/>
      <c r="H524" s="28"/>
      <c r="O524" s="28"/>
    </row>
    <row r="525">
      <c r="A525" s="28"/>
      <c r="B525" s="42"/>
      <c r="C525" s="42"/>
      <c r="D525" s="42"/>
      <c r="E525" s="28"/>
      <c r="F525" s="28"/>
      <c r="G525" s="28"/>
      <c r="H525" s="28"/>
      <c r="O525" s="28"/>
    </row>
    <row r="526">
      <c r="A526" s="28"/>
      <c r="B526" s="42"/>
      <c r="C526" s="42"/>
      <c r="D526" s="42"/>
      <c r="E526" s="28"/>
      <c r="F526" s="28"/>
      <c r="G526" s="28"/>
      <c r="H526" s="28"/>
      <c r="O526" s="28"/>
    </row>
    <row r="527">
      <c r="A527" s="28"/>
      <c r="B527" s="42"/>
      <c r="C527" s="42"/>
      <c r="D527" s="42"/>
      <c r="E527" s="28"/>
      <c r="F527" s="28"/>
      <c r="G527" s="28"/>
      <c r="H527" s="28"/>
      <c r="O527" s="28"/>
    </row>
    <row r="528">
      <c r="A528" s="28"/>
      <c r="B528" s="42"/>
      <c r="C528" s="42"/>
      <c r="D528" s="42"/>
      <c r="E528" s="28"/>
      <c r="F528" s="28"/>
      <c r="G528" s="28"/>
      <c r="H528" s="28"/>
      <c r="O528" s="28"/>
    </row>
    <row r="529">
      <c r="A529" s="28"/>
      <c r="B529" s="42"/>
      <c r="C529" s="42"/>
      <c r="D529" s="42"/>
      <c r="E529" s="28"/>
      <c r="F529" s="28"/>
      <c r="G529" s="28"/>
      <c r="H529" s="28"/>
      <c r="O529" s="28"/>
    </row>
    <row r="530">
      <c r="A530" s="28"/>
      <c r="B530" s="42"/>
      <c r="C530" s="42"/>
      <c r="D530" s="42"/>
      <c r="E530" s="28"/>
      <c r="F530" s="28"/>
      <c r="G530" s="28"/>
      <c r="H530" s="28"/>
      <c r="O530" s="28"/>
    </row>
    <row r="531">
      <c r="A531" s="28"/>
      <c r="B531" s="42"/>
      <c r="C531" s="42"/>
      <c r="D531" s="42"/>
      <c r="E531" s="28"/>
      <c r="F531" s="28"/>
      <c r="G531" s="28"/>
      <c r="H531" s="28"/>
      <c r="O531" s="28"/>
    </row>
    <row r="532">
      <c r="A532" s="28"/>
      <c r="B532" s="42"/>
      <c r="C532" s="42"/>
      <c r="D532" s="42"/>
      <c r="E532" s="28"/>
      <c r="F532" s="28"/>
      <c r="G532" s="28"/>
      <c r="H532" s="28"/>
      <c r="O532" s="28"/>
    </row>
    <row r="533">
      <c r="A533" s="28"/>
      <c r="B533" s="42"/>
      <c r="C533" s="42"/>
      <c r="D533" s="42"/>
      <c r="E533" s="28"/>
      <c r="F533" s="28"/>
      <c r="G533" s="28"/>
      <c r="H533" s="28"/>
      <c r="O533" s="28"/>
    </row>
    <row r="534">
      <c r="A534" s="28"/>
      <c r="B534" s="42"/>
      <c r="C534" s="42"/>
      <c r="D534" s="42"/>
      <c r="E534" s="28"/>
      <c r="F534" s="28"/>
      <c r="G534" s="28"/>
      <c r="H534" s="28"/>
      <c r="O534" s="28"/>
    </row>
    <row r="535">
      <c r="A535" s="28"/>
      <c r="B535" s="42"/>
      <c r="C535" s="42"/>
      <c r="D535" s="42"/>
      <c r="E535" s="28"/>
      <c r="F535" s="28"/>
      <c r="G535" s="28"/>
      <c r="H535" s="28"/>
      <c r="O535" s="28"/>
    </row>
    <row r="536">
      <c r="A536" s="28"/>
      <c r="B536" s="42"/>
      <c r="C536" s="42"/>
      <c r="D536" s="42"/>
      <c r="E536" s="28"/>
      <c r="F536" s="28"/>
      <c r="G536" s="28"/>
      <c r="H536" s="28"/>
      <c r="O536" s="28"/>
    </row>
    <row r="537">
      <c r="A537" s="28"/>
      <c r="B537" s="42"/>
      <c r="C537" s="42"/>
      <c r="D537" s="42"/>
      <c r="E537" s="28"/>
      <c r="F537" s="28"/>
      <c r="G537" s="28"/>
      <c r="H537" s="28"/>
      <c r="O537" s="28"/>
    </row>
    <row r="538">
      <c r="A538" s="28"/>
      <c r="B538" s="42"/>
      <c r="C538" s="42"/>
      <c r="D538" s="42"/>
      <c r="E538" s="28"/>
      <c r="F538" s="28"/>
      <c r="G538" s="28"/>
      <c r="H538" s="28"/>
      <c r="O538" s="28"/>
    </row>
    <row r="539">
      <c r="A539" s="28"/>
      <c r="B539" s="42"/>
      <c r="C539" s="42"/>
      <c r="D539" s="42"/>
      <c r="E539" s="28"/>
      <c r="F539" s="28"/>
      <c r="G539" s="28"/>
      <c r="H539" s="28"/>
      <c r="O539" s="28"/>
    </row>
    <row r="540">
      <c r="A540" s="28"/>
      <c r="B540" s="42"/>
      <c r="C540" s="42"/>
      <c r="D540" s="42"/>
      <c r="E540" s="28"/>
      <c r="F540" s="28"/>
      <c r="G540" s="28"/>
      <c r="H540" s="28"/>
      <c r="O540" s="28"/>
    </row>
    <row r="541">
      <c r="A541" s="28"/>
      <c r="B541" s="42"/>
      <c r="C541" s="42"/>
      <c r="D541" s="42"/>
      <c r="E541" s="28"/>
      <c r="F541" s="28"/>
      <c r="G541" s="28"/>
      <c r="H541" s="28"/>
      <c r="O541" s="28"/>
    </row>
    <row r="542">
      <c r="A542" s="28"/>
      <c r="B542" s="42"/>
      <c r="C542" s="42"/>
      <c r="D542" s="42"/>
      <c r="E542" s="28"/>
      <c r="F542" s="28"/>
      <c r="G542" s="28"/>
      <c r="H542" s="28"/>
      <c r="O542" s="28"/>
    </row>
    <row r="543">
      <c r="A543" s="28"/>
      <c r="B543" s="42"/>
      <c r="C543" s="42"/>
      <c r="D543" s="42"/>
      <c r="E543" s="28"/>
      <c r="F543" s="28"/>
      <c r="G543" s="28"/>
      <c r="H543" s="28"/>
      <c r="O543" s="28"/>
    </row>
    <row r="544">
      <c r="A544" s="28"/>
      <c r="B544" s="42"/>
      <c r="C544" s="42"/>
      <c r="D544" s="42"/>
      <c r="E544" s="28"/>
      <c r="F544" s="28"/>
      <c r="G544" s="28"/>
      <c r="H544" s="28"/>
      <c r="O544" s="28"/>
    </row>
    <row r="545">
      <c r="A545" s="28"/>
      <c r="B545" s="42"/>
      <c r="C545" s="42"/>
      <c r="D545" s="42"/>
      <c r="E545" s="28"/>
      <c r="F545" s="28"/>
      <c r="G545" s="28"/>
      <c r="H545" s="28"/>
      <c r="O545" s="28"/>
    </row>
    <row r="546">
      <c r="A546" s="28"/>
      <c r="B546" s="42"/>
      <c r="C546" s="42"/>
      <c r="D546" s="42"/>
      <c r="E546" s="28"/>
      <c r="F546" s="28"/>
      <c r="G546" s="28"/>
      <c r="H546" s="28"/>
      <c r="O546" s="28"/>
    </row>
    <row r="547">
      <c r="A547" s="28"/>
      <c r="B547" s="42"/>
      <c r="C547" s="42"/>
      <c r="D547" s="42"/>
      <c r="E547" s="28"/>
      <c r="F547" s="28"/>
      <c r="G547" s="28"/>
      <c r="H547" s="28"/>
      <c r="O547" s="28"/>
    </row>
    <row r="548">
      <c r="A548" s="28"/>
      <c r="B548" s="42"/>
      <c r="C548" s="42"/>
      <c r="D548" s="42"/>
      <c r="E548" s="28"/>
      <c r="F548" s="28"/>
      <c r="G548" s="28"/>
      <c r="H548" s="28"/>
      <c r="O548" s="28"/>
    </row>
    <row r="549">
      <c r="A549" s="28"/>
      <c r="B549" s="42"/>
      <c r="C549" s="42"/>
      <c r="D549" s="42"/>
      <c r="E549" s="28"/>
      <c r="F549" s="28"/>
      <c r="G549" s="28"/>
      <c r="H549" s="28"/>
      <c r="O549" s="28"/>
    </row>
    <row r="550">
      <c r="A550" s="28"/>
      <c r="B550" s="42"/>
      <c r="C550" s="42"/>
      <c r="D550" s="42"/>
      <c r="E550" s="28"/>
      <c r="F550" s="28"/>
      <c r="G550" s="28"/>
      <c r="H550" s="28"/>
      <c r="O550" s="28"/>
    </row>
    <row r="551">
      <c r="A551" s="28"/>
      <c r="B551" s="42"/>
      <c r="C551" s="42"/>
      <c r="D551" s="42"/>
      <c r="E551" s="28"/>
      <c r="F551" s="28"/>
      <c r="G551" s="28"/>
      <c r="H551" s="28"/>
      <c r="O551" s="28"/>
    </row>
    <row r="552">
      <c r="A552" s="28"/>
      <c r="B552" s="42"/>
      <c r="C552" s="42"/>
      <c r="D552" s="42"/>
      <c r="E552" s="28"/>
      <c r="F552" s="28"/>
      <c r="G552" s="28"/>
      <c r="H552" s="28"/>
      <c r="O552" s="28"/>
    </row>
    <row r="553">
      <c r="A553" s="28"/>
      <c r="B553" s="42"/>
      <c r="C553" s="42"/>
      <c r="D553" s="42"/>
      <c r="E553" s="28"/>
      <c r="F553" s="28"/>
      <c r="G553" s="28"/>
      <c r="H553" s="28"/>
      <c r="O553" s="28"/>
    </row>
    <row r="554">
      <c r="A554" s="28"/>
      <c r="B554" s="42"/>
      <c r="C554" s="42"/>
      <c r="D554" s="42"/>
      <c r="E554" s="28"/>
      <c r="F554" s="28"/>
      <c r="G554" s="28"/>
      <c r="H554" s="28"/>
      <c r="O554" s="28"/>
    </row>
    <row r="555">
      <c r="A555" s="28"/>
      <c r="B555" s="42"/>
      <c r="C555" s="42"/>
      <c r="D555" s="42"/>
      <c r="E555" s="28"/>
      <c r="F555" s="28"/>
      <c r="G555" s="28"/>
      <c r="H555" s="28"/>
      <c r="O555" s="28"/>
    </row>
    <row r="556">
      <c r="A556" s="28"/>
      <c r="B556" s="42"/>
      <c r="C556" s="42"/>
      <c r="D556" s="42"/>
      <c r="E556" s="28"/>
      <c r="F556" s="28"/>
      <c r="G556" s="28"/>
      <c r="H556" s="28"/>
      <c r="O556" s="28"/>
    </row>
    <row r="557">
      <c r="A557" s="28"/>
      <c r="B557" s="42"/>
      <c r="C557" s="42"/>
      <c r="D557" s="42"/>
      <c r="E557" s="28"/>
      <c r="F557" s="28"/>
      <c r="G557" s="28"/>
      <c r="H557" s="28"/>
      <c r="O557" s="28"/>
    </row>
    <row r="558">
      <c r="A558" s="28"/>
      <c r="B558" s="42"/>
      <c r="C558" s="42"/>
      <c r="D558" s="42"/>
      <c r="E558" s="28"/>
      <c r="F558" s="28"/>
      <c r="G558" s="28"/>
      <c r="H558" s="28"/>
      <c r="O558" s="28"/>
    </row>
    <row r="559">
      <c r="A559" s="28"/>
      <c r="B559" s="42"/>
      <c r="C559" s="42"/>
      <c r="D559" s="42"/>
      <c r="E559" s="28"/>
      <c r="F559" s="28"/>
      <c r="G559" s="28"/>
      <c r="H559" s="28"/>
      <c r="O559" s="28"/>
    </row>
    <row r="560">
      <c r="A560" s="28"/>
      <c r="B560" s="42"/>
      <c r="C560" s="42"/>
      <c r="D560" s="42"/>
      <c r="E560" s="28"/>
      <c r="F560" s="28"/>
      <c r="G560" s="28"/>
      <c r="H560" s="28"/>
      <c r="O560" s="28"/>
    </row>
    <row r="561">
      <c r="A561" s="28"/>
      <c r="B561" s="42"/>
      <c r="C561" s="42"/>
      <c r="D561" s="42"/>
      <c r="E561" s="28"/>
      <c r="F561" s="28"/>
      <c r="G561" s="28"/>
      <c r="H561" s="28"/>
      <c r="O561" s="28"/>
    </row>
    <row r="562">
      <c r="A562" s="28"/>
      <c r="B562" s="42"/>
      <c r="C562" s="42"/>
      <c r="D562" s="42"/>
      <c r="E562" s="28"/>
      <c r="F562" s="28"/>
      <c r="G562" s="28"/>
      <c r="H562" s="28"/>
      <c r="O562" s="28"/>
    </row>
    <row r="563">
      <c r="A563" s="28"/>
      <c r="B563" s="42"/>
      <c r="C563" s="42"/>
      <c r="D563" s="42"/>
      <c r="E563" s="28"/>
      <c r="F563" s="28"/>
      <c r="G563" s="28"/>
      <c r="H563" s="28"/>
      <c r="O563" s="28"/>
    </row>
    <row r="564">
      <c r="A564" s="28"/>
      <c r="B564" s="42"/>
      <c r="C564" s="42"/>
      <c r="D564" s="42"/>
      <c r="E564" s="28"/>
      <c r="F564" s="28"/>
      <c r="G564" s="28"/>
      <c r="H564" s="28"/>
      <c r="O564" s="28"/>
    </row>
    <row r="565">
      <c r="A565" s="28"/>
      <c r="B565" s="42"/>
      <c r="C565" s="42"/>
      <c r="D565" s="42"/>
      <c r="E565" s="28"/>
      <c r="F565" s="28"/>
      <c r="G565" s="28"/>
      <c r="H565" s="28"/>
      <c r="O565" s="28"/>
    </row>
    <row r="566">
      <c r="A566" s="28"/>
      <c r="B566" s="42"/>
      <c r="C566" s="42"/>
      <c r="D566" s="42"/>
      <c r="E566" s="28"/>
      <c r="F566" s="28"/>
      <c r="G566" s="28"/>
      <c r="H566" s="28"/>
      <c r="O566" s="28"/>
    </row>
    <row r="567">
      <c r="A567" s="28"/>
      <c r="B567" s="42"/>
      <c r="C567" s="42"/>
      <c r="D567" s="42"/>
      <c r="E567" s="28"/>
      <c r="F567" s="28"/>
      <c r="G567" s="28"/>
      <c r="H567" s="28"/>
      <c r="O567" s="28"/>
    </row>
    <row r="568">
      <c r="A568" s="28"/>
      <c r="B568" s="42"/>
      <c r="C568" s="42"/>
      <c r="D568" s="42"/>
      <c r="E568" s="28"/>
      <c r="F568" s="28"/>
      <c r="G568" s="28"/>
      <c r="H568" s="28"/>
      <c r="O568" s="28"/>
    </row>
    <row r="569">
      <c r="A569" s="28"/>
      <c r="B569" s="42"/>
      <c r="C569" s="42"/>
      <c r="D569" s="42"/>
      <c r="E569" s="28"/>
      <c r="F569" s="28"/>
      <c r="G569" s="28"/>
      <c r="H569" s="28"/>
      <c r="O569" s="28"/>
    </row>
    <row r="570">
      <c r="A570" s="28"/>
      <c r="B570" s="42"/>
      <c r="C570" s="42"/>
      <c r="D570" s="42"/>
      <c r="E570" s="28"/>
      <c r="F570" s="28"/>
      <c r="G570" s="28"/>
      <c r="H570" s="28"/>
      <c r="O570" s="28"/>
    </row>
    <row r="571">
      <c r="A571" s="28"/>
      <c r="B571" s="42"/>
      <c r="C571" s="42"/>
      <c r="D571" s="42"/>
      <c r="E571" s="28"/>
      <c r="F571" s="28"/>
      <c r="G571" s="28"/>
      <c r="H571" s="28"/>
      <c r="O571" s="28"/>
    </row>
    <row r="572">
      <c r="A572" s="28"/>
      <c r="B572" s="42"/>
      <c r="C572" s="42"/>
      <c r="D572" s="42"/>
      <c r="E572" s="28"/>
      <c r="F572" s="28"/>
      <c r="G572" s="28"/>
      <c r="H572" s="28"/>
      <c r="O572" s="28"/>
    </row>
    <row r="573">
      <c r="A573" s="28"/>
      <c r="B573" s="42"/>
      <c r="C573" s="42"/>
      <c r="D573" s="42"/>
      <c r="E573" s="28"/>
      <c r="F573" s="28"/>
      <c r="G573" s="28"/>
      <c r="H573" s="28"/>
      <c r="O573" s="28"/>
    </row>
    <row r="574">
      <c r="A574" s="28"/>
      <c r="B574" s="42"/>
      <c r="C574" s="42"/>
      <c r="D574" s="42"/>
      <c r="E574" s="28"/>
      <c r="F574" s="28"/>
      <c r="G574" s="28"/>
      <c r="H574" s="28"/>
      <c r="O574" s="28"/>
    </row>
    <row r="575">
      <c r="A575" s="28"/>
      <c r="B575" s="42"/>
      <c r="C575" s="42"/>
      <c r="D575" s="42"/>
      <c r="E575" s="28"/>
      <c r="F575" s="28"/>
      <c r="G575" s="28"/>
      <c r="H575" s="28"/>
      <c r="O575" s="28"/>
    </row>
    <row r="576">
      <c r="A576" s="28"/>
      <c r="B576" s="42"/>
      <c r="C576" s="42"/>
      <c r="D576" s="42"/>
      <c r="E576" s="28"/>
      <c r="F576" s="28"/>
      <c r="G576" s="28"/>
      <c r="H576" s="28"/>
      <c r="O576" s="28"/>
    </row>
    <row r="577">
      <c r="A577" s="28"/>
      <c r="B577" s="42"/>
      <c r="C577" s="42"/>
      <c r="D577" s="42"/>
      <c r="E577" s="28"/>
      <c r="F577" s="28"/>
      <c r="G577" s="28"/>
      <c r="H577" s="28"/>
      <c r="O577" s="28"/>
    </row>
    <row r="578">
      <c r="A578" s="28"/>
      <c r="B578" s="42"/>
      <c r="C578" s="42"/>
      <c r="D578" s="42"/>
      <c r="E578" s="28"/>
      <c r="F578" s="28"/>
      <c r="G578" s="28"/>
      <c r="H578" s="28"/>
      <c r="O578" s="28"/>
    </row>
    <row r="579">
      <c r="A579" s="28"/>
      <c r="B579" s="42"/>
      <c r="C579" s="42"/>
      <c r="D579" s="42"/>
      <c r="E579" s="28"/>
      <c r="F579" s="28"/>
      <c r="G579" s="28"/>
      <c r="H579" s="28"/>
      <c r="O579" s="28"/>
    </row>
    <row r="580">
      <c r="A580" s="28"/>
      <c r="B580" s="42"/>
      <c r="C580" s="42"/>
      <c r="D580" s="42"/>
      <c r="E580" s="28"/>
      <c r="F580" s="28"/>
      <c r="G580" s="28"/>
      <c r="H580" s="28"/>
      <c r="O580" s="28"/>
    </row>
    <row r="581">
      <c r="A581" s="28"/>
      <c r="B581" s="42"/>
      <c r="C581" s="42"/>
      <c r="D581" s="42"/>
      <c r="E581" s="28"/>
      <c r="F581" s="28"/>
      <c r="G581" s="28"/>
      <c r="H581" s="28"/>
      <c r="O581" s="28"/>
    </row>
    <row r="582">
      <c r="A582" s="28"/>
      <c r="B582" s="42"/>
      <c r="C582" s="42"/>
      <c r="D582" s="42"/>
      <c r="E582" s="28"/>
      <c r="F582" s="28"/>
      <c r="G582" s="28"/>
      <c r="H582" s="28"/>
      <c r="O582" s="28"/>
    </row>
    <row r="583">
      <c r="A583" s="28"/>
      <c r="B583" s="42"/>
      <c r="C583" s="42"/>
      <c r="D583" s="42"/>
      <c r="E583" s="28"/>
      <c r="F583" s="28"/>
      <c r="G583" s="28"/>
      <c r="H583" s="28"/>
      <c r="O583" s="28"/>
    </row>
    <row r="584">
      <c r="A584" s="28"/>
      <c r="B584" s="42"/>
      <c r="C584" s="42"/>
      <c r="D584" s="42"/>
      <c r="E584" s="28"/>
      <c r="F584" s="28"/>
      <c r="G584" s="28"/>
      <c r="H584" s="28"/>
      <c r="O584" s="28"/>
    </row>
    <row r="585">
      <c r="A585" s="28"/>
      <c r="B585" s="42"/>
      <c r="C585" s="42"/>
      <c r="D585" s="42"/>
      <c r="E585" s="28"/>
      <c r="F585" s="28"/>
      <c r="G585" s="28"/>
      <c r="H585" s="28"/>
      <c r="O585" s="28"/>
    </row>
    <row r="586">
      <c r="A586" s="28"/>
      <c r="B586" s="42"/>
      <c r="C586" s="42"/>
      <c r="D586" s="42"/>
      <c r="E586" s="28"/>
      <c r="F586" s="28"/>
      <c r="G586" s="28"/>
      <c r="H586" s="28"/>
      <c r="O586" s="28"/>
    </row>
    <row r="587">
      <c r="A587" s="28"/>
      <c r="B587" s="42"/>
      <c r="C587" s="42"/>
      <c r="D587" s="42"/>
      <c r="E587" s="28"/>
      <c r="F587" s="28"/>
      <c r="G587" s="28"/>
      <c r="H587" s="28"/>
      <c r="O587" s="28"/>
    </row>
    <row r="588">
      <c r="A588" s="28"/>
      <c r="B588" s="42"/>
      <c r="C588" s="42"/>
      <c r="D588" s="42"/>
      <c r="E588" s="28"/>
      <c r="F588" s="28"/>
      <c r="G588" s="28"/>
      <c r="H588" s="28"/>
      <c r="O588" s="28"/>
    </row>
    <row r="589">
      <c r="A589" s="28"/>
      <c r="B589" s="42"/>
      <c r="C589" s="42"/>
      <c r="D589" s="42"/>
      <c r="E589" s="28"/>
      <c r="F589" s="28"/>
      <c r="G589" s="28"/>
      <c r="H589" s="28"/>
      <c r="O589" s="28"/>
    </row>
    <row r="590">
      <c r="A590" s="28"/>
      <c r="B590" s="42"/>
      <c r="C590" s="42"/>
      <c r="D590" s="42"/>
      <c r="E590" s="28"/>
      <c r="F590" s="28"/>
      <c r="G590" s="28"/>
      <c r="H590" s="28"/>
      <c r="O590" s="28"/>
    </row>
    <row r="591">
      <c r="A591" s="28"/>
      <c r="B591" s="42"/>
      <c r="C591" s="42"/>
      <c r="D591" s="42"/>
      <c r="E591" s="28"/>
      <c r="F591" s="28"/>
      <c r="G591" s="28"/>
      <c r="H591" s="28"/>
      <c r="O591" s="28"/>
    </row>
    <row r="592">
      <c r="A592" s="28"/>
      <c r="B592" s="42"/>
      <c r="C592" s="42"/>
      <c r="D592" s="42"/>
      <c r="E592" s="28"/>
      <c r="F592" s="28"/>
      <c r="G592" s="28"/>
      <c r="H592" s="28"/>
      <c r="O592" s="28"/>
    </row>
    <row r="593">
      <c r="A593" s="28"/>
      <c r="B593" s="42"/>
      <c r="C593" s="42"/>
      <c r="D593" s="42"/>
      <c r="E593" s="28"/>
      <c r="F593" s="28"/>
      <c r="G593" s="28"/>
      <c r="H593" s="28"/>
      <c r="O593" s="28"/>
    </row>
    <row r="594">
      <c r="A594" s="28"/>
      <c r="B594" s="42"/>
      <c r="C594" s="42"/>
      <c r="D594" s="42"/>
      <c r="E594" s="28"/>
      <c r="F594" s="28"/>
      <c r="G594" s="28"/>
      <c r="H594" s="28"/>
      <c r="O594" s="28"/>
    </row>
    <row r="595">
      <c r="A595" s="28"/>
      <c r="B595" s="42"/>
      <c r="C595" s="42"/>
      <c r="D595" s="42"/>
      <c r="E595" s="28"/>
      <c r="F595" s="28"/>
      <c r="G595" s="28"/>
      <c r="H595" s="28"/>
      <c r="O595" s="28"/>
    </row>
    <row r="596">
      <c r="A596" s="28"/>
      <c r="B596" s="42"/>
      <c r="C596" s="42"/>
      <c r="D596" s="42"/>
      <c r="E596" s="28"/>
      <c r="F596" s="28"/>
      <c r="G596" s="28"/>
      <c r="H596" s="28"/>
      <c r="O596" s="28"/>
    </row>
    <row r="597">
      <c r="A597" s="28"/>
      <c r="B597" s="42"/>
      <c r="C597" s="42"/>
      <c r="D597" s="42"/>
      <c r="E597" s="28"/>
      <c r="F597" s="28"/>
      <c r="G597" s="28"/>
      <c r="H597" s="28"/>
      <c r="O597" s="28"/>
    </row>
    <row r="598">
      <c r="A598" s="28"/>
      <c r="B598" s="42"/>
      <c r="C598" s="42"/>
      <c r="D598" s="42"/>
      <c r="E598" s="28"/>
      <c r="F598" s="28"/>
      <c r="G598" s="28"/>
      <c r="H598" s="28"/>
      <c r="O598" s="28"/>
    </row>
    <row r="599">
      <c r="A599" s="28"/>
      <c r="B599" s="42"/>
      <c r="C599" s="42"/>
      <c r="D599" s="42"/>
      <c r="E599" s="28"/>
      <c r="F599" s="28"/>
      <c r="G599" s="28"/>
      <c r="H599" s="28"/>
      <c r="O599" s="28"/>
    </row>
    <row r="600">
      <c r="A600" s="28"/>
      <c r="B600" s="42"/>
      <c r="C600" s="42"/>
      <c r="D600" s="42"/>
      <c r="E600" s="28"/>
      <c r="F600" s="28"/>
      <c r="G600" s="28"/>
      <c r="H600" s="28"/>
      <c r="O600" s="28"/>
    </row>
    <row r="601">
      <c r="A601" s="28"/>
      <c r="B601" s="42"/>
      <c r="C601" s="42"/>
      <c r="D601" s="42"/>
      <c r="E601" s="28"/>
      <c r="F601" s="28"/>
      <c r="G601" s="28"/>
      <c r="H601" s="28"/>
      <c r="O601" s="28"/>
    </row>
    <row r="602">
      <c r="A602" s="28"/>
      <c r="B602" s="42"/>
      <c r="C602" s="42"/>
      <c r="D602" s="42"/>
      <c r="E602" s="28"/>
      <c r="F602" s="28"/>
      <c r="G602" s="28"/>
      <c r="H602" s="28"/>
      <c r="O602" s="28"/>
    </row>
    <row r="603">
      <c r="A603" s="28"/>
      <c r="B603" s="42"/>
      <c r="C603" s="42"/>
      <c r="D603" s="42"/>
      <c r="E603" s="28"/>
      <c r="F603" s="28"/>
      <c r="G603" s="28"/>
      <c r="H603" s="28"/>
      <c r="O603" s="28"/>
    </row>
    <row r="604">
      <c r="A604" s="28"/>
      <c r="B604" s="42"/>
      <c r="C604" s="42"/>
      <c r="D604" s="42"/>
      <c r="E604" s="28"/>
      <c r="F604" s="28"/>
      <c r="G604" s="28"/>
      <c r="H604" s="28"/>
      <c r="O604" s="28"/>
    </row>
    <row r="605">
      <c r="A605" s="28"/>
      <c r="B605" s="42"/>
      <c r="C605" s="42"/>
      <c r="D605" s="42"/>
      <c r="E605" s="28"/>
      <c r="F605" s="28"/>
      <c r="G605" s="28"/>
      <c r="H605" s="28"/>
      <c r="O605" s="28"/>
    </row>
    <row r="606">
      <c r="A606" s="28"/>
      <c r="B606" s="42"/>
      <c r="C606" s="42"/>
      <c r="D606" s="42"/>
      <c r="E606" s="28"/>
      <c r="F606" s="28"/>
      <c r="G606" s="28"/>
      <c r="H606" s="28"/>
      <c r="O606" s="28"/>
    </row>
    <row r="607">
      <c r="A607" s="28"/>
      <c r="B607" s="42"/>
      <c r="C607" s="42"/>
      <c r="D607" s="42"/>
      <c r="E607" s="28"/>
      <c r="F607" s="28"/>
      <c r="G607" s="28"/>
      <c r="H607" s="28"/>
      <c r="O607" s="28"/>
    </row>
    <row r="608">
      <c r="A608" s="28"/>
      <c r="B608" s="42"/>
      <c r="C608" s="42"/>
      <c r="D608" s="42"/>
      <c r="E608" s="28"/>
      <c r="F608" s="28"/>
      <c r="G608" s="28"/>
      <c r="H608" s="28"/>
      <c r="O608" s="28"/>
    </row>
    <row r="609">
      <c r="A609" s="28"/>
      <c r="B609" s="42"/>
      <c r="C609" s="42"/>
      <c r="D609" s="42"/>
      <c r="E609" s="28"/>
      <c r="F609" s="28"/>
      <c r="G609" s="28"/>
      <c r="H609" s="28"/>
      <c r="O609" s="28"/>
    </row>
    <row r="610">
      <c r="A610" s="28"/>
      <c r="B610" s="42"/>
      <c r="C610" s="42"/>
      <c r="D610" s="42"/>
      <c r="E610" s="28"/>
      <c r="F610" s="28"/>
      <c r="G610" s="28"/>
      <c r="H610" s="28"/>
      <c r="O610" s="28"/>
    </row>
    <row r="611">
      <c r="A611" s="28"/>
      <c r="B611" s="42"/>
      <c r="C611" s="42"/>
      <c r="D611" s="42"/>
      <c r="E611" s="28"/>
      <c r="F611" s="28"/>
      <c r="G611" s="28"/>
      <c r="H611" s="28"/>
      <c r="O611" s="28"/>
    </row>
    <row r="612">
      <c r="A612" s="28"/>
      <c r="B612" s="42"/>
      <c r="C612" s="42"/>
      <c r="D612" s="42"/>
      <c r="E612" s="28"/>
      <c r="F612" s="28"/>
      <c r="G612" s="28"/>
      <c r="H612" s="28"/>
      <c r="O612" s="28"/>
    </row>
    <row r="613">
      <c r="A613" s="28"/>
      <c r="B613" s="42"/>
      <c r="C613" s="42"/>
      <c r="D613" s="42"/>
      <c r="E613" s="28"/>
      <c r="F613" s="28"/>
      <c r="G613" s="28"/>
      <c r="H613" s="28"/>
      <c r="O613" s="28"/>
    </row>
    <row r="614">
      <c r="A614" s="28"/>
      <c r="B614" s="42"/>
      <c r="C614" s="42"/>
      <c r="D614" s="42"/>
      <c r="E614" s="28"/>
      <c r="F614" s="28"/>
      <c r="G614" s="28"/>
      <c r="H614" s="28"/>
      <c r="O614" s="28"/>
    </row>
    <row r="615">
      <c r="A615" s="28"/>
      <c r="B615" s="42"/>
      <c r="C615" s="42"/>
      <c r="D615" s="42"/>
      <c r="E615" s="28"/>
      <c r="F615" s="28"/>
      <c r="G615" s="28"/>
      <c r="H615" s="28"/>
      <c r="O615" s="28"/>
    </row>
    <row r="616">
      <c r="A616" s="28"/>
      <c r="B616" s="42"/>
      <c r="C616" s="42"/>
      <c r="D616" s="42"/>
      <c r="E616" s="28"/>
      <c r="F616" s="28"/>
      <c r="G616" s="28"/>
      <c r="H616" s="28"/>
      <c r="O616" s="28"/>
    </row>
    <row r="617">
      <c r="A617" s="28"/>
      <c r="B617" s="42"/>
      <c r="C617" s="42"/>
      <c r="D617" s="42"/>
      <c r="E617" s="28"/>
      <c r="F617" s="28"/>
      <c r="G617" s="28"/>
      <c r="H617" s="28"/>
      <c r="O617" s="28"/>
    </row>
    <row r="618">
      <c r="A618" s="28"/>
      <c r="B618" s="42"/>
      <c r="C618" s="42"/>
      <c r="D618" s="42"/>
      <c r="E618" s="28"/>
      <c r="F618" s="28"/>
      <c r="G618" s="28"/>
      <c r="H618" s="28"/>
      <c r="O618" s="28"/>
    </row>
    <row r="619">
      <c r="A619" s="28"/>
      <c r="B619" s="42"/>
      <c r="C619" s="42"/>
      <c r="D619" s="42"/>
      <c r="E619" s="28"/>
      <c r="F619" s="28"/>
      <c r="G619" s="28"/>
      <c r="H619" s="28"/>
      <c r="O619" s="28"/>
    </row>
    <row r="620">
      <c r="A620" s="28"/>
      <c r="B620" s="42"/>
      <c r="C620" s="42"/>
      <c r="D620" s="42"/>
      <c r="E620" s="28"/>
      <c r="F620" s="28"/>
      <c r="G620" s="28"/>
      <c r="H620" s="28"/>
      <c r="O620" s="28"/>
    </row>
    <row r="621">
      <c r="A621" s="28"/>
      <c r="B621" s="42"/>
      <c r="C621" s="42"/>
      <c r="D621" s="42"/>
      <c r="E621" s="28"/>
      <c r="F621" s="28"/>
      <c r="G621" s="28"/>
      <c r="H621" s="28"/>
      <c r="O621" s="28"/>
    </row>
    <row r="622">
      <c r="A622" s="28"/>
      <c r="B622" s="42"/>
      <c r="C622" s="42"/>
      <c r="D622" s="42"/>
      <c r="E622" s="28"/>
      <c r="F622" s="28"/>
      <c r="G622" s="28"/>
      <c r="H622" s="28"/>
      <c r="O622" s="28"/>
    </row>
    <row r="623">
      <c r="A623" s="28"/>
      <c r="B623" s="42"/>
      <c r="C623" s="42"/>
      <c r="D623" s="42"/>
      <c r="E623" s="28"/>
      <c r="F623" s="28"/>
      <c r="G623" s="28"/>
      <c r="H623" s="28"/>
      <c r="O623" s="28"/>
    </row>
    <row r="624">
      <c r="A624" s="28"/>
      <c r="B624" s="42"/>
      <c r="C624" s="42"/>
      <c r="D624" s="42"/>
      <c r="E624" s="28"/>
      <c r="F624" s="28"/>
      <c r="G624" s="28"/>
      <c r="H624" s="28"/>
      <c r="O624" s="28"/>
    </row>
    <row r="625">
      <c r="A625" s="28"/>
      <c r="B625" s="42"/>
      <c r="C625" s="42"/>
      <c r="D625" s="42"/>
      <c r="E625" s="28"/>
      <c r="F625" s="28"/>
      <c r="G625" s="28"/>
      <c r="H625" s="28"/>
      <c r="O625" s="28"/>
    </row>
    <row r="626">
      <c r="A626" s="28"/>
      <c r="B626" s="42"/>
      <c r="C626" s="42"/>
      <c r="D626" s="42"/>
      <c r="E626" s="28"/>
      <c r="F626" s="28"/>
      <c r="G626" s="28"/>
      <c r="H626" s="28"/>
      <c r="O626" s="28"/>
    </row>
    <row r="627">
      <c r="A627" s="28"/>
      <c r="B627" s="42"/>
      <c r="C627" s="42"/>
      <c r="D627" s="42"/>
      <c r="E627" s="28"/>
      <c r="F627" s="28"/>
      <c r="G627" s="28"/>
      <c r="H627" s="28"/>
      <c r="O627" s="28"/>
    </row>
    <row r="628">
      <c r="A628" s="28"/>
      <c r="B628" s="42"/>
      <c r="C628" s="42"/>
      <c r="D628" s="42"/>
      <c r="E628" s="28"/>
      <c r="F628" s="28"/>
      <c r="G628" s="28"/>
      <c r="H628" s="28"/>
      <c r="O628" s="28"/>
    </row>
    <row r="629">
      <c r="A629" s="28"/>
      <c r="B629" s="42"/>
      <c r="C629" s="42"/>
      <c r="D629" s="42"/>
      <c r="E629" s="28"/>
      <c r="F629" s="28"/>
      <c r="G629" s="28"/>
      <c r="H629" s="28"/>
      <c r="O629" s="28"/>
    </row>
    <row r="630">
      <c r="A630" s="28"/>
      <c r="B630" s="42"/>
      <c r="C630" s="42"/>
      <c r="D630" s="42"/>
      <c r="E630" s="28"/>
      <c r="F630" s="28"/>
      <c r="G630" s="28"/>
      <c r="H630" s="28"/>
      <c r="O630" s="28"/>
    </row>
    <row r="631">
      <c r="A631" s="28"/>
      <c r="B631" s="42"/>
      <c r="C631" s="42"/>
      <c r="D631" s="42"/>
      <c r="E631" s="28"/>
      <c r="F631" s="28"/>
      <c r="G631" s="28"/>
      <c r="H631" s="28"/>
      <c r="O631" s="28"/>
    </row>
    <row r="632">
      <c r="A632" s="28"/>
      <c r="B632" s="42"/>
      <c r="C632" s="42"/>
      <c r="D632" s="42"/>
      <c r="E632" s="28"/>
      <c r="F632" s="28"/>
      <c r="G632" s="28"/>
      <c r="H632" s="28"/>
      <c r="O632" s="28"/>
    </row>
    <row r="633">
      <c r="A633" s="28"/>
      <c r="B633" s="42"/>
      <c r="C633" s="42"/>
      <c r="D633" s="42"/>
      <c r="E633" s="28"/>
      <c r="F633" s="28"/>
      <c r="G633" s="28"/>
      <c r="H633" s="28"/>
      <c r="O633" s="28"/>
    </row>
    <row r="634">
      <c r="A634" s="28"/>
      <c r="B634" s="42"/>
      <c r="C634" s="42"/>
      <c r="D634" s="42"/>
      <c r="E634" s="28"/>
      <c r="F634" s="28"/>
      <c r="G634" s="28"/>
      <c r="H634" s="28"/>
      <c r="O634" s="28"/>
    </row>
    <row r="635">
      <c r="A635" s="28"/>
      <c r="B635" s="42"/>
      <c r="C635" s="42"/>
      <c r="D635" s="42"/>
      <c r="E635" s="28"/>
      <c r="F635" s="28"/>
      <c r="G635" s="28"/>
      <c r="H635" s="28"/>
      <c r="O635" s="28"/>
    </row>
    <row r="636">
      <c r="A636" s="28"/>
      <c r="B636" s="42"/>
      <c r="C636" s="42"/>
      <c r="D636" s="42"/>
      <c r="E636" s="28"/>
      <c r="F636" s="28"/>
      <c r="G636" s="28"/>
      <c r="H636" s="28"/>
      <c r="O636" s="28"/>
    </row>
    <row r="637">
      <c r="A637" s="28"/>
      <c r="B637" s="42"/>
      <c r="C637" s="42"/>
      <c r="D637" s="42"/>
      <c r="E637" s="28"/>
      <c r="F637" s="28"/>
      <c r="G637" s="28"/>
      <c r="H637" s="28"/>
      <c r="O637" s="28"/>
    </row>
    <row r="638">
      <c r="A638" s="28"/>
      <c r="B638" s="42"/>
      <c r="C638" s="42"/>
      <c r="D638" s="42"/>
      <c r="E638" s="28"/>
      <c r="F638" s="28"/>
      <c r="G638" s="28"/>
      <c r="H638" s="28"/>
      <c r="O638" s="28"/>
    </row>
    <row r="639">
      <c r="A639" s="28"/>
      <c r="B639" s="42"/>
      <c r="C639" s="42"/>
      <c r="D639" s="42"/>
      <c r="E639" s="28"/>
      <c r="F639" s="28"/>
      <c r="G639" s="28"/>
      <c r="H639" s="28"/>
      <c r="O639" s="28"/>
    </row>
    <row r="640">
      <c r="A640" s="28"/>
      <c r="B640" s="42"/>
      <c r="C640" s="42"/>
      <c r="D640" s="42"/>
      <c r="E640" s="28"/>
      <c r="F640" s="28"/>
      <c r="G640" s="28"/>
      <c r="H640" s="28"/>
      <c r="O640" s="28"/>
    </row>
    <row r="641">
      <c r="A641" s="28"/>
      <c r="B641" s="42"/>
      <c r="C641" s="42"/>
      <c r="D641" s="42"/>
      <c r="E641" s="28"/>
      <c r="F641" s="28"/>
      <c r="G641" s="28"/>
      <c r="H641" s="28"/>
      <c r="O641" s="28"/>
    </row>
    <row r="642">
      <c r="A642" s="28"/>
      <c r="B642" s="42"/>
      <c r="C642" s="42"/>
      <c r="D642" s="42"/>
      <c r="E642" s="28"/>
      <c r="F642" s="28"/>
      <c r="G642" s="28"/>
      <c r="H642" s="28"/>
      <c r="O642" s="28"/>
    </row>
    <row r="643">
      <c r="A643" s="28"/>
      <c r="B643" s="42"/>
      <c r="C643" s="42"/>
      <c r="D643" s="42"/>
      <c r="E643" s="28"/>
      <c r="F643" s="28"/>
      <c r="G643" s="28"/>
      <c r="H643" s="28"/>
      <c r="O643" s="28"/>
    </row>
    <row r="644">
      <c r="A644" s="28"/>
      <c r="B644" s="42"/>
      <c r="C644" s="42"/>
      <c r="D644" s="42"/>
      <c r="E644" s="28"/>
      <c r="F644" s="28"/>
      <c r="G644" s="28"/>
      <c r="H644" s="28"/>
      <c r="O644" s="28"/>
    </row>
    <row r="645">
      <c r="A645" s="28"/>
      <c r="B645" s="42"/>
      <c r="C645" s="42"/>
      <c r="D645" s="42"/>
      <c r="E645" s="28"/>
      <c r="F645" s="28"/>
      <c r="G645" s="28"/>
      <c r="H645" s="28"/>
      <c r="O645" s="28"/>
    </row>
    <row r="646">
      <c r="A646" s="28"/>
      <c r="B646" s="42"/>
      <c r="C646" s="42"/>
      <c r="D646" s="42"/>
      <c r="E646" s="28"/>
      <c r="F646" s="28"/>
      <c r="G646" s="28"/>
      <c r="H646" s="28"/>
      <c r="O646" s="28"/>
    </row>
    <row r="647">
      <c r="A647" s="28"/>
      <c r="B647" s="42"/>
      <c r="C647" s="42"/>
      <c r="D647" s="42"/>
      <c r="E647" s="28"/>
      <c r="F647" s="28"/>
      <c r="G647" s="28"/>
      <c r="H647" s="28"/>
      <c r="O647" s="28"/>
    </row>
    <row r="648">
      <c r="A648" s="28"/>
      <c r="B648" s="42"/>
      <c r="C648" s="42"/>
      <c r="D648" s="42"/>
      <c r="E648" s="28"/>
      <c r="F648" s="28"/>
      <c r="G648" s="28"/>
      <c r="H648" s="28"/>
      <c r="O648" s="28"/>
    </row>
    <row r="649">
      <c r="A649" s="28"/>
      <c r="B649" s="42"/>
      <c r="C649" s="42"/>
      <c r="D649" s="42"/>
      <c r="E649" s="28"/>
      <c r="F649" s="28"/>
      <c r="G649" s="28"/>
      <c r="H649" s="28"/>
      <c r="O649" s="28"/>
    </row>
    <row r="650">
      <c r="A650" s="28"/>
      <c r="B650" s="42"/>
      <c r="C650" s="42"/>
      <c r="D650" s="42"/>
      <c r="E650" s="28"/>
      <c r="F650" s="28"/>
      <c r="G650" s="28"/>
      <c r="H650" s="28"/>
      <c r="O650" s="28"/>
    </row>
    <row r="651">
      <c r="A651" s="28"/>
      <c r="B651" s="42"/>
      <c r="C651" s="42"/>
      <c r="D651" s="42"/>
      <c r="E651" s="28"/>
      <c r="F651" s="28"/>
      <c r="G651" s="28"/>
      <c r="H651" s="28"/>
      <c r="O651" s="28"/>
    </row>
    <row r="652">
      <c r="A652" s="28"/>
      <c r="B652" s="42"/>
      <c r="C652" s="42"/>
      <c r="D652" s="42"/>
      <c r="E652" s="28"/>
      <c r="F652" s="28"/>
      <c r="G652" s="28"/>
      <c r="H652" s="28"/>
      <c r="O652" s="28"/>
    </row>
    <row r="653">
      <c r="A653" s="28"/>
      <c r="B653" s="42"/>
      <c r="C653" s="42"/>
      <c r="D653" s="42"/>
      <c r="E653" s="28"/>
      <c r="F653" s="28"/>
      <c r="G653" s="28"/>
      <c r="H653" s="28"/>
      <c r="O653" s="28"/>
    </row>
    <row r="654">
      <c r="A654" s="28"/>
      <c r="B654" s="42"/>
      <c r="C654" s="42"/>
      <c r="D654" s="42"/>
      <c r="E654" s="28"/>
      <c r="F654" s="28"/>
      <c r="G654" s="28"/>
      <c r="H654" s="28"/>
      <c r="O654" s="28"/>
    </row>
    <row r="655">
      <c r="A655" s="28"/>
      <c r="B655" s="42"/>
      <c r="C655" s="42"/>
      <c r="D655" s="42"/>
      <c r="E655" s="28"/>
      <c r="F655" s="28"/>
      <c r="G655" s="28"/>
      <c r="H655" s="28"/>
      <c r="O655" s="28"/>
    </row>
    <row r="656">
      <c r="A656" s="28"/>
      <c r="B656" s="42"/>
      <c r="C656" s="42"/>
      <c r="D656" s="42"/>
      <c r="E656" s="28"/>
      <c r="F656" s="28"/>
      <c r="G656" s="28"/>
      <c r="H656" s="28"/>
      <c r="O656" s="28"/>
    </row>
    <row r="657">
      <c r="A657" s="28"/>
      <c r="B657" s="42"/>
      <c r="C657" s="42"/>
      <c r="D657" s="42"/>
      <c r="E657" s="28"/>
      <c r="F657" s="28"/>
      <c r="G657" s="28"/>
      <c r="H657" s="28"/>
      <c r="O657" s="28"/>
    </row>
    <row r="658">
      <c r="A658" s="28"/>
      <c r="B658" s="42"/>
      <c r="C658" s="42"/>
      <c r="D658" s="42"/>
      <c r="E658" s="28"/>
      <c r="F658" s="28"/>
      <c r="G658" s="28"/>
      <c r="H658" s="28"/>
      <c r="O658" s="28"/>
    </row>
    <row r="659">
      <c r="A659" s="28"/>
      <c r="B659" s="42"/>
      <c r="C659" s="42"/>
      <c r="D659" s="42"/>
      <c r="E659" s="28"/>
      <c r="F659" s="28"/>
      <c r="G659" s="28"/>
      <c r="H659" s="28"/>
      <c r="O659" s="28"/>
    </row>
    <row r="660">
      <c r="A660" s="28"/>
      <c r="B660" s="42"/>
      <c r="C660" s="42"/>
      <c r="D660" s="42"/>
      <c r="E660" s="28"/>
      <c r="F660" s="28"/>
      <c r="G660" s="28"/>
      <c r="H660" s="28"/>
      <c r="O660" s="28"/>
    </row>
    <row r="661">
      <c r="A661" s="28"/>
      <c r="B661" s="42"/>
      <c r="C661" s="42"/>
      <c r="D661" s="42"/>
      <c r="E661" s="28"/>
      <c r="F661" s="28"/>
      <c r="G661" s="28"/>
      <c r="H661" s="28"/>
      <c r="O661" s="28"/>
    </row>
    <row r="662">
      <c r="A662" s="28"/>
      <c r="B662" s="42"/>
      <c r="C662" s="42"/>
      <c r="D662" s="42"/>
      <c r="E662" s="28"/>
      <c r="F662" s="28"/>
      <c r="G662" s="28"/>
      <c r="H662" s="28"/>
      <c r="O662" s="28"/>
    </row>
    <row r="663">
      <c r="A663" s="28"/>
      <c r="B663" s="42"/>
      <c r="C663" s="42"/>
      <c r="D663" s="42"/>
      <c r="E663" s="28"/>
      <c r="F663" s="28"/>
      <c r="G663" s="28"/>
      <c r="H663" s="28"/>
      <c r="O663" s="28"/>
    </row>
    <row r="664">
      <c r="A664" s="28"/>
      <c r="B664" s="42"/>
      <c r="C664" s="42"/>
      <c r="D664" s="42"/>
      <c r="E664" s="28"/>
      <c r="F664" s="28"/>
      <c r="G664" s="28"/>
      <c r="H664" s="28"/>
      <c r="O664" s="28"/>
    </row>
    <row r="665">
      <c r="A665" s="28"/>
      <c r="B665" s="42"/>
      <c r="C665" s="42"/>
      <c r="D665" s="42"/>
      <c r="E665" s="28"/>
      <c r="F665" s="28"/>
      <c r="G665" s="28"/>
      <c r="H665" s="28"/>
      <c r="O665" s="28"/>
    </row>
    <row r="666">
      <c r="A666" s="28"/>
      <c r="B666" s="42"/>
      <c r="C666" s="42"/>
      <c r="D666" s="42"/>
      <c r="E666" s="28"/>
      <c r="F666" s="28"/>
      <c r="G666" s="28"/>
      <c r="H666" s="28"/>
      <c r="O666" s="28"/>
    </row>
    <row r="667">
      <c r="A667" s="28"/>
      <c r="B667" s="42"/>
      <c r="C667" s="42"/>
      <c r="D667" s="42"/>
      <c r="E667" s="28"/>
      <c r="F667" s="28"/>
      <c r="G667" s="28"/>
      <c r="H667" s="28"/>
      <c r="O667" s="28"/>
    </row>
    <row r="668">
      <c r="A668" s="28"/>
      <c r="B668" s="42"/>
      <c r="C668" s="42"/>
      <c r="D668" s="42"/>
      <c r="E668" s="28"/>
      <c r="F668" s="28"/>
      <c r="G668" s="28"/>
      <c r="H668" s="28"/>
      <c r="O668" s="28"/>
    </row>
    <row r="669">
      <c r="A669" s="28"/>
      <c r="B669" s="42"/>
      <c r="C669" s="42"/>
      <c r="D669" s="42"/>
      <c r="E669" s="28"/>
      <c r="F669" s="28"/>
      <c r="G669" s="28"/>
      <c r="H669" s="28"/>
      <c r="O669" s="28"/>
    </row>
    <row r="670">
      <c r="A670" s="28"/>
      <c r="B670" s="42"/>
      <c r="C670" s="42"/>
      <c r="D670" s="42"/>
      <c r="E670" s="28"/>
      <c r="F670" s="28"/>
      <c r="G670" s="28"/>
      <c r="H670" s="28"/>
      <c r="O670" s="28"/>
    </row>
    <row r="671">
      <c r="A671" s="28"/>
      <c r="B671" s="42"/>
      <c r="C671" s="42"/>
      <c r="D671" s="42"/>
      <c r="E671" s="28"/>
      <c r="F671" s="28"/>
      <c r="G671" s="28"/>
      <c r="H671" s="28"/>
      <c r="O671" s="28"/>
    </row>
    <row r="672">
      <c r="A672" s="28"/>
      <c r="B672" s="42"/>
      <c r="C672" s="42"/>
      <c r="D672" s="42"/>
      <c r="E672" s="28"/>
      <c r="F672" s="28"/>
      <c r="G672" s="28"/>
      <c r="H672" s="28"/>
      <c r="O672" s="28"/>
    </row>
    <row r="673">
      <c r="A673" s="28"/>
      <c r="B673" s="42"/>
      <c r="C673" s="42"/>
      <c r="D673" s="42"/>
      <c r="E673" s="28"/>
      <c r="F673" s="28"/>
      <c r="G673" s="28"/>
      <c r="H673" s="28"/>
      <c r="O673" s="28"/>
    </row>
    <row r="674">
      <c r="A674" s="28"/>
      <c r="B674" s="42"/>
      <c r="C674" s="42"/>
      <c r="D674" s="42"/>
      <c r="E674" s="28"/>
      <c r="F674" s="28"/>
      <c r="G674" s="28"/>
      <c r="H674" s="28"/>
      <c r="O674" s="28"/>
    </row>
    <row r="675">
      <c r="A675" s="28"/>
      <c r="B675" s="42"/>
      <c r="C675" s="42"/>
      <c r="D675" s="42"/>
      <c r="E675" s="28"/>
      <c r="F675" s="28"/>
      <c r="G675" s="28"/>
      <c r="H675" s="28"/>
      <c r="O675" s="28"/>
    </row>
    <row r="676">
      <c r="A676" s="28"/>
      <c r="B676" s="42"/>
      <c r="C676" s="42"/>
      <c r="D676" s="42"/>
      <c r="E676" s="28"/>
      <c r="F676" s="28"/>
      <c r="G676" s="28"/>
      <c r="H676" s="28"/>
      <c r="O676" s="28"/>
    </row>
    <row r="677">
      <c r="A677" s="28"/>
      <c r="B677" s="42"/>
      <c r="C677" s="42"/>
      <c r="D677" s="42"/>
      <c r="E677" s="28"/>
      <c r="F677" s="28"/>
      <c r="G677" s="28"/>
      <c r="H677" s="28"/>
      <c r="O677" s="28"/>
    </row>
    <row r="678">
      <c r="A678" s="28"/>
      <c r="B678" s="42"/>
      <c r="C678" s="42"/>
      <c r="D678" s="42"/>
      <c r="E678" s="28"/>
      <c r="F678" s="28"/>
      <c r="G678" s="28"/>
      <c r="H678" s="28"/>
      <c r="O678" s="28"/>
    </row>
    <row r="679">
      <c r="A679" s="28"/>
      <c r="B679" s="42"/>
      <c r="C679" s="42"/>
      <c r="D679" s="42"/>
      <c r="E679" s="28"/>
      <c r="F679" s="28"/>
      <c r="G679" s="28"/>
      <c r="H679" s="28"/>
      <c r="O679" s="28"/>
    </row>
    <row r="680">
      <c r="A680" s="28"/>
      <c r="B680" s="42"/>
      <c r="C680" s="42"/>
      <c r="D680" s="42"/>
      <c r="E680" s="28"/>
      <c r="F680" s="28"/>
      <c r="G680" s="28"/>
      <c r="H680" s="28"/>
      <c r="O680" s="28"/>
    </row>
    <row r="681">
      <c r="A681" s="28"/>
      <c r="B681" s="42"/>
      <c r="C681" s="42"/>
      <c r="D681" s="42"/>
      <c r="E681" s="28"/>
      <c r="F681" s="28"/>
      <c r="G681" s="28"/>
      <c r="H681" s="28"/>
      <c r="O681" s="28"/>
    </row>
    <row r="682">
      <c r="A682" s="28"/>
      <c r="B682" s="42"/>
      <c r="C682" s="42"/>
      <c r="D682" s="42"/>
      <c r="E682" s="28"/>
      <c r="F682" s="28"/>
      <c r="G682" s="28"/>
      <c r="H682" s="28"/>
      <c r="O682" s="28"/>
    </row>
    <row r="683">
      <c r="A683" s="28"/>
      <c r="B683" s="42"/>
      <c r="C683" s="42"/>
      <c r="D683" s="42"/>
      <c r="E683" s="28"/>
      <c r="F683" s="28"/>
      <c r="G683" s="28"/>
      <c r="H683" s="28"/>
      <c r="O683" s="28"/>
    </row>
    <row r="684">
      <c r="A684" s="28"/>
      <c r="B684" s="42"/>
      <c r="C684" s="42"/>
      <c r="D684" s="42"/>
      <c r="E684" s="28"/>
      <c r="F684" s="28"/>
      <c r="G684" s="28"/>
      <c r="H684" s="28"/>
      <c r="O684" s="28"/>
    </row>
    <row r="685">
      <c r="A685" s="28"/>
      <c r="B685" s="42"/>
      <c r="C685" s="42"/>
      <c r="D685" s="42"/>
      <c r="E685" s="28"/>
      <c r="F685" s="28"/>
      <c r="G685" s="28"/>
      <c r="H685" s="28"/>
      <c r="O685" s="28"/>
    </row>
    <row r="686">
      <c r="A686" s="28"/>
      <c r="B686" s="42"/>
      <c r="C686" s="42"/>
      <c r="D686" s="42"/>
      <c r="E686" s="28"/>
      <c r="F686" s="28"/>
      <c r="G686" s="28"/>
      <c r="H686" s="28"/>
      <c r="O686" s="28"/>
    </row>
    <row r="687">
      <c r="A687" s="28"/>
      <c r="B687" s="42"/>
      <c r="C687" s="42"/>
      <c r="D687" s="42"/>
      <c r="E687" s="28"/>
      <c r="F687" s="28"/>
      <c r="G687" s="28"/>
      <c r="H687" s="28"/>
      <c r="O687" s="28"/>
    </row>
    <row r="688">
      <c r="A688" s="28"/>
      <c r="B688" s="42"/>
      <c r="C688" s="42"/>
      <c r="D688" s="42"/>
      <c r="E688" s="28"/>
      <c r="F688" s="28"/>
      <c r="G688" s="28"/>
      <c r="H688" s="28"/>
      <c r="O688" s="28"/>
    </row>
    <row r="689">
      <c r="A689" s="28"/>
      <c r="B689" s="42"/>
      <c r="C689" s="42"/>
      <c r="D689" s="42"/>
      <c r="E689" s="28"/>
      <c r="F689" s="28"/>
      <c r="G689" s="28"/>
      <c r="H689" s="28"/>
      <c r="O689" s="28"/>
    </row>
    <row r="690">
      <c r="A690" s="28"/>
      <c r="B690" s="42"/>
      <c r="C690" s="42"/>
      <c r="D690" s="42"/>
      <c r="E690" s="28"/>
      <c r="F690" s="28"/>
      <c r="G690" s="28"/>
      <c r="H690" s="28"/>
      <c r="O690" s="28"/>
    </row>
    <row r="691">
      <c r="A691" s="28"/>
      <c r="B691" s="42"/>
      <c r="C691" s="42"/>
      <c r="D691" s="42"/>
      <c r="E691" s="28"/>
      <c r="F691" s="28"/>
      <c r="G691" s="28"/>
      <c r="H691" s="28"/>
      <c r="O691" s="28"/>
    </row>
    <row r="692">
      <c r="A692" s="28"/>
      <c r="B692" s="42"/>
      <c r="C692" s="42"/>
      <c r="D692" s="42"/>
      <c r="E692" s="28"/>
      <c r="F692" s="28"/>
      <c r="G692" s="28"/>
      <c r="H692" s="28"/>
      <c r="O692" s="28"/>
    </row>
    <row r="693">
      <c r="A693" s="28"/>
      <c r="B693" s="42"/>
      <c r="C693" s="42"/>
      <c r="D693" s="42"/>
      <c r="E693" s="28"/>
      <c r="F693" s="28"/>
      <c r="G693" s="28"/>
      <c r="H693" s="28"/>
      <c r="O693" s="28"/>
    </row>
    <row r="694">
      <c r="A694" s="28"/>
      <c r="B694" s="42"/>
      <c r="C694" s="42"/>
      <c r="D694" s="42"/>
      <c r="E694" s="28"/>
      <c r="F694" s="28"/>
      <c r="G694" s="28"/>
      <c r="H694" s="28"/>
      <c r="O694" s="28"/>
    </row>
    <row r="695">
      <c r="A695" s="28"/>
      <c r="B695" s="42"/>
      <c r="C695" s="42"/>
      <c r="D695" s="42"/>
      <c r="E695" s="28"/>
      <c r="F695" s="28"/>
      <c r="G695" s="28"/>
      <c r="H695" s="28"/>
      <c r="O695" s="28"/>
    </row>
    <row r="696">
      <c r="A696" s="28"/>
      <c r="B696" s="42"/>
      <c r="C696" s="42"/>
      <c r="D696" s="42"/>
      <c r="E696" s="28"/>
      <c r="F696" s="28"/>
      <c r="G696" s="28"/>
      <c r="H696" s="28"/>
      <c r="O696" s="28"/>
    </row>
    <row r="697">
      <c r="A697" s="28"/>
      <c r="B697" s="42"/>
      <c r="C697" s="42"/>
      <c r="D697" s="42"/>
      <c r="E697" s="28"/>
      <c r="F697" s="28"/>
      <c r="G697" s="28"/>
      <c r="H697" s="28"/>
      <c r="O697" s="28"/>
    </row>
    <row r="698">
      <c r="A698" s="28"/>
      <c r="B698" s="42"/>
      <c r="C698" s="42"/>
      <c r="D698" s="42"/>
      <c r="E698" s="28"/>
      <c r="F698" s="28"/>
      <c r="G698" s="28"/>
      <c r="H698" s="28"/>
      <c r="O698" s="28"/>
    </row>
    <row r="699">
      <c r="A699" s="28"/>
      <c r="B699" s="42"/>
      <c r="C699" s="42"/>
      <c r="D699" s="42"/>
      <c r="E699" s="28"/>
      <c r="F699" s="28"/>
      <c r="G699" s="28"/>
      <c r="H699" s="28"/>
      <c r="O699" s="28"/>
    </row>
    <row r="700">
      <c r="A700" s="28"/>
      <c r="B700" s="42"/>
      <c r="C700" s="42"/>
      <c r="D700" s="42"/>
      <c r="E700" s="28"/>
      <c r="F700" s="28"/>
      <c r="G700" s="28"/>
      <c r="H700" s="28"/>
      <c r="O700" s="28"/>
    </row>
    <row r="701">
      <c r="A701" s="28"/>
      <c r="B701" s="42"/>
      <c r="C701" s="42"/>
      <c r="D701" s="42"/>
      <c r="E701" s="28"/>
      <c r="F701" s="28"/>
      <c r="G701" s="28"/>
      <c r="H701" s="28"/>
      <c r="O701" s="28"/>
    </row>
    <row r="702">
      <c r="A702" s="28"/>
      <c r="B702" s="42"/>
      <c r="C702" s="42"/>
      <c r="D702" s="42"/>
      <c r="E702" s="28"/>
      <c r="F702" s="28"/>
      <c r="G702" s="28"/>
      <c r="H702" s="28"/>
      <c r="O702" s="28"/>
    </row>
    <row r="703">
      <c r="A703" s="28"/>
      <c r="B703" s="42"/>
      <c r="C703" s="42"/>
      <c r="D703" s="42"/>
      <c r="E703" s="28"/>
      <c r="F703" s="28"/>
      <c r="G703" s="28"/>
      <c r="H703" s="28"/>
      <c r="O703" s="28"/>
    </row>
    <row r="704">
      <c r="A704" s="28"/>
      <c r="B704" s="42"/>
      <c r="C704" s="42"/>
      <c r="D704" s="42"/>
      <c r="E704" s="28"/>
      <c r="F704" s="28"/>
      <c r="G704" s="28"/>
      <c r="H704" s="28"/>
      <c r="O704" s="28"/>
    </row>
    <row r="705">
      <c r="A705" s="28"/>
      <c r="B705" s="42"/>
      <c r="C705" s="42"/>
      <c r="D705" s="42"/>
      <c r="E705" s="28"/>
      <c r="F705" s="28"/>
      <c r="G705" s="28"/>
      <c r="H705" s="28"/>
      <c r="O705" s="28"/>
    </row>
    <row r="706">
      <c r="A706" s="28"/>
      <c r="B706" s="42"/>
      <c r="C706" s="42"/>
      <c r="D706" s="42"/>
      <c r="E706" s="28"/>
      <c r="F706" s="28"/>
      <c r="G706" s="28"/>
      <c r="H706" s="28"/>
      <c r="O706" s="28"/>
    </row>
    <row r="707">
      <c r="A707" s="28"/>
      <c r="B707" s="42"/>
      <c r="C707" s="42"/>
      <c r="D707" s="42"/>
      <c r="E707" s="28"/>
      <c r="F707" s="28"/>
      <c r="G707" s="28"/>
      <c r="H707" s="28"/>
      <c r="O707" s="28"/>
    </row>
    <row r="708">
      <c r="A708" s="28"/>
      <c r="B708" s="42"/>
      <c r="C708" s="42"/>
      <c r="D708" s="42"/>
      <c r="E708" s="28"/>
      <c r="F708" s="28"/>
      <c r="G708" s="28"/>
      <c r="H708" s="28"/>
      <c r="O708" s="28"/>
    </row>
    <row r="709">
      <c r="A709" s="28"/>
      <c r="B709" s="42"/>
      <c r="C709" s="42"/>
      <c r="D709" s="42"/>
      <c r="E709" s="28"/>
      <c r="F709" s="28"/>
      <c r="G709" s="28"/>
      <c r="H709" s="28"/>
      <c r="O709" s="28"/>
    </row>
    <row r="710">
      <c r="A710" s="28"/>
      <c r="B710" s="42"/>
      <c r="C710" s="42"/>
      <c r="D710" s="42"/>
      <c r="E710" s="28"/>
      <c r="F710" s="28"/>
      <c r="G710" s="28"/>
      <c r="H710" s="28"/>
      <c r="O710" s="28"/>
    </row>
    <row r="711">
      <c r="A711" s="28"/>
      <c r="B711" s="42"/>
      <c r="C711" s="42"/>
      <c r="D711" s="42"/>
      <c r="E711" s="28"/>
      <c r="F711" s="28"/>
      <c r="G711" s="28"/>
      <c r="H711" s="28"/>
      <c r="O711" s="28"/>
    </row>
    <row r="712">
      <c r="A712" s="28"/>
      <c r="B712" s="42"/>
      <c r="C712" s="42"/>
      <c r="D712" s="42"/>
      <c r="E712" s="28"/>
      <c r="F712" s="28"/>
      <c r="G712" s="28"/>
      <c r="H712" s="28"/>
      <c r="O712" s="28"/>
    </row>
    <row r="713">
      <c r="A713" s="28"/>
      <c r="B713" s="42"/>
      <c r="C713" s="42"/>
      <c r="D713" s="42"/>
      <c r="E713" s="28"/>
      <c r="F713" s="28"/>
      <c r="G713" s="28"/>
      <c r="H713" s="28"/>
      <c r="O713" s="28"/>
    </row>
    <row r="714">
      <c r="A714" s="28"/>
      <c r="B714" s="42"/>
      <c r="C714" s="42"/>
      <c r="D714" s="42"/>
      <c r="E714" s="28"/>
      <c r="F714" s="28"/>
      <c r="G714" s="28"/>
      <c r="H714" s="28"/>
      <c r="O714" s="28"/>
    </row>
    <row r="715">
      <c r="A715" s="28"/>
      <c r="B715" s="42"/>
      <c r="C715" s="42"/>
      <c r="D715" s="42"/>
      <c r="E715" s="28"/>
      <c r="F715" s="28"/>
      <c r="G715" s="28"/>
      <c r="H715" s="28"/>
      <c r="O715" s="28"/>
    </row>
    <row r="716">
      <c r="A716" s="28"/>
      <c r="B716" s="42"/>
      <c r="C716" s="42"/>
      <c r="D716" s="42"/>
      <c r="E716" s="28"/>
      <c r="F716" s="28"/>
      <c r="G716" s="28"/>
      <c r="H716" s="28"/>
      <c r="O716" s="28"/>
    </row>
    <row r="717">
      <c r="A717" s="28"/>
      <c r="B717" s="42"/>
      <c r="C717" s="42"/>
      <c r="D717" s="42"/>
      <c r="E717" s="28"/>
      <c r="F717" s="28"/>
      <c r="G717" s="28"/>
      <c r="H717" s="28"/>
      <c r="O717" s="28"/>
    </row>
    <row r="718">
      <c r="A718" s="28"/>
      <c r="B718" s="42"/>
      <c r="C718" s="42"/>
      <c r="D718" s="42"/>
      <c r="E718" s="28"/>
      <c r="F718" s="28"/>
      <c r="G718" s="28"/>
      <c r="H718" s="28"/>
      <c r="O718" s="28"/>
    </row>
    <row r="719">
      <c r="A719" s="28"/>
      <c r="B719" s="42"/>
      <c r="C719" s="42"/>
      <c r="D719" s="42"/>
      <c r="E719" s="28"/>
      <c r="F719" s="28"/>
      <c r="G719" s="28"/>
      <c r="H719" s="28"/>
      <c r="O719" s="28"/>
    </row>
    <row r="720">
      <c r="A720" s="28"/>
      <c r="B720" s="42"/>
      <c r="C720" s="42"/>
      <c r="D720" s="42"/>
      <c r="E720" s="28"/>
      <c r="F720" s="28"/>
      <c r="G720" s="28"/>
      <c r="H720" s="28"/>
      <c r="O720" s="28"/>
    </row>
    <row r="721">
      <c r="A721" s="28"/>
      <c r="B721" s="42"/>
      <c r="C721" s="42"/>
      <c r="D721" s="42"/>
      <c r="E721" s="28"/>
      <c r="F721" s="28"/>
      <c r="G721" s="28"/>
      <c r="H721" s="28"/>
      <c r="O721" s="28"/>
    </row>
    <row r="722">
      <c r="A722" s="28"/>
      <c r="B722" s="42"/>
      <c r="C722" s="42"/>
      <c r="D722" s="42"/>
      <c r="E722" s="28"/>
      <c r="F722" s="28"/>
      <c r="G722" s="28"/>
      <c r="H722" s="28"/>
      <c r="O722" s="28"/>
    </row>
    <row r="723">
      <c r="A723" s="28"/>
      <c r="B723" s="42"/>
      <c r="C723" s="42"/>
      <c r="D723" s="42"/>
      <c r="E723" s="28"/>
      <c r="F723" s="28"/>
      <c r="G723" s="28"/>
      <c r="H723" s="28"/>
      <c r="O723" s="28"/>
    </row>
    <row r="724">
      <c r="A724" s="28"/>
      <c r="B724" s="42"/>
      <c r="C724" s="42"/>
      <c r="D724" s="42"/>
      <c r="E724" s="28"/>
      <c r="F724" s="28"/>
      <c r="G724" s="28"/>
      <c r="H724" s="28"/>
      <c r="O724" s="28"/>
    </row>
    <row r="725">
      <c r="A725" s="28"/>
      <c r="B725" s="42"/>
      <c r="C725" s="42"/>
      <c r="D725" s="42"/>
      <c r="E725" s="28"/>
      <c r="F725" s="28"/>
      <c r="G725" s="28"/>
      <c r="H725" s="28"/>
      <c r="O725" s="28"/>
    </row>
    <row r="726">
      <c r="A726" s="28"/>
      <c r="B726" s="42"/>
      <c r="C726" s="42"/>
      <c r="D726" s="42"/>
      <c r="E726" s="28"/>
      <c r="F726" s="28"/>
      <c r="G726" s="28"/>
      <c r="H726" s="28"/>
      <c r="O726" s="28"/>
    </row>
    <row r="727">
      <c r="A727" s="28"/>
      <c r="B727" s="42"/>
      <c r="C727" s="42"/>
      <c r="D727" s="42"/>
      <c r="E727" s="28"/>
      <c r="F727" s="28"/>
      <c r="G727" s="28"/>
      <c r="H727" s="28"/>
      <c r="O727" s="28"/>
    </row>
    <row r="728">
      <c r="A728" s="28"/>
      <c r="B728" s="42"/>
      <c r="C728" s="42"/>
      <c r="D728" s="42"/>
      <c r="E728" s="28"/>
      <c r="F728" s="28"/>
      <c r="G728" s="28"/>
      <c r="H728" s="28"/>
      <c r="O728" s="28"/>
    </row>
    <row r="729">
      <c r="A729" s="28"/>
      <c r="B729" s="42"/>
      <c r="C729" s="42"/>
      <c r="D729" s="42"/>
      <c r="E729" s="28"/>
      <c r="F729" s="28"/>
      <c r="G729" s="28"/>
      <c r="H729" s="28"/>
      <c r="O729" s="28"/>
    </row>
    <row r="730">
      <c r="A730" s="28"/>
      <c r="B730" s="42"/>
      <c r="C730" s="42"/>
      <c r="D730" s="42"/>
      <c r="E730" s="28"/>
      <c r="F730" s="28"/>
      <c r="G730" s="28"/>
      <c r="H730" s="28"/>
      <c r="O730" s="28"/>
    </row>
    <row r="731">
      <c r="A731" s="28"/>
      <c r="B731" s="42"/>
      <c r="C731" s="42"/>
      <c r="D731" s="42"/>
      <c r="E731" s="28"/>
      <c r="F731" s="28"/>
      <c r="G731" s="28"/>
      <c r="H731" s="28"/>
      <c r="O731" s="28"/>
    </row>
    <row r="732">
      <c r="A732" s="28"/>
      <c r="B732" s="42"/>
      <c r="C732" s="42"/>
      <c r="D732" s="42"/>
      <c r="E732" s="28"/>
      <c r="F732" s="28"/>
      <c r="G732" s="28"/>
      <c r="H732" s="28"/>
      <c r="O732" s="28"/>
    </row>
    <row r="733">
      <c r="A733" s="28"/>
      <c r="B733" s="42"/>
      <c r="C733" s="42"/>
      <c r="D733" s="42"/>
      <c r="E733" s="28"/>
      <c r="F733" s="28"/>
      <c r="G733" s="28"/>
      <c r="H733" s="28"/>
      <c r="O733" s="28"/>
    </row>
    <row r="734">
      <c r="A734" s="28"/>
      <c r="B734" s="42"/>
      <c r="C734" s="42"/>
      <c r="D734" s="42"/>
      <c r="E734" s="28"/>
      <c r="F734" s="28"/>
      <c r="G734" s="28"/>
      <c r="H734" s="28"/>
      <c r="O734" s="28"/>
    </row>
    <row r="735">
      <c r="A735" s="28"/>
      <c r="B735" s="42"/>
      <c r="C735" s="42"/>
      <c r="D735" s="42"/>
      <c r="E735" s="28"/>
      <c r="F735" s="28"/>
      <c r="G735" s="28"/>
      <c r="H735" s="28"/>
      <c r="O735" s="28"/>
    </row>
    <row r="736">
      <c r="A736" s="28"/>
      <c r="B736" s="42"/>
      <c r="C736" s="42"/>
      <c r="D736" s="42"/>
      <c r="E736" s="28"/>
      <c r="F736" s="28"/>
      <c r="G736" s="28"/>
      <c r="H736" s="28"/>
      <c r="O736" s="28"/>
    </row>
    <row r="737">
      <c r="A737" s="28"/>
      <c r="B737" s="42"/>
      <c r="C737" s="42"/>
      <c r="D737" s="42"/>
      <c r="E737" s="28"/>
      <c r="F737" s="28"/>
      <c r="G737" s="28"/>
      <c r="H737" s="28"/>
      <c r="O737" s="28"/>
    </row>
    <row r="738">
      <c r="A738" s="28"/>
      <c r="B738" s="42"/>
      <c r="C738" s="42"/>
      <c r="D738" s="42"/>
      <c r="E738" s="28"/>
      <c r="F738" s="28"/>
      <c r="G738" s="28"/>
      <c r="H738" s="28"/>
      <c r="O738" s="28"/>
    </row>
    <row r="739">
      <c r="A739" s="28"/>
      <c r="B739" s="42"/>
      <c r="C739" s="42"/>
      <c r="D739" s="42"/>
      <c r="E739" s="28"/>
      <c r="F739" s="28"/>
      <c r="G739" s="28"/>
      <c r="H739" s="28"/>
      <c r="O739" s="28"/>
    </row>
    <row r="740">
      <c r="A740" s="28"/>
      <c r="B740" s="42"/>
      <c r="C740" s="42"/>
      <c r="D740" s="42"/>
      <c r="E740" s="28"/>
      <c r="F740" s="28"/>
      <c r="G740" s="28"/>
      <c r="H740" s="28"/>
      <c r="O740" s="28"/>
    </row>
    <row r="741">
      <c r="A741" s="28"/>
      <c r="B741" s="42"/>
      <c r="C741" s="42"/>
      <c r="D741" s="42"/>
      <c r="E741" s="28"/>
      <c r="F741" s="28"/>
      <c r="G741" s="28"/>
      <c r="H741" s="28"/>
      <c r="O741" s="28"/>
    </row>
    <row r="742">
      <c r="A742" s="28"/>
      <c r="B742" s="42"/>
      <c r="C742" s="42"/>
      <c r="D742" s="42"/>
      <c r="E742" s="28"/>
      <c r="F742" s="28"/>
      <c r="G742" s="28"/>
      <c r="H742" s="28"/>
      <c r="O742" s="28"/>
    </row>
    <row r="743">
      <c r="A743" s="28"/>
      <c r="B743" s="42"/>
      <c r="C743" s="42"/>
      <c r="D743" s="42"/>
      <c r="E743" s="28"/>
      <c r="F743" s="28"/>
      <c r="G743" s="28"/>
      <c r="H743" s="28"/>
      <c r="O743" s="28"/>
    </row>
    <row r="744">
      <c r="A744" s="28"/>
      <c r="B744" s="42"/>
      <c r="C744" s="42"/>
      <c r="D744" s="42"/>
      <c r="E744" s="28"/>
      <c r="F744" s="28"/>
      <c r="G744" s="28"/>
      <c r="H744" s="28"/>
      <c r="O744" s="28"/>
    </row>
    <row r="745">
      <c r="A745" s="28"/>
      <c r="B745" s="42"/>
      <c r="C745" s="42"/>
      <c r="D745" s="42"/>
      <c r="E745" s="28"/>
      <c r="F745" s="28"/>
      <c r="G745" s="28"/>
      <c r="H745" s="28"/>
      <c r="O745" s="28"/>
    </row>
    <row r="746">
      <c r="A746" s="28"/>
      <c r="B746" s="42"/>
      <c r="C746" s="42"/>
      <c r="D746" s="42"/>
      <c r="E746" s="28"/>
      <c r="F746" s="28"/>
      <c r="G746" s="28"/>
      <c r="H746" s="28"/>
      <c r="O746" s="28"/>
    </row>
    <row r="747">
      <c r="A747" s="28"/>
      <c r="B747" s="42"/>
      <c r="C747" s="42"/>
      <c r="D747" s="42"/>
      <c r="E747" s="28"/>
      <c r="F747" s="28"/>
      <c r="G747" s="28"/>
      <c r="H747" s="28"/>
      <c r="O747" s="28"/>
    </row>
    <row r="748">
      <c r="A748" s="28"/>
      <c r="B748" s="42"/>
      <c r="C748" s="42"/>
      <c r="D748" s="42"/>
      <c r="E748" s="28"/>
      <c r="F748" s="28"/>
      <c r="G748" s="28"/>
      <c r="H748" s="28"/>
      <c r="O748" s="28"/>
    </row>
    <row r="749">
      <c r="A749" s="28"/>
      <c r="B749" s="42"/>
      <c r="C749" s="42"/>
      <c r="D749" s="42"/>
      <c r="E749" s="28"/>
      <c r="F749" s="28"/>
      <c r="G749" s="28"/>
      <c r="H749" s="28"/>
      <c r="O749" s="28"/>
    </row>
    <row r="750">
      <c r="A750" s="28"/>
      <c r="B750" s="42"/>
      <c r="C750" s="42"/>
      <c r="D750" s="42"/>
      <c r="E750" s="28"/>
      <c r="F750" s="28"/>
      <c r="G750" s="28"/>
      <c r="H750" s="28"/>
      <c r="O750" s="28"/>
    </row>
    <row r="751">
      <c r="A751" s="28"/>
      <c r="B751" s="42"/>
      <c r="C751" s="42"/>
      <c r="D751" s="42"/>
      <c r="E751" s="28"/>
      <c r="F751" s="28"/>
      <c r="G751" s="28"/>
      <c r="H751" s="28"/>
      <c r="O751" s="28"/>
    </row>
    <row r="752">
      <c r="A752" s="28"/>
      <c r="B752" s="42"/>
      <c r="C752" s="42"/>
      <c r="D752" s="42"/>
      <c r="E752" s="28"/>
      <c r="F752" s="28"/>
      <c r="G752" s="28"/>
      <c r="H752" s="28"/>
      <c r="O752" s="28"/>
    </row>
    <row r="753">
      <c r="A753" s="28"/>
      <c r="B753" s="42"/>
      <c r="C753" s="42"/>
      <c r="D753" s="42"/>
      <c r="E753" s="28"/>
      <c r="F753" s="28"/>
      <c r="G753" s="28"/>
      <c r="H753" s="28"/>
      <c r="O753" s="28"/>
    </row>
    <row r="754">
      <c r="A754" s="28"/>
      <c r="B754" s="42"/>
      <c r="C754" s="42"/>
      <c r="D754" s="42"/>
      <c r="E754" s="28"/>
      <c r="F754" s="28"/>
      <c r="G754" s="28"/>
      <c r="H754" s="28"/>
      <c r="O754" s="28"/>
    </row>
    <row r="755">
      <c r="A755" s="28"/>
      <c r="B755" s="42"/>
      <c r="C755" s="42"/>
      <c r="D755" s="42"/>
      <c r="E755" s="28"/>
      <c r="F755" s="28"/>
      <c r="G755" s="28"/>
      <c r="H755" s="28"/>
      <c r="O755" s="28"/>
    </row>
    <row r="756">
      <c r="A756" s="28"/>
      <c r="B756" s="42"/>
      <c r="C756" s="42"/>
      <c r="D756" s="42"/>
      <c r="E756" s="28"/>
      <c r="F756" s="28"/>
      <c r="G756" s="28"/>
      <c r="H756" s="28"/>
      <c r="O756" s="28"/>
    </row>
    <row r="757">
      <c r="A757" s="28"/>
      <c r="B757" s="42"/>
      <c r="C757" s="42"/>
      <c r="D757" s="42"/>
      <c r="E757" s="28"/>
      <c r="F757" s="28"/>
      <c r="G757" s="28"/>
      <c r="H757" s="28"/>
      <c r="O757" s="28"/>
    </row>
    <row r="758">
      <c r="A758" s="28"/>
      <c r="B758" s="42"/>
      <c r="C758" s="42"/>
      <c r="D758" s="42"/>
      <c r="E758" s="28"/>
      <c r="F758" s="28"/>
      <c r="G758" s="28"/>
      <c r="H758" s="28"/>
      <c r="O758" s="28"/>
    </row>
    <row r="759">
      <c r="A759" s="28"/>
      <c r="B759" s="42"/>
      <c r="C759" s="42"/>
      <c r="D759" s="42"/>
      <c r="E759" s="28"/>
      <c r="F759" s="28"/>
      <c r="G759" s="28"/>
      <c r="H759" s="28"/>
      <c r="O759" s="28"/>
    </row>
    <row r="760">
      <c r="A760" s="28"/>
      <c r="B760" s="42"/>
      <c r="C760" s="42"/>
      <c r="D760" s="42"/>
      <c r="E760" s="28"/>
      <c r="F760" s="28"/>
      <c r="G760" s="28"/>
      <c r="H760" s="28"/>
      <c r="O760" s="28"/>
    </row>
    <row r="761">
      <c r="A761" s="28"/>
      <c r="B761" s="42"/>
      <c r="C761" s="42"/>
      <c r="D761" s="42"/>
      <c r="E761" s="28"/>
      <c r="F761" s="28"/>
      <c r="G761" s="28"/>
      <c r="H761" s="28"/>
      <c r="O761" s="28"/>
    </row>
    <row r="762">
      <c r="A762" s="28"/>
      <c r="B762" s="42"/>
      <c r="C762" s="42"/>
      <c r="D762" s="42"/>
      <c r="E762" s="28"/>
      <c r="F762" s="28"/>
      <c r="G762" s="28"/>
      <c r="H762" s="28"/>
      <c r="O762" s="28"/>
    </row>
    <row r="763">
      <c r="A763" s="28"/>
      <c r="B763" s="42"/>
      <c r="C763" s="42"/>
      <c r="D763" s="42"/>
      <c r="E763" s="28"/>
      <c r="F763" s="28"/>
      <c r="G763" s="28"/>
      <c r="H763" s="28"/>
      <c r="O763" s="28"/>
    </row>
    <row r="764">
      <c r="A764" s="28"/>
      <c r="B764" s="42"/>
      <c r="C764" s="42"/>
      <c r="D764" s="42"/>
      <c r="E764" s="28"/>
      <c r="F764" s="28"/>
      <c r="G764" s="28"/>
      <c r="H764" s="28"/>
      <c r="O764" s="28"/>
    </row>
    <row r="765">
      <c r="A765" s="28"/>
      <c r="B765" s="42"/>
      <c r="C765" s="42"/>
      <c r="D765" s="42"/>
      <c r="E765" s="28"/>
      <c r="F765" s="28"/>
      <c r="G765" s="28"/>
      <c r="H765" s="28"/>
      <c r="O765" s="28"/>
    </row>
    <row r="766">
      <c r="A766" s="28"/>
      <c r="B766" s="42"/>
      <c r="C766" s="42"/>
      <c r="D766" s="42"/>
      <c r="E766" s="28"/>
      <c r="F766" s="28"/>
      <c r="G766" s="28"/>
      <c r="H766" s="28"/>
      <c r="O766" s="28"/>
    </row>
    <row r="767">
      <c r="A767" s="28"/>
      <c r="B767" s="42"/>
      <c r="C767" s="42"/>
      <c r="D767" s="42"/>
      <c r="E767" s="28"/>
      <c r="F767" s="28"/>
      <c r="G767" s="28"/>
      <c r="H767" s="28"/>
      <c r="O767" s="28"/>
    </row>
    <row r="768">
      <c r="A768" s="28"/>
      <c r="B768" s="42"/>
      <c r="C768" s="42"/>
      <c r="D768" s="42"/>
      <c r="E768" s="28"/>
      <c r="F768" s="28"/>
      <c r="G768" s="28"/>
      <c r="H768" s="28"/>
      <c r="O768" s="28"/>
    </row>
    <row r="769">
      <c r="A769" s="28"/>
      <c r="B769" s="42"/>
      <c r="C769" s="42"/>
      <c r="D769" s="42"/>
      <c r="E769" s="28"/>
      <c r="F769" s="28"/>
      <c r="G769" s="28"/>
      <c r="H769" s="28"/>
      <c r="O769" s="28"/>
    </row>
    <row r="770">
      <c r="A770" s="28"/>
      <c r="B770" s="42"/>
      <c r="C770" s="42"/>
      <c r="D770" s="42"/>
      <c r="E770" s="28"/>
      <c r="F770" s="28"/>
      <c r="G770" s="28"/>
      <c r="H770" s="28"/>
      <c r="O770" s="28"/>
    </row>
    <row r="771">
      <c r="A771" s="28"/>
      <c r="B771" s="42"/>
      <c r="C771" s="42"/>
      <c r="D771" s="42"/>
      <c r="E771" s="28"/>
      <c r="F771" s="28"/>
      <c r="G771" s="28"/>
      <c r="H771" s="28"/>
      <c r="O771" s="28"/>
    </row>
    <row r="772">
      <c r="A772" s="28"/>
      <c r="B772" s="42"/>
      <c r="C772" s="42"/>
      <c r="D772" s="42"/>
      <c r="E772" s="28"/>
      <c r="F772" s="28"/>
      <c r="G772" s="28"/>
      <c r="H772" s="28"/>
      <c r="O772" s="28"/>
    </row>
    <row r="773">
      <c r="A773" s="28"/>
      <c r="B773" s="42"/>
      <c r="C773" s="42"/>
      <c r="D773" s="42"/>
      <c r="E773" s="28"/>
      <c r="F773" s="28"/>
      <c r="G773" s="28"/>
      <c r="H773" s="28"/>
      <c r="O773" s="28"/>
    </row>
    <row r="774">
      <c r="A774" s="28"/>
      <c r="B774" s="42"/>
      <c r="C774" s="42"/>
      <c r="D774" s="42"/>
      <c r="E774" s="28"/>
      <c r="F774" s="28"/>
      <c r="G774" s="28"/>
      <c r="H774" s="28"/>
      <c r="O774" s="28"/>
    </row>
    <row r="775">
      <c r="A775" s="28"/>
      <c r="B775" s="42"/>
      <c r="C775" s="42"/>
      <c r="D775" s="42"/>
      <c r="E775" s="28"/>
      <c r="F775" s="28"/>
      <c r="G775" s="28"/>
      <c r="H775" s="28"/>
      <c r="O775" s="28"/>
    </row>
    <row r="776">
      <c r="A776" s="28"/>
      <c r="B776" s="42"/>
      <c r="C776" s="42"/>
      <c r="D776" s="42"/>
      <c r="E776" s="28"/>
      <c r="F776" s="28"/>
      <c r="G776" s="28"/>
      <c r="H776" s="28"/>
      <c r="O776" s="28"/>
    </row>
    <row r="777">
      <c r="A777" s="28"/>
      <c r="B777" s="42"/>
      <c r="C777" s="42"/>
      <c r="D777" s="42"/>
      <c r="E777" s="28"/>
      <c r="F777" s="28"/>
      <c r="G777" s="28"/>
      <c r="H777" s="28"/>
      <c r="O777" s="28"/>
    </row>
    <row r="778">
      <c r="A778" s="28"/>
      <c r="B778" s="42"/>
      <c r="C778" s="42"/>
      <c r="D778" s="42"/>
      <c r="E778" s="28"/>
      <c r="F778" s="28"/>
      <c r="G778" s="28"/>
      <c r="H778" s="28"/>
      <c r="O778" s="28"/>
    </row>
    <row r="779">
      <c r="A779" s="28"/>
      <c r="B779" s="42"/>
      <c r="C779" s="42"/>
      <c r="D779" s="42"/>
      <c r="E779" s="28"/>
      <c r="F779" s="28"/>
      <c r="G779" s="28"/>
      <c r="H779" s="28"/>
      <c r="O779" s="28"/>
    </row>
    <row r="780">
      <c r="A780" s="28"/>
      <c r="B780" s="42"/>
      <c r="C780" s="42"/>
      <c r="D780" s="42"/>
      <c r="E780" s="28"/>
      <c r="F780" s="28"/>
      <c r="G780" s="28"/>
      <c r="H780" s="28"/>
      <c r="O780" s="28"/>
    </row>
    <row r="781">
      <c r="A781" s="28"/>
      <c r="B781" s="42"/>
      <c r="C781" s="42"/>
      <c r="D781" s="42"/>
      <c r="E781" s="28"/>
      <c r="F781" s="28"/>
      <c r="G781" s="28"/>
      <c r="H781" s="28"/>
      <c r="O781" s="28"/>
    </row>
    <row r="782">
      <c r="A782" s="28"/>
      <c r="B782" s="42"/>
      <c r="C782" s="42"/>
      <c r="D782" s="42"/>
      <c r="E782" s="28"/>
      <c r="F782" s="28"/>
      <c r="G782" s="28"/>
      <c r="H782" s="28"/>
      <c r="O782" s="28"/>
    </row>
    <row r="783">
      <c r="A783" s="28"/>
      <c r="B783" s="42"/>
      <c r="C783" s="42"/>
      <c r="D783" s="42"/>
      <c r="E783" s="28"/>
      <c r="F783" s="28"/>
      <c r="G783" s="28"/>
      <c r="H783" s="28"/>
      <c r="O783" s="28"/>
    </row>
    <row r="784">
      <c r="A784" s="28"/>
      <c r="B784" s="42"/>
      <c r="C784" s="42"/>
      <c r="D784" s="42"/>
      <c r="E784" s="28"/>
      <c r="F784" s="28"/>
      <c r="G784" s="28"/>
      <c r="H784" s="28"/>
      <c r="O784" s="28"/>
    </row>
    <row r="785">
      <c r="A785" s="28"/>
      <c r="B785" s="42"/>
      <c r="C785" s="42"/>
      <c r="D785" s="42"/>
      <c r="E785" s="28"/>
      <c r="F785" s="28"/>
      <c r="G785" s="28"/>
      <c r="H785" s="28"/>
      <c r="O785" s="28"/>
    </row>
    <row r="786">
      <c r="A786" s="28"/>
      <c r="B786" s="42"/>
      <c r="C786" s="42"/>
      <c r="D786" s="42"/>
      <c r="E786" s="28"/>
      <c r="F786" s="28"/>
      <c r="G786" s="28"/>
      <c r="H786" s="28"/>
      <c r="O786" s="28"/>
    </row>
    <row r="787">
      <c r="A787" s="28"/>
      <c r="B787" s="42"/>
      <c r="C787" s="42"/>
      <c r="D787" s="42"/>
      <c r="E787" s="28"/>
      <c r="F787" s="28"/>
      <c r="G787" s="28"/>
      <c r="H787" s="28"/>
      <c r="O787" s="28"/>
    </row>
    <row r="788">
      <c r="A788" s="28"/>
      <c r="B788" s="42"/>
      <c r="C788" s="42"/>
      <c r="D788" s="42"/>
      <c r="E788" s="28"/>
      <c r="F788" s="28"/>
      <c r="G788" s="28"/>
      <c r="H788" s="28"/>
      <c r="O788" s="28"/>
    </row>
    <row r="789">
      <c r="A789" s="28"/>
      <c r="B789" s="42"/>
      <c r="C789" s="42"/>
      <c r="D789" s="42"/>
      <c r="E789" s="28"/>
      <c r="F789" s="28"/>
      <c r="G789" s="28"/>
      <c r="H789" s="28"/>
      <c r="O789" s="28"/>
    </row>
    <row r="790">
      <c r="A790" s="28"/>
      <c r="B790" s="42"/>
      <c r="C790" s="42"/>
      <c r="D790" s="42"/>
      <c r="E790" s="28"/>
      <c r="F790" s="28"/>
      <c r="G790" s="28"/>
      <c r="H790" s="28"/>
      <c r="O790" s="28"/>
    </row>
    <row r="791">
      <c r="A791" s="28"/>
      <c r="B791" s="42"/>
      <c r="C791" s="42"/>
      <c r="D791" s="42"/>
      <c r="E791" s="28"/>
      <c r="F791" s="28"/>
      <c r="G791" s="28"/>
      <c r="H791" s="28"/>
      <c r="O791" s="28"/>
    </row>
    <row r="792">
      <c r="A792" s="28"/>
      <c r="B792" s="42"/>
      <c r="C792" s="42"/>
      <c r="D792" s="42"/>
      <c r="E792" s="28"/>
      <c r="F792" s="28"/>
      <c r="G792" s="28"/>
      <c r="H792" s="28"/>
      <c r="O792" s="28"/>
    </row>
    <row r="793">
      <c r="A793" s="28"/>
      <c r="B793" s="42"/>
      <c r="C793" s="42"/>
      <c r="D793" s="42"/>
      <c r="E793" s="28"/>
      <c r="F793" s="28"/>
      <c r="G793" s="28"/>
      <c r="H793" s="28"/>
      <c r="O793" s="28"/>
    </row>
    <row r="794">
      <c r="A794" s="28"/>
      <c r="B794" s="42"/>
      <c r="C794" s="42"/>
      <c r="D794" s="42"/>
      <c r="E794" s="28"/>
      <c r="F794" s="28"/>
      <c r="G794" s="28"/>
      <c r="H794" s="28"/>
      <c r="O794" s="28"/>
    </row>
    <row r="795">
      <c r="A795" s="28"/>
      <c r="B795" s="42"/>
      <c r="C795" s="42"/>
      <c r="D795" s="42"/>
      <c r="E795" s="28"/>
      <c r="F795" s="28"/>
      <c r="G795" s="28"/>
      <c r="H795" s="28"/>
      <c r="O795" s="28"/>
    </row>
    <row r="796">
      <c r="A796" s="28"/>
      <c r="B796" s="42"/>
      <c r="C796" s="42"/>
      <c r="D796" s="42"/>
      <c r="E796" s="28"/>
      <c r="F796" s="28"/>
      <c r="G796" s="28"/>
      <c r="H796" s="28"/>
      <c r="O796" s="28"/>
    </row>
    <row r="797">
      <c r="A797" s="28"/>
      <c r="B797" s="42"/>
      <c r="C797" s="42"/>
      <c r="D797" s="42"/>
      <c r="E797" s="28"/>
      <c r="F797" s="28"/>
      <c r="G797" s="28"/>
      <c r="H797" s="28"/>
      <c r="O797" s="28"/>
    </row>
    <row r="798">
      <c r="A798" s="28"/>
      <c r="B798" s="42"/>
      <c r="C798" s="42"/>
      <c r="D798" s="42"/>
      <c r="E798" s="28"/>
      <c r="F798" s="28"/>
      <c r="G798" s="28"/>
      <c r="H798" s="28"/>
      <c r="O798" s="28"/>
    </row>
    <row r="799">
      <c r="A799" s="28"/>
      <c r="B799" s="42"/>
      <c r="C799" s="42"/>
      <c r="D799" s="42"/>
      <c r="E799" s="28"/>
      <c r="F799" s="28"/>
      <c r="G799" s="28"/>
      <c r="H799" s="28"/>
      <c r="O799" s="28"/>
    </row>
    <row r="800">
      <c r="A800" s="28"/>
      <c r="B800" s="42"/>
      <c r="C800" s="42"/>
      <c r="D800" s="42"/>
      <c r="E800" s="28"/>
      <c r="F800" s="28"/>
      <c r="G800" s="28"/>
      <c r="H800" s="28"/>
      <c r="O800" s="28"/>
    </row>
    <row r="801">
      <c r="A801" s="28"/>
      <c r="B801" s="42"/>
      <c r="C801" s="42"/>
      <c r="D801" s="42"/>
      <c r="E801" s="28"/>
      <c r="F801" s="28"/>
      <c r="G801" s="28"/>
      <c r="H801" s="28"/>
      <c r="O801" s="28"/>
    </row>
    <row r="802">
      <c r="A802" s="28"/>
      <c r="B802" s="42"/>
      <c r="C802" s="42"/>
      <c r="D802" s="42"/>
      <c r="E802" s="28"/>
      <c r="F802" s="28"/>
      <c r="G802" s="28"/>
      <c r="H802" s="28"/>
      <c r="O802" s="28"/>
    </row>
    <row r="803">
      <c r="A803" s="28"/>
      <c r="B803" s="42"/>
      <c r="C803" s="42"/>
      <c r="D803" s="42"/>
      <c r="E803" s="28"/>
      <c r="F803" s="28"/>
      <c r="G803" s="28"/>
      <c r="H803" s="28"/>
      <c r="O803" s="28"/>
    </row>
    <row r="804">
      <c r="A804" s="28"/>
      <c r="B804" s="42"/>
      <c r="C804" s="42"/>
      <c r="D804" s="42"/>
      <c r="E804" s="28"/>
      <c r="F804" s="28"/>
      <c r="G804" s="28"/>
      <c r="H804" s="28"/>
      <c r="O804" s="28"/>
    </row>
    <row r="805">
      <c r="A805" s="28"/>
      <c r="B805" s="42"/>
      <c r="C805" s="42"/>
      <c r="D805" s="42"/>
      <c r="E805" s="28"/>
      <c r="F805" s="28"/>
      <c r="G805" s="28"/>
      <c r="H805" s="28"/>
      <c r="O805" s="28"/>
    </row>
    <row r="806">
      <c r="A806" s="28"/>
      <c r="B806" s="42"/>
      <c r="C806" s="42"/>
      <c r="D806" s="42"/>
      <c r="E806" s="28"/>
      <c r="F806" s="28"/>
      <c r="G806" s="28"/>
      <c r="H806" s="28"/>
      <c r="O806" s="28"/>
    </row>
    <row r="807">
      <c r="A807" s="28"/>
      <c r="B807" s="42"/>
      <c r="C807" s="42"/>
      <c r="D807" s="42"/>
      <c r="E807" s="28"/>
      <c r="F807" s="28"/>
      <c r="G807" s="28"/>
      <c r="H807" s="28"/>
      <c r="O807" s="28"/>
    </row>
    <row r="808">
      <c r="A808" s="28"/>
      <c r="B808" s="42"/>
      <c r="C808" s="42"/>
      <c r="D808" s="42"/>
      <c r="E808" s="28"/>
      <c r="F808" s="28"/>
      <c r="G808" s="28"/>
      <c r="H808" s="28"/>
      <c r="O808" s="28"/>
    </row>
    <row r="809">
      <c r="A809" s="28"/>
      <c r="B809" s="42"/>
      <c r="C809" s="42"/>
      <c r="D809" s="42"/>
      <c r="E809" s="28"/>
      <c r="F809" s="28"/>
      <c r="G809" s="28"/>
      <c r="H809" s="28"/>
      <c r="O809" s="28"/>
    </row>
    <row r="810">
      <c r="A810" s="28"/>
      <c r="B810" s="42"/>
      <c r="C810" s="42"/>
      <c r="D810" s="42"/>
      <c r="E810" s="28"/>
      <c r="F810" s="28"/>
      <c r="G810" s="28"/>
      <c r="H810" s="28"/>
      <c r="O810" s="28"/>
    </row>
    <row r="811">
      <c r="A811" s="28"/>
      <c r="B811" s="42"/>
      <c r="C811" s="42"/>
      <c r="D811" s="42"/>
      <c r="E811" s="28"/>
      <c r="F811" s="28"/>
      <c r="G811" s="28"/>
      <c r="H811" s="28"/>
      <c r="O811" s="28"/>
    </row>
    <row r="812">
      <c r="A812" s="28"/>
      <c r="B812" s="42"/>
      <c r="C812" s="42"/>
      <c r="D812" s="42"/>
      <c r="E812" s="28"/>
      <c r="F812" s="28"/>
      <c r="G812" s="28"/>
      <c r="H812" s="28"/>
      <c r="O812" s="28"/>
    </row>
    <row r="813">
      <c r="A813" s="28"/>
      <c r="B813" s="42"/>
      <c r="C813" s="42"/>
      <c r="D813" s="42"/>
      <c r="E813" s="28"/>
      <c r="F813" s="28"/>
      <c r="G813" s="28"/>
      <c r="H813" s="28"/>
      <c r="O813" s="28"/>
    </row>
    <row r="814">
      <c r="A814" s="28"/>
      <c r="B814" s="42"/>
      <c r="C814" s="42"/>
      <c r="D814" s="42"/>
      <c r="E814" s="28"/>
      <c r="F814" s="28"/>
      <c r="G814" s="28"/>
      <c r="H814" s="28"/>
      <c r="O814" s="28"/>
    </row>
    <row r="815">
      <c r="A815" s="28"/>
      <c r="B815" s="42"/>
      <c r="C815" s="42"/>
      <c r="D815" s="42"/>
      <c r="E815" s="28"/>
      <c r="F815" s="28"/>
      <c r="G815" s="28"/>
      <c r="H815" s="28"/>
      <c r="O815" s="28"/>
    </row>
    <row r="816">
      <c r="A816" s="28"/>
      <c r="B816" s="42"/>
      <c r="C816" s="42"/>
      <c r="D816" s="42"/>
      <c r="E816" s="28"/>
      <c r="F816" s="28"/>
      <c r="G816" s="28"/>
      <c r="H816" s="28"/>
      <c r="O816" s="28"/>
    </row>
    <row r="817">
      <c r="A817" s="28"/>
      <c r="B817" s="42"/>
      <c r="C817" s="42"/>
      <c r="D817" s="42"/>
      <c r="E817" s="28"/>
      <c r="F817" s="28"/>
      <c r="G817" s="28"/>
      <c r="H817" s="28"/>
      <c r="O817" s="28"/>
    </row>
    <row r="818">
      <c r="A818" s="28"/>
      <c r="B818" s="42"/>
      <c r="C818" s="42"/>
      <c r="D818" s="42"/>
      <c r="E818" s="28"/>
      <c r="F818" s="28"/>
      <c r="G818" s="28"/>
      <c r="H818" s="28"/>
      <c r="O818" s="28"/>
    </row>
    <row r="819">
      <c r="A819" s="28"/>
      <c r="B819" s="42"/>
      <c r="C819" s="42"/>
      <c r="D819" s="42"/>
      <c r="E819" s="28"/>
      <c r="F819" s="28"/>
      <c r="G819" s="28"/>
      <c r="H819" s="28"/>
      <c r="O819" s="28"/>
    </row>
    <row r="820">
      <c r="A820" s="28"/>
      <c r="B820" s="42"/>
      <c r="C820" s="42"/>
      <c r="D820" s="42"/>
      <c r="E820" s="28"/>
      <c r="F820" s="28"/>
      <c r="G820" s="28"/>
      <c r="H820" s="28"/>
      <c r="O820" s="28"/>
    </row>
    <row r="821">
      <c r="A821" s="28"/>
      <c r="B821" s="42"/>
      <c r="C821" s="42"/>
      <c r="D821" s="42"/>
      <c r="E821" s="28"/>
      <c r="F821" s="28"/>
      <c r="G821" s="28"/>
      <c r="H821" s="28"/>
      <c r="O821" s="28"/>
    </row>
    <row r="822">
      <c r="A822" s="28"/>
      <c r="B822" s="42"/>
      <c r="C822" s="42"/>
      <c r="D822" s="42"/>
      <c r="E822" s="28"/>
      <c r="F822" s="28"/>
      <c r="G822" s="28"/>
      <c r="H822" s="28"/>
      <c r="O822" s="28"/>
    </row>
    <row r="823">
      <c r="A823" s="28"/>
      <c r="B823" s="42"/>
      <c r="C823" s="42"/>
      <c r="D823" s="42"/>
      <c r="E823" s="28"/>
      <c r="F823" s="28"/>
      <c r="G823" s="28"/>
      <c r="H823" s="28"/>
      <c r="O823" s="28"/>
    </row>
    <row r="824">
      <c r="A824" s="28"/>
      <c r="B824" s="42"/>
      <c r="C824" s="42"/>
      <c r="D824" s="42"/>
      <c r="E824" s="28"/>
      <c r="F824" s="28"/>
      <c r="G824" s="28"/>
      <c r="H824" s="28"/>
      <c r="O824" s="28"/>
    </row>
    <row r="825">
      <c r="A825" s="28"/>
      <c r="B825" s="42"/>
      <c r="C825" s="42"/>
      <c r="D825" s="42"/>
      <c r="E825" s="28"/>
      <c r="F825" s="28"/>
      <c r="G825" s="28"/>
      <c r="H825" s="28"/>
      <c r="O825" s="28"/>
    </row>
    <row r="826">
      <c r="A826" s="28"/>
      <c r="B826" s="42"/>
      <c r="C826" s="42"/>
      <c r="D826" s="42"/>
      <c r="E826" s="28"/>
      <c r="F826" s="28"/>
      <c r="G826" s="28"/>
      <c r="H826" s="28"/>
      <c r="O826" s="28"/>
    </row>
    <row r="827">
      <c r="A827" s="28"/>
      <c r="B827" s="42"/>
      <c r="C827" s="42"/>
      <c r="D827" s="42"/>
      <c r="E827" s="28"/>
      <c r="F827" s="28"/>
      <c r="G827" s="28"/>
      <c r="H827" s="28"/>
      <c r="O827" s="28"/>
    </row>
    <row r="828">
      <c r="A828" s="28"/>
      <c r="B828" s="42"/>
      <c r="C828" s="42"/>
      <c r="D828" s="42"/>
      <c r="E828" s="28"/>
      <c r="F828" s="28"/>
      <c r="G828" s="28"/>
      <c r="H828" s="28"/>
      <c r="O828" s="28"/>
    </row>
    <row r="829">
      <c r="A829" s="28"/>
      <c r="B829" s="42"/>
      <c r="C829" s="42"/>
      <c r="D829" s="42"/>
      <c r="E829" s="28"/>
      <c r="F829" s="28"/>
      <c r="G829" s="28"/>
      <c r="H829" s="28"/>
      <c r="O829" s="28"/>
    </row>
    <row r="830">
      <c r="A830" s="28"/>
      <c r="B830" s="42"/>
      <c r="C830" s="42"/>
      <c r="D830" s="42"/>
      <c r="E830" s="28"/>
      <c r="F830" s="28"/>
      <c r="G830" s="28"/>
      <c r="H830" s="28"/>
      <c r="O830" s="28"/>
    </row>
    <row r="831">
      <c r="A831" s="28"/>
      <c r="B831" s="42"/>
      <c r="C831" s="42"/>
      <c r="D831" s="42"/>
      <c r="E831" s="28"/>
      <c r="F831" s="28"/>
      <c r="G831" s="28"/>
      <c r="H831" s="28"/>
      <c r="O831" s="28"/>
    </row>
    <row r="832">
      <c r="A832" s="28"/>
      <c r="B832" s="42"/>
      <c r="C832" s="42"/>
      <c r="D832" s="42"/>
      <c r="E832" s="28"/>
      <c r="F832" s="28"/>
      <c r="G832" s="28"/>
      <c r="H832" s="28"/>
      <c r="O832" s="28"/>
    </row>
    <row r="833">
      <c r="A833" s="28"/>
      <c r="B833" s="42"/>
      <c r="C833" s="42"/>
      <c r="D833" s="42"/>
      <c r="E833" s="28"/>
      <c r="F833" s="28"/>
      <c r="G833" s="28"/>
      <c r="H833" s="28"/>
      <c r="O833" s="28"/>
    </row>
    <row r="834">
      <c r="A834" s="28"/>
      <c r="B834" s="42"/>
      <c r="C834" s="42"/>
      <c r="D834" s="42"/>
      <c r="E834" s="28"/>
      <c r="F834" s="28"/>
      <c r="G834" s="28"/>
      <c r="H834" s="28"/>
      <c r="O834" s="28"/>
    </row>
    <row r="835">
      <c r="A835" s="28"/>
      <c r="B835" s="42"/>
      <c r="C835" s="42"/>
      <c r="D835" s="42"/>
      <c r="E835" s="28"/>
      <c r="F835" s="28"/>
      <c r="G835" s="28"/>
      <c r="H835" s="28"/>
      <c r="O835" s="28"/>
    </row>
    <row r="836">
      <c r="A836" s="28"/>
      <c r="B836" s="42"/>
      <c r="C836" s="42"/>
      <c r="D836" s="42"/>
      <c r="E836" s="28"/>
      <c r="F836" s="28"/>
      <c r="G836" s="28"/>
      <c r="H836" s="28"/>
      <c r="O836" s="28"/>
    </row>
    <row r="837">
      <c r="A837" s="28"/>
      <c r="B837" s="42"/>
      <c r="C837" s="42"/>
      <c r="D837" s="42"/>
      <c r="E837" s="28"/>
      <c r="F837" s="28"/>
      <c r="G837" s="28"/>
      <c r="H837" s="28"/>
      <c r="O837" s="28"/>
    </row>
    <row r="838">
      <c r="A838" s="28"/>
      <c r="B838" s="42"/>
      <c r="C838" s="42"/>
      <c r="D838" s="42"/>
      <c r="E838" s="28"/>
      <c r="F838" s="28"/>
      <c r="G838" s="28"/>
      <c r="H838" s="28"/>
      <c r="O838" s="28"/>
    </row>
    <row r="839">
      <c r="A839" s="28"/>
      <c r="B839" s="42"/>
      <c r="C839" s="42"/>
      <c r="D839" s="42"/>
      <c r="E839" s="28"/>
      <c r="F839" s="28"/>
      <c r="G839" s="28"/>
      <c r="H839" s="28"/>
      <c r="O839" s="28"/>
    </row>
    <row r="840">
      <c r="A840" s="28"/>
      <c r="B840" s="42"/>
      <c r="C840" s="42"/>
      <c r="D840" s="42"/>
      <c r="E840" s="28"/>
      <c r="F840" s="28"/>
      <c r="G840" s="28"/>
      <c r="H840" s="28"/>
      <c r="O840" s="28"/>
    </row>
    <row r="841">
      <c r="A841" s="28"/>
      <c r="B841" s="42"/>
      <c r="C841" s="42"/>
      <c r="D841" s="42"/>
      <c r="E841" s="28"/>
      <c r="F841" s="28"/>
      <c r="G841" s="28"/>
      <c r="H841" s="28"/>
      <c r="O841" s="28"/>
    </row>
    <row r="842">
      <c r="A842" s="28"/>
      <c r="B842" s="42"/>
      <c r="C842" s="42"/>
      <c r="D842" s="42"/>
      <c r="E842" s="28"/>
      <c r="F842" s="28"/>
      <c r="G842" s="28"/>
      <c r="H842" s="28"/>
      <c r="O842" s="28"/>
    </row>
    <row r="843">
      <c r="A843" s="28"/>
      <c r="B843" s="42"/>
      <c r="C843" s="42"/>
      <c r="D843" s="42"/>
      <c r="E843" s="28"/>
      <c r="F843" s="28"/>
      <c r="G843" s="28"/>
      <c r="H843" s="28"/>
      <c r="O843" s="28"/>
    </row>
    <row r="844">
      <c r="A844" s="28"/>
      <c r="B844" s="42"/>
      <c r="C844" s="42"/>
      <c r="D844" s="42"/>
      <c r="E844" s="28"/>
      <c r="F844" s="28"/>
      <c r="G844" s="28"/>
      <c r="H844" s="28"/>
      <c r="O844" s="28"/>
    </row>
    <row r="845">
      <c r="A845" s="28"/>
      <c r="B845" s="42"/>
      <c r="C845" s="42"/>
      <c r="D845" s="42"/>
      <c r="E845" s="28"/>
      <c r="F845" s="28"/>
      <c r="G845" s="28"/>
      <c r="H845" s="28"/>
      <c r="O845" s="28"/>
    </row>
    <row r="846">
      <c r="A846" s="28"/>
      <c r="B846" s="42"/>
      <c r="C846" s="42"/>
      <c r="D846" s="42"/>
      <c r="E846" s="28"/>
      <c r="F846" s="28"/>
      <c r="G846" s="28"/>
      <c r="H846" s="28"/>
      <c r="O846" s="28"/>
    </row>
    <row r="847">
      <c r="A847" s="28"/>
      <c r="B847" s="42"/>
      <c r="C847" s="42"/>
      <c r="D847" s="42"/>
      <c r="E847" s="28"/>
      <c r="F847" s="28"/>
      <c r="G847" s="28"/>
      <c r="H847" s="28"/>
      <c r="O847" s="28"/>
    </row>
    <row r="848">
      <c r="A848" s="28"/>
      <c r="B848" s="42"/>
      <c r="C848" s="42"/>
      <c r="D848" s="42"/>
      <c r="E848" s="28"/>
      <c r="F848" s="28"/>
      <c r="G848" s="28"/>
      <c r="H848" s="28"/>
      <c r="O848" s="28"/>
    </row>
    <row r="849">
      <c r="A849" s="28"/>
      <c r="B849" s="42"/>
      <c r="C849" s="42"/>
      <c r="D849" s="42"/>
      <c r="E849" s="28"/>
      <c r="F849" s="28"/>
      <c r="G849" s="28"/>
      <c r="H849" s="28"/>
      <c r="O849" s="28"/>
    </row>
    <row r="850">
      <c r="A850" s="28"/>
      <c r="B850" s="42"/>
      <c r="C850" s="42"/>
      <c r="D850" s="42"/>
      <c r="E850" s="28"/>
      <c r="F850" s="28"/>
      <c r="G850" s="28"/>
      <c r="H850" s="28"/>
      <c r="O850" s="28"/>
    </row>
    <row r="851">
      <c r="A851" s="28"/>
      <c r="B851" s="42"/>
      <c r="C851" s="42"/>
      <c r="D851" s="42"/>
      <c r="E851" s="28"/>
      <c r="F851" s="28"/>
      <c r="G851" s="28"/>
      <c r="H851" s="28"/>
      <c r="O851" s="28"/>
    </row>
    <row r="852">
      <c r="A852" s="28"/>
      <c r="B852" s="42"/>
      <c r="C852" s="42"/>
      <c r="D852" s="42"/>
      <c r="E852" s="28"/>
      <c r="F852" s="28"/>
      <c r="G852" s="28"/>
      <c r="H852" s="28"/>
      <c r="O852" s="28"/>
    </row>
    <row r="853">
      <c r="A853" s="28"/>
      <c r="B853" s="42"/>
      <c r="C853" s="42"/>
      <c r="D853" s="42"/>
      <c r="E853" s="28"/>
      <c r="F853" s="28"/>
      <c r="G853" s="28"/>
      <c r="H853" s="28"/>
      <c r="O853" s="28"/>
    </row>
    <row r="854">
      <c r="A854" s="28"/>
      <c r="B854" s="42"/>
      <c r="C854" s="42"/>
      <c r="D854" s="42"/>
      <c r="E854" s="28"/>
      <c r="F854" s="28"/>
      <c r="G854" s="28"/>
      <c r="H854" s="28"/>
      <c r="O854" s="28"/>
    </row>
    <row r="855">
      <c r="A855" s="28"/>
      <c r="B855" s="42"/>
      <c r="C855" s="42"/>
      <c r="D855" s="42"/>
      <c r="E855" s="28"/>
      <c r="F855" s="28"/>
      <c r="G855" s="28"/>
      <c r="H855" s="28"/>
      <c r="O855" s="28"/>
    </row>
    <row r="856">
      <c r="A856" s="28"/>
      <c r="B856" s="42"/>
      <c r="C856" s="42"/>
      <c r="D856" s="42"/>
      <c r="E856" s="28"/>
      <c r="F856" s="28"/>
      <c r="G856" s="28"/>
      <c r="H856" s="28"/>
      <c r="O856" s="28"/>
    </row>
    <row r="857">
      <c r="A857" s="28"/>
      <c r="B857" s="42"/>
      <c r="C857" s="42"/>
      <c r="D857" s="42"/>
      <c r="E857" s="28"/>
      <c r="F857" s="28"/>
      <c r="G857" s="28"/>
      <c r="H857" s="28"/>
      <c r="O857" s="28"/>
    </row>
    <row r="858">
      <c r="A858" s="28"/>
      <c r="B858" s="42"/>
      <c r="C858" s="42"/>
      <c r="D858" s="42"/>
      <c r="E858" s="28"/>
      <c r="F858" s="28"/>
      <c r="G858" s="28"/>
      <c r="H858" s="28"/>
      <c r="O858" s="28"/>
    </row>
    <row r="859">
      <c r="A859" s="28"/>
      <c r="B859" s="42"/>
      <c r="C859" s="42"/>
      <c r="D859" s="42"/>
      <c r="E859" s="28"/>
      <c r="F859" s="28"/>
      <c r="G859" s="28"/>
      <c r="H859" s="28"/>
      <c r="O859" s="28"/>
    </row>
    <row r="860">
      <c r="A860" s="28"/>
      <c r="B860" s="42"/>
      <c r="C860" s="42"/>
      <c r="D860" s="42"/>
      <c r="E860" s="28"/>
      <c r="F860" s="28"/>
      <c r="G860" s="28"/>
      <c r="H860" s="28"/>
      <c r="O860" s="28"/>
    </row>
    <row r="861">
      <c r="A861" s="28"/>
      <c r="B861" s="42"/>
      <c r="C861" s="42"/>
      <c r="D861" s="42"/>
      <c r="E861" s="28"/>
      <c r="F861" s="28"/>
      <c r="G861" s="28"/>
      <c r="H861" s="28"/>
      <c r="O861" s="28"/>
    </row>
    <row r="862">
      <c r="A862" s="28"/>
      <c r="B862" s="42"/>
      <c r="C862" s="42"/>
      <c r="D862" s="42"/>
      <c r="E862" s="28"/>
      <c r="F862" s="28"/>
      <c r="G862" s="28"/>
      <c r="H862" s="28"/>
      <c r="O862" s="28"/>
    </row>
    <row r="863">
      <c r="A863" s="28"/>
      <c r="B863" s="42"/>
      <c r="C863" s="42"/>
      <c r="D863" s="42"/>
      <c r="E863" s="28"/>
      <c r="F863" s="28"/>
      <c r="G863" s="28"/>
      <c r="H863" s="28"/>
      <c r="O863" s="28"/>
    </row>
    <row r="864">
      <c r="A864" s="28"/>
      <c r="B864" s="42"/>
      <c r="C864" s="42"/>
      <c r="D864" s="42"/>
      <c r="E864" s="28"/>
      <c r="F864" s="28"/>
      <c r="G864" s="28"/>
      <c r="H864" s="28"/>
      <c r="O864" s="28"/>
    </row>
    <row r="865">
      <c r="A865" s="28"/>
      <c r="B865" s="42"/>
      <c r="C865" s="42"/>
      <c r="D865" s="42"/>
      <c r="E865" s="28"/>
      <c r="F865" s="28"/>
      <c r="G865" s="28"/>
      <c r="H865" s="28"/>
      <c r="O865" s="28"/>
    </row>
    <row r="866">
      <c r="A866" s="28"/>
      <c r="B866" s="42"/>
      <c r="C866" s="42"/>
      <c r="D866" s="42"/>
      <c r="E866" s="28"/>
      <c r="F866" s="28"/>
      <c r="G866" s="28"/>
      <c r="H866" s="28"/>
      <c r="O866" s="28"/>
    </row>
    <row r="867">
      <c r="A867" s="28"/>
      <c r="B867" s="42"/>
      <c r="C867" s="42"/>
      <c r="D867" s="42"/>
      <c r="E867" s="28"/>
      <c r="F867" s="28"/>
      <c r="G867" s="28"/>
      <c r="H867" s="28"/>
      <c r="O867" s="28"/>
    </row>
    <row r="868">
      <c r="A868" s="28"/>
      <c r="B868" s="42"/>
      <c r="C868" s="42"/>
      <c r="D868" s="42"/>
      <c r="E868" s="28"/>
      <c r="F868" s="28"/>
      <c r="G868" s="28"/>
      <c r="H868" s="28"/>
      <c r="O868" s="28"/>
    </row>
    <row r="869">
      <c r="A869" s="28"/>
      <c r="B869" s="42"/>
      <c r="C869" s="42"/>
      <c r="D869" s="42"/>
      <c r="E869" s="28"/>
      <c r="F869" s="28"/>
      <c r="G869" s="28"/>
      <c r="H869" s="28"/>
      <c r="O869" s="28"/>
    </row>
    <row r="870">
      <c r="A870" s="28"/>
      <c r="B870" s="42"/>
      <c r="C870" s="42"/>
      <c r="D870" s="42"/>
      <c r="E870" s="28"/>
      <c r="F870" s="28"/>
      <c r="G870" s="28"/>
      <c r="H870" s="28"/>
      <c r="O870" s="28"/>
    </row>
    <row r="871">
      <c r="A871" s="28"/>
      <c r="B871" s="42"/>
      <c r="C871" s="42"/>
      <c r="D871" s="42"/>
      <c r="E871" s="28"/>
      <c r="F871" s="28"/>
      <c r="G871" s="28"/>
      <c r="H871" s="28"/>
      <c r="O871" s="28"/>
    </row>
    <row r="872">
      <c r="A872" s="28"/>
      <c r="B872" s="42"/>
      <c r="C872" s="42"/>
      <c r="D872" s="42"/>
      <c r="E872" s="28"/>
      <c r="F872" s="28"/>
      <c r="G872" s="28"/>
      <c r="H872" s="28"/>
      <c r="O872" s="28"/>
    </row>
    <row r="873">
      <c r="A873" s="28"/>
      <c r="B873" s="42"/>
      <c r="C873" s="42"/>
      <c r="D873" s="42"/>
      <c r="E873" s="28"/>
      <c r="F873" s="28"/>
      <c r="G873" s="28"/>
      <c r="H873" s="28"/>
      <c r="O873" s="28"/>
    </row>
    <row r="874">
      <c r="A874" s="28"/>
      <c r="B874" s="42"/>
      <c r="C874" s="42"/>
      <c r="D874" s="42"/>
      <c r="E874" s="28"/>
      <c r="F874" s="28"/>
      <c r="G874" s="28"/>
      <c r="H874" s="28"/>
      <c r="O874" s="28"/>
    </row>
    <row r="875">
      <c r="A875" s="28"/>
      <c r="B875" s="42"/>
      <c r="C875" s="42"/>
      <c r="D875" s="42"/>
      <c r="E875" s="28"/>
      <c r="F875" s="28"/>
      <c r="G875" s="28"/>
      <c r="H875" s="28"/>
      <c r="O875" s="28"/>
    </row>
    <row r="876">
      <c r="A876" s="28"/>
      <c r="B876" s="42"/>
      <c r="C876" s="42"/>
      <c r="D876" s="42"/>
      <c r="E876" s="28"/>
      <c r="F876" s="28"/>
      <c r="G876" s="28"/>
      <c r="H876" s="28"/>
      <c r="O876" s="28"/>
    </row>
    <row r="877">
      <c r="A877" s="28"/>
      <c r="B877" s="42"/>
      <c r="C877" s="42"/>
      <c r="D877" s="42"/>
      <c r="E877" s="28"/>
      <c r="F877" s="28"/>
      <c r="G877" s="28"/>
      <c r="H877" s="28"/>
      <c r="O877" s="28"/>
    </row>
    <row r="878">
      <c r="A878" s="28"/>
      <c r="B878" s="42"/>
      <c r="C878" s="42"/>
      <c r="D878" s="42"/>
      <c r="E878" s="28"/>
      <c r="F878" s="28"/>
      <c r="G878" s="28"/>
      <c r="H878" s="28"/>
      <c r="O878" s="28"/>
    </row>
    <row r="879">
      <c r="A879" s="28"/>
      <c r="B879" s="42"/>
      <c r="C879" s="42"/>
      <c r="D879" s="42"/>
      <c r="E879" s="28"/>
      <c r="F879" s="28"/>
      <c r="G879" s="28"/>
      <c r="H879" s="28"/>
      <c r="O879" s="28"/>
    </row>
    <row r="880">
      <c r="A880" s="28"/>
      <c r="B880" s="42"/>
      <c r="C880" s="42"/>
      <c r="D880" s="42"/>
      <c r="E880" s="28"/>
      <c r="F880" s="28"/>
      <c r="G880" s="28"/>
      <c r="H880" s="28"/>
      <c r="O880" s="28"/>
    </row>
    <row r="881">
      <c r="A881" s="28"/>
      <c r="B881" s="42"/>
      <c r="C881" s="42"/>
      <c r="D881" s="42"/>
      <c r="E881" s="28"/>
      <c r="F881" s="28"/>
      <c r="G881" s="28"/>
      <c r="H881" s="28"/>
      <c r="O881" s="28"/>
    </row>
    <row r="882">
      <c r="A882" s="28"/>
      <c r="B882" s="42"/>
      <c r="C882" s="42"/>
      <c r="D882" s="42"/>
      <c r="E882" s="28"/>
      <c r="F882" s="28"/>
      <c r="G882" s="28"/>
      <c r="H882" s="28"/>
      <c r="O882" s="28"/>
    </row>
    <row r="883">
      <c r="A883" s="28"/>
      <c r="B883" s="42"/>
      <c r="C883" s="42"/>
      <c r="D883" s="42"/>
      <c r="E883" s="28"/>
      <c r="F883" s="28"/>
      <c r="G883" s="28"/>
      <c r="H883" s="28"/>
      <c r="O883" s="28"/>
    </row>
    <row r="884">
      <c r="A884" s="28"/>
      <c r="B884" s="42"/>
      <c r="C884" s="42"/>
      <c r="D884" s="42"/>
      <c r="E884" s="28"/>
      <c r="F884" s="28"/>
      <c r="G884" s="28"/>
      <c r="H884" s="28"/>
      <c r="O884" s="28"/>
    </row>
    <row r="885">
      <c r="A885" s="28"/>
      <c r="B885" s="42"/>
      <c r="C885" s="42"/>
      <c r="D885" s="42"/>
      <c r="E885" s="28"/>
      <c r="F885" s="28"/>
      <c r="G885" s="28"/>
      <c r="H885" s="28"/>
      <c r="O885" s="28"/>
    </row>
    <row r="886">
      <c r="A886" s="28"/>
      <c r="B886" s="42"/>
      <c r="C886" s="42"/>
      <c r="D886" s="42"/>
      <c r="E886" s="28"/>
      <c r="F886" s="28"/>
      <c r="G886" s="28"/>
      <c r="H886" s="28"/>
      <c r="O886" s="28"/>
    </row>
    <row r="887">
      <c r="A887" s="28"/>
      <c r="B887" s="42"/>
      <c r="C887" s="42"/>
      <c r="D887" s="42"/>
      <c r="E887" s="28"/>
      <c r="F887" s="28"/>
      <c r="G887" s="28"/>
      <c r="H887" s="28"/>
      <c r="O887" s="28"/>
    </row>
    <row r="888">
      <c r="A888" s="28"/>
      <c r="B888" s="42"/>
      <c r="C888" s="42"/>
      <c r="D888" s="42"/>
      <c r="E888" s="28"/>
      <c r="F888" s="28"/>
      <c r="G888" s="28"/>
      <c r="H888" s="28"/>
      <c r="O888" s="28"/>
    </row>
    <row r="889">
      <c r="A889" s="28"/>
      <c r="B889" s="42"/>
      <c r="C889" s="42"/>
      <c r="D889" s="42"/>
      <c r="E889" s="28"/>
      <c r="F889" s="28"/>
      <c r="G889" s="28"/>
      <c r="H889" s="28"/>
      <c r="O889" s="28"/>
    </row>
    <row r="890">
      <c r="A890" s="28"/>
      <c r="B890" s="42"/>
      <c r="C890" s="42"/>
      <c r="D890" s="42"/>
      <c r="E890" s="28"/>
      <c r="F890" s="28"/>
      <c r="G890" s="28"/>
      <c r="H890" s="28"/>
      <c r="O890" s="28"/>
    </row>
    <row r="891">
      <c r="A891" s="28"/>
      <c r="B891" s="42"/>
      <c r="C891" s="42"/>
      <c r="D891" s="42"/>
      <c r="E891" s="28"/>
      <c r="F891" s="28"/>
      <c r="G891" s="28"/>
      <c r="H891" s="28"/>
      <c r="O891" s="28"/>
    </row>
    <row r="892">
      <c r="A892" s="28"/>
      <c r="B892" s="42"/>
      <c r="C892" s="42"/>
      <c r="D892" s="42"/>
      <c r="E892" s="28"/>
      <c r="F892" s="28"/>
      <c r="G892" s="28"/>
      <c r="H892" s="28"/>
      <c r="O892" s="28"/>
    </row>
    <row r="893">
      <c r="A893" s="28"/>
      <c r="B893" s="42"/>
      <c r="C893" s="42"/>
      <c r="D893" s="42"/>
      <c r="E893" s="28"/>
      <c r="F893" s="28"/>
      <c r="G893" s="28"/>
      <c r="H893" s="28"/>
      <c r="O893" s="28"/>
    </row>
    <row r="894">
      <c r="A894" s="28"/>
      <c r="B894" s="42"/>
      <c r="C894" s="42"/>
      <c r="D894" s="42"/>
      <c r="E894" s="28"/>
      <c r="F894" s="28"/>
      <c r="G894" s="28"/>
      <c r="H894" s="28"/>
      <c r="O894" s="28"/>
    </row>
    <row r="895">
      <c r="A895" s="28"/>
      <c r="B895" s="42"/>
      <c r="C895" s="42"/>
      <c r="D895" s="42"/>
      <c r="E895" s="28"/>
      <c r="F895" s="28"/>
      <c r="G895" s="28"/>
      <c r="H895" s="28"/>
      <c r="O895" s="28"/>
    </row>
    <row r="896">
      <c r="A896" s="28"/>
      <c r="B896" s="42"/>
      <c r="C896" s="42"/>
      <c r="D896" s="42"/>
      <c r="E896" s="28"/>
      <c r="F896" s="28"/>
      <c r="G896" s="28"/>
      <c r="H896" s="28"/>
      <c r="O896" s="28"/>
    </row>
    <row r="897">
      <c r="A897" s="28"/>
      <c r="B897" s="42"/>
      <c r="C897" s="42"/>
      <c r="D897" s="42"/>
      <c r="E897" s="28"/>
      <c r="F897" s="28"/>
      <c r="G897" s="28"/>
      <c r="H897" s="28"/>
      <c r="O897" s="28"/>
    </row>
    <row r="898">
      <c r="A898" s="28"/>
      <c r="B898" s="42"/>
      <c r="C898" s="42"/>
      <c r="D898" s="42"/>
      <c r="E898" s="28"/>
      <c r="F898" s="28"/>
      <c r="G898" s="28"/>
      <c r="H898" s="28"/>
      <c r="O898" s="28"/>
    </row>
    <row r="899">
      <c r="A899" s="28"/>
      <c r="B899" s="42"/>
      <c r="C899" s="42"/>
      <c r="D899" s="42"/>
      <c r="E899" s="28"/>
      <c r="F899" s="28"/>
      <c r="G899" s="28"/>
      <c r="H899" s="28"/>
      <c r="O899" s="28"/>
    </row>
    <row r="900">
      <c r="A900" s="28"/>
      <c r="B900" s="42"/>
      <c r="C900" s="42"/>
      <c r="D900" s="42"/>
      <c r="E900" s="28"/>
      <c r="F900" s="28"/>
      <c r="G900" s="28"/>
      <c r="H900" s="28"/>
      <c r="O900" s="28"/>
    </row>
    <row r="901">
      <c r="A901" s="28"/>
      <c r="B901" s="42"/>
      <c r="C901" s="42"/>
      <c r="D901" s="42"/>
      <c r="E901" s="28"/>
      <c r="F901" s="28"/>
      <c r="G901" s="28"/>
      <c r="H901" s="28"/>
      <c r="O901" s="28"/>
    </row>
    <row r="902">
      <c r="A902" s="28"/>
      <c r="B902" s="42"/>
      <c r="C902" s="42"/>
      <c r="D902" s="42"/>
      <c r="E902" s="28"/>
      <c r="F902" s="28"/>
      <c r="G902" s="28"/>
      <c r="H902" s="28"/>
      <c r="O902" s="28"/>
    </row>
    <row r="903">
      <c r="A903" s="28"/>
      <c r="B903" s="42"/>
      <c r="C903" s="42"/>
      <c r="D903" s="42"/>
      <c r="E903" s="28"/>
      <c r="F903" s="28"/>
      <c r="G903" s="28"/>
      <c r="H903" s="28"/>
      <c r="O903" s="28"/>
    </row>
    <row r="904">
      <c r="A904" s="28"/>
      <c r="B904" s="42"/>
      <c r="C904" s="42"/>
      <c r="D904" s="42"/>
      <c r="E904" s="28"/>
      <c r="F904" s="28"/>
      <c r="G904" s="28"/>
      <c r="H904" s="28"/>
      <c r="O904" s="28"/>
    </row>
    <row r="905">
      <c r="A905" s="28"/>
      <c r="B905" s="42"/>
      <c r="C905" s="42"/>
      <c r="D905" s="42"/>
      <c r="E905" s="28"/>
      <c r="F905" s="28"/>
      <c r="G905" s="28"/>
      <c r="H905" s="28"/>
      <c r="O905" s="28"/>
    </row>
    <row r="906">
      <c r="A906" s="28"/>
      <c r="B906" s="42"/>
      <c r="C906" s="42"/>
      <c r="D906" s="42"/>
      <c r="E906" s="28"/>
      <c r="F906" s="28"/>
      <c r="G906" s="28"/>
      <c r="H906" s="28"/>
      <c r="O906" s="28"/>
    </row>
    <row r="907">
      <c r="A907" s="28"/>
      <c r="B907" s="42"/>
      <c r="C907" s="42"/>
      <c r="D907" s="42"/>
      <c r="E907" s="28"/>
      <c r="F907" s="28"/>
      <c r="G907" s="28"/>
      <c r="H907" s="28"/>
      <c r="O907" s="28"/>
    </row>
    <row r="908">
      <c r="A908" s="28"/>
      <c r="B908" s="42"/>
      <c r="C908" s="42"/>
      <c r="D908" s="42"/>
      <c r="E908" s="28"/>
      <c r="F908" s="28"/>
      <c r="G908" s="28"/>
      <c r="H908" s="28"/>
      <c r="O908" s="28"/>
    </row>
    <row r="909">
      <c r="A909" s="28"/>
      <c r="B909" s="42"/>
      <c r="C909" s="42"/>
      <c r="D909" s="42"/>
      <c r="E909" s="28"/>
      <c r="F909" s="28"/>
      <c r="G909" s="28"/>
      <c r="H909" s="28"/>
      <c r="O909" s="28"/>
    </row>
    <row r="910">
      <c r="A910" s="28"/>
      <c r="B910" s="42"/>
      <c r="C910" s="42"/>
      <c r="D910" s="42"/>
      <c r="E910" s="28"/>
      <c r="F910" s="28"/>
      <c r="G910" s="28"/>
      <c r="H910" s="28"/>
      <c r="O910" s="28"/>
    </row>
    <row r="911">
      <c r="A911" s="28"/>
      <c r="B911" s="42"/>
      <c r="C911" s="42"/>
      <c r="D911" s="42"/>
      <c r="E911" s="28"/>
      <c r="F911" s="28"/>
      <c r="G911" s="28"/>
      <c r="H911" s="28"/>
      <c r="O911" s="28"/>
    </row>
    <row r="912">
      <c r="A912" s="28"/>
      <c r="B912" s="42"/>
      <c r="C912" s="42"/>
      <c r="D912" s="42"/>
      <c r="E912" s="28"/>
      <c r="F912" s="28"/>
      <c r="G912" s="28"/>
      <c r="H912" s="28"/>
      <c r="O912" s="28"/>
    </row>
    <row r="913">
      <c r="A913" s="28"/>
      <c r="B913" s="42"/>
      <c r="C913" s="42"/>
      <c r="D913" s="42"/>
      <c r="E913" s="28"/>
      <c r="F913" s="28"/>
      <c r="G913" s="28"/>
      <c r="H913" s="28"/>
      <c r="O913" s="28"/>
    </row>
    <row r="914">
      <c r="A914" s="28"/>
      <c r="B914" s="42"/>
      <c r="C914" s="42"/>
      <c r="D914" s="42"/>
      <c r="E914" s="28"/>
      <c r="F914" s="28"/>
      <c r="G914" s="28"/>
      <c r="H914" s="28"/>
      <c r="O914" s="28"/>
    </row>
    <row r="915">
      <c r="A915" s="28"/>
      <c r="B915" s="42"/>
      <c r="C915" s="42"/>
      <c r="D915" s="42"/>
      <c r="E915" s="28"/>
      <c r="F915" s="28"/>
      <c r="G915" s="28"/>
      <c r="H915" s="28"/>
      <c r="O915" s="28"/>
    </row>
    <row r="916">
      <c r="A916" s="28"/>
      <c r="B916" s="42"/>
      <c r="C916" s="42"/>
      <c r="D916" s="42"/>
      <c r="E916" s="28"/>
      <c r="F916" s="28"/>
      <c r="G916" s="28"/>
      <c r="H916" s="28"/>
      <c r="O916" s="28"/>
    </row>
    <row r="917">
      <c r="A917" s="28"/>
      <c r="B917" s="42"/>
      <c r="C917" s="42"/>
      <c r="D917" s="42"/>
      <c r="E917" s="28"/>
      <c r="F917" s="28"/>
      <c r="G917" s="28"/>
      <c r="H917" s="28"/>
      <c r="O917" s="28"/>
    </row>
    <row r="918">
      <c r="A918" s="28"/>
      <c r="B918" s="42"/>
      <c r="C918" s="42"/>
      <c r="D918" s="42"/>
      <c r="E918" s="28"/>
      <c r="F918" s="28"/>
      <c r="G918" s="28"/>
      <c r="H918" s="28"/>
      <c r="O918" s="28"/>
    </row>
    <row r="919">
      <c r="A919" s="28"/>
      <c r="B919" s="42"/>
      <c r="C919" s="42"/>
      <c r="D919" s="42"/>
      <c r="E919" s="28"/>
      <c r="F919" s="28"/>
      <c r="G919" s="28"/>
      <c r="H919" s="28"/>
      <c r="O919" s="28"/>
    </row>
    <row r="920">
      <c r="A920" s="28"/>
      <c r="B920" s="42"/>
      <c r="C920" s="42"/>
      <c r="D920" s="42"/>
      <c r="E920" s="28"/>
      <c r="F920" s="28"/>
      <c r="G920" s="28"/>
      <c r="H920" s="28"/>
      <c r="O920" s="28"/>
    </row>
    <row r="921">
      <c r="A921" s="28"/>
      <c r="B921" s="42"/>
      <c r="C921" s="42"/>
      <c r="D921" s="42"/>
      <c r="E921" s="28"/>
      <c r="F921" s="28"/>
      <c r="G921" s="28"/>
      <c r="H921" s="28"/>
      <c r="O921" s="28"/>
    </row>
    <row r="922">
      <c r="A922" s="28"/>
      <c r="B922" s="42"/>
      <c r="C922" s="42"/>
      <c r="D922" s="42"/>
      <c r="E922" s="28"/>
      <c r="F922" s="28"/>
      <c r="G922" s="28"/>
      <c r="H922" s="28"/>
      <c r="O922" s="28"/>
    </row>
    <row r="923">
      <c r="A923" s="28"/>
      <c r="B923" s="42"/>
      <c r="C923" s="42"/>
      <c r="D923" s="42"/>
      <c r="E923" s="28"/>
      <c r="F923" s="28"/>
      <c r="G923" s="28"/>
      <c r="H923" s="28"/>
      <c r="O923" s="28"/>
    </row>
    <row r="924">
      <c r="A924" s="28"/>
      <c r="B924" s="42"/>
      <c r="C924" s="42"/>
      <c r="D924" s="42"/>
      <c r="E924" s="28"/>
      <c r="F924" s="28"/>
      <c r="G924" s="28"/>
      <c r="H924" s="28"/>
      <c r="O924" s="28"/>
    </row>
    <row r="925">
      <c r="A925" s="28"/>
      <c r="B925" s="42"/>
      <c r="C925" s="42"/>
      <c r="D925" s="42"/>
      <c r="E925" s="28"/>
      <c r="F925" s="28"/>
      <c r="G925" s="28"/>
      <c r="H925" s="28"/>
      <c r="O925" s="28"/>
    </row>
    <row r="926">
      <c r="A926" s="28"/>
      <c r="B926" s="42"/>
      <c r="C926" s="42"/>
      <c r="D926" s="42"/>
      <c r="E926" s="28"/>
      <c r="F926" s="28"/>
      <c r="G926" s="28"/>
      <c r="H926" s="28"/>
      <c r="O926" s="28"/>
    </row>
    <row r="927">
      <c r="A927" s="28"/>
      <c r="B927" s="42"/>
      <c r="C927" s="42"/>
      <c r="D927" s="42"/>
      <c r="E927" s="28"/>
      <c r="F927" s="28"/>
      <c r="G927" s="28"/>
      <c r="H927" s="28"/>
      <c r="O927" s="28"/>
    </row>
    <row r="928">
      <c r="A928" s="28"/>
      <c r="B928" s="42"/>
      <c r="C928" s="42"/>
      <c r="D928" s="42"/>
      <c r="E928" s="28"/>
      <c r="F928" s="28"/>
      <c r="G928" s="28"/>
      <c r="H928" s="28"/>
      <c r="O928" s="28"/>
    </row>
    <row r="929">
      <c r="A929" s="28"/>
      <c r="B929" s="42"/>
      <c r="C929" s="42"/>
      <c r="D929" s="42"/>
      <c r="E929" s="28"/>
      <c r="F929" s="28"/>
      <c r="G929" s="28"/>
      <c r="H929" s="28"/>
      <c r="O929" s="28"/>
    </row>
    <row r="930">
      <c r="A930" s="28"/>
      <c r="B930" s="42"/>
      <c r="C930" s="42"/>
      <c r="D930" s="42"/>
      <c r="E930" s="28"/>
      <c r="F930" s="28"/>
      <c r="G930" s="28"/>
      <c r="H930" s="28"/>
      <c r="O930" s="28"/>
    </row>
    <row r="931">
      <c r="A931" s="28"/>
      <c r="B931" s="42"/>
      <c r="C931" s="42"/>
      <c r="D931" s="42"/>
      <c r="E931" s="28"/>
      <c r="F931" s="28"/>
      <c r="G931" s="28"/>
      <c r="H931" s="28"/>
      <c r="O931" s="28"/>
    </row>
    <row r="932">
      <c r="A932" s="28"/>
      <c r="B932" s="42"/>
      <c r="C932" s="42"/>
      <c r="D932" s="42"/>
      <c r="E932" s="28"/>
      <c r="F932" s="28"/>
      <c r="G932" s="28"/>
      <c r="H932" s="28"/>
      <c r="O932" s="28"/>
    </row>
    <row r="933">
      <c r="A933" s="28"/>
      <c r="B933" s="42"/>
      <c r="C933" s="42"/>
      <c r="D933" s="42"/>
      <c r="E933" s="28"/>
      <c r="F933" s="28"/>
      <c r="G933" s="28"/>
      <c r="H933" s="28"/>
      <c r="O933" s="28"/>
    </row>
    <row r="934">
      <c r="A934" s="28"/>
      <c r="B934" s="42"/>
      <c r="C934" s="42"/>
      <c r="D934" s="42"/>
      <c r="E934" s="28"/>
      <c r="F934" s="28"/>
      <c r="G934" s="28"/>
      <c r="H934" s="28"/>
      <c r="O934" s="28"/>
    </row>
    <row r="935">
      <c r="A935" s="28"/>
      <c r="B935" s="42"/>
      <c r="C935" s="42"/>
      <c r="D935" s="42"/>
      <c r="E935" s="28"/>
      <c r="F935" s="28"/>
      <c r="G935" s="28"/>
      <c r="H935" s="28"/>
      <c r="O935" s="28"/>
    </row>
    <row r="936">
      <c r="A936" s="28"/>
      <c r="B936" s="42"/>
      <c r="C936" s="42"/>
      <c r="D936" s="42"/>
      <c r="E936" s="28"/>
      <c r="F936" s="28"/>
      <c r="G936" s="28"/>
      <c r="H936" s="28"/>
      <c r="O936" s="28"/>
    </row>
    <row r="937">
      <c r="A937" s="28"/>
      <c r="B937" s="42"/>
      <c r="C937" s="42"/>
      <c r="D937" s="42"/>
      <c r="E937" s="28"/>
      <c r="F937" s="28"/>
      <c r="G937" s="28"/>
      <c r="H937" s="28"/>
      <c r="O937" s="28"/>
    </row>
    <row r="938">
      <c r="A938" s="28"/>
      <c r="B938" s="42"/>
      <c r="C938" s="42"/>
      <c r="D938" s="42"/>
      <c r="E938" s="28"/>
      <c r="F938" s="28"/>
      <c r="G938" s="28"/>
      <c r="H938" s="28"/>
      <c r="O938" s="28"/>
    </row>
    <row r="939">
      <c r="A939" s="28"/>
      <c r="B939" s="42"/>
      <c r="C939" s="42"/>
      <c r="D939" s="42"/>
      <c r="E939" s="28"/>
      <c r="F939" s="28"/>
      <c r="G939" s="28"/>
      <c r="H939" s="28"/>
      <c r="O939" s="28"/>
    </row>
    <row r="940">
      <c r="A940" s="28"/>
      <c r="B940" s="42"/>
      <c r="C940" s="42"/>
      <c r="D940" s="42"/>
      <c r="E940" s="28"/>
      <c r="F940" s="28"/>
      <c r="G940" s="28"/>
      <c r="H940" s="28"/>
      <c r="O940" s="28"/>
    </row>
    <row r="941">
      <c r="A941" s="28"/>
      <c r="B941" s="42"/>
      <c r="C941" s="42"/>
      <c r="D941" s="42"/>
      <c r="E941" s="28"/>
      <c r="F941" s="28"/>
      <c r="G941" s="28"/>
      <c r="H941" s="28"/>
      <c r="O941" s="28"/>
    </row>
    <row r="942">
      <c r="A942" s="28"/>
      <c r="B942" s="42"/>
      <c r="C942" s="42"/>
      <c r="D942" s="42"/>
      <c r="E942" s="28"/>
      <c r="F942" s="28"/>
      <c r="G942" s="28"/>
      <c r="H942" s="28"/>
      <c r="O942" s="28"/>
    </row>
    <row r="943">
      <c r="A943" s="28"/>
      <c r="B943" s="42"/>
      <c r="C943" s="42"/>
      <c r="D943" s="42"/>
      <c r="E943" s="28"/>
      <c r="F943" s="28"/>
      <c r="G943" s="28"/>
      <c r="H943" s="28"/>
      <c r="O943" s="28"/>
    </row>
    <row r="944">
      <c r="A944" s="28"/>
      <c r="B944" s="42"/>
      <c r="C944" s="42"/>
      <c r="D944" s="42"/>
      <c r="E944" s="28"/>
      <c r="F944" s="28"/>
      <c r="G944" s="28"/>
      <c r="H944" s="28"/>
      <c r="O944" s="28"/>
    </row>
    <row r="945">
      <c r="A945" s="28"/>
      <c r="B945" s="42"/>
      <c r="C945" s="42"/>
      <c r="D945" s="42"/>
      <c r="E945" s="28"/>
      <c r="F945" s="28"/>
      <c r="G945" s="28"/>
      <c r="H945" s="28"/>
      <c r="O945" s="28"/>
    </row>
    <row r="946">
      <c r="A946" s="28"/>
      <c r="B946" s="42"/>
      <c r="C946" s="42"/>
      <c r="D946" s="42"/>
      <c r="E946" s="28"/>
      <c r="F946" s="28"/>
      <c r="G946" s="28"/>
      <c r="H946" s="28"/>
      <c r="O946" s="28"/>
    </row>
    <row r="947">
      <c r="A947" s="28"/>
      <c r="B947" s="42"/>
      <c r="C947" s="42"/>
      <c r="D947" s="42"/>
      <c r="E947" s="28"/>
      <c r="F947" s="28"/>
      <c r="G947" s="28"/>
      <c r="H947" s="28"/>
      <c r="O947" s="28"/>
    </row>
    <row r="948">
      <c r="A948" s="28"/>
      <c r="B948" s="42"/>
      <c r="C948" s="42"/>
      <c r="D948" s="42"/>
      <c r="E948" s="28"/>
      <c r="F948" s="28"/>
      <c r="G948" s="28"/>
      <c r="H948" s="28"/>
      <c r="O948" s="28"/>
    </row>
    <row r="949">
      <c r="A949" s="28"/>
      <c r="B949" s="42"/>
      <c r="C949" s="42"/>
      <c r="D949" s="42"/>
      <c r="E949" s="28"/>
      <c r="F949" s="28"/>
      <c r="G949" s="28"/>
      <c r="H949" s="28"/>
      <c r="O949" s="28"/>
    </row>
    <row r="950">
      <c r="A950" s="28"/>
      <c r="B950" s="42"/>
      <c r="C950" s="42"/>
      <c r="D950" s="42"/>
      <c r="E950" s="28"/>
      <c r="F950" s="28"/>
      <c r="G950" s="28"/>
      <c r="H950" s="28"/>
      <c r="O950" s="28"/>
    </row>
    <row r="951">
      <c r="A951" s="28"/>
      <c r="B951" s="42"/>
      <c r="C951" s="42"/>
      <c r="D951" s="42"/>
      <c r="E951" s="28"/>
      <c r="F951" s="28"/>
      <c r="G951" s="28"/>
      <c r="H951" s="28"/>
      <c r="O951" s="28"/>
    </row>
    <row r="952">
      <c r="A952" s="28"/>
      <c r="B952" s="42"/>
      <c r="C952" s="42"/>
      <c r="D952" s="42"/>
      <c r="E952" s="28"/>
      <c r="F952" s="28"/>
      <c r="G952" s="28"/>
      <c r="H952" s="28"/>
      <c r="O952" s="28"/>
    </row>
    <row r="953">
      <c r="A953" s="28"/>
      <c r="B953" s="42"/>
      <c r="C953" s="42"/>
      <c r="D953" s="42"/>
      <c r="E953" s="28"/>
      <c r="F953" s="28"/>
      <c r="G953" s="28"/>
      <c r="H953" s="28"/>
      <c r="O953" s="28"/>
    </row>
    <row r="954">
      <c r="A954" s="28"/>
      <c r="B954" s="42"/>
      <c r="C954" s="42"/>
      <c r="D954" s="42"/>
      <c r="E954" s="28"/>
      <c r="F954" s="28"/>
      <c r="G954" s="28"/>
      <c r="H954" s="28"/>
      <c r="O954" s="28"/>
    </row>
    <row r="955">
      <c r="A955" s="28"/>
      <c r="B955" s="42"/>
      <c r="C955" s="42"/>
      <c r="D955" s="42"/>
      <c r="E955" s="28"/>
      <c r="F955" s="28"/>
      <c r="G955" s="28"/>
      <c r="H955" s="28"/>
      <c r="O955" s="28"/>
    </row>
    <row r="956">
      <c r="A956" s="28"/>
      <c r="B956" s="42"/>
      <c r="C956" s="42"/>
      <c r="D956" s="42"/>
      <c r="E956" s="28"/>
      <c r="F956" s="28"/>
      <c r="G956" s="28"/>
      <c r="H956" s="28"/>
      <c r="O956" s="28"/>
    </row>
    <row r="957">
      <c r="A957" s="28"/>
      <c r="B957" s="42"/>
      <c r="C957" s="42"/>
      <c r="D957" s="42"/>
      <c r="E957" s="28"/>
      <c r="F957" s="28"/>
      <c r="G957" s="28"/>
      <c r="H957" s="28"/>
      <c r="O957" s="28"/>
    </row>
    <row r="958">
      <c r="A958" s="28"/>
      <c r="B958" s="42"/>
      <c r="C958" s="42"/>
      <c r="D958" s="42"/>
      <c r="E958" s="28"/>
      <c r="F958" s="28"/>
      <c r="G958" s="28"/>
      <c r="H958" s="28"/>
      <c r="O958" s="28"/>
    </row>
    <row r="959">
      <c r="A959" s="28"/>
      <c r="B959" s="42"/>
      <c r="C959" s="42"/>
      <c r="D959" s="42"/>
      <c r="E959" s="28"/>
      <c r="F959" s="28"/>
      <c r="G959" s="28"/>
      <c r="H959" s="28"/>
      <c r="O959" s="28"/>
    </row>
    <row r="960">
      <c r="A960" s="28"/>
      <c r="B960" s="42"/>
      <c r="C960" s="42"/>
      <c r="D960" s="42"/>
      <c r="E960" s="28"/>
      <c r="F960" s="28"/>
      <c r="G960" s="28"/>
      <c r="H960" s="28"/>
      <c r="O960" s="28"/>
    </row>
    <row r="961">
      <c r="A961" s="28"/>
      <c r="B961" s="42"/>
      <c r="C961" s="42"/>
      <c r="D961" s="42"/>
      <c r="E961" s="28"/>
      <c r="F961" s="28"/>
      <c r="G961" s="28"/>
      <c r="H961" s="28"/>
      <c r="O961" s="28"/>
    </row>
    <row r="962">
      <c r="A962" s="28"/>
      <c r="B962" s="42"/>
      <c r="C962" s="42"/>
      <c r="D962" s="42"/>
      <c r="E962" s="28"/>
      <c r="F962" s="28"/>
      <c r="G962" s="28"/>
      <c r="H962" s="28"/>
      <c r="O962" s="28"/>
    </row>
    <row r="963">
      <c r="A963" s="28"/>
      <c r="B963" s="42"/>
      <c r="C963" s="42"/>
      <c r="D963" s="42"/>
      <c r="E963" s="28"/>
      <c r="F963" s="28"/>
      <c r="G963" s="28"/>
      <c r="H963" s="28"/>
      <c r="O963" s="28"/>
    </row>
    <row r="964">
      <c r="A964" s="28"/>
      <c r="B964" s="42"/>
      <c r="C964" s="42"/>
      <c r="D964" s="42"/>
      <c r="E964" s="28"/>
      <c r="F964" s="28"/>
      <c r="G964" s="28"/>
      <c r="H964" s="28"/>
      <c r="O964" s="28"/>
    </row>
    <row r="965">
      <c r="A965" s="28"/>
      <c r="B965" s="42"/>
      <c r="C965" s="42"/>
      <c r="D965" s="42"/>
      <c r="E965" s="28"/>
      <c r="F965" s="28"/>
      <c r="G965" s="28"/>
      <c r="H965" s="28"/>
      <c r="O965" s="28"/>
    </row>
    <row r="966">
      <c r="A966" s="28"/>
      <c r="B966" s="42"/>
      <c r="C966" s="42"/>
      <c r="D966" s="42"/>
      <c r="E966" s="28"/>
      <c r="F966" s="28"/>
      <c r="G966" s="28"/>
      <c r="H966" s="28"/>
      <c r="O966" s="28"/>
    </row>
    <row r="967">
      <c r="A967" s="28"/>
      <c r="B967" s="42"/>
      <c r="C967" s="42"/>
      <c r="D967" s="42"/>
      <c r="E967" s="28"/>
      <c r="F967" s="28"/>
      <c r="G967" s="28"/>
      <c r="H967" s="28"/>
      <c r="O967" s="28"/>
    </row>
    <row r="968">
      <c r="A968" s="28"/>
      <c r="B968" s="42"/>
      <c r="C968" s="42"/>
      <c r="D968" s="42"/>
      <c r="E968" s="28"/>
      <c r="F968" s="28"/>
      <c r="G968" s="28"/>
      <c r="H968" s="28"/>
      <c r="O968" s="28"/>
    </row>
    <row r="969">
      <c r="A969" s="28"/>
      <c r="B969" s="42"/>
      <c r="C969" s="42"/>
      <c r="D969" s="42"/>
      <c r="E969" s="28"/>
      <c r="F969" s="28"/>
      <c r="G969" s="28"/>
      <c r="H969" s="28"/>
      <c r="O969" s="28"/>
    </row>
    <row r="970">
      <c r="A970" s="28"/>
      <c r="B970" s="42"/>
      <c r="C970" s="42"/>
      <c r="D970" s="42"/>
      <c r="E970" s="28"/>
      <c r="F970" s="28"/>
      <c r="G970" s="28"/>
      <c r="H970" s="28"/>
      <c r="O970" s="28"/>
    </row>
    <row r="971">
      <c r="A971" s="28"/>
      <c r="B971" s="42"/>
      <c r="C971" s="42"/>
      <c r="D971" s="42"/>
      <c r="E971" s="28"/>
      <c r="F971" s="28"/>
      <c r="G971" s="28"/>
      <c r="H971" s="28"/>
      <c r="O971" s="28"/>
    </row>
    <row r="972">
      <c r="A972" s="28"/>
      <c r="B972" s="42"/>
      <c r="C972" s="42"/>
      <c r="D972" s="42"/>
      <c r="E972" s="28"/>
      <c r="F972" s="28"/>
      <c r="G972" s="28"/>
      <c r="H972" s="28"/>
      <c r="O972" s="28"/>
    </row>
    <row r="973">
      <c r="A973" s="28"/>
      <c r="B973" s="42"/>
      <c r="C973" s="42"/>
      <c r="D973" s="42"/>
      <c r="E973" s="28"/>
      <c r="F973" s="28"/>
      <c r="G973" s="28"/>
      <c r="H973" s="28"/>
      <c r="O973" s="28"/>
    </row>
    <row r="974">
      <c r="A974" s="28"/>
      <c r="B974" s="42"/>
      <c r="C974" s="42"/>
      <c r="D974" s="42"/>
      <c r="E974" s="28"/>
      <c r="F974" s="28"/>
      <c r="G974" s="28"/>
      <c r="H974" s="28"/>
      <c r="O974" s="28"/>
    </row>
    <row r="975">
      <c r="A975" s="28"/>
      <c r="B975" s="42"/>
      <c r="C975" s="42"/>
      <c r="D975" s="42"/>
      <c r="E975" s="28"/>
      <c r="F975" s="28"/>
      <c r="G975" s="28"/>
      <c r="H975" s="28"/>
      <c r="O975" s="28"/>
    </row>
    <row r="976">
      <c r="A976" s="28"/>
      <c r="B976" s="42"/>
      <c r="C976" s="42"/>
      <c r="D976" s="42"/>
      <c r="E976" s="28"/>
      <c r="F976" s="28"/>
      <c r="G976" s="28"/>
      <c r="H976" s="28"/>
      <c r="O976" s="28"/>
    </row>
    <row r="977">
      <c r="A977" s="28"/>
      <c r="B977" s="42"/>
      <c r="C977" s="42"/>
      <c r="D977" s="42"/>
      <c r="E977" s="28"/>
      <c r="F977" s="28"/>
      <c r="G977" s="28"/>
      <c r="H977" s="28"/>
      <c r="O977" s="28"/>
    </row>
    <row r="978">
      <c r="A978" s="28"/>
      <c r="B978" s="42"/>
      <c r="C978" s="42"/>
      <c r="D978" s="42"/>
      <c r="E978" s="28"/>
      <c r="F978" s="28"/>
      <c r="G978" s="28"/>
      <c r="H978" s="28"/>
      <c r="O978" s="28"/>
    </row>
    <row r="979">
      <c r="A979" s="28"/>
      <c r="B979" s="42"/>
      <c r="C979" s="42"/>
      <c r="D979" s="42"/>
      <c r="E979" s="28"/>
      <c r="F979" s="28"/>
      <c r="G979" s="28"/>
      <c r="H979" s="28"/>
      <c r="O979" s="28"/>
    </row>
    <row r="980">
      <c r="A980" s="28"/>
      <c r="B980" s="42"/>
      <c r="C980" s="42"/>
      <c r="D980" s="42"/>
      <c r="E980" s="28"/>
      <c r="F980" s="28"/>
      <c r="G980" s="28"/>
      <c r="H980" s="28"/>
      <c r="O980" s="28"/>
    </row>
    <row r="981">
      <c r="A981" s="28"/>
      <c r="B981" s="42"/>
      <c r="C981" s="42"/>
      <c r="D981" s="42"/>
      <c r="E981" s="28"/>
      <c r="F981" s="28"/>
      <c r="G981" s="28"/>
      <c r="H981" s="28"/>
      <c r="O981" s="28"/>
    </row>
    <row r="982">
      <c r="A982" s="28"/>
      <c r="B982" s="42"/>
      <c r="C982" s="42"/>
      <c r="D982" s="42"/>
      <c r="E982" s="28"/>
      <c r="F982" s="28"/>
      <c r="G982" s="28"/>
      <c r="H982" s="28"/>
      <c r="O982" s="28"/>
    </row>
    <row r="983">
      <c r="A983" s="28"/>
      <c r="B983" s="42"/>
      <c r="C983" s="42"/>
      <c r="D983" s="42"/>
      <c r="E983" s="28"/>
      <c r="F983" s="28"/>
      <c r="G983" s="28"/>
      <c r="H983" s="28"/>
      <c r="O983" s="28"/>
    </row>
    <row r="984">
      <c r="A984" s="28"/>
      <c r="B984" s="42"/>
      <c r="C984" s="42"/>
      <c r="D984" s="42"/>
      <c r="E984" s="28"/>
      <c r="F984" s="28"/>
      <c r="G984" s="28"/>
      <c r="H984" s="28"/>
      <c r="O984" s="28"/>
    </row>
    <row r="985">
      <c r="A985" s="28"/>
      <c r="B985" s="42"/>
      <c r="C985" s="42"/>
      <c r="D985" s="42"/>
      <c r="E985" s="28"/>
      <c r="F985" s="28"/>
      <c r="G985" s="28"/>
      <c r="H985" s="28"/>
      <c r="O985" s="28"/>
    </row>
    <row r="986">
      <c r="A986" s="28"/>
      <c r="B986" s="42"/>
      <c r="C986" s="42"/>
      <c r="D986" s="42"/>
      <c r="E986" s="28"/>
      <c r="F986" s="28"/>
      <c r="G986" s="28"/>
      <c r="H986" s="28"/>
      <c r="O986" s="28"/>
    </row>
    <row r="987">
      <c r="A987" s="28"/>
      <c r="B987" s="42"/>
      <c r="C987" s="42"/>
      <c r="D987" s="42"/>
      <c r="E987" s="28"/>
      <c r="F987" s="28"/>
      <c r="G987" s="28"/>
      <c r="H987" s="28"/>
      <c r="O987" s="28"/>
    </row>
    <row r="988">
      <c r="A988" s="28"/>
      <c r="B988" s="42"/>
      <c r="C988" s="42"/>
      <c r="D988" s="42"/>
      <c r="E988" s="28"/>
      <c r="F988" s="28"/>
      <c r="G988" s="28"/>
      <c r="H988" s="28"/>
      <c r="O988" s="28"/>
    </row>
    <row r="989">
      <c r="A989" s="28"/>
      <c r="B989" s="42"/>
      <c r="C989" s="42"/>
      <c r="D989" s="42"/>
      <c r="E989" s="28"/>
      <c r="F989" s="28"/>
      <c r="G989" s="28"/>
      <c r="H989" s="28"/>
      <c r="O989" s="28"/>
    </row>
    <row r="990">
      <c r="A990" s="28"/>
      <c r="B990" s="42"/>
      <c r="C990" s="42"/>
      <c r="D990" s="42"/>
      <c r="E990" s="28"/>
      <c r="F990" s="28"/>
      <c r="G990" s="28"/>
      <c r="H990" s="28"/>
      <c r="O990" s="28"/>
    </row>
    <row r="991">
      <c r="A991" s="28"/>
      <c r="B991" s="42"/>
      <c r="C991" s="42"/>
      <c r="D991" s="42"/>
      <c r="E991" s="28"/>
      <c r="F991" s="28"/>
      <c r="G991" s="28"/>
      <c r="H991" s="28"/>
      <c r="O991" s="28"/>
    </row>
    <row r="992">
      <c r="A992" s="28"/>
      <c r="B992" s="42"/>
      <c r="C992" s="42"/>
      <c r="D992" s="42"/>
      <c r="E992" s="28"/>
      <c r="F992" s="28"/>
      <c r="G992" s="28"/>
      <c r="H992" s="28"/>
      <c r="O992" s="28"/>
    </row>
    <row r="993">
      <c r="A993" s="28"/>
      <c r="B993" s="42"/>
      <c r="C993" s="42"/>
      <c r="D993" s="42"/>
      <c r="E993" s="28"/>
      <c r="F993" s="28"/>
      <c r="G993" s="28"/>
      <c r="H993" s="28"/>
      <c r="O993" s="28"/>
    </row>
    <row r="994">
      <c r="A994" s="28"/>
      <c r="B994" s="42"/>
      <c r="C994" s="42"/>
      <c r="D994" s="42"/>
      <c r="E994" s="28"/>
      <c r="F994" s="28"/>
      <c r="G994" s="28"/>
      <c r="H994" s="28"/>
      <c r="O994" s="28"/>
    </row>
    <row r="995">
      <c r="A995" s="28"/>
      <c r="B995" s="42"/>
      <c r="C995" s="42"/>
      <c r="D995" s="42"/>
      <c r="E995" s="28"/>
      <c r="F995" s="28"/>
      <c r="G995" s="28"/>
      <c r="H995" s="28"/>
      <c r="O995" s="28"/>
    </row>
    <row r="996">
      <c r="A996" s="28"/>
      <c r="B996" s="42"/>
      <c r="C996" s="42"/>
      <c r="D996" s="42"/>
      <c r="E996" s="28"/>
      <c r="F996" s="28"/>
      <c r="G996" s="28"/>
      <c r="H996" s="28"/>
      <c r="O996" s="28"/>
    </row>
    <row r="997">
      <c r="A997" s="28"/>
      <c r="B997" s="42"/>
      <c r="C997" s="42"/>
      <c r="D997" s="42"/>
      <c r="E997" s="28"/>
      <c r="F997" s="28"/>
      <c r="G997" s="28"/>
      <c r="H997" s="28"/>
      <c r="O997" s="28"/>
    </row>
    <row r="998">
      <c r="A998" s="28"/>
      <c r="B998" s="42"/>
      <c r="C998" s="42"/>
      <c r="D998" s="42"/>
      <c r="E998" s="28"/>
      <c r="F998" s="28"/>
      <c r="G998" s="28"/>
      <c r="H998" s="28"/>
      <c r="O998" s="28"/>
    </row>
    <row r="999">
      <c r="A999" s="28"/>
      <c r="B999" s="42"/>
      <c r="C999" s="42"/>
      <c r="D999" s="42"/>
      <c r="E999" s="28"/>
      <c r="F999" s="28"/>
      <c r="G999" s="28"/>
      <c r="H999" s="28"/>
      <c r="O999" s="28"/>
    </row>
    <row r="1000">
      <c r="A1000" s="28"/>
      <c r="B1000" s="42"/>
      <c r="C1000" s="42"/>
      <c r="D1000" s="42"/>
      <c r="E1000" s="28"/>
      <c r="F1000" s="28"/>
      <c r="G1000" s="28"/>
      <c r="H1000" s="28"/>
      <c r="O1000" s="28"/>
    </row>
    <row r="1001">
      <c r="A1001" s="28"/>
      <c r="B1001" s="42"/>
      <c r="C1001" s="42"/>
      <c r="D1001" s="42"/>
      <c r="E1001" s="28"/>
      <c r="F1001" s="28"/>
      <c r="G1001" s="28"/>
      <c r="H1001" s="28"/>
      <c r="O1001" s="28"/>
    </row>
    <row r="1002">
      <c r="A1002" s="28"/>
      <c r="B1002" s="42"/>
      <c r="C1002" s="42"/>
      <c r="D1002" s="42"/>
      <c r="E1002" s="28"/>
      <c r="F1002" s="28"/>
      <c r="G1002" s="28"/>
      <c r="H1002" s="28"/>
      <c r="O1002" s="28"/>
    </row>
    <row r="1003">
      <c r="A1003" s="28"/>
      <c r="B1003" s="42"/>
      <c r="C1003" s="42"/>
      <c r="D1003" s="42"/>
      <c r="E1003" s="28"/>
      <c r="F1003" s="28"/>
      <c r="G1003" s="28"/>
      <c r="H1003" s="28"/>
      <c r="O1003" s="28"/>
    </row>
    <row r="1004">
      <c r="A1004" s="28"/>
      <c r="B1004" s="42"/>
      <c r="C1004" s="42"/>
      <c r="D1004" s="42"/>
      <c r="E1004" s="28"/>
      <c r="F1004" s="28"/>
      <c r="G1004" s="28"/>
      <c r="H1004" s="28"/>
      <c r="O1004" s="28"/>
    </row>
    <row r="1005">
      <c r="A1005" s="28"/>
      <c r="B1005" s="42"/>
      <c r="C1005" s="42"/>
      <c r="D1005" s="42"/>
      <c r="E1005" s="28"/>
      <c r="F1005" s="28"/>
      <c r="G1005" s="28"/>
      <c r="H1005" s="28"/>
      <c r="O1005" s="28"/>
    </row>
    <row r="1006">
      <c r="A1006" s="28"/>
      <c r="B1006" s="42"/>
      <c r="C1006" s="42"/>
      <c r="D1006" s="42"/>
      <c r="E1006" s="28"/>
      <c r="F1006" s="28"/>
      <c r="G1006" s="28"/>
      <c r="H1006" s="28"/>
      <c r="O1006" s="28"/>
    </row>
    <row r="1007">
      <c r="A1007" s="28"/>
      <c r="B1007" s="42"/>
      <c r="C1007" s="42"/>
      <c r="D1007" s="42"/>
      <c r="E1007" s="28"/>
      <c r="F1007" s="28"/>
      <c r="G1007" s="28"/>
      <c r="H1007" s="28"/>
      <c r="O1007" s="28"/>
    </row>
    <row r="1008">
      <c r="A1008" s="28"/>
      <c r="B1008" s="42"/>
      <c r="C1008" s="42"/>
      <c r="D1008" s="42"/>
      <c r="E1008" s="28"/>
      <c r="F1008" s="28"/>
      <c r="G1008" s="28"/>
      <c r="H1008" s="28"/>
      <c r="O1008" s="28"/>
    </row>
    <row r="1009">
      <c r="A1009" s="28"/>
      <c r="B1009" s="42"/>
      <c r="C1009" s="42"/>
      <c r="D1009" s="42"/>
      <c r="E1009" s="28"/>
      <c r="F1009" s="28"/>
      <c r="G1009" s="28"/>
      <c r="H1009" s="28"/>
      <c r="O1009" s="28"/>
    </row>
    <row r="1010">
      <c r="A1010" s="28"/>
      <c r="B1010" s="42"/>
      <c r="C1010" s="42"/>
      <c r="D1010" s="42"/>
      <c r="E1010" s="28"/>
      <c r="F1010" s="28"/>
      <c r="G1010" s="28"/>
      <c r="H1010" s="28"/>
      <c r="O1010" s="28"/>
    </row>
    <row r="1011">
      <c r="A1011" s="28"/>
      <c r="B1011" s="42"/>
      <c r="C1011" s="42"/>
      <c r="D1011" s="42"/>
      <c r="E1011" s="28"/>
      <c r="F1011" s="28"/>
      <c r="G1011" s="28"/>
      <c r="H1011" s="28"/>
      <c r="O1011" s="28"/>
    </row>
    <row r="1012">
      <c r="A1012" s="28"/>
      <c r="B1012" s="42"/>
      <c r="C1012" s="42"/>
      <c r="D1012" s="42"/>
      <c r="E1012" s="28"/>
      <c r="F1012" s="28"/>
      <c r="G1012" s="28"/>
      <c r="H1012" s="28"/>
      <c r="O1012" s="28"/>
    </row>
    <row r="1013">
      <c r="A1013" s="28"/>
      <c r="B1013" s="42"/>
      <c r="C1013" s="42"/>
      <c r="D1013" s="42"/>
      <c r="E1013" s="28"/>
      <c r="F1013" s="28"/>
      <c r="G1013" s="28"/>
      <c r="H1013" s="28"/>
      <c r="O1013" s="28"/>
    </row>
    <row r="1014">
      <c r="A1014" s="28"/>
      <c r="B1014" s="42"/>
      <c r="C1014" s="42"/>
      <c r="D1014" s="42"/>
      <c r="E1014" s="28"/>
      <c r="F1014" s="28"/>
      <c r="G1014" s="28"/>
      <c r="H1014" s="28"/>
      <c r="O1014" s="28"/>
    </row>
    <row r="1015">
      <c r="A1015" s="28"/>
      <c r="B1015" s="42"/>
      <c r="C1015" s="42"/>
      <c r="D1015" s="42"/>
      <c r="E1015" s="28"/>
      <c r="F1015" s="28"/>
      <c r="G1015" s="28"/>
      <c r="H1015" s="28"/>
      <c r="O1015" s="28"/>
    </row>
    <row r="1016">
      <c r="A1016" s="28"/>
      <c r="B1016" s="42"/>
      <c r="C1016" s="42"/>
      <c r="D1016" s="42"/>
      <c r="E1016" s="28"/>
      <c r="F1016" s="28"/>
      <c r="G1016" s="28"/>
      <c r="H1016" s="28"/>
      <c r="O1016" s="28"/>
    </row>
    <row r="1017">
      <c r="A1017" s="28"/>
      <c r="B1017" s="42"/>
      <c r="C1017" s="42"/>
      <c r="D1017" s="42"/>
      <c r="E1017" s="28"/>
      <c r="F1017" s="28"/>
      <c r="G1017" s="28"/>
      <c r="H1017" s="28"/>
      <c r="O1017" s="28"/>
    </row>
    <row r="1018">
      <c r="A1018" s="28"/>
      <c r="B1018" s="42"/>
      <c r="C1018" s="42"/>
      <c r="D1018" s="42"/>
      <c r="E1018" s="28"/>
      <c r="F1018" s="28"/>
      <c r="G1018" s="28"/>
      <c r="H1018" s="28"/>
      <c r="O1018" s="28"/>
    </row>
    <row r="1019">
      <c r="A1019" s="28"/>
      <c r="B1019" s="42"/>
      <c r="C1019" s="42"/>
      <c r="D1019" s="42"/>
      <c r="E1019" s="28"/>
      <c r="F1019" s="28"/>
      <c r="G1019" s="28"/>
      <c r="H1019" s="28"/>
      <c r="O1019" s="28"/>
    </row>
    <row r="1020">
      <c r="A1020" s="28"/>
      <c r="B1020" s="42"/>
      <c r="C1020" s="42"/>
      <c r="D1020" s="42"/>
      <c r="E1020" s="28"/>
      <c r="F1020" s="28"/>
      <c r="G1020" s="28"/>
      <c r="H1020" s="28"/>
      <c r="O1020" s="28"/>
    </row>
    <row r="1021">
      <c r="A1021" s="28"/>
      <c r="B1021" s="42"/>
      <c r="C1021" s="42"/>
      <c r="D1021" s="42"/>
      <c r="E1021" s="28"/>
      <c r="F1021" s="28"/>
      <c r="G1021" s="28"/>
      <c r="H1021" s="28"/>
      <c r="O1021" s="28"/>
    </row>
    <row r="1022">
      <c r="A1022" s="28"/>
      <c r="B1022" s="42"/>
      <c r="C1022" s="42"/>
      <c r="D1022" s="42"/>
      <c r="E1022" s="28"/>
      <c r="F1022" s="28"/>
      <c r="G1022" s="28"/>
      <c r="H1022" s="28"/>
      <c r="O1022" s="28"/>
    </row>
    <row r="1023">
      <c r="A1023" s="28"/>
      <c r="B1023" s="42"/>
      <c r="C1023" s="42"/>
      <c r="D1023" s="42"/>
      <c r="E1023" s="28"/>
      <c r="F1023" s="28"/>
      <c r="G1023" s="28"/>
      <c r="H1023" s="28"/>
      <c r="O1023" s="28"/>
    </row>
    <row r="1024">
      <c r="A1024" s="28"/>
      <c r="B1024" s="42"/>
      <c r="C1024" s="42"/>
      <c r="D1024" s="42"/>
      <c r="E1024" s="28"/>
      <c r="F1024" s="28"/>
      <c r="G1024" s="28"/>
      <c r="H1024" s="28"/>
      <c r="O1024" s="28"/>
    </row>
    <row r="1025">
      <c r="A1025" s="28"/>
      <c r="B1025" s="42"/>
      <c r="C1025" s="42"/>
      <c r="D1025" s="42"/>
      <c r="E1025" s="28"/>
      <c r="F1025" s="28"/>
      <c r="G1025" s="28"/>
      <c r="H1025" s="28"/>
      <c r="O1025" s="28"/>
    </row>
    <row r="1026">
      <c r="A1026" s="28"/>
      <c r="B1026" s="42"/>
      <c r="C1026" s="42"/>
      <c r="D1026" s="42"/>
      <c r="E1026" s="28"/>
      <c r="F1026" s="28"/>
      <c r="G1026" s="28"/>
      <c r="H1026" s="28"/>
      <c r="O1026" s="28"/>
    </row>
    <row r="1027">
      <c r="A1027" s="28"/>
      <c r="B1027" s="42"/>
      <c r="C1027" s="42"/>
      <c r="D1027" s="42"/>
      <c r="E1027" s="28"/>
      <c r="F1027" s="28"/>
      <c r="G1027" s="28"/>
      <c r="H1027" s="28"/>
      <c r="O1027" s="28"/>
    </row>
    <row r="1028">
      <c r="A1028" s="28"/>
      <c r="B1028" s="42"/>
      <c r="C1028" s="42"/>
      <c r="D1028" s="42"/>
      <c r="E1028" s="28"/>
      <c r="F1028" s="28"/>
      <c r="G1028" s="28"/>
      <c r="H1028" s="28"/>
      <c r="O1028" s="28"/>
    </row>
    <row r="1029">
      <c r="A1029" s="28"/>
      <c r="B1029" s="42"/>
      <c r="C1029" s="42"/>
      <c r="D1029" s="42"/>
      <c r="E1029" s="28"/>
      <c r="F1029" s="28"/>
      <c r="G1029" s="28"/>
      <c r="H1029" s="28"/>
      <c r="O1029" s="28"/>
    </row>
    <row r="1030">
      <c r="A1030" s="28"/>
      <c r="B1030" s="42"/>
      <c r="C1030" s="42"/>
      <c r="D1030" s="42"/>
      <c r="E1030" s="28"/>
      <c r="F1030" s="28"/>
      <c r="G1030" s="28"/>
      <c r="H1030" s="28"/>
      <c r="O1030" s="28"/>
    </row>
    <row r="1031">
      <c r="A1031" s="28"/>
      <c r="B1031" s="42"/>
      <c r="C1031" s="42"/>
      <c r="D1031" s="42"/>
      <c r="E1031" s="28"/>
      <c r="F1031" s="28"/>
      <c r="G1031" s="28"/>
      <c r="H1031" s="28"/>
      <c r="O1031" s="28"/>
    </row>
    <row r="1032">
      <c r="A1032" s="28"/>
      <c r="B1032" s="42"/>
      <c r="C1032" s="42"/>
      <c r="D1032" s="42"/>
      <c r="E1032" s="28"/>
      <c r="F1032" s="28"/>
      <c r="G1032" s="28"/>
      <c r="H1032" s="28"/>
      <c r="O1032" s="28"/>
    </row>
    <row r="1033">
      <c r="A1033" s="28"/>
      <c r="B1033" s="42"/>
      <c r="C1033" s="42"/>
      <c r="D1033" s="42"/>
      <c r="E1033" s="28"/>
      <c r="F1033" s="28"/>
      <c r="G1033" s="28"/>
      <c r="H1033" s="28"/>
      <c r="O1033" s="28"/>
    </row>
    <row r="1034">
      <c r="A1034" s="28"/>
      <c r="B1034" s="42"/>
      <c r="C1034" s="42"/>
      <c r="D1034" s="42"/>
      <c r="E1034" s="28"/>
      <c r="F1034" s="28"/>
      <c r="G1034" s="28"/>
      <c r="H1034" s="28"/>
      <c r="O1034" s="28"/>
    </row>
    <row r="1035">
      <c r="A1035" s="28"/>
      <c r="B1035" s="42"/>
      <c r="C1035" s="42"/>
      <c r="D1035" s="42"/>
      <c r="E1035" s="28"/>
      <c r="F1035" s="28"/>
      <c r="G1035" s="28"/>
      <c r="H1035" s="28"/>
      <c r="O1035" s="28"/>
    </row>
    <row r="1036">
      <c r="A1036" s="28"/>
      <c r="B1036" s="42"/>
      <c r="C1036" s="42"/>
      <c r="D1036" s="42"/>
      <c r="E1036" s="28"/>
      <c r="F1036" s="28"/>
      <c r="G1036" s="28"/>
      <c r="H1036" s="28"/>
      <c r="O1036" s="28"/>
    </row>
    <row r="1037">
      <c r="A1037" s="28"/>
      <c r="B1037" s="42"/>
      <c r="C1037" s="42"/>
      <c r="D1037" s="42"/>
      <c r="E1037" s="28"/>
      <c r="F1037" s="28"/>
      <c r="G1037" s="28"/>
      <c r="H1037" s="28"/>
      <c r="O1037" s="28"/>
    </row>
    <row r="1038">
      <c r="A1038" s="28"/>
      <c r="B1038" s="42"/>
      <c r="C1038" s="42"/>
      <c r="D1038" s="42"/>
      <c r="E1038" s="28"/>
      <c r="F1038" s="28"/>
      <c r="G1038" s="28"/>
      <c r="H1038" s="28"/>
      <c r="O1038" s="28"/>
    </row>
    <row r="1039">
      <c r="A1039" s="28"/>
      <c r="B1039" s="42"/>
      <c r="C1039" s="42"/>
      <c r="D1039" s="42"/>
      <c r="E1039" s="28"/>
      <c r="F1039" s="28"/>
      <c r="G1039" s="28"/>
      <c r="H1039" s="28"/>
      <c r="O1039" s="28"/>
    </row>
    <row r="1040">
      <c r="A1040" s="28"/>
      <c r="B1040" s="42"/>
      <c r="C1040" s="42"/>
      <c r="D1040" s="42"/>
      <c r="E1040" s="28"/>
      <c r="F1040" s="28"/>
      <c r="G1040" s="28"/>
      <c r="H1040" s="28"/>
      <c r="O1040" s="28"/>
    </row>
    <row r="1041">
      <c r="A1041" s="28"/>
      <c r="B1041" s="42"/>
      <c r="C1041" s="42"/>
      <c r="D1041" s="42"/>
      <c r="E1041" s="28"/>
      <c r="F1041" s="28"/>
      <c r="G1041" s="28"/>
      <c r="H1041" s="28"/>
      <c r="O1041" s="28"/>
    </row>
    <row r="1042">
      <c r="A1042" s="28"/>
      <c r="B1042" s="42"/>
      <c r="C1042" s="42"/>
      <c r="D1042" s="42"/>
      <c r="E1042" s="28"/>
      <c r="F1042" s="28"/>
      <c r="G1042" s="28"/>
      <c r="H1042" s="28"/>
      <c r="O1042" s="28"/>
    </row>
    <row r="1043">
      <c r="A1043" s="28"/>
      <c r="B1043" s="42"/>
      <c r="C1043" s="42"/>
      <c r="D1043" s="42"/>
      <c r="E1043" s="28"/>
      <c r="F1043" s="28"/>
      <c r="G1043" s="28"/>
      <c r="H1043" s="28"/>
      <c r="O1043" s="28"/>
    </row>
    <row r="1044">
      <c r="A1044" s="28"/>
      <c r="B1044" s="42"/>
      <c r="C1044" s="42"/>
      <c r="D1044" s="42"/>
      <c r="E1044" s="28"/>
      <c r="F1044" s="28"/>
      <c r="G1044" s="28"/>
      <c r="H1044" s="28"/>
      <c r="O1044" s="28"/>
    </row>
    <row r="1045">
      <c r="A1045" s="28"/>
      <c r="B1045" s="42"/>
      <c r="C1045" s="42"/>
      <c r="D1045" s="42"/>
      <c r="E1045" s="28"/>
      <c r="F1045" s="28"/>
      <c r="G1045" s="28"/>
      <c r="H1045" s="28"/>
      <c r="O1045" s="28"/>
    </row>
    <row r="1046">
      <c r="A1046" s="28"/>
      <c r="B1046" s="42"/>
      <c r="C1046" s="42"/>
      <c r="D1046" s="42"/>
      <c r="E1046" s="28"/>
      <c r="F1046" s="28"/>
      <c r="G1046" s="28"/>
      <c r="H1046" s="28"/>
      <c r="O1046" s="28"/>
    </row>
    <row r="1047">
      <c r="A1047" s="28"/>
      <c r="B1047" s="42"/>
      <c r="C1047" s="42"/>
      <c r="D1047" s="42"/>
      <c r="E1047" s="28"/>
      <c r="F1047" s="28"/>
      <c r="G1047" s="28"/>
      <c r="H1047" s="28"/>
      <c r="O1047" s="28"/>
    </row>
    <row r="1048">
      <c r="A1048" s="28"/>
      <c r="B1048" s="42"/>
      <c r="C1048" s="42"/>
      <c r="D1048" s="42"/>
      <c r="E1048" s="28"/>
      <c r="F1048" s="28"/>
      <c r="G1048" s="28"/>
      <c r="H1048" s="28"/>
      <c r="O1048" s="28"/>
    </row>
    <row r="1049">
      <c r="A1049" s="28"/>
      <c r="B1049" s="42"/>
      <c r="C1049" s="42"/>
      <c r="D1049" s="42"/>
      <c r="E1049" s="28"/>
      <c r="F1049" s="28"/>
      <c r="G1049" s="28"/>
      <c r="H1049" s="28"/>
      <c r="O1049" s="28"/>
    </row>
    <row r="1050">
      <c r="A1050" s="28"/>
      <c r="B1050" s="42"/>
      <c r="C1050" s="42"/>
      <c r="D1050" s="42"/>
      <c r="E1050" s="28"/>
      <c r="F1050" s="28"/>
      <c r="G1050" s="28"/>
      <c r="H1050" s="28"/>
      <c r="O1050" s="28"/>
    </row>
    <row r="1051">
      <c r="A1051" s="28"/>
      <c r="B1051" s="42"/>
      <c r="C1051" s="42"/>
      <c r="D1051" s="42"/>
      <c r="E1051" s="28"/>
      <c r="F1051" s="28"/>
      <c r="G1051" s="28"/>
      <c r="H1051" s="28"/>
      <c r="O1051" s="28"/>
    </row>
    <row r="1052">
      <c r="A1052" s="28"/>
      <c r="B1052" s="42"/>
      <c r="C1052" s="42"/>
      <c r="D1052" s="42"/>
      <c r="E1052" s="28"/>
      <c r="F1052" s="28"/>
      <c r="G1052" s="28"/>
      <c r="H1052" s="28"/>
      <c r="O1052" s="28"/>
    </row>
    <row r="1053">
      <c r="A1053" s="28"/>
      <c r="B1053" s="42"/>
      <c r="C1053" s="42"/>
      <c r="D1053" s="42"/>
      <c r="E1053" s="28"/>
      <c r="F1053" s="28"/>
      <c r="G1053" s="28"/>
      <c r="H1053" s="28"/>
      <c r="O1053" s="28"/>
    </row>
    <row r="1054">
      <c r="A1054" s="28"/>
      <c r="B1054" s="42"/>
      <c r="C1054" s="42"/>
      <c r="D1054" s="42"/>
      <c r="E1054" s="28"/>
      <c r="F1054" s="28"/>
      <c r="G1054" s="28"/>
      <c r="H1054" s="28"/>
      <c r="O1054" s="28"/>
    </row>
    <row r="1055">
      <c r="A1055" s="28"/>
      <c r="B1055" s="42"/>
      <c r="C1055" s="42"/>
      <c r="D1055" s="42"/>
      <c r="E1055" s="28"/>
      <c r="F1055" s="28"/>
      <c r="G1055" s="28"/>
      <c r="H1055" s="28"/>
      <c r="O1055" s="28"/>
    </row>
    <row r="1056">
      <c r="A1056" s="28"/>
      <c r="B1056" s="42"/>
      <c r="C1056" s="42"/>
      <c r="D1056" s="42"/>
      <c r="E1056" s="28"/>
      <c r="F1056" s="28"/>
      <c r="G1056" s="28"/>
      <c r="H1056" s="28"/>
      <c r="O1056" s="28"/>
    </row>
    <row r="1057">
      <c r="A1057" s="28"/>
      <c r="B1057" s="42"/>
      <c r="C1057" s="42"/>
      <c r="D1057" s="42"/>
      <c r="E1057" s="28"/>
      <c r="F1057" s="28"/>
      <c r="G1057" s="28"/>
      <c r="H1057" s="28"/>
      <c r="O1057" s="28"/>
    </row>
    <row r="1058">
      <c r="A1058" s="28"/>
      <c r="B1058" s="42"/>
      <c r="C1058" s="42"/>
      <c r="D1058" s="42"/>
      <c r="E1058" s="28"/>
      <c r="F1058" s="28"/>
      <c r="G1058" s="28"/>
      <c r="H1058" s="28"/>
      <c r="O1058" s="28"/>
    </row>
    <row r="1059">
      <c r="A1059" s="28"/>
      <c r="B1059" s="42"/>
      <c r="C1059" s="42"/>
      <c r="D1059" s="42"/>
      <c r="E1059" s="28"/>
      <c r="F1059" s="28"/>
      <c r="G1059" s="28"/>
      <c r="H1059" s="28"/>
      <c r="O1059" s="28"/>
    </row>
    <row r="1060">
      <c r="A1060" s="28"/>
      <c r="B1060" s="42"/>
      <c r="C1060" s="42"/>
      <c r="D1060" s="42"/>
      <c r="E1060" s="28"/>
      <c r="F1060" s="28"/>
      <c r="G1060" s="28"/>
      <c r="H1060" s="28"/>
      <c r="O1060" s="28"/>
    </row>
    <row r="1061">
      <c r="A1061" s="28"/>
      <c r="B1061" s="42"/>
      <c r="C1061" s="42"/>
      <c r="D1061" s="42"/>
      <c r="E1061" s="28"/>
      <c r="F1061" s="28"/>
      <c r="G1061" s="28"/>
      <c r="H1061" s="28"/>
      <c r="O1061" s="28"/>
    </row>
    <row r="1062">
      <c r="A1062" s="28"/>
      <c r="B1062" s="42"/>
      <c r="C1062" s="42"/>
      <c r="D1062" s="42"/>
      <c r="E1062" s="28"/>
      <c r="F1062" s="28"/>
      <c r="G1062" s="28"/>
      <c r="H1062" s="28"/>
      <c r="O1062" s="28"/>
    </row>
    <row r="1063">
      <c r="A1063" s="28"/>
      <c r="B1063" s="42"/>
      <c r="C1063" s="42"/>
      <c r="D1063" s="42"/>
      <c r="E1063" s="28"/>
      <c r="F1063" s="28"/>
      <c r="G1063" s="28"/>
      <c r="H1063" s="28"/>
      <c r="O1063" s="28"/>
    </row>
    <row r="1064">
      <c r="A1064" s="28"/>
      <c r="B1064" s="42"/>
      <c r="C1064" s="42"/>
      <c r="D1064" s="42"/>
      <c r="E1064" s="28"/>
      <c r="F1064" s="28"/>
      <c r="G1064" s="28"/>
      <c r="H1064" s="28"/>
      <c r="O1064" s="28"/>
    </row>
    <row r="1065">
      <c r="A1065" s="28"/>
      <c r="B1065" s="42"/>
      <c r="C1065" s="42"/>
      <c r="D1065" s="42"/>
      <c r="E1065" s="28"/>
      <c r="F1065" s="28"/>
      <c r="G1065" s="28"/>
      <c r="H1065" s="28"/>
      <c r="O1065" s="28"/>
    </row>
    <row r="1066">
      <c r="A1066" s="28"/>
      <c r="B1066" s="42"/>
      <c r="C1066" s="42"/>
      <c r="D1066" s="42"/>
      <c r="E1066" s="28"/>
      <c r="F1066" s="28"/>
      <c r="G1066" s="28"/>
      <c r="H1066" s="28"/>
      <c r="O1066" s="28"/>
    </row>
    <row r="1067">
      <c r="A1067" s="28"/>
      <c r="B1067" s="42"/>
      <c r="C1067" s="42"/>
      <c r="D1067" s="42"/>
      <c r="E1067" s="28"/>
      <c r="F1067" s="28"/>
      <c r="G1067" s="28"/>
      <c r="H1067" s="28"/>
      <c r="O1067" s="28"/>
    </row>
    <row r="1068">
      <c r="A1068" s="28"/>
      <c r="B1068" s="42"/>
      <c r="C1068" s="42"/>
      <c r="D1068" s="42"/>
      <c r="E1068" s="28"/>
      <c r="F1068" s="28"/>
      <c r="G1068" s="28"/>
      <c r="H1068" s="28"/>
      <c r="O1068" s="28"/>
    </row>
    <row r="1069">
      <c r="A1069" s="28"/>
      <c r="B1069" s="42"/>
      <c r="C1069" s="42"/>
      <c r="D1069" s="42"/>
      <c r="E1069" s="28"/>
      <c r="F1069" s="28"/>
      <c r="G1069" s="28"/>
      <c r="H1069" s="28"/>
      <c r="O1069" s="28"/>
    </row>
    <row r="1070">
      <c r="A1070" s="28"/>
      <c r="B1070" s="42"/>
      <c r="C1070" s="42"/>
      <c r="D1070" s="42"/>
      <c r="E1070" s="28"/>
      <c r="F1070" s="28"/>
      <c r="G1070" s="28"/>
      <c r="H1070" s="28"/>
      <c r="O1070" s="28"/>
    </row>
    <row r="1071">
      <c r="A1071" s="28"/>
      <c r="B1071" s="42"/>
      <c r="C1071" s="42"/>
      <c r="D1071" s="42"/>
      <c r="E1071" s="28"/>
      <c r="F1071" s="28"/>
      <c r="G1071" s="28"/>
      <c r="H1071" s="28"/>
      <c r="O1071" s="28"/>
    </row>
    <row r="1072">
      <c r="A1072" s="28"/>
      <c r="B1072" s="42"/>
      <c r="C1072" s="42"/>
      <c r="D1072" s="42"/>
      <c r="E1072" s="28"/>
      <c r="F1072" s="28"/>
      <c r="G1072" s="28"/>
      <c r="H1072" s="28"/>
      <c r="O1072" s="28"/>
    </row>
    <row r="1073">
      <c r="A1073" s="28"/>
      <c r="B1073" s="42"/>
      <c r="C1073" s="42"/>
      <c r="D1073" s="42"/>
      <c r="E1073" s="28"/>
      <c r="F1073" s="28"/>
      <c r="G1073" s="28"/>
      <c r="H1073" s="28"/>
      <c r="O1073" s="28"/>
    </row>
    <row r="1074">
      <c r="A1074" s="28"/>
      <c r="B1074" s="42"/>
      <c r="C1074" s="42"/>
      <c r="D1074" s="42"/>
      <c r="E1074" s="28"/>
      <c r="F1074" s="28"/>
      <c r="G1074" s="28"/>
      <c r="H1074" s="28"/>
      <c r="O1074" s="28"/>
    </row>
    <row r="1075">
      <c r="A1075" s="28"/>
      <c r="B1075" s="42"/>
      <c r="C1075" s="42"/>
      <c r="D1075" s="42"/>
      <c r="E1075" s="28"/>
      <c r="F1075" s="28"/>
      <c r="G1075" s="28"/>
      <c r="H1075" s="28"/>
      <c r="O1075" s="28"/>
    </row>
    <row r="1076">
      <c r="A1076" s="28"/>
      <c r="B1076" s="42"/>
      <c r="C1076" s="42"/>
      <c r="D1076" s="42"/>
      <c r="E1076" s="28"/>
      <c r="F1076" s="28"/>
      <c r="G1076" s="28"/>
      <c r="H1076" s="28"/>
      <c r="O1076" s="28"/>
    </row>
    <row r="1077">
      <c r="A1077" s="28"/>
      <c r="B1077" s="42"/>
      <c r="C1077" s="42"/>
      <c r="D1077" s="42"/>
      <c r="E1077" s="28"/>
      <c r="F1077" s="28"/>
      <c r="G1077" s="28"/>
      <c r="H1077" s="28"/>
      <c r="O1077" s="28"/>
    </row>
    <row r="1078">
      <c r="A1078" s="28"/>
      <c r="B1078" s="42"/>
      <c r="C1078" s="42"/>
      <c r="D1078" s="42"/>
      <c r="E1078" s="28"/>
      <c r="F1078" s="28"/>
      <c r="G1078" s="28"/>
      <c r="H1078" s="28"/>
      <c r="O1078" s="28"/>
    </row>
    <row r="1079">
      <c r="A1079" s="28"/>
      <c r="B1079" s="42"/>
      <c r="C1079" s="42"/>
      <c r="D1079" s="42"/>
      <c r="E1079" s="28"/>
      <c r="F1079" s="28"/>
      <c r="G1079" s="28"/>
      <c r="H1079" s="28"/>
      <c r="O1079" s="28"/>
    </row>
    <row r="1080">
      <c r="A1080" s="28"/>
      <c r="B1080" s="42"/>
      <c r="C1080" s="42"/>
      <c r="D1080" s="42"/>
      <c r="E1080" s="28"/>
      <c r="F1080" s="28"/>
      <c r="G1080" s="28"/>
      <c r="H1080" s="28"/>
      <c r="O1080" s="28"/>
    </row>
    <row r="1081">
      <c r="A1081" s="28"/>
      <c r="B1081" s="42"/>
      <c r="C1081" s="42"/>
      <c r="D1081" s="42"/>
      <c r="E1081" s="28"/>
      <c r="F1081" s="28"/>
      <c r="G1081" s="28"/>
      <c r="H1081" s="28"/>
      <c r="O1081" s="28"/>
    </row>
    <row r="1082">
      <c r="A1082" s="28"/>
      <c r="B1082" s="42"/>
      <c r="C1082" s="42"/>
      <c r="D1082" s="42"/>
      <c r="E1082" s="28"/>
      <c r="F1082" s="28"/>
      <c r="G1082" s="28"/>
      <c r="H1082" s="28"/>
      <c r="O1082" s="28"/>
    </row>
    <row r="1083">
      <c r="A1083" s="28"/>
      <c r="B1083" s="42"/>
      <c r="C1083" s="42"/>
      <c r="D1083" s="42"/>
      <c r="E1083" s="28"/>
      <c r="F1083" s="28"/>
      <c r="G1083" s="28"/>
      <c r="H1083" s="28"/>
      <c r="O1083" s="28"/>
    </row>
    <row r="1084">
      <c r="A1084" s="28"/>
      <c r="B1084" s="42"/>
      <c r="C1084" s="42"/>
      <c r="D1084" s="42"/>
      <c r="E1084" s="28"/>
      <c r="F1084" s="28"/>
      <c r="G1084" s="28"/>
      <c r="H1084" s="28"/>
      <c r="O1084" s="28"/>
    </row>
    <row r="1085">
      <c r="A1085" s="28"/>
      <c r="B1085" s="42"/>
      <c r="C1085" s="42"/>
      <c r="D1085" s="42"/>
      <c r="E1085" s="28"/>
      <c r="F1085" s="28"/>
      <c r="G1085" s="28"/>
      <c r="H1085" s="28"/>
      <c r="O1085" s="28"/>
    </row>
    <row r="1086">
      <c r="A1086" s="28"/>
      <c r="B1086" s="42"/>
      <c r="C1086" s="42"/>
      <c r="D1086" s="42"/>
      <c r="E1086" s="28"/>
      <c r="F1086" s="28"/>
      <c r="G1086" s="28"/>
      <c r="H1086" s="28"/>
      <c r="O1086" s="28"/>
    </row>
    <row r="1087">
      <c r="A1087" s="28"/>
      <c r="B1087" s="42"/>
      <c r="C1087" s="42"/>
      <c r="D1087" s="42"/>
      <c r="E1087" s="28"/>
      <c r="F1087" s="28"/>
      <c r="G1087" s="28"/>
      <c r="H1087" s="28"/>
      <c r="O1087" s="28"/>
    </row>
    <row r="1088">
      <c r="A1088" s="28"/>
      <c r="B1088" s="42"/>
      <c r="C1088" s="42"/>
      <c r="D1088" s="42"/>
      <c r="E1088" s="28"/>
      <c r="F1088" s="28"/>
      <c r="G1088" s="28"/>
      <c r="H1088" s="28"/>
      <c r="O1088" s="28"/>
    </row>
    <row r="1089">
      <c r="A1089" s="28"/>
      <c r="B1089" s="42"/>
      <c r="C1089" s="42"/>
      <c r="D1089" s="42"/>
      <c r="E1089" s="28"/>
      <c r="F1089" s="28"/>
      <c r="G1089" s="28"/>
      <c r="H1089" s="28"/>
      <c r="O1089" s="28"/>
    </row>
    <row r="1090">
      <c r="A1090" s="28"/>
      <c r="B1090" s="42"/>
      <c r="C1090" s="42"/>
      <c r="D1090" s="42"/>
      <c r="E1090" s="28"/>
      <c r="F1090" s="28"/>
      <c r="G1090" s="28"/>
      <c r="H1090" s="28"/>
      <c r="O1090" s="28"/>
    </row>
    <row r="1091">
      <c r="A1091" s="28"/>
      <c r="B1091" s="42"/>
      <c r="C1091" s="42"/>
      <c r="D1091" s="42"/>
      <c r="E1091" s="28"/>
      <c r="F1091" s="28"/>
      <c r="G1091" s="28"/>
      <c r="H1091" s="28"/>
      <c r="O1091" s="28"/>
    </row>
    <row r="1092">
      <c r="A1092" s="28"/>
      <c r="B1092" s="42"/>
      <c r="C1092" s="42"/>
      <c r="D1092" s="42"/>
      <c r="E1092" s="28"/>
      <c r="F1092" s="28"/>
      <c r="G1092" s="28"/>
      <c r="H1092" s="28"/>
      <c r="O1092" s="28"/>
    </row>
    <row r="1093">
      <c r="A1093" s="28"/>
      <c r="B1093" s="42"/>
      <c r="C1093" s="42"/>
      <c r="D1093" s="42"/>
      <c r="E1093" s="28"/>
      <c r="F1093" s="28"/>
      <c r="G1093" s="28"/>
      <c r="H1093" s="28"/>
      <c r="O1093" s="28"/>
    </row>
    <row r="1094">
      <c r="A1094" s="28"/>
      <c r="B1094" s="42"/>
      <c r="C1094" s="42"/>
      <c r="D1094" s="42"/>
      <c r="E1094" s="28"/>
      <c r="F1094" s="28"/>
      <c r="G1094" s="28"/>
      <c r="H1094" s="28"/>
      <c r="O1094" s="28"/>
    </row>
    <row r="1095">
      <c r="A1095" s="28"/>
      <c r="B1095" s="42"/>
      <c r="C1095" s="42"/>
      <c r="D1095" s="42"/>
      <c r="E1095" s="28"/>
      <c r="F1095" s="28"/>
      <c r="G1095" s="28"/>
      <c r="H1095" s="28"/>
      <c r="O1095" s="28"/>
    </row>
    <row r="1096">
      <c r="A1096" s="28"/>
      <c r="B1096" s="42"/>
      <c r="C1096" s="42"/>
      <c r="D1096" s="42"/>
      <c r="E1096" s="28"/>
      <c r="F1096" s="28"/>
      <c r="G1096" s="28"/>
      <c r="H1096" s="28"/>
      <c r="O1096" s="28"/>
    </row>
    <row r="1097">
      <c r="A1097" s="28"/>
      <c r="B1097" s="42"/>
      <c r="C1097" s="42"/>
      <c r="D1097" s="42"/>
      <c r="E1097" s="28"/>
      <c r="F1097" s="28"/>
      <c r="G1097" s="28"/>
      <c r="H1097" s="28"/>
      <c r="O1097" s="28"/>
    </row>
    <row r="1098">
      <c r="A1098" s="28"/>
      <c r="B1098" s="42"/>
      <c r="C1098" s="42"/>
      <c r="D1098" s="42"/>
      <c r="E1098" s="28"/>
      <c r="F1098" s="28"/>
      <c r="G1098" s="28"/>
      <c r="H1098" s="28"/>
      <c r="O1098" s="28"/>
    </row>
    <row r="1099">
      <c r="A1099" s="28"/>
      <c r="B1099" s="42"/>
      <c r="C1099" s="42"/>
      <c r="D1099" s="42"/>
      <c r="E1099" s="28"/>
      <c r="F1099" s="28"/>
      <c r="G1099" s="28"/>
      <c r="H1099" s="28"/>
      <c r="O1099" s="28"/>
    </row>
    <row r="1100">
      <c r="A1100" s="28"/>
      <c r="B1100" s="42"/>
      <c r="C1100" s="42"/>
      <c r="D1100" s="42"/>
      <c r="E1100" s="28"/>
      <c r="F1100" s="28"/>
      <c r="G1100" s="28"/>
      <c r="H1100" s="28"/>
      <c r="O1100" s="28"/>
    </row>
    <row r="1101">
      <c r="A1101" s="28"/>
      <c r="B1101" s="42"/>
      <c r="C1101" s="42"/>
      <c r="D1101" s="42"/>
      <c r="E1101" s="28"/>
      <c r="F1101" s="28"/>
      <c r="G1101" s="28"/>
      <c r="H1101" s="28"/>
      <c r="O1101" s="28"/>
    </row>
    <row r="1102">
      <c r="A1102" s="28"/>
      <c r="B1102" s="42"/>
      <c r="C1102" s="42"/>
      <c r="D1102" s="42"/>
      <c r="E1102" s="28"/>
      <c r="F1102" s="28"/>
      <c r="G1102" s="28"/>
      <c r="H1102" s="28"/>
      <c r="O1102" s="28"/>
    </row>
    <row r="1103">
      <c r="A1103" s="28"/>
      <c r="B1103" s="42"/>
      <c r="C1103" s="42"/>
      <c r="D1103" s="42"/>
      <c r="E1103" s="28"/>
      <c r="F1103" s="28"/>
      <c r="G1103" s="28"/>
      <c r="H1103" s="28"/>
      <c r="O1103" s="28"/>
    </row>
    <row r="1104">
      <c r="A1104" s="28"/>
      <c r="B1104" s="42"/>
      <c r="C1104" s="42"/>
      <c r="D1104" s="42"/>
      <c r="E1104" s="28"/>
      <c r="F1104" s="28"/>
      <c r="G1104" s="28"/>
      <c r="H1104" s="28"/>
      <c r="O1104" s="28"/>
    </row>
    <row r="1105">
      <c r="A1105" s="28"/>
      <c r="B1105" s="42"/>
      <c r="C1105" s="42"/>
      <c r="D1105" s="42"/>
      <c r="E1105" s="28"/>
      <c r="F1105" s="28"/>
      <c r="G1105" s="28"/>
      <c r="H1105" s="28"/>
      <c r="O1105" s="28"/>
    </row>
    <row r="1106">
      <c r="A1106" s="28"/>
      <c r="B1106" s="42"/>
      <c r="C1106" s="42"/>
      <c r="D1106" s="42"/>
      <c r="E1106" s="28"/>
      <c r="F1106" s="28"/>
      <c r="G1106" s="28"/>
      <c r="H1106" s="28"/>
      <c r="O1106" s="28"/>
    </row>
    <row r="1107">
      <c r="A1107" s="28"/>
      <c r="B1107" s="42"/>
      <c r="C1107" s="42"/>
      <c r="D1107" s="42"/>
      <c r="E1107" s="28"/>
      <c r="F1107" s="28"/>
      <c r="G1107" s="28"/>
      <c r="H1107" s="28"/>
      <c r="O1107" s="28"/>
    </row>
    <row r="1108">
      <c r="A1108" s="28"/>
      <c r="B1108" s="42"/>
      <c r="C1108" s="42"/>
      <c r="D1108" s="42"/>
      <c r="E1108" s="28"/>
      <c r="F1108" s="28"/>
      <c r="G1108" s="28"/>
      <c r="H1108" s="28"/>
      <c r="O1108" s="28"/>
    </row>
    <row r="1109">
      <c r="A1109" s="28"/>
      <c r="B1109" s="42"/>
      <c r="C1109" s="42"/>
      <c r="D1109" s="42"/>
      <c r="E1109" s="28"/>
      <c r="F1109" s="28"/>
      <c r="G1109" s="28"/>
      <c r="H1109" s="28"/>
      <c r="O1109" s="28"/>
    </row>
    <row r="1110">
      <c r="A1110" s="28"/>
      <c r="B1110" s="42"/>
      <c r="C1110" s="42"/>
      <c r="D1110" s="42"/>
      <c r="E1110" s="28"/>
      <c r="F1110" s="28"/>
      <c r="G1110" s="28"/>
      <c r="H1110" s="28"/>
      <c r="O1110" s="28"/>
    </row>
    <row r="1111">
      <c r="A1111" s="28"/>
      <c r="B1111" s="42"/>
      <c r="C1111" s="42"/>
      <c r="D1111" s="42"/>
      <c r="E1111" s="28"/>
      <c r="F1111" s="28"/>
      <c r="G1111" s="28"/>
      <c r="H1111" s="28"/>
      <c r="O1111" s="28"/>
    </row>
    <row r="1112">
      <c r="A1112" s="28"/>
      <c r="B1112" s="42"/>
      <c r="C1112" s="42"/>
      <c r="D1112" s="42"/>
      <c r="E1112" s="28"/>
      <c r="F1112" s="28"/>
      <c r="G1112" s="28"/>
      <c r="H1112" s="28"/>
      <c r="O1112" s="28"/>
    </row>
    <row r="1113">
      <c r="A1113" s="28"/>
      <c r="B1113" s="42"/>
      <c r="C1113" s="42"/>
      <c r="D1113" s="42"/>
      <c r="E1113" s="28"/>
      <c r="F1113" s="28"/>
      <c r="G1113" s="28"/>
      <c r="H1113" s="28"/>
      <c r="O1113" s="28"/>
    </row>
    <row r="1114">
      <c r="A1114" s="28"/>
      <c r="B1114" s="42"/>
      <c r="C1114" s="42"/>
      <c r="D1114" s="42"/>
      <c r="E1114" s="28"/>
      <c r="F1114" s="28"/>
      <c r="G1114" s="28"/>
      <c r="H1114" s="28"/>
      <c r="O1114" s="28"/>
    </row>
    <row r="1115">
      <c r="A1115" s="28"/>
      <c r="B1115" s="42"/>
      <c r="C1115" s="42"/>
      <c r="D1115" s="42"/>
      <c r="E1115" s="28"/>
      <c r="F1115" s="28"/>
      <c r="G1115" s="28"/>
      <c r="H1115" s="28"/>
      <c r="O1115" s="28"/>
    </row>
    <row r="1116">
      <c r="A1116" s="28"/>
      <c r="B1116" s="42"/>
      <c r="C1116" s="42"/>
      <c r="D1116" s="42"/>
      <c r="E1116" s="28"/>
      <c r="F1116" s="28"/>
      <c r="G1116" s="28"/>
      <c r="H1116" s="28"/>
      <c r="O1116" s="28"/>
    </row>
    <row r="1117">
      <c r="A1117" s="28"/>
      <c r="B1117" s="42"/>
      <c r="C1117" s="42"/>
      <c r="D1117" s="42"/>
      <c r="E1117" s="28"/>
      <c r="F1117" s="28"/>
      <c r="G1117" s="28"/>
      <c r="H1117" s="28"/>
      <c r="O1117" s="28"/>
    </row>
    <row r="1118">
      <c r="A1118" s="28"/>
      <c r="B1118" s="42"/>
      <c r="C1118" s="42"/>
      <c r="D1118" s="42"/>
      <c r="E1118" s="28"/>
      <c r="F1118" s="28"/>
      <c r="G1118" s="28"/>
      <c r="H1118" s="28"/>
      <c r="O1118" s="28"/>
    </row>
    <row r="1119">
      <c r="A1119" s="28"/>
      <c r="B1119" s="42"/>
      <c r="C1119" s="42"/>
      <c r="D1119" s="42"/>
      <c r="E1119" s="28"/>
      <c r="F1119" s="28"/>
      <c r="G1119" s="28"/>
      <c r="H1119" s="28"/>
      <c r="O1119" s="28"/>
    </row>
    <row r="1120">
      <c r="A1120" s="28"/>
      <c r="B1120" s="42"/>
      <c r="C1120" s="42"/>
      <c r="D1120" s="42"/>
      <c r="E1120" s="28"/>
      <c r="F1120" s="28"/>
      <c r="G1120" s="28"/>
      <c r="H1120" s="28"/>
      <c r="O1120" s="28"/>
    </row>
    <row r="1121">
      <c r="A1121" s="28"/>
      <c r="B1121" s="42"/>
      <c r="C1121" s="42"/>
      <c r="D1121" s="42"/>
      <c r="E1121" s="28"/>
      <c r="F1121" s="28"/>
      <c r="G1121" s="28"/>
      <c r="H1121" s="28"/>
      <c r="O1121" s="28"/>
    </row>
    <row r="1122">
      <c r="A1122" s="28"/>
      <c r="B1122" s="42"/>
      <c r="C1122" s="42"/>
      <c r="D1122" s="42"/>
      <c r="E1122" s="28"/>
      <c r="F1122" s="28"/>
      <c r="G1122" s="28"/>
      <c r="H1122" s="28"/>
      <c r="O1122" s="28"/>
    </row>
    <row r="1123">
      <c r="A1123" s="28"/>
      <c r="B1123" s="42"/>
      <c r="C1123" s="42"/>
      <c r="D1123" s="42"/>
      <c r="E1123" s="28"/>
      <c r="F1123" s="28"/>
      <c r="G1123" s="28"/>
      <c r="H1123" s="28"/>
      <c r="O1123" s="28"/>
    </row>
    <row r="1124">
      <c r="A1124" s="28"/>
      <c r="B1124" s="42"/>
      <c r="C1124" s="42"/>
      <c r="D1124" s="42"/>
      <c r="E1124" s="28"/>
      <c r="F1124" s="28"/>
      <c r="G1124" s="28"/>
      <c r="H1124" s="28"/>
      <c r="O1124" s="28"/>
    </row>
    <row r="1125">
      <c r="A1125" s="28"/>
      <c r="B1125" s="42"/>
      <c r="C1125" s="42"/>
      <c r="D1125" s="42"/>
      <c r="E1125" s="28"/>
      <c r="F1125" s="28"/>
      <c r="G1125" s="28"/>
      <c r="H1125" s="28"/>
      <c r="O1125" s="28"/>
    </row>
    <row r="1126">
      <c r="A1126" s="28"/>
      <c r="B1126" s="42"/>
      <c r="C1126" s="42"/>
      <c r="D1126" s="42"/>
      <c r="E1126" s="28"/>
      <c r="F1126" s="28"/>
      <c r="G1126" s="28"/>
      <c r="H1126" s="28"/>
      <c r="O1126" s="28"/>
    </row>
    <row r="1127">
      <c r="A1127" s="28"/>
      <c r="B1127" s="42"/>
      <c r="C1127" s="42"/>
      <c r="D1127" s="42"/>
      <c r="E1127" s="28"/>
      <c r="F1127" s="28"/>
      <c r="G1127" s="28"/>
      <c r="H1127" s="28"/>
      <c r="O1127" s="28"/>
    </row>
    <row r="1128">
      <c r="A1128" s="28"/>
      <c r="B1128" s="42"/>
      <c r="C1128" s="42"/>
      <c r="D1128" s="42"/>
      <c r="E1128" s="28"/>
      <c r="F1128" s="28"/>
      <c r="G1128" s="28"/>
      <c r="H1128" s="28"/>
      <c r="O1128" s="28"/>
    </row>
    <row r="1129">
      <c r="A1129" s="28"/>
      <c r="B1129" s="42"/>
      <c r="C1129" s="42"/>
      <c r="D1129" s="42"/>
      <c r="E1129" s="28"/>
      <c r="F1129" s="28"/>
      <c r="G1129" s="28"/>
      <c r="H1129" s="28"/>
      <c r="O1129" s="28"/>
    </row>
    <row r="1130">
      <c r="A1130" s="28"/>
      <c r="B1130" s="42"/>
      <c r="C1130" s="42"/>
      <c r="D1130" s="42"/>
      <c r="E1130" s="28"/>
      <c r="F1130" s="28"/>
      <c r="G1130" s="28"/>
      <c r="H1130" s="28"/>
      <c r="O1130" s="28"/>
    </row>
    <row r="1131">
      <c r="A1131" s="28"/>
      <c r="B1131" s="42"/>
      <c r="C1131" s="42"/>
      <c r="D1131" s="42"/>
      <c r="E1131" s="28"/>
      <c r="F1131" s="28"/>
      <c r="G1131" s="28"/>
      <c r="H1131" s="28"/>
      <c r="O1131" s="28"/>
    </row>
    <row r="1132">
      <c r="A1132" s="28"/>
      <c r="B1132" s="42"/>
      <c r="C1132" s="42"/>
      <c r="D1132" s="42"/>
      <c r="E1132" s="28"/>
      <c r="F1132" s="28"/>
      <c r="G1132" s="28"/>
      <c r="H1132" s="28"/>
      <c r="O1132" s="28"/>
    </row>
    <row r="1133">
      <c r="A1133" s="28"/>
      <c r="B1133" s="42"/>
      <c r="C1133" s="42"/>
      <c r="D1133" s="42"/>
      <c r="E1133" s="28"/>
      <c r="F1133" s="28"/>
      <c r="G1133" s="28"/>
      <c r="H1133" s="28"/>
      <c r="O1133" s="28"/>
    </row>
    <row r="1134">
      <c r="A1134" s="28"/>
      <c r="B1134" s="42"/>
      <c r="C1134" s="42"/>
      <c r="D1134" s="42"/>
      <c r="E1134" s="28"/>
      <c r="F1134" s="28"/>
      <c r="G1134" s="28"/>
      <c r="H1134" s="28"/>
      <c r="O1134" s="28"/>
    </row>
    <row r="1135">
      <c r="A1135" s="28"/>
      <c r="B1135" s="42"/>
      <c r="C1135" s="42"/>
      <c r="D1135" s="42"/>
      <c r="E1135" s="28"/>
      <c r="F1135" s="28"/>
      <c r="G1135" s="28"/>
      <c r="H1135" s="28"/>
      <c r="O1135" s="28"/>
    </row>
    <row r="1136">
      <c r="A1136" s="28"/>
      <c r="B1136" s="42"/>
      <c r="C1136" s="42"/>
      <c r="D1136" s="42"/>
      <c r="E1136" s="28"/>
      <c r="F1136" s="28"/>
      <c r="G1136" s="28"/>
      <c r="H1136" s="28"/>
      <c r="O1136" s="28"/>
    </row>
    <row r="1137">
      <c r="A1137" s="28"/>
      <c r="B1137" s="42"/>
      <c r="C1137" s="42"/>
      <c r="D1137" s="42"/>
      <c r="E1137" s="28"/>
      <c r="F1137" s="28"/>
      <c r="G1137" s="28"/>
      <c r="H1137" s="28"/>
      <c r="O1137" s="28"/>
    </row>
    <row r="1138">
      <c r="A1138" s="28"/>
      <c r="B1138" s="42"/>
      <c r="C1138" s="42"/>
      <c r="D1138" s="42"/>
      <c r="E1138" s="28"/>
      <c r="F1138" s="28"/>
      <c r="G1138" s="28"/>
      <c r="H1138" s="28"/>
      <c r="O1138" s="28"/>
    </row>
    <row r="1139">
      <c r="A1139" s="28"/>
      <c r="B1139" s="42"/>
      <c r="C1139" s="42"/>
      <c r="D1139" s="42"/>
      <c r="E1139" s="28"/>
      <c r="F1139" s="28"/>
      <c r="G1139" s="28"/>
      <c r="H1139" s="28"/>
      <c r="O1139" s="28"/>
    </row>
    <row r="1140">
      <c r="A1140" s="28"/>
      <c r="B1140" s="42"/>
      <c r="C1140" s="42"/>
      <c r="D1140" s="42"/>
      <c r="E1140" s="28"/>
      <c r="F1140" s="28"/>
      <c r="G1140" s="28"/>
      <c r="H1140" s="28"/>
      <c r="O1140" s="28"/>
    </row>
    <row r="1141">
      <c r="A1141" s="28"/>
      <c r="B1141" s="42"/>
      <c r="C1141" s="42"/>
      <c r="D1141" s="42"/>
      <c r="E1141" s="28"/>
      <c r="F1141" s="28"/>
      <c r="G1141" s="28"/>
      <c r="H1141" s="28"/>
      <c r="O1141" s="28"/>
    </row>
    <row r="1142">
      <c r="A1142" s="28"/>
      <c r="B1142" s="42"/>
      <c r="C1142" s="42"/>
      <c r="D1142" s="42"/>
      <c r="E1142" s="28"/>
      <c r="F1142" s="28"/>
      <c r="G1142" s="28"/>
      <c r="H1142" s="28"/>
      <c r="O1142" s="28"/>
    </row>
    <row r="1143">
      <c r="A1143" s="28"/>
      <c r="B1143" s="42"/>
      <c r="C1143" s="42"/>
      <c r="D1143" s="42"/>
      <c r="E1143" s="28"/>
      <c r="F1143" s="28"/>
      <c r="G1143" s="28"/>
      <c r="H1143" s="28"/>
      <c r="O1143" s="28"/>
    </row>
    <row r="1144">
      <c r="A1144" s="28"/>
      <c r="B1144" s="42"/>
      <c r="C1144" s="42"/>
      <c r="D1144" s="42"/>
      <c r="E1144" s="28"/>
      <c r="F1144" s="28"/>
      <c r="G1144" s="28"/>
      <c r="H1144" s="28"/>
      <c r="O1144" s="28"/>
    </row>
    <row r="1145">
      <c r="A1145" s="28"/>
      <c r="B1145" s="42"/>
      <c r="C1145" s="42"/>
      <c r="D1145" s="42"/>
      <c r="E1145" s="28"/>
      <c r="F1145" s="28"/>
      <c r="G1145" s="28"/>
      <c r="H1145" s="28"/>
      <c r="O1145" s="28"/>
    </row>
    <row r="1146">
      <c r="A1146" s="28"/>
      <c r="B1146" s="42"/>
      <c r="C1146" s="42"/>
      <c r="D1146" s="42"/>
      <c r="E1146" s="28"/>
      <c r="F1146" s="28"/>
      <c r="G1146" s="28"/>
      <c r="H1146" s="28"/>
      <c r="O1146" s="28"/>
    </row>
    <row r="1147">
      <c r="A1147" s="28"/>
      <c r="B1147" s="42"/>
      <c r="C1147" s="42"/>
      <c r="D1147" s="42"/>
      <c r="E1147" s="28"/>
      <c r="F1147" s="28"/>
      <c r="G1147" s="28"/>
      <c r="H1147" s="28"/>
      <c r="O1147" s="28"/>
    </row>
    <row r="1148">
      <c r="A1148" s="28"/>
      <c r="B1148" s="42"/>
      <c r="C1148" s="42"/>
      <c r="D1148" s="42"/>
      <c r="E1148" s="28"/>
      <c r="F1148" s="28"/>
      <c r="G1148" s="28"/>
      <c r="H1148" s="28"/>
      <c r="O1148" s="28"/>
    </row>
    <row r="1149">
      <c r="A1149" s="28"/>
      <c r="B1149" s="42"/>
      <c r="C1149" s="42"/>
      <c r="D1149" s="42"/>
      <c r="E1149" s="28"/>
      <c r="F1149" s="28"/>
      <c r="G1149" s="28"/>
      <c r="H1149" s="28"/>
      <c r="O1149" s="28"/>
    </row>
    <row r="1150">
      <c r="A1150" s="28"/>
      <c r="B1150" s="42"/>
      <c r="C1150" s="42"/>
      <c r="D1150" s="42"/>
      <c r="E1150" s="28"/>
      <c r="F1150" s="28"/>
      <c r="G1150" s="28"/>
      <c r="H1150" s="28"/>
      <c r="O1150" s="28"/>
    </row>
    <row r="1151">
      <c r="A1151" s="28"/>
      <c r="B1151" s="42"/>
      <c r="C1151" s="42"/>
      <c r="D1151" s="42"/>
      <c r="E1151" s="28"/>
      <c r="F1151" s="28"/>
      <c r="G1151" s="28"/>
      <c r="H1151" s="28"/>
      <c r="O1151" s="28"/>
    </row>
    <row r="1152">
      <c r="A1152" s="28"/>
      <c r="B1152" s="42"/>
      <c r="C1152" s="42"/>
      <c r="D1152" s="42"/>
      <c r="E1152" s="28"/>
      <c r="F1152" s="28"/>
      <c r="G1152" s="28"/>
      <c r="H1152" s="28"/>
      <c r="O1152" s="28"/>
    </row>
    <row r="1153">
      <c r="A1153" s="28"/>
      <c r="B1153" s="42"/>
      <c r="C1153" s="42"/>
      <c r="D1153" s="42"/>
      <c r="E1153" s="28"/>
      <c r="F1153" s="28"/>
      <c r="G1153" s="28"/>
      <c r="H1153" s="28"/>
      <c r="O1153" s="28"/>
    </row>
    <row r="1154">
      <c r="A1154" s="28"/>
      <c r="B1154" s="42"/>
      <c r="C1154" s="42"/>
      <c r="D1154" s="42"/>
      <c r="E1154" s="28"/>
      <c r="F1154" s="28"/>
      <c r="G1154" s="28"/>
      <c r="H1154" s="28"/>
      <c r="O1154" s="28"/>
    </row>
    <row r="1155">
      <c r="A1155" s="28"/>
      <c r="B1155" s="42"/>
      <c r="C1155" s="42"/>
      <c r="D1155" s="42"/>
      <c r="E1155" s="28"/>
      <c r="F1155" s="28"/>
      <c r="G1155" s="28"/>
      <c r="H1155" s="28"/>
      <c r="O1155" s="28"/>
    </row>
    <row r="1156">
      <c r="A1156" s="28"/>
      <c r="B1156" s="42"/>
      <c r="C1156" s="42"/>
      <c r="D1156" s="42"/>
      <c r="E1156" s="28"/>
      <c r="F1156" s="28"/>
      <c r="G1156" s="28"/>
      <c r="H1156" s="28"/>
      <c r="O1156" s="28"/>
    </row>
    <row r="1157">
      <c r="A1157" s="28"/>
      <c r="B1157" s="42"/>
      <c r="C1157" s="42"/>
      <c r="D1157" s="42"/>
      <c r="E1157" s="28"/>
      <c r="F1157" s="28"/>
      <c r="G1157" s="28"/>
      <c r="H1157" s="28"/>
      <c r="O1157" s="28"/>
    </row>
    <row r="1158">
      <c r="A1158" s="28"/>
      <c r="B1158" s="42"/>
      <c r="C1158" s="42"/>
      <c r="D1158" s="42"/>
      <c r="E1158" s="28"/>
      <c r="F1158" s="28"/>
      <c r="G1158" s="28"/>
      <c r="H1158" s="28"/>
      <c r="O1158" s="28"/>
    </row>
    <row r="1159">
      <c r="A1159" s="28"/>
      <c r="B1159" s="42"/>
      <c r="C1159" s="42"/>
      <c r="D1159" s="42"/>
      <c r="E1159" s="28"/>
      <c r="F1159" s="28"/>
      <c r="G1159" s="28"/>
      <c r="H1159" s="28"/>
      <c r="O1159" s="28"/>
    </row>
    <row r="1160">
      <c r="A1160" s="28"/>
      <c r="B1160" s="42"/>
      <c r="C1160" s="42"/>
      <c r="D1160" s="42"/>
      <c r="E1160" s="28"/>
      <c r="F1160" s="28"/>
      <c r="G1160" s="28"/>
      <c r="H1160" s="28"/>
      <c r="O1160" s="28"/>
    </row>
    <row r="1161">
      <c r="A1161" s="28"/>
      <c r="B1161" s="42"/>
      <c r="C1161" s="42"/>
      <c r="D1161" s="42"/>
      <c r="E1161" s="28"/>
      <c r="F1161" s="28"/>
      <c r="G1161" s="28"/>
      <c r="H1161" s="28"/>
      <c r="O1161" s="28"/>
    </row>
    <row r="1162">
      <c r="A1162" s="28"/>
      <c r="B1162" s="42"/>
      <c r="C1162" s="42"/>
      <c r="D1162" s="42"/>
      <c r="E1162" s="28"/>
      <c r="F1162" s="28"/>
      <c r="G1162" s="28"/>
      <c r="H1162" s="28"/>
      <c r="O1162" s="28"/>
    </row>
    <row r="1163">
      <c r="A1163" s="28"/>
      <c r="B1163" s="42"/>
      <c r="C1163" s="42"/>
      <c r="D1163" s="42"/>
      <c r="E1163" s="28"/>
      <c r="F1163" s="28"/>
      <c r="G1163" s="28"/>
      <c r="H1163" s="28"/>
      <c r="O1163" s="28"/>
    </row>
    <row r="1164">
      <c r="A1164" s="28"/>
      <c r="B1164" s="42"/>
      <c r="C1164" s="42"/>
      <c r="D1164" s="42"/>
      <c r="E1164" s="28"/>
      <c r="F1164" s="28"/>
      <c r="G1164" s="28"/>
      <c r="H1164" s="28"/>
      <c r="O1164" s="28"/>
    </row>
    <row r="1165">
      <c r="A1165" s="28"/>
      <c r="B1165" s="42"/>
      <c r="C1165" s="42"/>
      <c r="D1165" s="42"/>
      <c r="E1165" s="28"/>
      <c r="F1165" s="28"/>
      <c r="G1165" s="28"/>
      <c r="H1165" s="28"/>
      <c r="O1165" s="28"/>
    </row>
    <row r="1166">
      <c r="A1166" s="28"/>
      <c r="B1166" s="42"/>
      <c r="C1166" s="42"/>
      <c r="D1166" s="42"/>
      <c r="E1166" s="28"/>
      <c r="F1166" s="28"/>
      <c r="G1166" s="28"/>
      <c r="H1166" s="28"/>
      <c r="O1166" s="28"/>
    </row>
    <row r="1167">
      <c r="A1167" s="28"/>
      <c r="B1167" s="42"/>
      <c r="C1167" s="42"/>
      <c r="D1167" s="42"/>
      <c r="E1167" s="28"/>
      <c r="F1167" s="28"/>
      <c r="G1167" s="28"/>
      <c r="H1167" s="28"/>
      <c r="O1167" s="28"/>
    </row>
    <row r="1168">
      <c r="B1168" s="42"/>
      <c r="C1168" s="42"/>
      <c r="D1168" s="42"/>
    </row>
    <row r="1169">
      <c r="B1169" s="42"/>
      <c r="C1169" s="42"/>
      <c r="D1169" s="42"/>
    </row>
    <row r="1170">
      <c r="B1170" s="42"/>
      <c r="C1170" s="42"/>
      <c r="D1170" s="42"/>
    </row>
    <row r="1171">
      <c r="B1171" s="42"/>
      <c r="C1171" s="42"/>
      <c r="D1171" s="42"/>
    </row>
    <row r="1172">
      <c r="B1172" s="42"/>
      <c r="C1172" s="42"/>
      <c r="D1172" s="42"/>
    </row>
    <row r="1173">
      <c r="B1173" s="42"/>
      <c r="C1173" s="42"/>
      <c r="D1173" s="42"/>
    </row>
    <row r="1174">
      <c r="B1174" s="42"/>
      <c r="C1174" s="42"/>
      <c r="D1174" s="42"/>
    </row>
    <row r="1175">
      <c r="B1175" s="42"/>
      <c r="C1175" s="42"/>
      <c r="D1175" s="42"/>
    </row>
    <row r="1176">
      <c r="B1176" s="42"/>
      <c r="C1176" s="42"/>
      <c r="D1176" s="42"/>
    </row>
    <row r="1177">
      <c r="B1177" s="42"/>
      <c r="C1177" s="42"/>
      <c r="D1177" s="42"/>
    </row>
    <row r="1178">
      <c r="B1178" s="42"/>
      <c r="C1178" s="42"/>
      <c r="D1178" s="42"/>
    </row>
    <row r="1179">
      <c r="B1179" s="42"/>
      <c r="C1179" s="42"/>
      <c r="D1179" s="42"/>
    </row>
    <row r="1180">
      <c r="B1180" s="42"/>
      <c r="C1180" s="42"/>
      <c r="D1180" s="42"/>
    </row>
    <row r="1181">
      <c r="B1181" s="42"/>
      <c r="C1181" s="42"/>
      <c r="D1181" s="42"/>
    </row>
    <row r="1182">
      <c r="B1182" s="42"/>
      <c r="C1182" s="42"/>
      <c r="D1182" s="42"/>
    </row>
    <row r="1183">
      <c r="B1183" s="42"/>
      <c r="C1183" s="42"/>
      <c r="D1183" s="42"/>
    </row>
    <row r="1184">
      <c r="B1184" s="42"/>
      <c r="C1184" s="42"/>
      <c r="D1184" s="42"/>
    </row>
    <row r="1185">
      <c r="B1185" s="42"/>
      <c r="C1185" s="42"/>
      <c r="D1185" s="42"/>
    </row>
    <row r="1186">
      <c r="B1186" s="42"/>
      <c r="C1186" s="42"/>
      <c r="D1186" s="42"/>
    </row>
    <row r="1187">
      <c r="B1187" s="42"/>
      <c r="C1187" s="42"/>
      <c r="D1187" s="42"/>
    </row>
    <row r="1188">
      <c r="B1188" s="42"/>
      <c r="C1188" s="42"/>
      <c r="D1188" s="42"/>
    </row>
    <row r="1189">
      <c r="B1189" s="42"/>
      <c r="C1189" s="42"/>
      <c r="D1189" s="42"/>
    </row>
    <row r="1190">
      <c r="B1190" s="42"/>
      <c r="C1190" s="42"/>
      <c r="D1190" s="42"/>
    </row>
    <row r="1191">
      <c r="B1191" s="42"/>
      <c r="C1191" s="42"/>
      <c r="D1191" s="42"/>
    </row>
    <row r="1192">
      <c r="B1192" s="42"/>
      <c r="C1192" s="42"/>
      <c r="D1192" s="42"/>
    </row>
    <row r="1193">
      <c r="B1193" s="42"/>
      <c r="C1193" s="42"/>
      <c r="D1193" s="42"/>
    </row>
    <row r="1194">
      <c r="B1194" s="42"/>
      <c r="C1194" s="42"/>
      <c r="D1194" s="42"/>
    </row>
    <row r="1195">
      <c r="B1195" s="42"/>
      <c r="C1195" s="42"/>
      <c r="D1195" s="42"/>
    </row>
    <row r="1196">
      <c r="B1196" s="42"/>
      <c r="C1196" s="42"/>
      <c r="D1196" s="42"/>
    </row>
    <row r="1197">
      <c r="B1197" s="42"/>
      <c r="C1197" s="42"/>
      <c r="D1197" s="42"/>
    </row>
    <row r="1198">
      <c r="B1198" s="42"/>
      <c r="C1198" s="42"/>
      <c r="D1198" s="42"/>
    </row>
    <row r="1199">
      <c r="B1199" s="42"/>
      <c r="C1199" s="42"/>
      <c r="D1199" s="42"/>
    </row>
    <row r="1200">
      <c r="B1200" s="42"/>
      <c r="C1200" s="42"/>
      <c r="D1200" s="42"/>
    </row>
    <row r="1201">
      <c r="B1201" s="42"/>
      <c r="C1201" s="42"/>
      <c r="D1201" s="42"/>
    </row>
    <row r="1202">
      <c r="B1202" s="42"/>
      <c r="C1202" s="42"/>
      <c r="D1202" s="42"/>
    </row>
    <row r="1203">
      <c r="B1203" s="42"/>
      <c r="C1203" s="42"/>
      <c r="D1203" s="42"/>
    </row>
    <row r="1204">
      <c r="B1204" s="42"/>
      <c r="C1204" s="42"/>
      <c r="D1204" s="42"/>
    </row>
    <row r="1205">
      <c r="B1205" s="42"/>
      <c r="C1205" s="42"/>
      <c r="D1205" s="42"/>
    </row>
    <row r="1206">
      <c r="B1206" s="42"/>
      <c r="C1206" s="42"/>
      <c r="D1206" s="42"/>
    </row>
    <row r="1207">
      <c r="B1207" s="42"/>
      <c r="C1207" s="42"/>
      <c r="D1207" s="42"/>
    </row>
    <row r="1208">
      <c r="B1208" s="42"/>
      <c r="C1208" s="42"/>
      <c r="D1208" s="42"/>
    </row>
    <row r="1209">
      <c r="B1209" s="42"/>
      <c r="C1209" s="42"/>
      <c r="D1209" s="42"/>
    </row>
    <row r="1210">
      <c r="B1210" s="42"/>
      <c r="C1210" s="42"/>
      <c r="D1210" s="42"/>
    </row>
    <row r="1211">
      <c r="B1211" s="42"/>
      <c r="C1211" s="42"/>
      <c r="D1211" s="42"/>
    </row>
    <row r="1212">
      <c r="B1212" s="42"/>
      <c r="C1212" s="42"/>
      <c r="D1212" s="42"/>
    </row>
    <row r="1213">
      <c r="B1213" s="42"/>
      <c r="C1213" s="42"/>
      <c r="D1213" s="42"/>
    </row>
    <row r="1214">
      <c r="B1214" s="42"/>
      <c r="C1214" s="42"/>
      <c r="D1214" s="42"/>
    </row>
    <row r="1215">
      <c r="B1215" s="42"/>
      <c r="C1215" s="42"/>
      <c r="D1215" s="42"/>
    </row>
    <row r="1216">
      <c r="B1216" s="42"/>
      <c r="C1216" s="42"/>
      <c r="D1216" s="42"/>
    </row>
    <row r="1217">
      <c r="B1217" s="42"/>
      <c r="C1217" s="42"/>
      <c r="D1217" s="42"/>
    </row>
    <row r="1218">
      <c r="B1218" s="42"/>
      <c r="C1218" s="42"/>
      <c r="D1218" s="42"/>
    </row>
    <row r="1219">
      <c r="B1219" s="42"/>
      <c r="C1219" s="42"/>
      <c r="D1219" s="42"/>
    </row>
    <row r="1220">
      <c r="B1220" s="42"/>
      <c r="C1220" s="42"/>
      <c r="D1220" s="42"/>
    </row>
    <row r="1221">
      <c r="B1221" s="42"/>
      <c r="C1221" s="42"/>
      <c r="D1221" s="42"/>
    </row>
    <row r="1222">
      <c r="B1222" s="42"/>
      <c r="C1222" s="42"/>
      <c r="D1222" s="42"/>
    </row>
    <row r="1223">
      <c r="B1223" s="42"/>
      <c r="C1223" s="42"/>
      <c r="D1223" s="42"/>
    </row>
    <row r="1224">
      <c r="B1224" s="42"/>
      <c r="C1224" s="42"/>
      <c r="D1224" s="42"/>
    </row>
    <row r="1225">
      <c r="B1225" s="42"/>
      <c r="C1225" s="42"/>
      <c r="D1225" s="42"/>
    </row>
    <row r="1226">
      <c r="B1226" s="42"/>
      <c r="C1226" s="42"/>
      <c r="D1226" s="42"/>
    </row>
    <row r="1227">
      <c r="B1227" s="42"/>
      <c r="C1227" s="42"/>
      <c r="D1227" s="42"/>
    </row>
    <row r="1228">
      <c r="B1228" s="42"/>
      <c r="C1228" s="42"/>
      <c r="D1228" s="42"/>
    </row>
    <row r="1229">
      <c r="B1229" s="42"/>
      <c r="C1229" s="42"/>
      <c r="D1229" s="42"/>
    </row>
    <row r="1230">
      <c r="B1230" s="42"/>
      <c r="C1230" s="42"/>
      <c r="D1230" s="42"/>
    </row>
    <row r="1231">
      <c r="B1231" s="42"/>
      <c r="C1231" s="42"/>
      <c r="D1231" s="42"/>
    </row>
    <row r="1232">
      <c r="B1232" s="42"/>
      <c r="C1232" s="42"/>
      <c r="D1232" s="42"/>
    </row>
    <row r="1233">
      <c r="B1233" s="42"/>
      <c r="C1233" s="42"/>
      <c r="D1233" s="42"/>
    </row>
    <row r="1234">
      <c r="B1234" s="42"/>
      <c r="C1234" s="42"/>
      <c r="D1234" s="42"/>
    </row>
    <row r="1235">
      <c r="B1235" s="42"/>
      <c r="C1235" s="42"/>
      <c r="D1235" s="42"/>
    </row>
    <row r="1236">
      <c r="B1236" s="42"/>
      <c r="C1236" s="42"/>
      <c r="D1236" s="42"/>
    </row>
    <row r="1237">
      <c r="B1237" s="42"/>
      <c r="C1237" s="42"/>
      <c r="D1237" s="42"/>
    </row>
    <row r="1238">
      <c r="B1238" s="42"/>
      <c r="C1238" s="42"/>
      <c r="D1238" s="42"/>
    </row>
    <row r="1239">
      <c r="B1239" s="42"/>
      <c r="C1239" s="42"/>
      <c r="D1239" s="42"/>
    </row>
    <row r="1240">
      <c r="B1240" s="42"/>
      <c r="C1240" s="42"/>
      <c r="D1240" s="42"/>
    </row>
    <row r="1241">
      <c r="B1241" s="42"/>
      <c r="C1241" s="42"/>
      <c r="D1241" s="42"/>
    </row>
    <row r="1242">
      <c r="B1242" s="42"/>
      <c r="C1242" s="42"/>
      <c r="D1242" s="42"/>
    </row>
    <row r="1243">
      <c r="B1243" s="42"/>
      <c r="C1243" s="42"/>
      <c r="D1243" s="42"/>
    </row>
    <row r="1244">
      <c r="B1244" s="42"/>
      <c r="C1244" s="42"/>
      <c r="D1244" s="42"/>
    </row>
    <row r="1245">
      <c r="B1245" s="42"/>
      <c r="C1245" s="42"/>
      <c r="D1245" s="42"/>
    </row>
    <row r="1246">
      <c r="B1246" s="42"/>
      <c r="C1246" s="42"/>
      <c r="D1246" s="42"/>
    </row>
    <row r="1247">
      <c r="B1247" s="42"/>
      <c r="C1247" s="42"/>
      <c r="D1247" s="42"/>
    </row>
    <row r="1248">
      <c r="B1248" s="42"/>
      <c r="C1248" s="42"/>
      <c r="D1248" s="42"/>
    </row>
    <row r="1249">
      <c r="B1249" s="42"/>
      <c r="C1249" s="42"/>
      <c r="D1249" s="42"/>
    </row>
    <row r="1250">
      <c r="B1250" s="42"/>
      <c r="C1250" s="42"/>
      <c r="D1250" s="42"/>
    </row>
    <row r="1251">
      <c r="B1251" s="42"/>
      <c r="C1251" s="42"/>
      <c r="D1251" s="42"/>
    </row>
    <row r="1252">
      <c r="B1252" s="42"/>
      <c r="C1252" s="42"/>
      <c r="D1252" s="42"/>
    </row>
    <row r="1253">
      <c r="B1253" s="42"/>
      <c r="C1253" s="42"/>
      <c r="D1253" s="42"/>
    </row>
    <row r="1254">
      <c r="B1254" s="42"/>
      <c r="C1254" s="42"/>
      <c r="D1254" s="42"/>
    </row>
    <row r="1255">
      <c r="B1255" s="42"/>
      <c r="C1255" s="42"/>
      <c r="D1255" s="42"/>
    </row>
    <row r="1256">
      <c r="B1256" s="42"/>
      <c r="C1256" s="42"/>
      <c r="D1256" s="42"/>
    </row>
    <row r="1257">
      <c r="B1257" s="42"/>
      <c r="C1257" s="42"/>
      <c r="D1257" s="42"/>
    </row>
    <row r="1258">
      <c r="B1258" s="42"/>
      <c r="C1258" s="42"/>
      <c r="D1258" s="42"/>
    </row>
    <row r="1259">
      <c r="B1259" s="42"/>
      <c r="C1259" s="42"/>
      <c r="D1259" s="42"/>
    </row>
    <row r="1260">
      <c r="B1260" s="42"/>
      <c r="C1260" s="42"/>
      <c r="D1260" s="42"/>
    </row>
    <row r="1261">
      <c r="B1261" s="42"/>
      <c r="C1261" s="42"/>
      <c r="D1261" s="42"/>
    </row>
    <row r="1262">
      <c r="B1262" s="42"/>
      <c r="C1262" s="42"/>
      <c r="D1262" s="42"/>
    </row>
    <row r="1263">
      <c r="B1263" s="42"/>
      <c r="C1263" s="42"/>
      <c r="D1263" s="42"/>
    </row>
    <row r="1264">
      <c r="B1264" s="42"/>
      <c r="C1264" s="42"/>
      <c r="D1264" s="42"/>
    </row>
    <row r="1265">
      <c r="B1265" s="42"/>
      <c r="C1265" s="42"/>
      <c r="D1265" s="42"/>
    </row>
    <row r="1266">
      <c r="B1266" s="42"/>
      <c r="C1266" s="42"/>
      <c r="D1266" s="42"/>
    </row>
    <row r="1267">
      <c r="B1267" s="42"/>
      <c r="C1267" s="42"/>
      <c r="D1267" s="42"/>
    </row>
    <row r="1268">
      <c r="B1268" s="42"/>
      <c r="C1268" s="42"/>
      <c r="D1268" s="42"/>
    </row>
    <row r="1269">
      <c r="B1269" s="42"/>
      <c r="C1269" s="42"/>
      <c r="D1269" s="42"/>
    </row>
    <row r="1270">
      <c r="B1270" s="42"/>
      <c r="C1270" s="42"/>
      <c r="D1270" s="42"/>
    </row>
    <row r="1271">
      <c r="B1271" s="42"/>
      <c r="C1271" s="42"/>
      <c r="D1271" s="42"/>
    </row>
    <row r="1272">
      <c r="B1272" s="42"/>
      <c r="C1272" s="42"/>
      <c r="D1272" s="42"/>
    </row>
    <row r="1273">
      <c r="B1273" s="42"/>
      <c r="C1273" s="42"/>
      <c r="D1273" s="42"/>
    </row>
    <row r="1274">
      <c r="B1274" s="42"/>
      <c r="C1274" s="42"/>
      <c r="D1274" s="42"/>
    </row>
    <row r="1275">
      <c r="B1275" s="42"/>
      <c r="C1275" s="42"/>
      <c r="D1275" s="42"/>
    </row>
    <row r="1276">
      <c r="B1276" s="42"/>
      <c r="C1276" s="42"/>
      <c r="D1276" s="42"/>
    </row>
    <row r="1277">
      <c r="B1277" s="42"/>
      <c r="C1277" s="42"/>
      <c r="D1277" s="42"/>
    </row>
    <row r="1278">
      <c r="B1278" s="42"/>
      <c r="C1278" s="42"/>
      <c r="D1278" s="42"/>
    </row>
    <row r="1279">
      <c r="B1279" s="42"/>
      <c r="C1279" s="42"/>
      <c r="D1279" s="42"/>
    </row>
    <row r="1280">
      <c r="B1280" s="42"/>
      <c r="C1280" s="42"/>
      <c r="D1280" s="42"/>
    </row>
    <row r="1281">
      <c r="B1281" s="42"/>
      <c r="C1281" s="42"/>
      <c r="D1281" s="42"/>
    </row>
    <row r="1282">
      <c r="B1282" s="42"/>
      <c r="C1282" s="42"/>
      <c r="D1282" s="42"/>
    </row>
    <row r="1283">
      <c r="B1283" s="42"/>
      <c r="C1283" s="42"/>
      <c r="D1283" s="42"/>
    </row>
    <row r="1284">
      <c r="B1284" s="42"/>
      <c r="C1284" s="42"/>
      <c r="D1284" s="42"/>
    </row>
    <row r="1285">
      <c r="B1285" s="42"/>
      <c r="C1285" s="42"/>
      <c r="D1285" s="42"/>
    </row>
    <row r="1286">
      <c r="B1286" s="42"/>
      <c r="C1286" s="42"/>
      <c r="D1286" s="42"/>
    </row>
    <row r="1287">
      <c r="B1287" s="42"/>
      <c r="C1287" s="42"/>
      <c r="D1287" s="42"/>
    </row>
    <row r="1288">
      <c r="B1288" s="42"/>
      <c r="C1288" s="42"/>
      <c r="D1288" s="42"/>
    </row>
    <row r="1289">
      <c r="B1289" s="42"/>
      <c r="C1289" s="42"/>
      <c r="D1289" s="42"/>
    </row>
    <row r="1290">
      <c r="B1290" s="42"/>
      <c r="C1290" s="42"/>
      <c r="D1290" s="42"/>
    </row>
    <row r="1291">
      <c r="B1291" s="42"/>
      <c r="C1291" s="42"/>
      <c r="D1291" s="42"/>
    </row>
    <row r="1292">
      <c r="B1292" s="42"/>
      <c r="C1292" s="42"/>
      <c r="D1292" s="42"/>
    </row>
    <row r="1293">
      <c r="B1293" s="42"/>
      <c r="C1293" s="42"/>
      <c r="D1293" s="42"/>
    </row>
    <row r="1294">
      <c r="B1294" s="42"/>
      <c r="C1294" s="42"/>
      <c r="D1294" s="42"/>
    </row>
    <row r="1295">
      <c r="B1295" s="42"/>
      <c r="C1295" s="42"/>
      <c r="D1295" s="42"/>
    </row>
    <row r="1296">
      <c r="B1296" s="42"/>
      <c r="C1296" s="42"/>
      <c r="D1296" s="42"/>
    </row>
    <row r="1297">
      <c r="B1297" s="42"/>
      <c r="C1297" s="42"/>
      <c r="D1297" s="42"/>
    </row>
    <row r="1298">
      <c r="B1298" s="42"/>
      <c r="C1298" s="42"/>
      <c r="D1298" s="42"/>
    </row>
    <row r="1299">
      <c r="B1299" s="42"/>
      <c r="C1299" s="42"/>
      <c r="D1299" s="42"/>
    </row>
    <row r="1300">
      <c r="B1300" s="42"/>
      <c r="C1300" s="42"/>
      <c r="D1300" s="42"/>
    </row>
    <row r="1301">
      <c r="B1301" s="42"/>
      <c r="C1301" s="42"/>
      <c r="D1301" s="42"/>
    </row>
    <row r="1302">
      <c r="B1302" s="42"/>
      <c r="C1302" s="42"/>
      <c r="D1302" s="42"/>
    </row>
    <row r="1303">
      <c r="B1303" s="42"/>
      <c r="C1303" s="42"/>
      <c r="D1303" s="42"/>
    </row>
    <row r="1304">
      <c r="B1304" s="42"/>
      <c r="C1304" s="42"/>
      <c r="D1304" s="42"/>
    </row>
    <row r="1305">
      <c r="B1305" s="42"/>
      <c r="C1305" s="42"/>
      <c r="D1305" s="42"/>
    </row>
    <row r="1306">
      <c r="B1306" s="42"/>
      <c r="C1306" s="42"/>
      <c r="D1306" s="42"/>
    </row>
    <row r="1307">
      <c r="B1307" s="42"/>
      <c r="C1307" s="42"/>
      <c r="D1307" s="42"/>
    </row>
    <row r="1308">
      <c r="B1308" s="42"/>
      <c r="C1308" s="42"/>
      <c r="D1308" s="42"/>
    </row>
    <row r="1309">
      <c r="B1309" s="42"/>
      <c r="C1309" s="42"/>
      <c r="D1309" s="42"/>
    </row>
    <row r="1310">
      <c r="B1310" s="42"/>
      <c r="C1310" s="42"/>
      <c r="D1310" s="42"/>
    </row>
    <row r="1311">
      <c r="B1311" s="42"/>
      <c r="C1311" s="42"/>
      <c r="D1311" s="42"/>
    </row>
    <row r="1312">
      <c r="B1312" s="42"/>
      <c r="C1312" s="42"/>
      <c r="D1312" s="42"/>
    </row>
    <row r="1313">
      <c r="B1313" s="42"/>
      <c r="C1313" s="42"/>
      <c r="D1313" s="42"/>
    </row>
    <row r="1314">
      <c r="B1314" s="42"/>
      <c r="C1314" s="42"/>
      <c r="D1314" s="42"/>
    </row>
    <row r="1315">
      <c r="B1315" s="42"/>
      <c r="C1315" s="42"/>
      <c r="D1315" s="42"/>
    </row>
    <row r="1316">
      <c r="B1316" s="42"/>
      <c r="C1316" s="42"/>
      <c r="D1316" s="42"/>
    </row>
    <row r="1317">
      <c r="B1317" s="42"/>
      <c r="C1317" s="42"/>
      <c r="D1317" s="42"/>
    </row>
    <row r="1318">
      <c r="B1318" s="42"/>
      <c r="C1318" s="42"/>
      <c r="D1318" s="42"/>
    </row>
    <row r="1319">
      <c r="B1319" s="42"/>
      <c r="C1319" s="42"/>
      <c r="D1319" s="42"/>
    </row>
    <row r="1320">
      <c r="B1320" s="42"/>
      <c r="C1320" s="42"/>
      <c r="D1320" s="42"/>
    </row>
    <row r="1321">
      <c r="B1321" s="42"/>
      <c r="C1321" s="42"/>
      <c r="D1321" s="42"/>
    </row>
    <row r="1322">
      <c r="B1322" s="42"/>
      <c r="C1322" s="42"/>
      <c r="D1322" s="42"/>
    </row>
    <row r="1323">
      <c r="B1323" s="42"/>
      <c r="C1323" s="42"/>
      <c r="D1323" s="42"/>
    </row>
    <row r="1324">
      <c r="B1324" s="42"/>
      <c r="C1324" s="42"/>
      <c r="D1324" s="42"/>
    </row>
    <row r="1325">
      <c r="B1325" s="42"/>
      <c r="C1325" s="42"/>
      <c r="D1325" s="42"/>
    </row>
    <row r="1326">
      <c r="B1326" s="42"/>
      <c r="C1326" s="42"/>
      <c r="D1326" s="42"/>
    </row>
    <row r="1327">
      <c r="B1327" s="42"/>
      <c r="C1327" s="42"/>
      <c r="D1327" s="42"/>
    </row>
    <row r="1328">
      <c r="B1328" s="42"/>
      <c r="C1328" s="42"/>
      <c r="D1328" s="42"/>
    </row>
    <row r="1329">
      <c r="B1329" s="42"/>
      <c r="C1329" s="42"/>
      <c r="D1329" s="42"/>
    </row>
    <row r="1330">
      <c r="B1330" s="42"/>
      <c r="C1330" s="42"/>
      <c r="D1330" s="42"/>
    </row>
    <row r="1331">
      <c r="B1331" s="42"/>
      <c r="C1331" s="42"/>
      <c r="D1331" s="42"/>
    </row>
    <row r="1332">
      <c r="B1332" s="42"/>
      <c r="C1332" s="42"/>
      <c r="D1332" s="42"/>
    </row>
    <row r="1333">
      <c r="B1333" s="42"/>
      <c r="C1333" s="42"/>
      <c r="D1333" s="42"/>
    </row>
    <row r="1334">
      <c r="B1334" s="42"/>
      <c r="C1334" s="42"/>
      <c r="D1334" s="42"/>
    </row>
    <row r="1335">
      <c r="B1335" s="42"/>
      <c r="C1335" s="42"/>
      <c r="D1335" s="42"/>
    </row>
    <row r="1336">
      <c r="B1336" s="42"/>
      <c r="C1336" s="42"/>
      <c r="D1336" s="42"/>
    </row>
    <row r="1337">
      <c r="B1337" s="42"/>
      <c r="C1337" s="42"/>
      <c r="D1337" s="42"/>
    </row>
    <row r="1338">
      <c r="B1338" s="42"/>
      <c r="C1338" s="42"/>
      <c r="D1338" s="42"/>
    </row>
    <row r="1339">
      <c r="B1339" s="42"/>
      <c r="C1339" s="42"/>
      <c r="D1339" s="42"/>
    </row>
    <row r="1340">
      <c r="B1340" s="42"/>
      <c r="C1340" s="42"/>
      <c r="D1340" s="42"/>
    </row>
    <row r="1341">
      <c r="B1341" s="42"/>
      <c r="C1341" s="42"/>
      <c r="D1341" s="42"/>
    </row>
    <row r="1342">
      <c r="B1342" s="42"/>
      <c r="C1342" s="42"/>
      <c r="D1342" s="42"/>
    </row>
    <row r="1343">
      <c r="B1343" s="42"/>
      <c r="C1343" s="42"/>
      <c r="D1343" s="42"/>
    </row>
    <row r="1344">
      <c r="B1344" s="42"/>
      <c r="C1344" s="42"/>
      <c r="D1344" s="42"/>
    </row>
    <row r="1345">
      <c r="B1345" s="42"/>
      <c r="C1345" s="42"/>
      <c r="D1345" s="42"/>
    </row>
    <row r="1346">
      <c r="B1346" s="42"/>
      <c r="C1346" s="42"/>
      <c r="D1346" s="42"/>
    </row>
    <row r="1347">
      <c r="B1347" s="42"/>
      <c r="C1347" s="42"/>
      <c r="D1347" s="42"/>
    </row>
    <row r="1348">
      <c r="B1348" s="42"/>
      <c r="C1348" s="42"/>
      <c r="D1348" s="42"/>
    </row>
    <row r="1349">
      <c r="B1349" s="42"/>
      <c r="C1349" s="42"/>
      <c r="D1349" s="42"/>
    </row>
    <row r="1350">
      <c r="B1350" s="42"/>
      <c r="C1350" s="42"/>
      <c r="D1350" s="42"/>
    </row>
    <row r="1351">
      <c r="B1351" s="42"/>
      <c r="C1351" s="42"/>
      <c r="D1351" s="42"/>
    </row>
    <row r="1352">
      <c r="B1352" s="42"/>
      <c r="C1352" s="42"/>
      <c r="D1352" s="42"/>
    </row>
    <row r="1353">
      <c r="B1353" s="42"/>
      <c r="C1353" s="42"/>
      <c r="D1353" s="42"/>
    </row>
    <row r="1354">
      <c r="B1354" s="42"/>
      <c r="C1354" s="42"/>
      <c r="D1354" s="42"/>
    </row>
    <row r="1355">
      <c r="B1355" s="42"/>
      <c r="C1355" s="42"/>
      <c r="D1355" s="42"/>
    </row>
    <row r="1356">
      <c r="B1356" s="42"/>
      <c r="C1356" s="42"/>
      <c r="D1356" s="42"/>
    </row>
    <row r="1357">
      <c r="B1357" s="42"/>
      <c r="C1357" s="42"/>
      <c r="D1357" s="42"/>
    </row>
    <row r="1358">
      <c r="B1358" s="42"/>
      <c r="C1358" s="42"/>
      <c r="D1358" s="42"/>
    </row>
    <row r="1359">
      <c r="B1359" s="42"/>
      <c r="C1359" s="42"/>
      <c r="D1359" s="42"/>
    </row>
    <row r="1360">
      <c r="B1360" s="42"/>
      <c r="C1360" s="42"/>
      <c r="D1360" s="42"/>
    </row>
    <row r="1361">
      <c r="B1361" s="42"/>
      <c r="C1361" s="42"/>
      <c r="D1361" s="42"/>
    </row>
    <row r="1362">
      <c r="B1362" s="42"/>
      <c r="C1362" s="42"/>
      <c r="D1362" s="42"/>
    </row>
    <row r="1363">
      <c r="B1363" s="42"/>
      <c r="C1363" s="42"/>
      <c r="D1363" s="42"/>
    </row>
    <row r="1364">
      <c r="B1364" s="42"/>
      <c r="C1364" s="42"/>
      <c r="D1364" s="42"/>
    </row>
    <row r="1365">
      <c r="B1365" s="42"/>
      <c r="C1365" s="42"/>
      <c r="D1365" s="42"/>
    </row>
    <row r="1366">
      <c r="B1366" s="42"/>
      <c r="C1366" s="42"/>
      <c r="D1366" s="42"/>
    </row>
    <row r="1367">
      <c r="B1367" s="42"/>
      <c r="C1367" s="42"/>
      <c r="D1367" s="42"/>
    </row>
    <row r="1368">
      <c r="B1368" s="42"/>
      <c r="C1368" s="42"/>
      <c r="D1368" s="42"/>
    </row>
    <row r="1369">
      <c r="B1369" s="42"/>
      <c r="C1369" s="42"/>
      <c r="D1369" s="42"/>
    </row>
    <row r="1370">
      <c r="B1370" s="42"/>
      <c r="C1370" s="42"/>
      <c r="D1370" s="42"/>
    </row>
    <row r="1371">
      <c r="B1371" s="42"/>
      <c r="C1371" s="42"/>
      <c r="D1371" s="42"/>
    </row>
    <row r="1372">
      <c r="B1372" s="42"/>
      <c r="C1372" s="42"/>
      <c r="D1372" s="42"/>
    </row>
    <row r="1373">
      <c r="B1373" s="42"/>
      <c r="C1373" s="42"/>
      <c r="D1373" s="42"/>
    </row>
    <row r="1374">
      <c r="B1374" s="42"/>
      <c r="C1374" s="42"/>
      <c r="D1374" s="42"/>
    </row>
    <row r="1375">
      <c r="B1375" s="42"/>
      <c r="C1375" s="42"/>
      <c r="D1375" s="42"/>
    </row>
    <row r="1376">
      <c r="B1376" s="42"/>
      <c r="C1376" s="42"/>
      <c r="D1376" s="42"/>
    </row>
    <row r="1377">
      <c r="B1377" s="42"/>
      <c r="C1377" s="42"/>
      <c r="D1377" s="42"/>
    </row>
    <row r="1378">
      <c r="B1378" s="42"/>
      <c r="C1378" s="42"/>
      <c r="D1378" s="42"/>
    </row>
    <row r="1379">
      <c r="B1379" s="42"/>
      <c r="C1379" s="42"/>
      <c r="D1379" s="42"/>
    </row>
    <row r="1380">
      <c r="B1380" s="42"/>
      <c r="C1380" s="42"/>
      <c r="D1380" s="42"/>
    </row>
    <row r="1381">
      <c r="B1381" s="42"/>
      <c r="C1381" s="42"/>
      <c r="D1381" s="42"/>
    </row>
    <row r="1382">
      <c r="B1382" s="42"/>
      <c r="C1382" s="42"/>
      <c r="D1382" s="42"/>
    </row>
    <row r="1383">
      <c r="B1383" s="42"/>
      <c r="C1383" s="42"/>
      <c r="D1383" s="42"/>
    </row>
    <row r="1384">
      <c r="B1384" s="42"/>
      <c r="C1384" s="42"/>
      <c r="D1384" s="42"/>
    </row>
    <row r="1385">
      <c r="B1385" s="42"/>
      <c r="C1385" s="42"/>
      <c r="D1385" s="42"/>
    </row>
    <row r="1386">
      <c r="B1386" s="42"/>
      <c r="C1386" s="42"/>
      <c r="D1386" s="42"/>
    </row>
    <row r="1387">
      <c r="B1387" s="42"/>
      <c r="C1387" s="42"/>
      <c r="D1387" s="42"/>
    </row>
    <row r="1388">
      <c r="B1388" s="42"/>
      <c r="C1388" s="42"/>
      <c r="D1388" s="42"/>
    </row>
    <row r="1389">
      <c r="B1389" s="42"/>
      <c r="C1389" s="42"/>
      <c r="D1389" s="42"/>
    </row>
    <row r="1390">
      <c r="B1390" s="42"/>
      <c r="C1390" s="42"/>
      <c r="D1390" s="42"/>
    </row>
    <row r="1391">
      <c r="B1391" s="42"/>
      <c r="C1391" s="42"/>
      <c r="D1391" s="42"/>
    </row>
    <row r="1392">
      <c r="B1392" s="42"/>
      <c r="C1392" s="42"/>
      <c r="D1392" s="42"/>
    </row>
    <row r="1393">
      <c r="B1393" s="42"/>
      <c r="C1393" s="42"/>
      <c r="D1393" s="42"/>
    </row>
    <row r="1394">
      <c r="B1394" s="42"/>
      <c r="C1394" s="42"/>
      <c r="D1394" s="42"/>
    </row>
    <row r="1395">
      <c r="B1395" s="42"/>
      <c r="C1395" s="42"/>
      <c r="D1395" s="42"/>
    </row>
    <row r="1396">
      <c r="B1396" s="42"/>
      <c r="C1396" s="42"/>
      <c r="D1396" s="42"/>
    </row>
    <row r="1397">
      <c r="B1397" s="42"/>
      <c r="C1397" s="42"/>
      <c r="D1397" s="42"/>
    </row>
    <row r="1398">
      <c r="B1398" s="42"/>
      <c r="C1398" s="42"/>
      <c r="D1398" s="42"/>
    </row>
    <row r="1399">
      <c r="B1399" s="42"/>
      <c r="C1399" s="42"/>
      <c r="D1399" s="42"/>
    </row>
    <row r="1400">
      <c r="B1400" s="42"/>
      <c r="C1400" s="42"/>
      <c r="D1400" s="42"/>
    </row>
    <row r="1401">
      <c r="B1401" s="42"/>
      <c r="C1401" s="42"/>
      <c r="D1401" s="42"/>
    </row>
    <row r="1402">
      <c r="B1402" s="42"/>
      <c r="C1402" s="42"/>
      <c r="D1402" s="42"/>
    </row>
    <row r="1403">
      <c r="B1403" s="42"/>
      <c r="C1403" s="42"/>
      <c r="D1403" s="42"/>
    </row>
    <row r="1404">
      <c r="B1404" s="42"/>
      <c r="C1404" s="42"/>
      <c r="D1404" s="42"/>
    </row>
    <row r="1405">
      <c r="B1405" s="42"/>
      <c r="C1405" s="42"/>
      <c r="D1405" s="42"/>
    </row>
    <row r="1406">
      <c r="B1406" s="42"/>
      <c r="C1406" s="42"/>
      <c r="D1406" s="42"/>
    </row>
    <row r="1407">
      <c r="B1407" s="42"/>
      <c r="C1407" s="42"/>
      <c r="D1407" s="42"/>
    </row>
    <row r="1408">
      <c r="B1408" s="42"/>
      <c r="C1408" s="42"/>
      <c r="D1408" s="42"/>
    </row>
    <row r="1409">
      <c r="B1409" s="42"/>
      <c r="C1409" s="42"/>
      <c r="D1409" s="42"/>
    </row>
    <row r="1410">
      <c r="B1410" s="42"/>
      <c r="C1410" s="42"/>
      <c r="D1410" s="42"/>
    </row>
    <row r="1411">
      <c r="B1411" s="42"/>
      <c r="C1411" s="42"/>
      <c r="D1411" s="42"/>
    </row>
    <row r="1412">
      <c r="B1412" s="42"/>
      <c r="C1412" s="42"/>
      <c r="D1412" s="42"/>
    </row>
    <row r="1413">
      <c r="B1413" s="42"/>
      <c r="C1413" s="42"/>
      <c r="D1413" s="42"/>
    </row>
    <row r="1414">
      <c r="B1414" s="42"/>
      <c r="C1414" s="42"/>
      <c r="D1414" s="42"/>
    </row>
    <row r="1415">
      <c r="B1415" s="42"/>
      <c r="C1415" s="42"/>
      <c r="D1415" s="42"/>
    </row>
    <row r="1416">
      <c r="B1416" s="42"/>
      <c r="C1416" s="42"/>
      <c r="D1416" s="42"/>
    </row>
    <row r="1417">
      <c r="B1417" s="42"/>
      <c r="C1417" s="42"/>
      <c r="D1417" s="42"/>
    </row>
    <row r="1418">
      <c r="B1418" s="42"/>
      <c r="C1418" s="42"/>
      <c r="D1418" s="42"/>
    </row>
    <row r="1419">
      <c r="B1419" s="42"/>
      <c r="C1419" s="42"/>
      <c r="D1419" s="42"/>
    </row>
    <row r="1420">
      <c r="B1420" s="42"/>
      <c r="C1420" s="42"/>
      <c r="D1420" s="42"/>
    </row>
    <row r="1421">
      <c r="B1421" s="42"/>
      <c r="C1421" s="42"/>
      <c r="D1421" s="42"/>
    </row>
    <row r="1422">
      <c r="B1422" s="42"/>
      <c r="C1422" s="42"/>
      <c r="D1422" s="42"/>
    </row>
    <row r="1423">
      <c r="B1423" s="42"/>
      <c r="C1423" s="42"/>
      <c r="D1423" s="42"/>
    </row>
    <row r="1424">
      <c r="B1424" s="42"/>
      <c r="C1424" s="42"/>
      <c r="D1424" s="42"/>
    </row>
    <row r="1425">
      <c r="B1425" s="42"/>
      <c r="C1425" s="42"/>
      <c r="D1425" s="42"/>
    </row>
    <row r="1426">
      <c r="B1426" s="42"/>
      <c r="C1426" s="42"/>
      <c r="D1426" s="42"/>
    </row>
    <row r="1427">
      <c r="B1427" s="42"/>
      <c r="C1427" s="42"/>
      <c r="D1427" s="42"/>
    </row>
    <row r="1428">
      <c r="B1428" s="42"/>
      <c r="C1428" s="42"/>
      <c r="D1428" s="42"/>
    </row>
    <row r="1429">
      <c r="B1429" s="42"/>
      <c r="C1429" s="42"/>
      <c r="D1429" s="42"/>
    </row>
    <row r="1430">
      <c r="B1430" s="42"/>
      <c r="C1430" s="42"/>
      <c r="D1430" s="42"/>
    </row>
    <row r="1431">
      <c r="B1431" s="42"/>
      <c r="C1431" s="42"/>
      <c r="D1431" s="42"/>
    </row>
    <row r="1432">
      <c r="B1432" s="42"/>
      <c r="C1432" s="42"/>
      <c r="D1432" s="42"/>
    </row>
    <row r="1433">
      <c r="B1433" s="42"/>
      <c r="C1433" s="42"/>
      <c r="D1433" s="42"/>
    </row>
    <row r="1434">
      <c r="B1434" s="42"/>
      <c r="C1434" s="42"/>
      <c r="D1434" s="42"/>
    </row>
    <row r="1435">
      <c r="B1435" s="42"/>
      <c r="C1435" s="42"/>
      <c r="D1435" s="42"/>
    </row>
    <row r="1436">
      <c r="B1436" s="42"/>
      <c r="C1436" s="42"/>
      <c r="D1436" s="42"/>
    </row>
    <row r="1437">
      <c r="B1437" s="42"/>
      <c r="C1437" s="42"/>
      <c r="D1437" s="42"/>
    </row>
    <row r="1438">
      <c r="B1438" s="42"/>
      <c r="C1438" s="42"/>
      <c r="D1438" s="42"/>
    </row>
    <row r="1439">
      <c r="B1439" s="42"/>
      <c r="C1439" s="42"/>
      <c r="D1439" s="42"/>
    </row>
    <row r="1440">
      <c r="B1440" s="42"/>
      <c r="C1440" s="42"/>
      <c r="D1440" s="42"/>
    </row>
    <row r="1441">
      <c r="B1441" s="42"/>
      <c r="C1441" s="42"/>
      <c r="D1441" s="42"/>
    </row>
    <row r="1442">
      <c r="B1442" s="42"/>
      <c r="C1442" s="42"/>
      <c r="D1442" s="42"/>
    </row>
    <row r="1443">
      <c r="B1443" s="42"/>
      <c r="C1443" s="42"/>
      <c r="D1443" s="42"/>
    </row>
    <row r="1444">
      <c r="B1444" s="42"/>
      <c r="C1444" s="42"/>
      <c r="D1444" s="42"/>
    </row>
    <row r="1445">
      <c r="B1445" s="42"/>
      <c r="C1445" s="42"/>
      <c r="D1445" s="42"/>
    </row>
    <row r="1446">
      <c r="B1446" s="42"/>
      <c r="C1446" s="42"/>
      <c r="D1446" s="42"/>
    </row>
    <row r="1447">
      <c r="B1447" s="42"/>
      <c r="C1447" s="42"/>
      <c r="D1447" s="42"/>
    </row>
    <row r="1448">
      <c r="B1448" s="42"/>
      <c r="C1448" s="42"/>
      <c r="D1448" s="42"/>
    </row>
    <row r="1449">
      <c r="B1449" s="42"/>
      <c r="C1449" s="42"/>
      <c r="D1449" s="42"/>
    </row>
    <row r="1450">
      <c r="B1450" s="42"/>
      <c r="C1450" s="42"/>
      <c r="D1450" s="42"/>
    </row>
    <row r="1451">
      <c r="B1451" s="42"/>
      <c r="C1451" s="42"/>
      <c r="D1451" s="42"/>
    </row>
    <row r="1452">
      <c r="B1452" s="42"/>
      <c r="C1452" s="42"/>
      <c r="D1452" s="42"/>
    </row>
    <row r="1453">
      <c r="B1453" s="42"/>
      <c r="C1453" s="42"/>
      <c r="D1453" s="42"/>
    </row>
    <row r="1454">
      <c r="B1454" s="42"/>
      <c r="C1454" s="42"/>
      <c r="D1454" s="42"/>
    </row>
    <row r="1455">
      <c r="B1455" s="42"/>
      <c r="C1455" s="42"/>
      <c r="D1455" s="42"/>
    </row>
    <row r="1456">
      <c r="B1456" s="42"/>
      <c r="C1456" s="42"/>
      <c r="D1456" s="42"/>
    </row>
    <row r="1457">
      <c r="B1457" s="42"/>
      <c r="C1457" s="42"/>
      <c r="D1457" s="42"/>
    </row>
    <row r="1458">
      <c r="B1458" s="42"/>
      <c r="C1458" s="42"/>
      <c r="D1458" s="42"/>
    </row>
    <row r="1459">
      <c r="B1459" s="42"/>
      <c r="C1459" s="42"/>
      <c r="D1459" s="42"/>
    </row>
    <row r="1460">
      <c r="B1460" s="42"/>
      <c r="C1460" s="42"/>
      <c r="D1460" s="42"/>
    </row>
    <row r="1461">
      <c r="B1461" s="42"/>
      <c r="C1461" s="42"/>
      <c r="D1461" s="42"/>
    </row>
    <row r="1462">
      <c r="B1462" s="42"/>
      <c r="C1462" s="42"/>
      <c r="D1462" s="42"/>
    </row>
    <row r="1463">
      <c r="B1463" s="42"/>
      <c r="C1463" s="42"/>
      <c r="D1463" s="42"/>
    </row>
    <row r="1464">
      <c r="B1464" s="42"/>
      <c r="C1464" s="42"/>
      <c r="D1464" s="42"/>
    </row>
    <row r="1465">
      <c r="B1465" s="42"/>
      <c r="C1465" s="42"/>
      <c r="D1465" s="42"/>
    </row>
    <row r="1466">
      <c r="B1466" s="42"/>
      <c r="C1466" s="42"/>
      <c r="D1466" s="42"/>
    </row>
    <row r="1467">
      <c r="B1467" s="42"/>
      <c r="C1467" s="42"/>
      <c r="D1467" s="42"/>
    </row>
    <row r="1468">
      <c r="B1468" s="42"/>
      <c r="C1468" s="42"/>
      <c r="D1468" s="42"/>
    </row>
    <row r="1469">
      <c r="B1469" s="42"/>
      <c r="C1469" s="42"/>
      <c r="D1469" s="42"/>
    </row>
    <row r="1470">
      <c r="B1470" s="42"/>
      <c r="C1470" s="42"/>
      <c r="D1470" s="42"/>
    </row>
    <row r="1471">
      <c r="B1471" s="42"/>
      <c r="C1471" s="42"/>
      <c r="D1471" s="42"/>
    </row>
    <row r="1472">
      <c r="B1472" s="42"/>
      <c r="C1472" s="42"/>
      <c r="D1472" s="42"/>
    </row>
    <row r="1473">
      <c r="B1473" s="42"/>
      <c r="C1473" s="42"/>
      <c r="D1473" s="42"/>
    </row>
    <row r="1474">
      <c r="B1474" s="42"/>
      <c r="C1474" s="42"/>
      <c r="D1474" s="42"/>
    </row>
    <row r="1475">
      <c r="B1475" s="42"/>
      <c r="C1475" s="42"/>
      <c r="D1475" s="42"/>
    </row>
    <row r="1476">
      <c r="B1476" s="42"/>
      <c r="C1476" s="42"/>
      <c r="D1476" s="42"/>
    </row>
    <row r="1477">
      <c r="B1477" s="42"/>
      <c r="C1477" s="42"/>
      <c r="D1477" s="42"/>
    </row>
    <row r="1478">
      <c r="B1478" s="42"/>
      <c r="C1478" s="42"/>
      <c r="D1478" s="42"/>
    </row>
    <row r="1479">
      <c r="B1479" s="42"/>
      <c r="C1479" s="42"/>
      <c r="D1479" s="42"/>
    </row>
    <row r="1480">
      <c r="B1480" s="42"/>
      <c r="C1480" s="42"/>
      <c r="D1480" s="42"/>
    </row>
    <row r="1481">
      <c r="B1481" s="42"/>
      <c r="C1481" s="42"/>
      <c r="D1481" s="42"/>
    </row>
    <row r="1482">
      <c r="B1482" s="42"/>
      <c r="C1482" s="42"/>
      <c r="D1482" s="42"/>
    </row>
    <row r="1483">
      <c r="B1483" s="42"/>
      <c r="C1483" s="42"/>
      <c r="D1483" s="42"/>
    </row>
    <row r="1484">
      <c r="B1484" s="42"/>
      <c r="C1484" s="42"/>
      <c r="D1484" s="42"/>
    </row>
    <row r="1485">
      <c r="B1485" s="42"/>
      <c r="C1485" s="42"/>
      <c r="D1485" s="42"/>
    </row>
    <row r="1486">
      <c r="B1486" s="42"/>
      <c r="C1486" s="42"/>
      <c r="D1486" s="42"/>
    </row>
    <row r="1487">
      <c r="B1487" s="42"/>
      <c r="C1487" s="42"/>
      <c r="D1487" s="42"/>
    </row>
    <row r="1488">
      <c r="B1488" s="42"/>
      <c r="C1488" s="42"/>
      <c r="D1488" s="42"/>
    </row>
    <row r="1489">
      <c r="B1489" s="42"/>
      <c r="C1489" s="42"/>
      <c r="D1489" s="42"/>
    </row>
    <row r="1490">
      <c r="B1490" s="42"/>
      <c r="C1490" s="42"/>
      <c r="D1490" s="42"/>
    </row>
    <row r="1491">
      <c r="B1491" s="42"/>
      <c r="C1491" s="42"/>
      <c r="D1491" s="42"/>
    </row>
    <row r="1492">
      <c r="B1492" s="42"/>
      <c r="C1492" s="42"/>
      <c r="D1492" s="42"/>
    </row>
    <row r="1493">
      <c r="B1493" s="42"/>
      <c r="C1493" s="42"/>
      <c r="D1493" s="42"/>
    </row>
    <row r="1494">
      <c r="B1494" s="42"/>
      <c r="C1494" s="42"/>
      <c r="D1494" s="42"/>
    </row>
    <row r="1495">
      <c r="B1495" s="42"/>
      <c r="C1495" s="42"/>
      <c r="D1495" s="42"/>
    </row>
    <row r="1496">
      <c r="B1496" s="42"/>
      <c r="C1496" s="42"/>
      <c r="D1496" s="42"/>
    </row>
    <row r="1497">
      <c r="B1497" s="42"/>
      <c r="C1497" s="42"/>
      <c r="D1497" s="42"/>
    </row>
    <row r="1498">
      <c r="B1498" s="42"/>
      <c r="C1498" s="42"/>
      <c r="D1498" s="42"/>
    </row>
    <row r="1499">
      <c r="B1499" s="42"/>
      <c r="C1499" s="42"/>
      <c r="D1499" s="42"/>
    </row>
    <row r="1500">
      <c r="B1500" s="42"/>
      <c r="C1500" s="42"/>
      <c r="D1500" s="42"/>
    </row>
    <row r="1501">
      <c r="B1501" s="42"/>
      <c r="C1501" s="42"/>
      <c r="D1501" s="42"/>
    </row>
    <row r="1502">
      <c r="B1502" s="42"/>
      <c r="C1502" s="42"/>
      <c r="D1502" s="42"/>
    </row>
    <row r="1503">
      <c r="B1503" s="42"/>
      <c r="C1503" s="42"/>
      <c r="D1503" s="42"/>
    </row>
    <row r="1504">
      <c r="B1504" s="42"/>
      <c r="C1504" s="42"/>
      <c r="D1504" s="42"/>
    </row>
    <row r="1505">
      <c r="B1505" s="42"/>
      <c r="C1505" s="42"/>
      <c r="D1505" s="42"/>
    </row>
    <row r="1506">
      <c r="B1506" s="42"/>
      <c r="C1506" s="42"/>
      <c r="D1506" s="42"/>
    </row>
    <row r="1507">
      <c r="B1507" s="42"/>
      <c r="C1507" s="42"/>
      <c r="D1507" s="42"/>
    </row>
    <row r="1508">
      <c r="B1508" s="42"/>
      <c r="C1508" s="42"/>
      <c r="D1508" s="42"/>
    </row>
    <row r="1509">
      <c r="B1509" s="42"/>
      <c r="C1509" s="42"/>
      <c r="D1509" s="42"/>
    </row>
    <row r="1510">
      <c r="B1510" s="42"/>
      <c r="C1510" s="42"/>
      <c r="D1510" s="42"/>
    </row>
    <row r="1511">
      <c r="B1511" s="42"/>
      <c r="C1511" s="42"/>
      <c r="D1511" s="42"/>
    </row>
    <row r="1512">
      <c r="B1512" s="42"/>
      <c r="C1512" s="42"/>
      <c r="D1512" s="42"/>
    </row>
    <row r="1513">
      <c r="B1513" s="42"/>
      <c r="C1513" s="42"/>
      <c r="D1513" s="42"/>
    </row>
    <row r="1514">
      <c r="B1514" s="42"/>
      <c r="C1514" s="42"/>
      <c r="D1514" s="42"/>
    </row>
    <row r="1515">
      <c r="B1515" s="42"/>
      <c r="C1515" s="42"/>
      <c r="D1515" s="42"/>
    </row>
    <row r="1516">
      <c r="B1516" s="42"/>
      <c r="C1516" s="42"/>
      <c r="D1516" s="42"/>
    </row>
    <row r="1517">
      <c r="B1517" s="42"/>
      <c r="C1517" s="42"/>
      <c r="D1517" s="42"/>
    </row>
    <row r="1518">
      <c r="B1518" s="42"/>
      <c r="C1518" s="42"/>
      <c r="D1518" s="42"/>
    </row>
    <row r="1519">
      <c r="B1519" s="42"/>
      <c r="C1519" s="42"/>
      <c r="D1519" s="42"/>
    </row>
    <row r="1520">
      <c r="B1520" s="42"/>
      <c r="C1520" s="42"/>
      <c r="D1520" s="42"/>
    </row>
    <row r="1521">
      <c r="B1521" s="42"/>
      <c r="C1521" s="42"/>
      <c r="D1521" s="42"/>
    </row>
    <row r="1522">
      <c r="B1522" s="42"/>
      <c r="C1522" s="42"/>
      <c r="D1522" s="42"/>
    </row>
    <row r="1523">
      <c r="B1523" s="42"/>
      <c r="C1523" s="42"/>
      <c r="D1523" s="42"/>
    </row>
    <row r="1524">
      <c r="B1524" s="42"/>
      <c r="C1524" s="42"/>
      <c r="D1524" s="42"/>
    </row>
    <row r="1525">
      <c r="B1525" s="42"/>
      <c r="C1525" s="42"/>
      <c r="D1525" s="42"/>
    </row>
    <row r="1526">
      <c r="B1526" s="42"/>
      <c r="C1526" s="42"/>
      <c r="D1526" s="42"/>
    </row>
    <row r="1527">
      <c r="B1527" s="42"/>
      <c r="C1527" s="42"/>
      <c r="D1527" s="42"/>
    </row>
    <row r="1528">
      <c r="B1528" s="42"/>
      <c r="C1528" s="42"/>
      <c r="D1528" s="42"/>
    </row>
    <row r="1529">
      <c r="B1529" s="42"/>
      <c r="C1529" s="42"/>
      <c r="D1529" s="42"/>
    </row>
    <row r="1530">
      <c r="B1530" s="42"/>
      <c r="C1530" s="42"/>
      <c r="D1530" s="42"/>
    </row>
    <row r="1531">
      <c r="B1531" s="42"/>
      <c r="C1531" s="42"/>
      <c r="D1531" s="42"/>
    </row>
    <row r="1532">
      <c r="B1532" s="42"/>
      <c r="C1532" s="42"/>
      <c r="D1532" s="42"/>
    </row>
    <row r="1533">
      <c r="B1533" s="42"/>
      <c r="C1533" s="42"/>
      <c r="D1533" s="42"/>
    </row>
    <row r="1534">
      <c r="B1534" s="42"/>
      <c r="C1534" s="42"/>
      <c r="D1534" s="42"/>
    </row>
    <row r="1535">
      <c r="B1535" s="42"/>
      <c r="C1535" s="42"/>
      <c r="D1535" s="42"/>
    </row>
    <row r="1536">
      <c r="B1536" s="42"/>
      <c r="C1536" s="42"/>
      <c r="D1536" s="42"/>
    </row>
    <row r="1537">
      <c r="B1537" s="42"/>
      <c r="C1537" s="42"/>
      <c r="D1537" s="42"/>
    </row>
    <row r="1538">
      <c r="B1538" s="42"/>
      <c r="C1538" s="42"/>
      <c r="D1538" s="42"/>
    </row>
    <row r="1539">
      <c r="B1539" s="42"/>
      <c r="C1539" s="42"/>
      <c r="D1539" s="42"/>
    </row>
    <row r="1540">
      <c r="B1540" s="42"/>
      <c r="C1540" s="42"/>
      <c r="D1540" s="42"/>
    </row>
    <row r="1541">
      <c r="B1541" s="42"/>
      <c r="C1541" s="42"/>
      <c r="D1541" s="42"/>
    </row>
    <row r="1542">
      <c r="B1542" s="42"/>
      <c r="C1542" s="42"/>
      <c r="D1542" s="42"/>
    </row>
    <row r="1543">
      <c r="B1543" s="42"/>
      <c r="C1543" s="42"/>
      <c r="D1543" s="42"/>
    </row>
    <row r="1544">
      <c r="B1544" s="42"/>
      <c r="C1544" s="42"/>
      <c r="D1544" s="42"/>
    </row>
    <row r="1545">
      <c r="B1545" s="42"/>
      <c r="C1545" s="42"/>
      <c r="D1545" s="42"/>
    </row>
    <row r="1546">
      <c r="B1546" s="42"/>
      <c r="C1546" s="42"/>
      <c r="D1546" s="42"/>
    </row>
    <row r="1547">
      <c r="B1547" s="42"/>
      <c r="C1547" s="42"/>
      <c r="D1547" s="42"/>
    </row>
    <row r="1548">
      <c r="B1548" s="42"/>
      <c r="C1548" s="42"/>
      <c r="D1548" s="42"/>
    </row>
    <row r="1549">
      <c r="B1549" s="42"/>
      <c r="C1549" s="42"/>
      <c r="D1549" s="42"/>
    </row>
    <row r="1550">
      <c r="B1550" s="42"/>
      <c r="C1550" s="42"/>
      <c r="D1550" s="42"/>
    </row>
    <row r="1551">
      <c r="B1551" s="42"/>
      <c r="C1551" s="42"/>
      <c r="D1551" s="42"/>
    </row>
    <row r="1552">
      <c r="B1552" s="42"/>
      <c r="C1552" s="42"/>
      <c r="D1552" s="42"/>
    </row>
    <row r="1553">
      <c r="B1553" s="42"/>
      <c r="C1553" s="42"/>
      <c r="D1553" s="42"/>
    </row>
    <row r="1554">
      <c r="B1554" s="42"/>
      <c r="C1554" s="42"/>
      <c r="D1554" s="42"/>
    </row>
    <row r="1555">
      <c r="B1555" s="42"/>
      <c r="C1555" s="42"/>
      <c r="D1555" s="42"/>
    </row>
    <row r="1556">
      <c r="B1556" s="42"/>
      <c r="C1556" s="42"/>
      <c r="D1556" s="42"/>
    </row>
    <row r="1557">
      <c r="B1557" s="42"/>
      <c r="C1557" s="42"/>
      <c r="D1557" s="42"/>
    </row>
    <row r="1558">
      <c r="B1558" s="42"/>
      <c r="C1558" s="42"/>
      <c r="D1558" s="42"/>
    </row>
    <row r="1559">
      <c r="B1559" s="42"/>
      <c r="C1559" s="42"/>
      <c r="D1559" s="42"/>
    </row>
    <row r="1560">
      <c r="B1560" s="42"/>
      <c r="C1560" s="42"/>
      <c r="D1560" s="42"/>
    </row>
    <row r="1561">
      <c r="B1561" s="42"/>
      <c r="C1561" s="42"/>
      <c r="D1561" s="42"/>
    </row>
    <row r="1562">
      <c r="B1562" s="42"/>
      <c r="C1562" s="42"/>
      <c r="D1562" s="42"/>
    </row>
    <row r="1563">
      <c r="B1563" s="42"/>
      <c r="C1563" s="42"/>
      <c r="D1563" s="42"/>
    </row>
    <row r="1564">
      <c r="B1564" s="42"/>
      <c r="C1564" s="42"/>
      <c r="D1564" s="42"/>
    </row>
    <row r="1565">
      <c r="B1565" s="42"/>
      <c r="C1565" s="42"/>
      <c r="D1565" s="42"/>
    </row>
    <row r="1566">
      <c r="B1566" s="42"/>
      <c r="C1566" s="42"/>
      <c r="D1566" s="42"/>
    </row>
    <row r="1567">
      <c r="B1567" s="42"/>
      <c r="C1567" s="42"/>
      <c r="D1567" s="42"/>
    </row>
    <row r="1568">
      <c r="B1568" s="42"/>
      <c r="C1568" s="42"/>
      <c r="D1568" s="42"/>
    </row>
    <row r="1569">
      <c r="B1569" s="42"/>
      <c r="C1569" s="42"/>
      <c r="D1569" s="42"/>
    </row>
    <row r="1570">
      <c r="B1570" s="42"/>
      <c r="C1570" s="42"/>
      <c r="D1570" s="42"/>
    </row>
    <row r="1571">
      <c r="B1571" s="42"/>
      <c r="C1571" s="42"/>
      <c r="D1571" s="42"/>
    </row>
    <row r="1572">
      <c r="B1572" s="42"/>
      <c r="C1572" s="42"/>
      <c r="D1572" s="42"/>
    </row>
    <row r="1573">
      <c r="B1573" s="42"/>
      <c r="C1573" s="42"/>
      <c r="D1573" s="42"/>
    </row>
    <row r="1574">
      <c r="B1574" s="42"/>
      <c r="C1574" s="42"/>
      <c r="D1574" s="42"/>
    </row>
    <row r="1575">
      <c r="B1575" s="42"/>
      <c r="C1575" s="42"/>
      <c r="D1575" s="42"/>
    </row>
    <row r="1576">
      <c r="B1576" s="42"/>
      <c r="C1576" s="42"/>
      <c r="D1576" s="42"/>
    </row>
    <row r="1577">
      <c r="B1577" s="42"/>
      <c r="C1577" s="42"/>
      <c r="D1577" s="42"/>
    </row>
    <row r="1578">
      <c r="B1578" s="42"/>
      <c r="C1578" s="42"/>
      <c r="D1578" s="42"/>
    </row>
    <row r="1579">
      <c r="B1579" s="42"/>
      <c r="C1579" s="42"/>
      <c r="D1579" s="42"/>
    </row>
    <row r="1580">
      <c r="B1580" s="42"/>
      <c r="C1580" s="42"/>
      <c r="D1580" s="42"/>
    </row>
    <row r="1581">
      <c r="B1581" s="42"/>
      <c r="C1581" s="42"/>
      <c r="D1581" s="42"/>
    </row>
    <row r="1582">
      <c r="B1582" s="42"/>
      <c r="C1582" s="42"/>
      <c r="D1582" s="42"/>
    </row>
    <row r="1583">
      <c r="B1583" s="42"/>
      <c r="C1583" s="42"/>
      <c r="D1583" s="42"/>
    </row>
    <row r="1584">
      <c r="B1584" s="42"/>
      <c r="C1584" s="42"/>
      <c r="D1584" s="42"/>
    </row>
    <row r="1585">
      <c r="B1585" s="42"/>
      <c r="C1585" s="42"/>
      <c r="D1585" s="42"/>
    </row>
    <row r="1586">
      <c r="B1586" s="42"/>
      <c r="C1586" s="42"/>
      <c r="D1586" s="42"/>
    </row>
    <row r="1587">
      <c r="B1587" s="42"/>
      <c r="C1587" s="42"/>
      <c r="D1587" s="42"/>
    </row>
    <row r="1588">
      <c r="B1588" s="42"/>
      <c r="C1588" s="42"/>
      <c r="D1588" s="42"/>
    </row>
    <row r="1589">
      <c r="B1589" s="42"/>
      <c r="C1589" s="42"/>
      <c r="D1589" s="42"/>
    </row>
    <row r="1590">
      <c r="B1590" s="42"/>
      <c r="C1590" s="42"/>
      <c r="D1590" s="42"/>
    </row>
    <row r="1591">
      <c r="B1591" s="42"/>
      <c r="C1591" s="42"/>
      <c r="D1591" s="42"/>
    </row>
    <row r="1592">
      <c r="B1592" s="42"/>
      <c r="C1592" s="42"/>
      <c r="D1592" s="42"/>
    </row>
    <row r="1593">
      <c r="B1593" s="42"/>
      <c r="C1593" s="42"/>
      <c r="D1593" s="42"/>
    </row>
    <row r="1594">
      <c r="B1594" s="42"/>
      <c r="C1594" s="42"/>
      <c r="D1594" s="42"/>
    </row>
    <row r="1595">
      <c r="B1595" s="42"/>
      <c r="C1595" s="42"/>
      <c r="D1595" s="42"/>
    </row>
    <row r="1596">
      <c r="B1596" s="42"/>
      <c r="C1596" s="42"/>
      <c r="D1596" s="42"/>
    </row>
    <row r="1597">
      <c r="B1597" s="42"/>
      <c r="C1597" s="42"/>
      <c r="D1597" s="42"/>
    </row>
    <row r="1598">
      <c r="B1598" s="42"/>
      <c r="C1598" s="42"/>
      <c r="D1598" s="42"/>
    </row>
    <row r="1599">
      <c r="B1599" s="42"/>
      <c r="C1599" s="42"/>
      <c r="D1599" s="42"/>
    </row>
    <row r="1600">
      <c r="B1600" s="42"/>
      <c r="C1600" s="42"/>
      <c r="D1600" s="42"/>
    </row>
    <row r="1601">
      <c r="B1601" s="42"/>
      <c r="C1601" s="42"/>
      <c r="D1601" s="42"/>
    </row>
    <row r="1602">
      <c r="B1602" s="42"/>
      <c r="C1602" s="42"/>
      <c r="D1602" s="42"/>
    </row>
    <row r="1603">
      <c r="B1603" s="42"/>
      <c r="C1603" s="42"/>
      <c r="D1603" s="42"/>
    </row>
    <row r="1604">
      <c r="B1604" s="42"/>
      <c r="C1604" s="42"/>
      <c r="D1604" s="42"/>
    </row>
    <row r="1605">
      <c r="B1605" s="42"/>
      <c r="C1605" s="42"/>
      <c r="D1605" s="42"/>
    </row>
    <row r="1606">
      <c r="B1606" s="42"/>
      <c r="C1606" s="42"/>
      <c r="D1606" s="42"/>
    </row>
    <row r="1607">
      <c r="B1607" s="42"/>
      <c r="C1607" s="42"/>
      <c r="D1607" s="42"/>
    </row>
    <row r="1608">
      <c r="B1608" s="42"/>
      <c r="C1608" s="42"/>
      <c r="D1608" s="42"/>
    </row>
    <row r="1609">
      <c r="B1609" s="42"/>
      <c r="C1609" s="42"/>
      <c r="D1609" s="42"/>
    </row>
    <row r="1610">
      <c r="B1610" s="42"/>
      <c r="C1610" s="42"/>
      <c r="D1610" s="42"/>
    </row>
    <row r="1611">
      <c r="B1611" s="42"/>
      <c r="C1611" s="42"/>
      <c r="D1611" s="42"/>
    </row>
    <row r="1612">
      <c r="B1612" s="42"/>
      <c r="C1612" s="42"/>
      <c r="D1612" s="42"/>
    </row>
    <row r="1613">
      <c r="B1613" s="42"/>
      <c r="C1613" s="42"/>
      <c r="D1613" s="42"/>
    </row>
    <row r="1614">
      <c r="B1614" s="42"/>
      <c r="C1614" s="42"/>
      <c r="D1614" s="42"/>
    </row>
    <row r="1615">
      <c r="B1615" s="42"/>
      <c r="C1615" s="42"/>
      <c r="D1615" s="42"/>
    </row>
    <row r="1616">
      <c r="B1616" s="42"/>
      <c r="C1616" s="42"/>
      <c r="D1616" s="42"/>
    </row>
    <row r="1617">
      <c r="B1617" s="42"/>
      <c r="C1617" s="42"/>
      <c r="D1617" s="42"/>
    </row>
    <row r="1618">
      <c r="B1618" s="42"/>
      <c r="C1618" s="42"/>
      <c r="D1618" s="42"/>
    </row>
    <row r="1619">
      <c r="B1619" s="42"/>
      <c r="C1619" s="42"/>
      <c r="D1619" s="42"/>
    </row>
    <row r="1620">
      <c r="B1620" s="42"/>
      <c r="C1620" s="42"/>
      <c r="D1620" s="42"/>
    </row>
    <row r="1621">
      <c r="B1621" s="42"/>
      <c r="C1621" s="42"/>
      <c r="D1621" s="42"/>
    </row>
    <row r="1622">
      <c r="B1622" s="42"/>
      <c r="C1622" s="42"/>
      <c r="D1622" s="42"/>
    </row>
    <row r="1623">
      <c r="B1623" s="42"/>
      <c r="C1623" s="42"/>
      <c r="D1623" s="42"/>
    </row>
    <row r="1624">
      <c r="B1624" s="42"/>
      <c r="C1624" s="42"/>
      <c r="D1624" s="42"/>
    </row>
    <row r="1625">
      <c r="B1625" s="42"/>
      <c r="C1625" s="42"/>
      <c r="D1625" s="42"/>
    </row>
    <row r="1626">
      <c r="B1626" s="42"/>
      <c r="C1626" s="42"/>
      <c r="D1626" s="42"/>
    </row>
    <row r="1627">
      <c r="B1627" s="42"/>
      <c r="C1627" s="42"/>
      <c r="D1627" s="42"/>
    </row>
    <row r="1628">
      <c r="B1628" s="42"/>
      <c r="C1628" s="42"/>
      <c r="D1628" s="42"/>
    </row>
    <row r="1629">
      <c r="B1629" s="42"/>
      <c r="C1629" s="42"/>
      <c r="D1629" s="42"/>
    </row>
    <row r="1630">
      <c r="B1630" s="42"/>
      <c r="C1630" s="42"/>
      <c r="D1630" s="42"/>
    </row>
    <row r="1631">
      <c r="B1631" s="42"/>
      <c r="C1631" s="42"/>
      <c r="D1631" s="42"/>
    </row>
    <row r="1632">
      <c r="B1632" s="42"/>
      <c r="C1632" s="42"/>
      <c r="D1632" s="42"/>
    </row>
    <row r="1633">
      <c r="B1633" s="42"/>
      <c r="C1633" s="42"/>
      <c r="D1633" s="42"/>
    </row>
    <row r="1634">
      <c r="B1634" s="42"/>
      <c r="C1634" s="42"/>
      <c r="D1634" s="42"/>
    </row>
    <row r="1635">
      <c r="B1635" s="42"/>
      <c r="C1635" s="42"/>
      <c r="D1635" s="42"/>
    </row>
    <row r="1636">
      <c r="B1636" s="42"/>
      <c r="C1636" s="42"/>
      <c r="D1636" s="42"/>
    </row>
    <row r="1637">
      <c r="B1637" s="42"/>
      <c r="C1637" s="42"/>
      <c r="D1637" s="42"/>
    </row>
  </sheetData>
  <autoFilter ref="$A$6:$AB$285"/>
  <mergeCells count="1">
    <mergeCell ref="I2:J5"/>
  </mergeCells>
  <conditionalFormatting sqref="A6:O296">
    <cfRule type="expression" dxfId="0" priority="1">
      <formula>AND(ISBLANK($A6), NOT(ISBLANK($B6)), NOT(ISBLANK($E6)))</formula>
    </cfRule>
  </conditionalFormatting>
  <conditionalFormatting sqref="B7:B284">
    <cfRule type="expression" dxfId="1" priority="2">
      <formula>C7=TRUE</formula>
    </cfRule>
  </conditionalFormatting>
  <conditionalFormatting sqref="B7:B496">
    <cfRule type="expression" dxfId="2" priority="3">
      <formula>D7=TRUE</formula>
    </cfRule>
  </conditionalFormatting>
  <hyperlinks>
    <hyperlink r:id="rId1" ref="H219"/>
    <hyperlink r:id="rId2" ref="H222"/>
    <hyperlink r:id="rId3" ref="H257"/>
    <hyperlink r:id="rId4" ref="G267"/>
  </hyperlinks>
  <printOptions gridLines="1" horizontalCentered="1"/>
  <pageMargins bottom="0.75" footer="0.0" header="0.0" left="0.7" right="0.7" top="0.75"/>
  <pageSetup fitToHeight="0" paperSize="9" cellComments="atEnd" orientation="landscape" pageOrder="overThenDown"/>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1.25"/>
    <col customWidth="1" min="2" max="2" width="51.13"/>
    <col customWidth="1" min="3" max="3" width="16.88"/>
    <col customWidth="1" min="4" max="4" width="35.25"/>
    <col customWidth="1" min="5" max="5" width="35.13"/>
    <col customWidth="1" min="6" max="6" width="18.88"/>
    <col customWidth="1" min="7" max="11" width="16.75"/>
  </cols>
  <sheetData>
    <row r="1">
      <c r="A1" s="43" t="s">
        <v>1</v>
      </c>
      <c r="B1" s="43" t="s">
        <v>20</v>
      </c>
      <c r="C1" s="44" t="s">
        <v>2</v>
      </c>
      <c r="D1" s="45" t="s">
        <v>3</v>
      </c>
      <c r="E1" s="45" t="s">
        <v>4</v>
      </c>
      <c r="F1" s="46" t="s">
        <v>6</v>
      </c>
      <c r="G1" s="46" t="s">
        <v>7</v>
      </c>
      <c r="H1" s="47" t="s">
        <v>8</v>
      </c>
      <c r="I1" s="48"/>
      <c r="J1" s="48"/>
      <c r="K1" s="48"/>
    </row>
    <row r="2">
      <c r="A2" s="49"/>
      <c r="B2" s="50"/>
      <c r="C2" s="50"/>
      <c r="D2" s="51"/>
      <c r="E2" s="51"/>
      <c r="F2" s="12" t="s">
        <v>21</v>
      </c>
      <c r="H2" s="13" t="s">
        <v>13</v>
      </c>
      <c r="I2" s="13" t="s">
        <v>14</v>
      </c>
      <c r="J2" s="13" t="s">
        <v>15</v>
      </c>
      <c r="K2" s="52"/>
    </row>
    <row r="3">
      <c r="A3" s="49"/>
      <c r="B3" s="50"/>
      <c r="C3" s="50"/>
      <c r="D3" s="51"/>
      <c r="E3" s="51"/>
      <c r="F3" s="50"/>
      <c r="G3" s="50"/>
      <c r="H3" s="50"/>
      <c r="I3" s="50"/>
      <c r="J3" s="50"/>
      <c r="K3" s="50"/>
    </row>
    <row r="4">
      <c r="A4" s="53" t="str">
        <f>IFERROR(__xludf.DUMMYFUNCTION("IMPORTRANGE(""https://docs.google.com/spreadsheets/d/1jPQAIJcL_xa3oBVFEsYRGLGf7ESTOwzsTSjKZ-0CTYE/edit?gid=1995294799#gid=1995294799"",""HPAI-enums!A3:A"")"),"null value")</f>
        <v>null value</v>
      </c>
      <c r="B4" s="53" t="str">
        <f>IFERROR(__xludf.DUMMYFUNCTION("ARRAYFORMULA(IMPORTRANGE(""https://docs.google.com/spreadsheets/d/1jPQAIJcL_xa3oBVFEsYRGLGf7ESTOwzsTSjKZ-0CTYE/edit?gid=208305190#gid=208305190"", ""HPAI-enums!D2:D"") &amp; "" "" &amp; IMPORTRANGE(""https://docs.google.com/spreadsheets/d/1jPQAIJcL_xa3oBVFEsYRGLG"&amp;"f7ESTOwzsTSjKZ-0CTYE/edit?gid=208305190#gid=208305190"", ""HPAI-enums!E2:E"") &amp; "" "" &amp; IMPORTRANGE(""https://docs.google.com/spreadsheets/d/1jPQAIJcL_xa3oBVFEsYRGLGf7ESTOwzsTSjKZ-0CTYE/edit?gid=208305190#gid=208305190"", ""HPAI-enums!F2:F"") &amp; "" "" &amp; IM"&amp;"PORTRANGE(""https://docs.google.com/spreadsheets/d/1jPQAIJcL_xa3oBVFEsYRGLGf7ESTOwzsTSjKZ-0CTYE/edit?gid=208305190#gid=208305190"", ""HPAI-enums!G2:G"") &amp; "" "" &amp; IMPORTRANGE(""https://docs.google.com/spreadsheets/d/1jPQAIJcL_xa3oBVFEsYRGLGf7ESTOwzsTSjKZ-"&amp;"0CTYE/edit?gid=208305190#gid=208305190"", ""HPAI-enums!H2:H""))
"),"    ")</f>
        <v>    </v>
      </c>
      <c r="C4" s="54"/>
      <c r="D4" s="55" t="str">
        <f>IFERROR(__xludf.DUMMYFUNCTION("IMPORTRANGE(""https://docs.google.com/spreadsheets/d/1jPQAIJcL_xa3oBVFEsYRGLGf7ESTOwzsTSjKZ-0CTYE/edit?gid=208305190#gid=208305190"",""HPAI-enums!I2:I"")"),"")</f>
        <v/>
      </c>
      <c r="E4" s="56"/>
      <c r="F4" s="54"/>
      <c r="G4" s="54"/>
      <c r="H4" s="57"/>
      <c r="I4" s="57"/>
      <c r="J4" s="57"/>
      <c r="K4" s="54"/>
    </row>
    <row r="5">
      <c r="A5" s="57"/>
      <c r="B5" s="53" t="str">
        <f>IFERROR(__xludf.DUMMYFUNCTION("""COMPUTED_VALUE"""),"Not Applicable [GENEPIO:0001619]    ")</f>
        <v>Not Applicable [GENEPIO:0001619]    </v>
      </c>
      <c r="C5" s="53" t="str">
        <f>IFERROR(__xludf.DUMMYFUNCTION("ARRAYFORMULA(TRIM(IMPORTRANGE(""https://docs.google.com/spreadsheets/d/1jPQAIJcL_xa3oBVFEsYRGLGf7ESTOwzsTSjKZ-0CTYE/edit?gid=208305190#gid=208305190"", ""HPAI-enums!C3:C"")))"),"GENEPIO:0001619")</f>
        <v>GENEPIO:0001619</v>
      </c>
      <c r="D5" s="58" t="str">
        <f>IFERROR(__xludf.DUMMYFUNCTION("""COMPUTED_VALUE"""),"A categorical choice recorded when a datum does not apply to a given context.")</f>
        <v>A categorical choice recorded when a datum does not apply to a given context.</v>
      </c>
      <c r="E5" s="56"/>
      <c r="F5" s="54"/>
      <c r="G5" s="54"/>
      <c r="H5" s="57"/>
      <c r="I5" s="57"/>
      <c r="J5" s="57"/>
      <c r="K5" s="54"/>
    </row>
    <row r="6">
      <c r="A6" s="57"/>
      <c r="B6" s="57" t="str">
        <f>IFERROR(__xludf.DUMMYFUNCTION("""COMPUTED_VALUE"""),"Missing [GENEPIO:0001618]    ")</f>
        <v>Missing [GENEPIO:0001618]    </v>
      </c>
      <c r="C6" s="57" t="str">
        <f>IFERROR(__xludf.DUMMYFUNCTION("""COMPUTED_VALUE"""),"GENEPIO:0001618")</f>
        <v>GENEPIO:0001618</v>
      </c>
      <c r="D6" s="58" t="str">
        <f>IFERROR(__xludf.DUMMYFUNCTION("""COMPUTED_VALUE"""),"A categorical choice recorded when a datum is not included for an unknown reason.")</f>
        <v>A categorical choice recorded when a datum is not included for an unknown reason.</v>
      </c>
      <c r="E6" s="56"/>
      <c r="F6" s="54"/>
      <c r="G6" s="54"/>
      <c r="H6" s="57"/>
      <c r="I6" s="57"/>
      <c r="J6" s="57"/>
      <c r="K6" s="54"/>
    </row>
    <row r="7">
      <c r="A7" s="57"/>
      <c r="B7" s="57" t="str">
        <f>IFERROR(__xludf.DUMMYFUNCTION("""COMPUTED_VALUE"""),"Not Collected [GENEPIO:0001620]    ")</f>
        <v>Not Collected [GENEPIO:0001620]    </v>
      </c>
      <c r="C7" s="57" t="str">
        <f>IFERROR(__xludf.DUMMYFUNCTION("""COMPUTED_VALUE"""),"GENEPIO:0001620")</f>
        <v>GENEPIO:0001620</v>
      </c>
      <c r="D7" s="58" t="str">
        <f>IFERROR(__xludf.DUMMYFUNCTION("""COMPUTED_VALUE"""),"A categorical choice recorded when a datum was not measured or collected.")</f>
        <v>A categorical choice recorded when a datum was not measured or collected.</v>
      </c>
      <c r="E7" s="56"/>
      <c r="F7" s="54"/>
      <c r="G7" s="54"/>
      <c r="H7" s="57"/>
      <c r="I7" s="57"/>
      <c r="J7" s="57"/>
      <c r="K7" s="54"/>
    </row>
    <row r="8">
      <c r="A8" s="57"/>
      <c r="B8" s="57" t="str">
        <f>IFERROR(__xludf.DUMMYFUNCTION("""COMPUTED_VALUE"""),"Not Provided [GENEPIO:0001668]    ")</f>
        <v>Not Provided [GENEPIO:0001668]    </v>
      </c>
      <c r="C8" s="57" t="str">
        <f>IFERROR(__xludf.DUMMYFUNCTION("""COMPUTED_VALUE"""),"GENEPIO:0001668")</f>
        <v>GENEPIO:0001668</v>
      </c>
      <c r="D8" s="58" t="str">
        <f>IFERROR(__xludf.DUMMYFUNCTION("""COMPUTED_VALUE"""),"A categorical choice recorded when a datum was collected but is not currently provided in the information being shared. This value indicates the information may be shared at the later stage.")</f>
        <v>A categorical choice recorded when a datum was collected but is not currently provided in the information being shared. This value indicates the information may be shared at the later stage.</v>
      </c>
      <c r="E8" s="56"/>
      <c r="F8" s="54"/>
      <c r="G8" s="54"/>
      <c r="H8" s="57"/>
      <c r="I8" s="57"/>
      <c r="J8" s="57"/>
      <c r="K8" s="54"/>
    </row>
    <row r="9">
      <c r="A9" s="57"/>
      <c r="B9" s="57" t="str">
        <f>IFERROR(__xludf.DUMMYFUNCTION("""COMPUTED_VALUE"""),"Restricted Access [GENEPIO:0001810]    ")</f>
        <v>Restricted Access [GENEPIO:0001810]    </v>
      </c>
      <c r="C9" s="57" t="str">
        <f>IFERROR(__xludf.DUMMYFUNCTION("""COMPUTED_VALUE"""),"GENEPIO:0001810")</f>
        <v>GENEPIO:0001810</v>
      </c>
      <c r="D9" s="58" t="str">
        <f>IFERROR(__xludf.DUMMYFUNCTION("""COMPUTED_VALUE"""),"A categorical choice recorded when a given datum is available but not shared publicly because of information privacy concerns.")</f>
        <v>A categorical choice recorded when a given datum is available but not shared publicly because of information privacy concerns.</v>
      </c>
      <c r="E9" s="56"/>
      <c r="F9" s="54"/>
      <c r="G9" s="54"/>
      <c r="H9" s="54"/>
      <c r="I9" s="54"/>
      <c r="J9" s="54"/>
      <c r="K9" s="54"/>
    </row>
    <row r="10">
      <c r="A10" s="57" t="str">
        <f>IFERROR(__xludf.DUMMYFUNCTION("""COMPUTED_VALUE"""),"organism menu")</f>
        <v>organism menu</v>
      </c>
      <c r="B10" s="57" t="str">
        <f>IFERROR(__xludf.DUMMYFUNCTION("""COMPUTED_VALUE"""),"    ")</f>
        <v>    </v>
      </c>
      <c r="C10" s="57" t="str">
        <f>IFERROR(__xludf.DUMMYFUNCTION("""COMPUTED_VALUE"""),"")</f>
        <v/>
      </c>
      <c r="D10" s="58"/>
      <c r="E10" s="56"/>
      <c r="F10" s="54"/>
      <c r="G10" s="54"/>
      <c r="H10" s="57"/>
      <c r="I10" s="57"/>
      <c r="J10" s="57"/>
      <c r="K10" s="54"/>
    </row>
    <row r="11">
      <c r="A11" s="57"/>
      <c r="B11" s="57" t="str">
        <f>IFERROR(__xludf.DUMMYFUNCTION("""COMPUTED_VALUE"""),"Influenza A virus [NCBITaxon:11320]    ")</f>
        <v>Influenza A virus [NCBITaxon:11320]    </v>
      </c>
      <c r="C11" s="57" t="str">
        <f>IFERROR(__xludf.DUMMYFUNCTION("""COMPUTED_VALUE"""),"NCBITaxon:11320")</f>
        <v>NCBITaxon:11320</v>
      </c>
      <c r="D11" s="58"/>
      <c r="E11" s="56"/>
      <c r="F11" s="54"/>
      <c r="G11" s="54"/>
      <c r="H11" s="54"/>
      <c r="I11" s="54"/>
      <c r="J11" s="54"/>
      <c r="K11" s="54"/>
    </row>
    <row r="12">
      <c r="A12" s="57" t="str">
        <f>IFERROR(__xludf.DUMMYFUNCTION("""COMPUTED_VALUE"""),"influenza_subtype menu")</f>
        <v>influenza_subtype menu</v>
      </c>
      <c r="B12" s="57" t="str">
        <f>IFERROR(__xludf.DUMMYFUNCTION("""COMPUTED_VALUE"""),"    ")</f>
        <v>    </v>
      </c>
      <c r="C12" s="57" t="str">
        <f>IFERROR(__xludf.DUMMYFUNCTION("""COMPUTED_VALUE"""),"")</f>
        <v/>
      </c>
      <c r="D12" s="58"/>
      <c r="E12" s="56"/>
      <c r="F12" s="54"/>
      <c r="G12" s="54"/>
      <c r="H12" s="57"/>
      <c r="I12" s="57"/>
      <c r="J12" s="57"/>
      <c r="K12" s="54"/>
    </row>
    <row r="13">
      <c r="A13" s="57"/>
      <c r="B13" s="57" t="str">
        <f>IFERROR(__xludf.DUMMYFUNCTION("""COMPUTED_VALUE"""),"H5N1 subtype (Influenza A virus) [NCBITaxon:102793]    ")</f>
        <v>H5N1 subtype (Influenza A virus) [NCBITaxon:102793]    </v>
      </c>
      <c r="C13" s="57" t="str">
        <f>IFERROR(__xludf.DUMMYFUNCTION("""COMPUTED_VALUE"""),"NCBITaxon:102793")</f>
        <v>NCBITaxon:102793</v>
      </c>
      <c r="D13" s="58"/>
      <c r="E13" s="56"/>
      <c r="F13" s="54"/>
      <c r="G13" s="54"/>
      <c r="H13" s="54"/>
      <c r="I13" s="54"/>
      <c r="J13" s="54"/>
      <c r="K13" s="54"/>
    </row>
    <row r="14">
      <c r="A14" s="57" t="str">
        <f>IFERROR(__xludf.DUMMYFUNCTION("""COMPUTED_VALUE"""),"influenza_subtyping_scheme_name menu")</f>
        <v>influenza_subtyping_scheme_name menu</v>
      </c>
      <c r="B14" s="57" t="str">
        <f>IFERROR(__xludf.DUMMYFUNCTION("""COMPUTED_VALUE"""),"    ")</f>
        <v>    </v>
      </c>
      <c r="C14" s="57" t="str">
        <f>IFERROR(__xludf.DUMMYFUNCTION("""COMPUTED_VALUE"""),"")</f>
        <v/>
      </c>
      <c r="D14" s="58"/>
      <c r="E14" s="56"/>
      <c r="F14" s="54"/>
      <c r="G14" s="54"/>
      <c r="H14" s="57"/>
      <c r="I14" s="57"/>
      <c r="J14" s="57"/>
      <c r="K14" s="54"/>
    </row>
    <row r="15">
      <c r="A15" s="57"/>
      <c r="B15" s="57" t="str">
        <f>IFERROR(__xludf.DUMMYFUNCTION("""COMPUTED_VALUE"""),"Tripartite Influenza A scheme [GENEPIO:0101121]    ")</f>
        <v>Tripartite Influenza A scheme [GENEPIO:0101121]    </v>
      </c>
      <c r="C15" s="57" t="str">
        <f>IFERROR(__xludf.DUMMYFUNCTION("""COMPUTED_VALUE"""),"GENEPIO:0101121")</f>
        <v>GENEPIO:0101121</v>
      </c>
      <c r="D15" s="58"/>
      <c r="E15" s="56"/>
      <c r="F15" s="54"/>
      <c r="G15" s="54"/>
      <c r="H15" s="57"/>
      <c r="I15" s="57"/>
      <c r="J15" s="57"/>
      <c r="K15" s="54"/>
    </row>
    <row r="16">
      <c r="A16" s="57"/>
      <c r="B16" s="57" t="str">
        <f>IFERROR(__xludf.DUMMYFUNCTION("""COMPUTED_VALUE"""),"USDA GenoFLU scheme [GENEPIO:0101122]    ")</f>
        <v>USDA GenoFLU scheme [GENEPIO:0101122]    </v>
      </c>
      <c r="C16" s="57" t="str">
        <f>IFERROR(__xludf.DUMMYFUNCTION("""COMPUTED_VALUE"""),"GENEPIO:0101122")</f>
        <v>GENEPIO:0101122</v>
      </c>
      <c r="D16" s="58"/>
      <c r="E16" s="56"/>
      <c r="F16" s="54"/>
      <c r="G16" s="54"/>
      <c r="H16" s="54"/>
      <c r="I16" s="54"/>
      <c r="J16" s="54"/>
      <c r="K16" s="54"/>
    </row>
    <row r="17">
      <c r="A17" s="57" t="str">
        <f>IFERROR(__xludf.DUMMYFUNCTION("""COMPUTED_VALUE"""),"taxonomic_identification_process menu")</f>
        <v>taxonomic_identification_process menu</v>
      </c>
      <c r="B17" s="57" t="str">
        <f>IFERROR(__xludf.DUMMYFUNCTION("""COMPUTED_VALUE"""),"    ")</f>
        <v>    </v>
      </c>
      <c r="C17" s="57" t="str">
        <f>IFERROR(__xludf.DUMMYFUNCTION("""COMPUTED_VALUE"""),"")</f>
        <v/>
      </c>
      <c r="D17" s="58"/>
      <c r="E17" s="56"/>
      <c r="F17" s="54"/>
      <c r="G17" s="54"/>
      <c r="H17" s="57"/>
      <c r="I17" s="57"/>
      <c r="J17" s="57"/>
      <c r="K17" s="54"/>
    </row>
    <row r="18">
      <c r="A18" s="57"/>
      <c r="B18" s="57" t="str">
        <f>IFERROR(__xludf.DUMMYFUNCTION("""COMPUTED_VALUE"""),"Whole genome sequencing assay [OBI:0002117]    ")</f>
        <v>Whole genome sequencing assay [OBI:0002117]    </v>
      </c>
      <c r="C18" s="57" t="str">
        <f>IFERROR(__xludf.DUMMYFUNCTION("""COMPUTED_VALUE"""),"OBI:0002117")</f>
        <v>OBI:0002117</v>
      </c>
      <c r="D18" s="58" t="str">
        <f>IFERROR(__xludf.DUMMYFUNCTION("""COMPUTED_VALUE"""),"A DNA sequencing assay that intends to provide information about the sequence of an entire genome of an organism.")</f>
        <v>A DNA sequencing assay that intends to provide information about the sequence of an entire genome of an organism.</v>
      </c>
      <c r="E18" s="56"/>
      <c r="F18" s="54"/>
      <c r="G18" s="54"/>
      <c r="H18" s="57"/>
      <c r="I18" s="57"/>
      <c r="J18" s="57"/>
      <c r="K18" s="54"/>
    </row>
    <row r="19">
      <c r="A19" s="57"/>
      <c r="B19" s="57" t="str">
        <f>IFERROR(__xludf.DUMMYFUNCTION("""COMPUTED_VALUE"""),"Whole metagenome sequencing assay [OBI:0002623]    ")</f>
        <v>Whole metagenome sequencing assay [OBI:0002623]    </v>
      </c>
      <c r="C19" s="57" t="str">
        <f>IFERROR(__xludf.DUMMYFUNCTION("""COMPUTED_VALUE"""),"OBI:0002623")</f>
        <v>OBI:0002623</v>
      </c>
      <c r="D19" s="58" t="str">
        <f>IFERROR(__xludf.DUMMYFUNCTION("""COMPUTED_VALUE"""),"A DNA sequencing assay that intends to provide information on the DNA sequences of multiple genomes (a metagenome) from different organisms present in the same input sample.")</f>
        <v>A DNA sequencing assay that intends to provide information on the DNA sequences of multiple genomes (a metagenome) from different organisms present in the same input sample.</v>
      </c>
      <c r="E19" s="56"/>
      <c r="F19" s="54"/>
      <c r="G19" s="54"/>
      <c r="H19" s="57"/>
      <c r="I19" s="57"/>
      <c r="J19" s="57"/>
      <c r="K19" s="54"/>
    </row>
    <row r="20">
      <c r="A20" s="57"/>
      <c r="B20" s="57" t="str">
        <f>IFERROR(__xludf.DUMMYFUNCTION("""COMPUTED_VALUE"""),"16S ribosomal gene sequencing assay [OBI:0002763]    ")</f>
        <v>16S ribosomal gene sequencing assay [OBI:0002763]    </v>
      </c>
      <c r="C20" s="57" t="str">
        <f>IFERROR(__xludf.DUMMYFUNCTION("""COMPUTED_VALUE"""),"OBI:0002763")</f>
        <v>OBI:0002763</v>
      </c>
      <c r="D20" s="58" t="str">
        <f>IFERROR(__xludf.DUMMYFUNCTION("""COMPUTED_VALUE"""),"An amplicon sequencing assay in which the amplicon is derived from universal primers used to amplify the 16S ribosomal RNA gene from isolate bacterial genomic DNA or metagenomic DNA from a microbioal community. Resulting sequences are compared to referenc"&amp;"e 16S sequence databases to identify or classify bacteria present within a given sample.")</f>
        <v>An amplicon sequencing assay in which the amplicon is derived from universal primers used to amplify the 16S ribosomal RNA gene from isolate bacterial genomic DNA or metagenomic DNA from a microbioal community. Resulting sequences are compared to reference 16S sequence databases to identify or classify bacteria present within a given sample.</v>
      </c>
      <c r="E20" s="56"/>
      <c r="F20" s="54"/>
      <c r="G20" s="54"/>
      <c r="H20" s="57"/>
      <c r="I20" s="57"/>
      <c r="J20" s="57"/>
      <c r="K20" s="54"/>
    </row>
    <row r="21">
      <c r="A21" s="57"/>
      <c r="B21" s="57" t="str">
        <f>IFERROR(__xludf.DUMMYFUNCTION("""COMPUTED_VALUE"""),"PCR assay [OBI:0002740]    ")</f>
        <v>PCR assay [OBI:0002740]    </v>
      </c>
      <c r="C21" s="57" t="str">
        <f>IFERROR(__xludf.DUMMYFUNCTION("""COMPUTED_VALUE"""),"OBI:0002740")</f>
        <v>OBI:0002740</v>
      </c>
      <c r="D21" s="58" t="str">
        <f>IFERROR(__xludf.DUMMYFUNCTION("""COMPUTED_VALUE"""),"An organism identification assay that is based on PCR.")</f>
        <v>An organism identification assay that is based on PCR.</v>
      </c>
      <c r="E21" s="56"/>
      <c r="F21" s="54"/>
      <c r="G21" s="54"/>
      <c r="H21" s="57"/>
      <c r="I21" s="57"/>
      <c r="J21" s="57"/>
      <c r="K21" s="54"/>
    </row>
    <row r="22">
      <c r="A22" s="57"/>
      <c r="B22" s="57" t="str">
        <f>IFERROR(__xludf.DUMMYFUNCTION("""COMPUTED_VALUE"""),"Comparative phenotypic assessment [OBI:0001546]    ")</f>
        <v>Comparative phenotypic assessment [OBI:0001546]    </v>
      </c>
      <c r="C22" s="57" t="str">
        <f>IFERROR(__xludf.DUMMYFUNCTION("""COMPUTED_VALUE"""),"OBI:0001546")</f>
        <v>OBI:0001546</v>
      </c>
      <c r="D22" s="58" t="str">
        <f>IFERROR(__xludf.DUMMYFUNCTION("""COMPUTED_VALUE"""),"Interpreting data from assays that evaluate the qualities or dispositions inhering in an organism or organism part and comparing it to data from other organisms to make a conclusion about a phenotypic difference")</f>
        <v>Interpreting data from assays that evaluate the qualities or dispositions inhering in an organism or organism part and comparing it to data from other organisms to make a conclusion about a phenotypic difference</v>
      </c>
      <c r="E22" s="56"/>
      <c r="F22" s="54"/>
      <c r="G22" s="54"/>
      <c r="H22" s="54"/>
      <c r="I22" s="54"/>
      <c r="J22" s="54"/>
      <c r="K22" s="54"/>
    </row>
    <row r="23">
      <c r="A23" s="57" t="str">
        <f>IFERROR(__xludf.DUMMYFUNCTION("""COMPUTED_VALUE"""),"sample_collection_time_of_day menu")</f>
        <v>sample_collection_time_of_day menu</v>
      </c>
      <c r="B23" s="57" t="str">
        <f>IFERROR(__xludf.DUMMYFUNCTION("""COMPUTED_VALUE"""),"    ")</f>
        <v>    </v>
      </c>
      <c r="C23" s="57" t="str">
        <f>IFERROR(__xludf.DUMMYFUNCTION("""COMPUTED_VALUE"""),"")</f>
        <v/>
      </c>
      <c r="D23" s="58"/>
      <c r="E23" s="56"/>
      <c r="F23" s="54"/>
      <c r="G23" s="54"/>
      <c r="H23" s="57"/>
      <c r="I23" s="57"/>
      <c r="J23" s="57"/>
      <c r="K23" s="54"/>
    </row>
    <row r="24">
      <c r="A24" s="57"/>
      <c r="B24" s="57" t="str">
        <f>IFERROR(__xludf.DUMMYFUNCTION("""COMPUTED_VALUE"""),"Morning [NCIT:C64934]    ")</f>
        <v>Morning [NCIT:C64934]    </v>
      </c>
      <c r="C24" s="57" t="str">
        <f>IFERROR(__xludf.DUMMYFUNCTION("""COMPUTED_VALUE"""),"NCIT:C64934")</f>
        <v>NCIT:C64934</v>
      </c>
      <c r="D24" s="58" t="str">
        <f>IFERROR(__xludf.DUMMYFUNCTION("""COMPUTED_VALUE"""),"The time period between dawn and noon.")</f>
        <v>The time period between dawn and noon.</v>
      </c>
      <c r="E24" s="56"/>
      <c r="F24" s="54"/>
      <c r="G24" s="54"/>
      <c r="H24" s="57"/>
      <c r="I24" s="57"/>
      <c r="J24" s="57"/>
      <c r="K24" s="54"/>
    </row>
    <row r="25">
      <c r="A25" s="57"/>
      <c r="B25" s="57" t="str">
        <f>IFERROR(__xludf.DUMMYFUNCTION("""COMPUTED_VALUE"""),"Afternoon [NCIT:C64935]    ")</f>
        <v>Afternoon [NCIT:C64935]    </v>
      </c>
      <c r="C25" s="57" t="str">
        <f>IFERROR(__xludf.DUMMYFUNCTION("""COMPUTED_VALUE"""),"NCIT:C64935")</f>
        <v>NCIT:C64935</v>
      </c>
      <c r="D25" s="58" t="str">
        <f>IFERROR(__xludf.DUMMYFUNCTION("""COMPUTED_VALUE"""),"The time period between noon and sunset.")</f>
        <v>The time period between noon and sunset.</v>
      </c>
      <c r="E25" s="56"/>
      <c r="F25" s="54"/>
      <c r="G25" s="54"/>
      <c r="H25" s="57"/>
      <c r="I25" s="57"/>
      <c r="J25" s="57"/>
      <c r="K25" s="54"/>
    </row>
    <row r="26">
      <c r="A26" s="57"/>
      <c r="B26" s="57" t="str">
        <f>IFERROR(__xludf.DUMMYFUNCTION("""COMPUTED_VALUE"""),"Evening [NCIT:C64936]    ")</f>
        <v>Evening [NCIT:C64936]    </v>
      </c>
      <c r="C26" s="57" t="str">
        <f>IFERROR(__xludf.DUMMYFUNCTION("""COMPUTED_VALUE"""),"NCIT:C64936")</f>
        <v>NCIT:C64936</v>
      </c>
      <c r="D26" s="58" t="str">
        <f>IFERROR(__xludf.DUMMYFUNCTION("""COMPUTED_VALUE"""),"The time period between late afternoon and bedtime.")</f>
        <v>The time period between late afternoon and bedtime.</v>
      </c>
      <c r="E26" s="56"/>
      <c r="F26" s="54"/>
      <c r="G26" s="54"/>
      <c r="H26" s="57"/>
      <c r="I26" s="57"/>
      <c r="J26" s="57"/>
      <c r="K26" s="54"/>
    </row>
    <row r="27">
      <c r="A27" s="57"/>
      <c r="B27" s="57" t="str">
        <f>IFERROR(__xludf.DUMMYFUNCTION("""COMPUTED_VALUE"""),"Night [NCIT:C65001]    ")</f>
        <v>Night [NCIT:C65001]    </v>
      </c>
      <c r="C27" s="57" t="str">
        <f>IFERROR(__xludf.DUMMYFUNCTION("""COMPUTED_VALUE"""),"NCIT:C65001")</f>
        <v>NCIT:C65001</v>
      </c>
      <c r="D27" s="58" t="str">
        <f>IFERROR(__xludf.DUMMYFUNCTION("""COMPUTED_VALUE"""),"The time in every 24 hour period when it is dark.")</f>
        <v>The time in every 24 hour period when it is dark.</v>
      </c>
      <c r="E27" s="56"/>
      <c r="F27" s="54"/>
      <c r="G27" s="54"/>
      <c r="H27" s="54"/>
      <c r="I27" s="54"/>
      <c r="J27" s="54"/>
      <c r="K27" s="54"/>
    </row>
    <row r="28">
      <c r="A28" s="57" t="str">
        <f>IFERROR(__xludf.DUMMYFUNCTION("""COMPUTED_VALUE"""),"sample_collection_duration_unit menu")</f>
        <v>sample_collection_duration_unit menu</v>
      </c>
      <c r="B28" s="57" t="str">
        <f>IFERROR(__xludf.DUMMYFUNCTION("""COMPUTED_VALUE"""),"    ")</f>
        <v>    </v>
      </c>
      <c r="C28" s="57" t="str">
        <f>IFERROR(__xludf.DUMMYFUNCTION("""COMPUTED_VALUE"""),"")</f>
        <v/>
      </c>
      <c r="D28" s="58"/>
      <c r="E28" s="56"/>
      <c r="F28" s="54"/>
      <c r="G28" s="54"/>
      <c r="H28" s="57"/>
      <c r="I28" s="57"/>
      <c r="J28" s="57"/>
      <c r="K28" s="54"/>
    </row>
    <row r="29">
      <c r="A29" s="57"/>
      <c r="B29" s="57" t="str">
        <f>IFERROR(__xludf.DUMMYFUNCTION("""COMPUTED_VALUE"""),"Second [UO:0000010]    ")</f>
        <v>Second [UO:0000010]    </v>
      </c>
      <c r="C29" s="57" t="str">
        <f>IFERROR(__xludf.DUMMYFUNCTION("""COMPUTED_VALUE"""),"UO:0000010")</f>
        <v>UO:0000010</v>
      </c>
      <c r="D29" s="58" t="str">
        <f>IFERROR(__xludf.DUMMYFUNCTION("""COMPUTED_VALUE"""),"A time unit which is equal to the duration of 9 192 631 770 periods of the radiation corresponding to the transition between the two hyperfine levels of the ground state of the caesium 133 atom.")</f>
        <v>A time unit which is equal to the duration of 9 192 631 770 periods of the radiation corresponding to the transition between the two hyperfine levels of the ground state of the caesium 133 atom.</v>
      </c>
      <c r="E29" s="56"/>
      <c r="F29" s="54"/>
      <c r="G29" s="54"/>
      <c r="H29" s="57"/>
      <c r="I29" s="57"/>
      <c r="J29" s="57"/>
      <c r="K29" s="54"/>
    </row>
    <row r="30">
      <c r="A30" s="57"/>
      <c r="B30" s="57" t="str">
        <f>IFERROR(__xludf.DUMMYFUNCTION("""COMPUTED_VALUE"""),"Minute [UO:0000031]    ")</f>
        <v>Minute [UO:0000031]    </v>
      </c>
      <c r="C30" s="57" t="str">
        <f>IFERROR(__xludf.DUMMYFUNCTION("""COMPUTED_VALUE"""),"UO:0000031")</f>
        <v>UO:0000031</v>
      </c>
      <c r="D30" s="58" t="str">
        <f>IFERROR(__xludf.DUMMYFUNCTION("""COMPUTED_VALUE"""),"A time unit which is equal to 60 seconds.")</f>
        <v>A time unit which is equal to 60 seconds.</v>
      </c>
      <c r="E30" s="56"/>
      <c r="F30" s="54"/>
      <c r="G30" s="54"/>
      <c r="H30" s="57"/>
      <c r="I30" s="57"/>
      <c r="J30" s="57"/>
      <c r="K30" s="54"/>
    </row>
    <row r="31">
      <c r="A31" s="57"/>
      <c r="B31" s="57" t="str">
        <f>IFERROR(__xludf.DUMMYFUNCTION("""COMPUTED_VALUE"""),"Hour [UO:0000032]    ")</f>
        <v>Hour [UO:0000032]    </v>
      </c>
      <c r="C31" s="57" t="str">
        <f>IFERROR(__xludf.DUMMYFUNCTION("""COMPUTED_VALUE"""),"UO:0000032")</f>
        <v>UO:0000032</v>
      </c>
      <c r="D31" s="58" t="str">
        <f>IFERROR(__xludf.DUMMYFUNCTION("""COMPUTED_VALUE"""),"A time unit which is equal to 60 minutes.")</f>
        <v>A time unit which is equal to 60 minutes.</v>
      </c>
      <c r="E31" s="56"/>
      <c r="F31" s="54"/>
      <c r="G31" s="54"/>
      <c r="H31" s="57"/>
      <c r="I31" s="57"/>
      <c r="J31" s="57"/>
      <c r="K31" s="54"/>
    </row>
    <row r="32">
      <c r="A32" s="57"/>
      <c r="B32" s="57" t="str">
        <f>IFERROR(__xludf.DUMMYFUNCTION("""COMPUTED_VALUE"""),"Day [UO:0000033]    ")</f>
        <v>Day [UO:0000033]    </v>
      </c>
      <c r="C32" s="57" t="str">
        <f>IFERROR(__xludf.DUMMYFUNCTION("""COMPUTED_VALUE"""),"UO:0000033")</f>
        <v>UO:0000033</v>
      </c>
      <c r="D32" s="58" t="str">
        <f>IFERROR(__xludf.DUMMYFUNCTION("""COMPUTED_VALUE"""),"A time unit which is equal to 24 hours.")</f>
        <v>A time unit which is equal to 24 hours.</v>
      </c>
      <c r="E32" s="56"/>
      <c r="F32" s="54"/>
      <c r="G32" s="54"/>
      <c r="H32" s="57"/>
      <c r="I32" s="57"/>
      <c r="J32" s="57"/>
      <c r="K32" s="54"/>
    </row>
    <row r="33">
      <c r="A33" s="57"/>
      <c r="B33" s="57" t="str">
        <f>IFERROR(__xludf.DUMMYFUNCTION("""COMPUTED_VALUE"""),"Week [UO:0000034]    ")</f>
        <v>Week [UO:0000034]    </v>
      </c>
      <c r="C33" s="57" t="str">
        <f>IFERROR(__xludf.DUMMYFUNCTION("""COMPUTED_VALUE"""),"UO:0000034")</f>
        <v>UO:0000034</v>
      </c>
      <c r="D33" s="58" t="str">
        <f>IFERROR(__xludf.DUMMYFUNCTION("""COMPUTED_VALUE"""),"A time unit which is equal to 7 days.")</f>
        <v>A time unit which is equal to 7 days.</v>
      </c>
      <c r="E33" s="56"/>
      <c r="F33" s="54"/>
      <c r="G33" s="54"/>
      <c r="H33" s="57"/>
      <c r="I33" s="57"/>
      <c r="J33" s="57"/>
      <c r="K33" s="54"/>
    </row>
    <row r="34">
      <c r="A34" s="57"/>
      <c r="B34" s="57" t="str">
        <f>IFERROR(__xludf.DUMMYFUNCTION("""COMPUTED_VALUE"""),"Month [UO:0000035]    ")</f>
        <v>Month [UO:0000035]    </v>
      </c>
      <c r="C34" s="57" t="str">
        <f>IFERROR(__xludf.DUMMYFUNCTION("""COMPUTED_VALUE"""),"UO:0000035")</f>
        <v>UO:0000035</v>
      </c>
      <c r="D34" s="58" t="str">
        <f>IFERROR(__xludf.DUMMYFUNCTION("""COMPUTED_VALUE"""),"A time unit which is equal to approximately 4-4.5 weeks or 28-31 days.")</f>
        <v>A time unit which is equal to approximately 4-4.5 weeks or 28-31 days.</v>
      </c>
      <c r="E34" s="56"/>
      <c r="F34" s="54"/>
      <c r="G34" s="54"/>
      <c r="H34" s="57"/>
      <c r="I34" s="57"/>
      <c r="J34" s="57"/>
      <c r="K34" s="54"/>
    </row>
    <row r="35">
      <c r="A35" s="57"/>
      <c r="B35" s="57" t="str">
        <f>IFERROR(__xludf.DUMMYFUNCTION("""COMPUTED_VALUE"""),"Year [UO:0000036]    ")</f>
        <v>Year [UO:0000036]    </v>
      </c>
      <c r="C35" s="57" t="str">
        <f>IFERROR(__xludf.DUMMYFUNCTION("""COMPUTED_VALUE"""),"UO:0000036")</f>
        <v>UO:0000036</v>
      </c>
      <c r="D35" s="58" t="str">
        <f>IFERROR(__xludf.DUMMYFUNCTION("""COMPUTED_VALUE"""),"A time unit which is equal to 365 days, or 366 days during a leap year.")</f>
        <v>A time unit which is equal to 365 days, or 366 days during a leap year.</v>
      </c>
      <c r="E35" s="56"/>
      <c r="F35" s="54"/>
      <c r="G35" s="54"/>
      <c r="H35" s="54"/>
      <c r="I35" s="54"/>
      <c r="J35" s="54"/>
      <c r="K35" s="54"/>
    </row>
    <row r="36">
      <c r="A36" s="57"/>
      <c r="B36" s="57" t="str">
        <f>IFERROR(__xludf.DUMMYFUNCTION("""COMPUTED_VALUE"""),"    ")</f>
        <v>    </v>
      </c>
      <c r="C36" s="57" t="str">
        <f>IFERROR(__xludf.DUMMYFUNCTION("""COMPUTED_VALUE"""),"")</f>
        <v/>
      </c>
      <c r="D36" s="58"/>
      <c r="E36" s="56"/>
      <c r="F36" s="54"/>
      <c r="G36" s="54"/>
      <c r="H36" s="54"/>
      <c r="I36" s="54"/>
      <c r="J36" s="54"/>
      <c r="K36" s="54"/>
    </row>
    <row r="37">
      <c r="A37" s="57" t="str">
        <f>IFERROR(__xludf.DUMMYFUNCTION("""COMPUTED_VALUE"""),"food_product menu")</f>
        <v>food_product menu</v>
      </c>
      <c r="B37" s="57" t="str">
        <f>IFERROR(__xludf.DUMMYFUNCTION("""COMPUTED_VALUE"""),"    ")</f>
        <v>    </v>
      </c>
      <c r="C37" s="57" t="str">
        <f>IFERROR(__xludf.DUMMYFUNCTION("""COMPUTED_VALUE"""),"")</f>
        <v/>
      </c>
      <c r="D37" s="58"/>
      <c r="E37" s="56"/>
      <c r="F37" s="54"/>
      <c r="G37" s="54"/>
      <c r="H37" s="57"/>
      <c r="I37" s="57"/>
      <c r="J37" s="57"/>
      <c r="K37" s="54"/>
    </row>
    <row r="38">
      <c r="A38" s="57"/>
      <c r="B38" s="57" t="str">
        <f>IFERROR(__xludf.DUMMYFUNCTION("""COMPUTED_VALUE"""),"Animal feed [ENVO:02000047]    ")</f>
        <v>Animal feed [ENVO:02000047]    </v>
      </c>
      <c r="C38" s="57" t="str">
        <f>IFERROR(__xludf.DUMMYFUNCTION("""COMPUTED_VALUE"""),"ENVO:02000047")</f>
        <v>ENVO:02000047</v>
      </c>
      <c r="D38" s="58" t="str">
        <f>IFERROR(__xludf.DUMMYFUNCTION("""COMPUTED_VALUE"""),"Food material which can be used to meet nutritional requirements of animals, particularly livestock such as cattle, goats, sheep, horses, chickens and pigs.")</f>
        <v>Food material which can be used to meet nutritional requirements of animals, particularly livestock such as cattle, goats, sheep, horses, chickens and pigs.</v>
      </c>
      <c r="E38" s="56"/>
      <c r="F38" s="54"/>
      <c r="G38" s="54"/>
      <c r="H38" s="57"/>
      <c r="I38" s="57"/>
      <c r="J38" s="57"/>
      <c r="K38" s="54"/>
    </row>
    <row r="39">
      <c r="A39" s="57"/>
      <c r="B39" s="57" t="str">
        <f>IFERROR(__xludf.DUMMYFUNCTION("""COMPUTED_VALUE""")," Blood meal [FOODON:00001564]   ")</f>
        <v> Blood meal [FOODON:00001564]   </v>
      </c>
      <c r="C39" s="57" t="str">
        <f>IFERROR(__xludf.DUMMYFUNCTION("""COMPUTED_VALUE"""),"FOODON:00001564")</f>
        <v>FOODON:00001564</v>
      </c>
      <c r="D39" s="58" t="str">
        <f>IFERROR(__xludf.DUMMYFUNCTION("""COMPUTED_VALUE"""),"Blood meal is a dry, inert powder made from blood used as a high-nitrogen organic fertilizer and a high protein animal feed.")</f>
        <v>Blood meal is a dry, inert powder made from blood used as a high-nitrogen organic fertilizer and a high protein animal feed.</v>
      </c>
      <c r="E39" s="56"/>
      <c r="F39" s="54"/>
      <c r="G39" s="54"/>
      <c r="H39" s="57"/>
      <c r="I39" s="57"/>
      <c r="J39" s="57"/>
      <c r="K39" s="54"/>
    </row>
    <row r="40">
      <c r="A40" s="57"/>
      <c r="B40" s="57" t="str">
        <f>IFERROR(__xludf.DUMMYFUNCTION("""COMPUTED_VALUE""")," Bone meal [ENVO:02000054]   ")</f>
        <v> Bone meal [ENVO:02000054]   </v>
      </c>
      <c r="C40" s="57" t="str">
        <f>IFERROR(__xludf.DUMMYFUNCTION("""COMPUTED_VALUE"""),"ENVO:02000054")</f>
        <v>ENVO:02000054</v>
      </c>
      <c r="D40" s="58" t="str">
        <f>IFERROR(__xludf.DUMMYFUNCTION("""COMPUTED_VALUE"""),"A mixture of crushed and coarsely ground bones that is used as an organic fertilizer for plants and formerly in animal feed.")</f>
        <v>A mixture of crushed and coarsely ground bones that is used as an organic fertilizer for plants and formerly in animal feed.</v>
      </c>
      <c r="E40" s="56"/>
      <c r="F40" s="54"/>
      <c r="G40" s="54"/>
      <c r="H40" s="57"/>
      <c r="I40" s="57"/>
      <c r="J40" s="57"/>
      <c r="K40" s="54"/>
    </row>
    <row r="41">
      <c r="A41" s="57"/>
      <c r="B41" s="57" t="str">
        <f>IFERROR(__xludf.DUMMYFUNCTION("""COMPUTED_VALUE""")," Brassica carinata meal [FOODON:00004310]   ")</f>
        <v> Brassica carinata meal [FOODON:00004310]   </v>
      </c>
      <c r="C41" s="57" t="str">
        <f>IFERROR(__xludf.DUMMYFUNCTION("""COMPUTED_VALUE"""),"FOODON:00004310")</f>
        <v>FOODON:00004310</v>
      </c>
      <c r="D41" s="58" t="str">
        <f>IFERROR(__xludf.DUMMYFUNCTION("""COMPUTED_VALUE"""),"A meal that is a co-product produced after the extraction of oil from the seed of the Ethiopian mustard plant (Brassica carinata).")</f>
        <v>A meal that is a co-product produced after the extraction of oil from the seed of the Ethiopian mustard plant (Brassica carinata).</v>
      </c>
      <c r="E41" s="56"/>
      <c r="F41" s="54"/>
      <c r="G41" s="54"/>
      <c r="H41" s="57"/>
      <c r="I41" s="57"/>
      <c r="J41" s="57"/>
      <c r="K41" s="54"/>
    </row>
    <row r="42">
      <c r="A42" s="57"/>
      <c r="B42" s="57" t="str">
        <f>IFERROR(__xludf.DUMMYFUNCTION("""COMPUTED_VALUE""")," Canola meal [FOODON:00002694]   ")</f>
        <v> Canola meal [FOODON:00002694]   </v>
      </c>
      <c r="C42" s="57" t="str">
        <f>IFERROR(__xludf.DUMMYFUNCTION("""COMPUTED_VALUE"""),"FOODON:00002694")</f>
        <v>FOODON:00002694</v>
      </c>
      <c r="D42" s="58" t="str">
        <f>IFERROR(__xludf.DUMMYFUNCTION("""COMPUTED_VALUE"""),"Canola meal is an oilseed meal made from canola grain. Canola meal is a by-product of the oil crushing process.")</f>
        <v>Canola meal is an oilseed meal made from canola grain. Canola meal is a by-product of the oil crushing process.</v>
      </c>
      <c r="E42" s="56"/>
      <c r="F42" s="54"/>
      <c r="G42" s="54"/>
      <c r="H42" s="57"/>
      <c r="I42" s="57"/>
      <c r="J42" s="57"/>
      <c r="K42" s="54"/>
    </row>
    <row r="43">
      <c r="A43" s="57"/>
      <c r="B43" s="57" t="str">
        <f>IFERROR(__xludf.DUMMYFUNCTION("""COMPUTED_VALUE""")," Compound feed premix [FOODON:00004323]   ")</f>
        <v> Compound feed premix [FOODON:00004323]   </v>
      </c>
      <c r="C43" s="57" t="str">
        <f>IFERROR(__xludf.DUMMYFUNCTION("""COMPUTED_VALUE"""),"FOODON:00004323")</f>
        <v>FOODON:00004323</v>
      </c>
      <c r="D43" s="58" t="str">
        <f>IFERROR(__xludf.DUMMYFUNCTION("""COMPUTED_VALUE"""),"A formula mixture of micronutrients that is used as a component in compound feed.")</f>
        <v>A formula mixture of micronutrients that is used as a component in compound feed.</v>
      </c>
      <c r="E43" s="56"/>
      <c r="F43" s="54"/>
      <c r="G43" s="54"/>
      <c r="H43" s="57"/>
      <c r="I43" s="57"/>
      <c r="J43" s="57"/>
      <c r="K43" s="54"/>
    </row>
    <row r="44">
      <c r="A44" s="57"/>
      <c r="B44" s="57" t="str">
        <f>IFERROR(__xludf.DUMMYFUNCTION("""COMPUTED_VALUE"""),"  Compound feed premix (medicated) [FOODON:00004324]  ")</f>
        <v>  Compound feed premix (medicated) [FOODON:00004324]  </v>
      </c>
      <c r="C44" s="57" t="str">
        <f>IFERROR(__xludf.DUMMYFUNCTION("""COMPUTED_VALUE"""),"FOODON:00004324")</f>
        <v>FOODON:00004324</v>
      </c>
      <c r="D44" s="58" t="str">
        <f>IFERROR(__xludf.DUMMYFUNCTION("""COMPUTED_VALUE"""),"A compound feed premix in which medicinal substance has been added.")</f>
        <v>A compound feed premix in which medicinal substance has been added.</v>
      </c>
      <c r="E44" s="56"/>
      <c r="F44" s="54"/>
      <c r="G44" s="54"/>
      <c r="H44" s="57"/>
      <c r="I44" s="57"/>
      <c r="J44" s="57"/>
      <c r="K44" s="54"/>
    </row>
    <row r="45">
      <c r="A45" s="57"/>
      <c r="B45" s="57" t="str">
        <f>IFERROR(__xludf.DUMMYFUNCTION("""COMPUTED_VALUE""")," Feather meal [FOODON:00003927]   ")</f>
        <v> Feather meal [FOODON:00003927]   </v>
      </c>
      <c r="C45" s="57" t="str">
        <f>IFERROR(__xludf.DUMMYFUNCTION("""COMPUTED_VALUE"""),"FOODON:00003927")</f>
        <v>FOODON:00003927</v>
      </c>
      <c r="D45" s="58" t="str">
        <f>IFERROR(__xludf.DUMMYFUNCTION("""COMPUTED_VALUE"""),"A by product of processing poultry which is made from poultry feathers by partially grinding them under elevated heat and pressure, and then grinding and drying.")</f>
        <v>A by product of processing poultry which is made from poultry feathers by partially grinding them under elevated heat and pressure, and then grinding and drying.</v>
      </c>
      <c r="E45" s="56"/>
      <c r="F45" s="54"/>
      <c r="G45" s="54"/>
      <c r="H45" s="57"/>
      <c r="I45" s="57"/>
      <c r="J45" s="57"/>
      <c r="K45" s="54"/>
    </row>
    <row r="46">
      <c r="A46" s="57"/>
      <c r="B46" s="57" t="str">
        <f>IFERROR(__xludf.DUMMYFUNCTION("""COMPUTED_VALUE""")," Fish meal [FOODON:03301620]   ")</f>
        <v> Fish meal [FOODON:03301620]   </v>
      </c>
      <c r="C46" s="57" t="str">
        <f>IFERROR(__xludf.DUMMYFUNCTION("""COMPUTED_VALUE"""),"FOODON:03301620")</f>
        <v>FOODON:03301620</v>
      </c>
      <c r="D46" s="58" t="str">
        <f>IFERROR(__xludf.DUMMYFUNCTION("""COMPUTED_VALUE"""),"Fish meal is primarily used as a protein supplement in compound feed. As of 2010, about 56% of fish meal was used to feed farmed fish, about 20% was used in pig feed, about 12% in poultry feed, and about 12% in other uses, which included fertilizer.")</f>
        <v>Fish meal is primarily used as a protein supplement in compound feed. As of 2010, about 56% of fish meal was used to feed farmed fish, about 20% was used in pig feed, about 12% in poultry feed, and about 12% in other uses, which included fertilizer.</v>
      </c>
      <c r="E46" s="56"/>
      <c r="F46" s="54"/>
      <c r="G46" s="54"/>
      <c r="H46" s="57"/>
      <c r="I46" s="57"/>
      <c r="J46" s="57"/>
      <c r="K46" s="54"/>
    </row>
    <row r="47">
      <c r="A47" s="57"/>
      <c r="B47" s="57" t="str">
        <f>IFERROR(__xludf.DUMMYFUNCTION("""COMPUTED_VALUE""")," Lay ration [FOODON:00004286]   ")</f>
        <v> Lay ration [FOODON:00004286]   </v>
      </c>
      <c r="C47" s="57" t="str">
        <f>IFERROR(__xludf.DUMMYFUNCTION("""COMPUTED_VALUE"""),"FOODON:00004286")</f>
        <v>FOODON:00004286</v>
      </c>
      <c r="D47" s="58" t="str">
        <f>IFERROR(__xludf.DUMMYFUNCTION("""COMPUTED_VALUE"""),"Food formulated for the laying hens to increase egg production and egg shell quality.")</f>
        <v>Food formulated for the laying hens to increase egg production and egg shell quality.</v>
      </c>
      <c r="E47" s="56"/>
      <c r="F47" s="54"/>
      <c r="G47" s="54"/>
      <c r="H47" s="57"/>
      <c r="I47" s="57"/>
      <c r="J47" s="57"/>
      <c r="K47" s="54"/>
    </row>
    <row r="48">
      <c r="A48" s="57"/>
      <c r="B48" s="57" t="str">
        <f>IFERROR(__xludf.DUMMYFUNCTION("""COMPUTED_VALUE""")," Meat and bone meal [FOODON:00002738]   ")</f>
        <v> Meat and bone meal [FOODON:00002738]   </v>
      </c>
      <c r="C48" s="57" t="str">
        <f>IFERROR(__xludf.DUMMYFUNCTION("""COMPUTED_VALUE"""),"FOODON:00002738")</f>
        <v>FOODON:00002738</v>
      </c>
      <c r="D48" s="58" t="str">
        <f>IFERROR(__xludf.DUMMYFUNCTION("""COMPUTED_VALUE"""),"Meat and bone meal (MBM) is a product of the rendering industry. It is typically about 48–52% protein, 33–35% ash, 8–12% fat, and 4–7% water. It is primarily used in the formulation of animal feed to improve the amino acid profile of the feed.")</f>
        <v>Meat and bone meal (MBM) is a product of the rendering industry. It is typically about 48–52% protein, 33–35% ash, 8–12% fat, and 4–7% water. It is primarily used in the formulation of animal feed to improve the amino acid profile of the feed.</v>
      </c>
      <c r="E48" s="56"/>
      <c r="F48" s="54"/>
      <c r="G48" s="54"/>
      <c r="H48" s="57"/>
      <c r="I48" s="57"/>
      <c r="J48" s="57"/>
      <c r="K48" s="54"/>
    </row>
    <row r="49">
      <c r="A49" s="57"/>
      <c r="B49" s="57" t="str">
        <f>IFERROR(__xludf.DUMMYFUNCTION("""COMPUTED_VALUE""")," Meat meal [FOODON:00004282]   ")</f>
        <v> Meat meal [FOODON:00004282]   </v>
      </c>
      <c r="C49" s="57" t="str">
        <f>IFERROR(__xludf.DUMMYFUNCTION("""COMPUTED_VALUE"""),"FOODON:00004282")</f>
        <v>FOODON:00004282</v>
      </c>
      <c r="D49" s="58" t="str">
        <f>IFERROR(__xludf.DUMMYFUNCTION("""COMPUTED_VALUE"""),"A meal that is obtained by cooking, defatting, sterilizing, grinding, and sifting by-products of an animal.")</f>
        <v>A meal that is obtained by cooking, defatting, sterilizing, grinding, and sifting by-products of an animal.</v>
      </c>
      <c r="E49" s="56"/>
      <c r="F49" s="54"/>
      <c r="G49" s="54"/>
      <c r="H49" s="57"/>
      <c r="I49" s="57"/>
      <c r="J49" s="57"/>
      <c r="K49" s="54"/>
    </row>
    <row r="50">
      <c r="A50" s="57"/>
      <c r="B50" s="57" t="str">
        <f>IFERROR(__xludf.DUMMYFUNCTION("""COMPUTED_VALUE""")," Pet food [FOODON:00002682]   ")</f>
        <v> Pet food [FOODON:00002682]   </v>
      </c>
      <c r="C50" s="57" t="str">
        <f>IFERROR(__xludf.DUMMYFUNCTION("""COMPUTED_VALUE"""),"FOODON:00002682")</f>
        <v>FOODON:00002682</v>
      </c>
      <c r="D50" s="58" t="str">
        <f>IFERROR(__xludf.DUMMYFUNCTION("""COMPUTED_VALUE"""),"Pet food is plant or animal material intended for consumption by pets.")</f>
        <v>Pet food is plant or animal material intended for consumption by pets.</v>
      </c>
      <c r="E50" s="56"/>
      <c r="F50" s="54"/>
      <c r="G50" s="54"/>
      <c r="H50" s="57"/>
      <c r="I50" s="57"/>
      <c r="J50" s="57"/>
      <c r="K50" s="54"/>
    </row>
    <row r="51">
      <c r="A51" s="57"/>
      <c r="B51" s="57" t="str">
        <f>IFERROR(__xludf.DUMMYFUNCTION("""COMPUTED_VALUE""")," Soybean meal [FOODON:03302757]   ")</f>
        <v> Soybean meal [FOODON:03302757]   </v>
      </c>
      <c r="C51" s="57" t="str">
        <f>IFERROR(__xludf.DUMMYFUNCTION("""COMPUTED_VALUE"""),"FOODON:03302757")</f>
        <v>FOODON:03302757</v>
      </c>
      <c r="D51" s="58" t="str">
        <f>IFERROR(__xludf.DUMMYFUNCTION("""COMPUTED_VALUE"""),"A type of ground protein-rich residue from the production of soybean oil used chiefly in animal feeds, in adhesives and plastics, in making synthetic protein fibers, and in fermentation media (as for the production of antibiotics).")</f>
        <v>A type of ground protein-rich residue from the production of soybean oil used chiefly in animal feeds, in adhesives and plastics, in making synthetic protein fibers, and in fermentation media (as for the production of antibiotics).</v>
      </c>
      <c r="E51" s="56"/>
      <c r="F51" s="54"/>
      <c r="G51" s="54"/>
      <c r="H51" s="57"/>
      <c r="I51" s="57"/>
      <c r="J51" s="57"/>
      <c r="K51" s="54"/>
    </row>
    <row r="52">
      <c r="A52" s="57"/>
      <c r="B52" s="57" t="str">
        <f>IFERROR(__xludf.DUMMYFUNCTION("""COMPUTED_VALUE"""),"Animal feed ingredient [FOODON:00004322]    ")</f>
        <v>Animal feed ingredient [FOODON:00004322]    </v>
      </c>
      <c r="C52" s="57" t="str">
        <f>IFERROR(__xludf.DUMMYFUNCTION("""COMPUTED_VALUE"""),"FOODON:00004322")</f>
        <v>FOODON:00004322</v>
      </c>
      <c r="D52" s="58" t="str">
        <f>IFERROR(__xludf.DUMMYFUNCTION("""COMPUTED_VALUE"""),"An ingredient that is used in the preparation of animal feed.")</f>
        <v>An ingredient that is used in the preparation of animal feed.</v>
      </c>
      <c r="E52" s="56"/>
      <c r="F52" s="54"/>
      <c r="G52" s="54"/>
      <c r="H52" s="57"/>
      <c r="I52" s="57"/>
      <c r="J52" s="57"/>
      <c r="K52" s="54"/>
    </row>
    <row r="53">
      <c r="A53" s="57"/>
      <c r="B53" s="57" t="str">
        <f>IFERROR(__xludf.DUMMYFUNCTION("""COMPUTED_VALUE"""),"Dairy food product [FOODON:00001256]    ")</f>
        <v>Dairy food product [FOODON:00001256]    </v>
      </c>
      <c r="C53" s="57" t="str">
        <f>IFERROR(__xludf.DUMMYFUNCTION("""COMPUTED_VALUE"""),"FOODON:00001256")</f>
        <v>FOODON:00001256</v>
      </c>
      <c r="D53" s="58" t="str">
        <f>IFERROR(__xludf.DUMMYFUNCTION("""COMPUTED_VALUE"""),"A dairy food product has mammilian milk or a milk component as an ingredient.")</f>
        <v>A dairy food product has mammilian milk or a milk component as an ingredient.</v>
      </c>
      <c r="E53" s="56"/>
      <c r="F53" s="54"/>
      <c r="G53" s="54"/>
      <c r="H53" s="57"/>
      <c r="I53" s="57"/>
      <c r="J53" s="57"/>
      <c r="K53" s="54"/>
    </row>
    <row r="54">
      <c r="A54" s="57"/>
      <c r="B54" s="57" t="str">
        <f>IFERROR(__xludf.DUMMYFUNCTION("""COMPUTED_VALUE""")," Cheese block (whole or parts) [FOODON:03000287]   ")</f>
        <v> Cheese block (whole or parts) [FOODON:03000287]   </v>
      </c>
      <c r="C54" s="57" t="str">
        <f>IFERROR(__xludf.DUMMYFUNCTION("""COMPUTED_VALUE"""),"FOODON:03000287")</f>
        <v>FOODON:03000287</v>
      </c>
      <c r="D54" s="58" t="str">
        <f>IFERROR(__xludf.DUMMYFUNCTION("""COMPUTED_VALUE"""),"A whole cheese block or some substance made from a block of processed cheese.")</f>
        <v>A whole cheese block or some substance made from a block of processed cheese.</v>
      </c>
      <c r="E54" s="56"/>
      <c r="F54" s="54"/>
      <c r="G54" s="54"/>
      <c r="H54" s="57"/>
      <c r="I54" s="57"/>
      <c r="J54" s="57"/>
      <c r="K54" s="54"/>
    </row>
    <row r="55">
      <c r="A55" s="57"/>
      <c r="B55" s="57" t="str">
        <f>IFERROR(__xludf.DUMMYFUNCTION("""COMPUTED_VALUE""")," Cow skim milk (powdered) [FOODON:03310016]   ")</f>
        <v> Cow skim milk (powdered) [FOODON:03310016]   </v>
      </c>
      <c r="C55" s="57" t="str">
        <f>IFERROR(__xludf.DUMMYFUNCTION("""COMPUTED_VALUE"""),"FOODON:03310016")</f>
        <v>FOODON:03310016</v>
      </c>
      <c r="D55" s="58" t="str">
        <f>IFERROR(__xludf.DUMMYFUNCTION("""COMPUTED_VALUE"""),"Milk powder that is obtained by removing all of the water from pasteurized skim milk.")</f>
        <v>Milk powder that is obtained by removing all of the water from pasteurized skim milk.</v>
      </c>
      <c r="E55" s="56"/>
      <c r="F55" s="54"/>
      <c r="G55" s="54"/>
      <c r="H55" s="57"/>
      <c r="I55" s="57"/>
      <c r="J55" s="57"/>
      <c r="K55" s="54"/>
    </row>
    <row r="56">
      <c r="A56" s="57"/>
      <c r="B56" s="57" t="str">
        <f>IFERROR(__xludf.DUMMYFUNCTION("""COMPUTED_VALUE""")," Milk [UBERON:0001913]   ")</f>
        <v> Milk [UBERON:0001913]   </v>
      </c>
      <c r="C56" s="57" t="str">
        <f>IFERROR(__xludf.DUMMYFUNCTION("""COMPUTED_VALUE"""),"UBERON:0001913")</f>
        <v>UBERON:0001913</v>
      </c>
      <c r="D56" s="58" t="str">
        <f>IFERROR(__xludf.DUMMYFUNCTION("""COMPUTED_VALUE"""),"An emulsion of fat globules within a fluid that is secreted by the mammary gland during lactation.")</f>
        <v>An emulsion of fat globules within a fluid that is secreted by the mammary gland during lactation.</v>
      </c>
      <c r="E56" s="56"/>
      <c r="F56" s="54"/>
      <c r="G56" s="54"/>
      <c r="H56" s="57"/>
      <c r="I56" s="57"/>
      <c r="J56" s="57"/>
      <c r="K56" s="54"/>
    </row>
    <row r="57">
      <c r="A57" s="57"/>
      <c r="B57" s="57" t="str">
        <f>IFERROR(__xludf.DUMMYFUNCTION("""COMPUTED_VALUE"""),"Meat, poultry and fish (organizational term)    ")</f>
        <v>Meat, poultry and fish (organizational term)    </v>
      </c>
      <c r="C57" s="57" t="str">
        <f>IFERROR(__xludf.DUMMYFUNCTION("""COMPUTED_VALUE"""),"")</f>
        <v/>
      </c>
      <c r="D57" s="58"/>
      <c r="E57" s="56"/>
      <c r="F57" s="54"/>
      <c r="G57" s="54"/>
      <c r="H57" s="57"/>
      <c r="I57" s="57"/>
      <c r="J57" s="57"/>
      <c r="K57" s="54"/>
    </row>
    <row r="58">
      <c r="A58" s="57"/>
      <c r="B58" s="57" t="str">
        <f>IFERROR(__xludf.DUMMYFUNCTION("""COMPUTED_VALUE""")," Beef (ground or minced) [FOODON:00001282]   ")</f>
        <v> Beef (ground or minced) [FOODON:00001282]   </v>
      </c>
      <c r="C58" s="57" t="str">
        <f>IFERROR(__xludf.DUMMYFUNCTION("""COMPUTED_VALUE"""),"FOODON:00001282")</f>
        <v>FOODON:00001282</v>
      </c>
      <c r="D58" s="58" t="str">
        <f>IFERROR(__xludf.DUMMYFUNCTION("""COMPUTED_VALUE"""),"A ground beef product is made of beef that has been finely chopped with a knife or a meat grinder (American English) or mincing machine (British English). Ground beef is used in many recipes including hamburgers and spaghetti Bolognese.")</f>
        <v>A ground beef product is made of beef that has been finely chopped with a knife or a meat grinder (American English) or mincing machine (British English). Ground beef is used in many recipes including hamburgers and spaghetti Bolognese.</v>
      </c>
      <c r="E58" s="56"/>
      <c r="F58" s="54"/>
      <c r="G58" s="54"/>
      <c r="H58" s="57"/>
      <c r="I58" s="57"/>
      <c r="J58" s="57"/>
      <c r="K58" s="54"/>
    </row>
    <row r="59">
      <c r="A59" s="57"/>
      <c r="B59" s="57" t="str">
        <f>IFERROR(__xludf.DUMMYFUNCTION("""COMPUTED_VALUE"""),"  Beef (ground or minced, boneless) [FOODON:03000412]  ")</f>
        <v>  Beef (ground or minced, boneless) [FOODON:03000412]  </v>
      </c>
      <c r="C59" s="57" t="str">
        <f>IFERROR(__xludf.DUMMYFUNCTION("""COMPUTED_VALUE"""),"FOODON:03000412")</f>
        <v>FOODON:03000412</v>
      </c>
      <c r="D59" s="58"/>
      <c r="E59" s="56"/>
      <c r="F59" s="54"/>
      <c r="G59" s="54"/>
      <c r="H59" s="57"/>
      <c r="I59" s="57"/>
      <c r="J59" s="57"/>
      <c r="K59" s="54"/>
    </row>
    <row r="60">
      <c r="A60" s="57"/>
      <c r="B60" s="57" t="str">
        <f>IFERROR(__xludf.DUMMYFUNCTION("""COMPUTED_VALUE"""),"  Beef (ground or minced, extra lean) [FOODON:03000398]  ")</f>
        <v>  Beef (ground or minced, extra lean) [FOODON:03000398]  </v>
      </c>
      <c r="C60" s="57" t="str">
        <f>IFERROR(__xludf.DUMMYFUNCTION("""COMPUTED_VALUE"""),"FOODON:03000398")</f>
        <v>FOODON:03000398</v>
      </c>
      <c r="D60" s="58"/>
      <c r="E60" s="56"/>
      <c r="F60" s="54"/>
      <c r="G60" s="54"/>
      <c r="H60" s="57"/>
      <c r="I60" s="57"/>
      <c r="J60" s="57"/>
      <c r="K60" s="54"/>
    </row>
    <row r="61">
      <c r="A61" s="57"/>
      <c r="B61" s="57" t="str">
        <f>IFERROR(__xludf.DUMMYFUNCTION("""COMPUTED_VALUE"""),"  Beef (ground or minced, lean) [FOODON:03000394]  ")</f>
        <v>  Beef (ground or minced, lean) [FOODON:03000394]  </v>
      </c>
      <c r="C61" s="57" t="str">
        <f>IFERROR(__xludf.DUMMYFUNCTION("""COMPUTED_VALUE"""),"FOODON:03000394")</f>
        <v>FOODON:03000394</v>
      </c>
      <c r="D61" s="58"/>
      <c r="E61" s="56"/>
      <c r="F61" s="54"/>
      <c r="G61" s="54"/>
      <c r="H61" s="57"/>
      <c r="I61" s="57"/>
      <c r="J61" s="57"/>
      <c r="K61" s="54"/>
    </row>
    <row r="62">
      <c r="A62" s="57"/>
      <c r="B62" s="57" t="str">
        <f>IFERROR(__xludf.DUMMYFUNCTION("""COMPUTED_VALUE"""),"  Beef (ground or minced, medium) [FOODON:03000402]  ")</f>
        <v>  Beef (ground or minced, medium) [FOODON:03000402]  </v>
      </c>
      <c r="C62" s="57" t="str">
        <f>IFERROR(__xludf.DUMMYFUNCTION("""COMPUTED_VALUE"""),"FOODON:03000402")</f>
        <v>FOODON:03000402</v>
      </c>
      <c r="D62" s="58"/>
      <c r="E62" s="56"/>
      <c r="F62" s="54"/>
      <c r="G62" s="54"/>
      <c r="H62" s="57"/>
      <c r="I62" s="57"/>
      <c r="J62" s="57"/>
      <c r="K62" s="54"/>
    </row>
    <row r="63">
      <c r="A63" s="57"/>
      <c r="B63" s="57" t="str">
        <f>IFERROR(__xludf.DUMMYFUNCTION("""COMPUTED_VALUE"""),"  Beef (ground or minced, regular) [FOODON:03000406]  ")</f>
        <v>  Beef (ground or minced, regular) [FOODON:03000406]  </v>
      </c>
      <c r="C63" s="57" t="str">
        <f>IFERROR(__xludf.DUMMYFUNCTION("""COMPUTED_VALUE"""),"FOODON:03000406")</f>
        <v>FOODON:03000406</v>
      </c>
      <c r="D63" s="58"/>
      <c r="E63" s="56"/>
      <c r="F63" s="54"/>
      <c r="G63" s="54"/>
      <c r="H63" s="57"/>
      <c r="I63" s="57"/>
      <c r="J63" s="57"/>
      <c r="K63" s="54"/>
    </row>
    <row r="64">
      <c r="A64" s="57"/>
      <c r="B64" s="57" t="str">
        <f>IFERROR(__xludf.DUMMYFUNCTION("""COMPUTED_VALUE"""),"  Beef (ground or minced, sirloin) [FOODON:03000408]  ")</f>
        <v>  Beef (ground or minced, sirloin) [FOODON:03000408]  </v>
      </c>
      <c r="C64" s="57" t="str">
        <f>IFERROR(__xludf.DUMMYFUNCTION("""COMPUTED_VALUE"""),"FOODON:03000408")</f>
        <v>FOODON:03000408</v>
      </c>
      <c r="D64" s="58"/>
      <c r="E64" s="56"/>
      <c r="F64" s="54"/>
      <c r="G64" s="54"/>
      <c r="H64" s="57"/>
      <c r="I64" s="57"/>
      <c r="J64" s="57"/>
      <c r="K64" s="54"/>
    </row>
    <row r="65">
      <c r="A65" s="57"/>
      <c r="B65" s="57" t="str">
        <f>IFERROR(__xludf.DUMMYFUNCTION("""COMPUTED_VALUE""")," Beef hamburger (dish) [FOODON:00002737]   ")</f>
        <v> Beef hamburger (dish) [FOODON:00002737]   </v>
      </c>
      <c r="C65" s="57" t="str">
        <f>IFERROR(__xludf.DUMMYFUNCTION("""COMPUTED_VALUE"""),"FOODON:00002737")</f>
        <v>FOODON:00002737</v>
      </c>
      <c r="D65" s="58" t="str">
        <f>IFERROR(__xludf.DUMMYFUNCTION("""COMPUTED_VALUE"""),"A hamburger (short: burger) is a sandwich consisting of one or more cooked patties of ground meat, usually beef, placed inside a sliced bread roll or bun. The patty may be pan fried, grilled, or flame broiled.")</f>
        <v>A hamburger (short: burger) is a sandwich consisting of one or more cooked patties of ground meat, usually beef, placed inside a sliced bread roll or bun. The patty may be pan fried, grilled, or flame broiled.</v>
      </c>
      <c r="E65" s="56"/>
      <c r="F65" s="54"/>
      <c r="G65" s="54"/>
      <c r="H65" s="57"/>
      <c r="I65" s="57"/>
      <c r="J65" s="57"/>
      <c r="K65" s="54"/>
    </row>
    <row r="66">
      <c r="A66" s="57"/>
      <c r="B66" s="57" t="str">
        <f>IFERROR(__xludf.DUMMYFUNCTION("""COMPUTED_VALUE""")," Beef shoulder [FOODON:03000377]   ")</f>
        <v> Beef shoulder [FOODON:03000377]   </v>
      </c>
      <c r="C66" s="57" t="str">
        <f>IFERROR(__xludf.DUMMYFUNCTION("""COMPUTED_VALUE"""),"FOODON:03000377")</f>
        <v>FOODON:03000377</v>
      </c>
      <c r="D66" s="58"/>
      <c r="E66" s="56"/>
      <c r="F66" s="54"/>
      <c r="G66" s="54"/>
      <c r="H66" s="57"/>
      <c r="I66" s="57"/>
      <c r="J66" s="57"/>
      <c r="K66" s="54"/>
    </row>
    <row r="67">
      <c r="A67" s="57"/>
      <c r="B67" s="57" t="str">
        <f>IFERROR(__xludf.DUMMYFUNCTION("""COMPUTED_VALUE"""),"  Beef shoulder chop [FOODON:03000387]  ")</f>
        <v>  Beef shoulder chop [FOODON:03000387]  </v>
      </c>
      <c r="C67" s="57" t="str">
        <f>IFERROR(__xludf.DUMMYFUNCTION("""COMPUTED_VALUE"""),"FOODON:03000387")</f>
        <v>FOODON:03000387</v>
      </c>
      <c r="D67" s="58" t="str">
        <f>IFERROR(__xludf.DUMMYFUNCTION("""COMPUTED_VALUE"""),"Meat chop from the shoulder region of beef.")</f>
        <v>Meat chop from the shoulder region of beef.</v>
      </c>
      <c r="E67" s="56"/>
      <c r="F67" s="54"/>
      <c r="G67" s="54"/>
      <c r="H67" s="57"/>
      <c r="I67" s="57"/>
      <c r="J67" s="57"/>
      <c r="K67" s="54"/>
    </row>
    <row r="68">
      <c r="A68" s="57"/>
      <c r="B68" s="57" t="str">
        <f>IFERROR(__xludf.DUMMYFUNCTION("""COMPUTED_VALUE""")," Beef sirloin chop [FOODON:03000389]   ")</f>
        <v> Beef sirloin chop [FOODON:03000389]   </v>
      </c>
      <c r="C68" s="57" t="str">
        <f>IFERROR(__xludf.DUMMYFUNCTION("""COMPUTED_VALUE"""),"FOODON:03000389")</f>
        <v>FOODON:03000389</v>
      </c>
      <c r="D68" s="58" t="str">
        <f>IFERROR(__xludf.DUMMYFUNCTION("""COMPUTED_VALUE"""),"Meat chop from the sirloin region of beef")</f>
        <v>Meat chop from the sirloin region of beef</v>
      </c>
      <c r="E68" s="56"/>
      <c r="F68" s="54"/>
      <c r="G68" s="54"/>
      <c r="H68" s="57"/>
      <c r="I68" s="57"/>
      <c r="J68" s="57"/>
      <c r="K68" s="54"/>
    </row>
    <row r="69">
      <c r="A69" s="57"/>
      <c r="B69" s="57" t="str">
        <f>IFERROR(__xludf.DUMMYFUNCTION("""COMPUTED_VALUE""")," Beef stew chunk [FOODON:00004288]   ")</f>
        <v> Beef stew chunk [FOODON:00004288]   </v>
      </c>
      <c r="C69" s="57" t="str">
        <f>IFERROR(__xludf.DUMMYFUNCTION("""COMPUTED_VALUE"""),"FOODON:00004288")</f>
        <v>FOODON:00004288</v>
      </c>
      <c r="D69" s="58" t="str">
        <f>IFERROR(__xludf.DUMMYFUNCTION("""COMPUTED_VALUE"""),"A chunk of beef used as an ingredient in making stew.")</f>
        <v>A chunk of beef used as an ingredient in making stew.</v>
      </c>
      <c r="E69" s="56"/>
      <c r="F69" s="54"/>
      <c r="G69" s="54"/>
      <c r="H69" s="57"/>
      <c r="I69" s="57"/>
      <c r="J69" s="57"/>
      <c r="K69" s="54"/>
    </row>
    <row r="70">
      <c r="A70" s="57"/>
      <c r="B70" s="57" t="str">
        <f>IFERROR(__xludf.DUMMYFUNCTION("""COMPUTED_VALUE""")," Beef tenderloin [FOODON:00003302]   ")</f>
        <v> Beef tenderloin [FOODON:00003302]   </v>
      </c>
      <c r="C70" s="57" t="str">
        <f>IFERROR(__xludf.DUMMYFUNCTION("""COMPUTED_VALUE"""),"FOODON:00003302")</f>
        <v>FOODON:00003302</v>
      </c>
      <c r="D70" s="58" t="str">
        <f>IFERROR(__xludf.DUMMYFUNCTION("""COMPUTED_VALUE"""),"A cut of beef corresponding to the psoas major muscle, which is very tender.")</f>
        <v>A cut of beef corresponding to the psoas major muscle, which is very tender.</v>
      </c>
      <c r="E70" s="56"/>
      <c r="F70" s="54"/>
      <c r="G70" s="54"/>
      <c r="H70" s="57"/>
      <c r="I70" s="57"/>
      <c r="J70" s="57"/>
      <c r="K70" s="54"/>
    </row>
    <row r="71">
      <c r="A71" s="57"/>
      <c r="B71" s="57" t="str">
        <f>IFERROR(__xludf.DUMMYFUNCTION("""COMPUTED_VALUE""")," Beef (whole cut or parts) [FOODON:03000333]   ")</f>
        <v> Beef (whole cut or parts) [FOODON:03000333]   </v>
      </c>
      <c r="C71" s="57" t="str">
        <f>IFERROR(__xludf.DUMMYFUNCTION("""COMPUTED_VALUE"""),"FOODON:03000333")</f>
        <v>FOODON:03000333</v>
      </c>
      <c r="D71" s="58"/>
      <c r="E71" s="56"/>
      <c r="F71" s="54"/>
      <c r="G71" s="54"/>
      <c r="H71" s="57"/>
      <c r="I71" s="57"/>
      <c r="J71" s="57"/>
      <c r="K71" s="54"/>
    </row>
    <row r="72">
      <c r="A72" s="57"/>
      <c r="B72" s="57" t="str">
        <f>IFERROR(__xludf.DUMMYFUNCTION("""COMPUTED_VALUE""")," Brisket [FOODON:03530020]   ")</f>
        <v> Brisket [FOODON:03530020]   </v>
      </c>
      <c r="C72" s="57" t="str">
        <f>IFERROR(__xludf.DUMMYFUNCTION("""COMPUTED_VALUE"""),"FOODON:03530020")</f>
        <v>FOODON:03530020</v>
      </c>
      <c r="D72" s="58" t="str">
        <f>IFERROR(__xludf.DUMMYFUNCTION("""COMPUTED_VALUE"""),"A cut of meat from the breast or lower chest of beef or veal.")</f>
        <v>A cut of meat from the breast or lower chest of beef or veal.</v>
      </c>
      <c r="E72" s="56"/>
      <c r="F72" s="54"/>
      <c r="G72" s="54"/>
      <c r="H72" s="57"/>
      <c r="I72" s="57"/>
      <c r="J72" s="57"/>
      <c r="K72" s="54"/>
    </row>
    <row r="73">
      <c r="A73" s="57"/>
      <c r="B73" s="57" t="str">
        <f>IFERROR(__xludf.DUMMYFUNCTION("""COMPUTED_VALUE""")," Chicken breast [FOODON:00002703]   ")</f>
        <v> Chicken breast [FOODON:00002703]   </v>
      </c>
      <c r="C73" s="57" t="str">
        <f>IFERROR(__xludf.DUMMYFUNCTION("""COMPUTED_VALUE"""),"FOODON:00002703")</f>
        <v>FOODON:00002703</v>
      </c>
      <c r="D73" s="58" t="str">
        <f>IFERROR(__xludf.DUMMYFUNCTION("""COMPUTED_VALUE"""),"Chicken breast consists mainly of the breast meat portion of a chicken, and may or may not include connected bone (boneless versus ""with bone"") and skin.")</f>
        <v>Chicken breast consists mainly of the breast meat portion of a chicken, and may or may not include connected bone (boneless versus "with bone") and skin.</v>
      </c>
      <c r="E73" s="56"/>
      <c r="F73" s="54"/>
      <c r="G73" s="54"/>
      <c r="H73" s="57"/>
      <c r="I73" s="57"/>
      <c r="J73" s="57"/>
      <c r="K73" s="54"/>
    </row>
    <row r="74">
      <c r="A74" s="57"/>
      <c r="B74" s="57" t="str">
        <f>IFERROR(__xludf.DUMMYFUNCTION("""COMPUTED_VALUE"""),"  Chicken breast (back off) [FOODON:03000385]  ")</f>
        <v>  Chicken breast (back off) [FOODON:03000385]  </v>
      </c>
      <c r="C74" s="57" t="str">
        <f>IFERROR(__xludf.DUMMYFUNCTION("""COMPUTED_VALUE"""),"FOODON:03000385")</f>
        <v>FOODON:03000385</v>
      </c>
      <c r="D74" s="58" t="str">
        <f>IFERROR(__xludf.DUMMYFUNCTION("""COMPUTED_VALUE"""),"A chicken breast with its backbone removed.")</f>
        <v>A chicken breast with its backbone removed.</v>
      </c>
      <c r="E74" s="56"/>
      <c r="F74" s="54"/>
      <c r="G74" s="54"/>
      <c r="H74" s="57"/>
      <c r="I74" s="57"/>
      <c r="J74" s="57"/>
      <c r="K74" s="54"/>
    </row>
    <row r="75">
      <c r="A75" s="57"/>
      <c r="B75" s="57" t="str">
        <f>IFERROR(__xludf.DUMMYFUNCTION("""COMPUTED_VALUE"""),"  Chicken breast (skinless) [FOODON:00003332]  ")</f>
        <v>  Chicken breast (skinless) [FOODON:00003332]  </v>
      </c>
      <c r="C75" s="57" t="str">
        <f>IFERROR(__xludf.DUMMYFUNCTION("""COMPUTED_VALUE"""),"FOODON:00003332")</f>
        <v>FOODON:00003332</v>
      </c>
      <c r="D75" s="58"/>
      <c r="E75" s="56"/>
      <c r="F75" s="54"/>
      <c r="G75" s="54"/>
      <c r="H75" s="57"/>
      <c r="I75" s="57"/>
      <c r="J75" s="57"/>
      <c r="K75" s="54"/>
    </row>
    <row r="76">
      <c r="A76" s="57"/>
      <c r="B76" s="57" t="str">
        <f>IFERROR(__xludf.DUMMYFUNCTION("""COMPUTED_VALUE"""),"  Chicken breast (with skin) [FOODON:03000374]  ")</f>
        <v>  Chicken breast (with skin) [FOODON:03000374]  </v>
      </c>
      <c r="C76" s="57" t="str">
        <f>IFERROR(__xludf.DUMMYFUNCTION("""COMPUTED_VALUE"""),"FOODON:03000374")</f>
        <v>FOODON:03000374</v>
      </c>
      <c r="D76" s="58"/>
      <c r="E76" s="56"/>
      <c r="F76" s="54"/>
      <c r="G76" s="54"/>
      <c r="H76" s="57"/>
      <c r="I76" s="57"/>
      <c r="J76" s="57"/>
      <c r="K76" s="54"/>
    </row>
    <row r="77">
      <c r="A77" s="57"/>
      <c r="B77" s="57" t="str">
        <f>IFERROR(__xludf.DUMMYFUNCTION("""COMPUTED_VALUE"""),"  Chicken breast (skinless, boneless) [FOODON:00003364]  ")</f>
        <v>  Chicken breast (skinless, boneless) [FOODON:00003364]  </v>
      </c>
      <c r="C77" s="57" t="str">
        <f>IFERROR(__xludf.DUMMYFUNCTION("""COMPUTED_VALUE"""),"FOODON:00003364")</f>
        <v>FOODON:00003364</v>
      </c>
      <c r="D77" s="58"/>
      <c r="E77" s="56"/>
      <c r="F77" s="54"/>
      <c r="G77" s="54"/>
      <c r="H77" s="57"/>
      <c r="I77" s="57"/>
      <c r="J77" s="57"/>
      <c r="K77" s="54"/>
    </row>
    <row r="78">
      <c r="A78" s="57"/>
      <c r="B78" s="57" t="str">
        <f>IFERROR(__xludf.DUMMYFUNCTION("""COMPUTED_VALUE"""),"  Chicken breast cutlet [FOODON:00004308]  ")</f>
        <v>  Chicken breast cutlet [FOODON:00004308]  </v>
      </c>
      <c r="C78" s="57" t="str">
        <f>IFERROR(__xludf.DUMMYFUNCTION("""COMPUTED_VALUE"""),"FOODON:00004308")</f>
        <v>FOODON:00004308</v>
      </c>
      <c r="D78" s="58" t="str">
        <f>IFERROR(__xludf.DUMMYFUNCTION("""COMPUTED_VALUE"""),"A cutlet made from chicken breast.")</f>
        <v>A cutlet made from chicken breast.</v>
      </c>
      <c r="E78" s="56"/>
      <c r="F78" s="54"/>
      <c r="G78" s="54"/>
      <c r="H78" s="57"/>
      <c r="I78" s="57"/>
      <c r="J78" s="57"/>
      <c r="K78" s="54"/>
    </row>
    <row r="79">
      <c r="A79" s="57"/>
      <c r="B79" s="57" t="str">
        <f>IFERROR(__xludf.DUMMYFUNCTION("""COMPUTED_VALUE""")," Chicken drumstick [FOODON:00002716]   ")</f>
        <v> Chicken drumstick [FOODON:00002716]   </v>
      </c>
      <c r="C79" s="57" t="str">
        <f>IFERROR(__xludf.DUMMYFUNCTION("""COMPUTED_VALUE"""),"FOODON:00002716")</f>
        <v>FOODON:00002716</v>
      </c>
      <c r="D79" s="58" t="str">
        <f>IFERROR(__xludf.DUMMYFUNCTION("""COMPUTED_VALUE"""),"The segment of a chicken's leg between the thigh and tarsus (ankle).")</f>
        <v>The segment of a chicken's leg between the thigh and tarsus (ankle).</v>
      </c>
      <c r="E79" s="56"/>
      <c r="F79" s="54"/>
      <c r="G79" s="54"/>
      <c r="H79" s="57"/>
      <c r="I79" s="57"/>
      <c r="J79" s="57"/>
      <c r="K79" s="54"/>
    </row>
    <row r="80">
      <c r="A80" s="57"/>
      <c r="B80" s="57" t="str">
        <f>IFERROR(__xludf.DUMMYFUNCTION("""COMPUTED_VALUE"""),"  Chicken drumstick (skinless) [FOODON:03000366]  ")</f>
        <v>  Chicken drumstick (skinless) [FOODON:03000366]  </v>
      </c>
      <c r="C80" s="57" t="str">
        <f>IFERROR(__xludf.DUMMYFUNCTION("""COMPUTED_VALUE"""),"FOODON:03000366")</f>
        <v>FOODON:03000366</v>
      </c>
      <c r="D80" s="58"/>
      <c r="E80" s="56"/>
      <c r="F80" s="54"/>
      <c r="G80" s="54"/>
      <c r="H80" s="57"/>
      <c r="I80" s="57"/>
      <c r="J80" s="57"/>
      <c r="K80" s="54"/>
    </row>
    <row r="81">
      <c r="A81" s="57"/>
      <c r="B81" s="57" t="str">
        <f>IFERROR(__xludf.DUMMYFUNCTION("""COMPUTED_VALUE"""),"  Chicken drumstick (with skin) [FOODON:03000368]  ")</f>
        <v>  Chicken drumstick (with skin) [FOODON:03000368]  </v>
      </c>
      <c r="C81" s="57" t="str">
        <f>IFERROR(__xludf.DUMMYFUNCTION("""COMPUTED_VALUE"""),"FOODON:03000368")</f>
        <v>FOODON:03000368</v>
      </c>
      <c r="D81" s="58"/>
      <c r="E81" s="56"/>
      <c r="F81" s="54"/>
      <c r="G81" s="54"/>
      <c r="H81" s="57"/>
      <c r="I81" s="57"/>
      <c r="J81" s="57"/>
      <c r="K81" s="54"/>
    </row>
    <row r="82">
      <c r="A82" s="57"/>
      <c r="B82" s="57" t="str">
        <f>IFERROR(__xludf.DUMMYFUNCTION("""COMPUTED_VALUE""")," Chicken meat [FOODON:00001040]   ")</f>
        <v> Chicken meat [FOODON:00001040]   </v>
      </c>
      <c r="C82" s="57" t="str">
        <f>IFERROR(__xludf.DUMMYFUNCTION("""COMPUTED_VALUE"""),"FOODON:00001040")</f>
        <v>FOODON:00001040</v>
      </c>
      <c r="D82" s="58"/>
      <c r="E82" s="56"/>
      <c r="F82" s="54"/>
      <c r="G82" s="54"/>
      <c r="H82" s="57"/>
      <c r="I82" s="57"/>
      <c r="J82" s="57"/>
      <c r="K82" s="54"/>
    </row>
    <row r="83">
      <c r="A83" s="57"/>
      <c r="B83" s="57" t="str">
        <f>IFERROR(__xludf.DUMMYFUNCTION("""COMPUTED_VALUE"""),"  Chicken meat (ground or minced) [FOODON:03311826]  ")</f>
        <v>  Chicken meat (ground or minced) [FOODON:03311826]  </v>
      </c>
      <c r="C83" s="57" t="str">
        <f>IFERROR(__xludf.DUMMYFUNCTION("""COMPUTED_VALUE"""),"FOODON:03311826")</f>
        <v>FOODON:03311826</v>
      </c>
      <c r="D83" s="58" t="str">
        <f>IFERROR(__xludf.DUMMYFUNCTION("""COMPUTED_VALUE"""),"A food product made of ground or minced chicken meat.")</f>
        <v>A food product made of ground or minced chicken meat.</v>
      </c>
      <c r="E83" s="56"/>
      <c r="F83" s="54"/>
      <c r="G83" s="54"/>
      <c r="H83" s="57"/>
      <c r="I83" s="57"/>
      <c r="J83" s="57"/>
      <c r="K83" s="54"/>
    </row>
    <row r="84">
      <c r="A84" s="57"/>
      <c r="B84" s="57" t="str">
        <f>IFERROR(__xludf.DUMMYFUNCTION("""COMPUTED_VALUE"""),"   Chicken meat (ground or minced, lean) [FOODON:03000392] ")</f>
        <v>   Chicken meat (ground or minced, lean) [FOODON:03000392] </v>
      </c>
      <c r="C84" s="57" t="str">
        <f>IFERROR(__xludf.DUMMYFUNCTION("""COMPUTED_VALUE"""),"FOODON:03000392")</f>
        <v>FOODON:03000392</v>
      </c>
      <c r="D84" s="58" t="str">
        <f>IFERROR(__xludf.DUMMYFUNCTION("""COMPUTED_VALUE"""),"A food product made of lean, ground or minced chicken meat.")</f>
        <v>A food product made of lean, ground or minced chicken meat.</v>
      </c>
      <c r="E84" s="56"/>
      <c r="F84" s="54"/>
      <c r="G84" s="54"/>
      <c r="H84" s="57"/>
      <c r="I84" s="57"/>
      <c r="J84" s="57"/>
      <c r="K84" s="54"/>
    </row>
    <row r="85">
      <c r="A85" s="57"/>
      <c r="B85" s="57" t="str">
        <f>IFERROR(__xludf.DUMMYFUNCTION("""COMPUTED_VALUE"""),"   Chicken meat (ground or minced, extra lean) [FOODON:03000396] ")</f>
        <v>   Chicken meat (ground or minced, extra lean) [FOODON:03000396] </v>
      </c>
      <c r="C85" s="57" t="str">
        <f>IFERROR(__xludf.DUMMYFUNCTION("""COMPUTED_VALUE"""),"FOODON:03000396")</f>
        <v>FOODON:03000396</v>
      </c>
      <c r="D85" s="58" t="str">
        <f>IFERROR(__xludf.DUMMYFUNCTION("""COMPUTED_VALUE"""),"A food product made of extra lean, ground or minced chicken meat.")</f>
        <v>A food product made of extra lean, ground or minced chicken meat.</v>
      </c>
      <c r="E85" s="56"/>
      <c r="F85" s="54"/>
      <c r="G85" s="54"/>
      <c r="H85" s="57"/>
      <c r="I85" s="57"/>
      <c r="J85" s="57"/>
      <c r="K85" s="54"/>
    </row>
    <row r="86">
      <c r="A86" s="57"/>
      <c r="B86" s="57" t="str">
        <f>IFERROR(__xludf.DUMMYFUNCTION("""COMPUTED_VALUE"""),"   Chicken meat (ground or minced, medium) [FOODON:03000400] ")</f>
        <v>   Chicken meat (ground or minced, medium) [FOODON:03000400] </v>
      </c>
      <c r="C86" s="57" t="str">
        <f>IFERROR(__xludf.DUMMYFUNCTION("""COMPUTED_VALUE"""),"FOODON:03000400")</f>
        <v>FOODON:03000400</v>
      </c>
      <c r="D86" s="58" t="str">
        <f>IFERROR(__xludf.DUMMYFUNCTION("""COMPUTED_VALUE"""),"A food product made of medium, ground or minced chicken meat.")</f>
        <v>A food product made of medium, ground or minced chicken meat.</v>
      </c>
      <c r="E86" s="56"/>
      <c r="F86" s="54"/>
      <c r="G86" s="54"/>
      <c r="H86" s="57"/>
      <c r="I86" s="57"/>
      <c r="J86" s="57"/>
      <c r="K86" s="54"/>
    </row>
    <row r="87">
      <c r="A87" s="57"/>
      <c r="B87" s="57" t="str">
        <f>IFERROR(__xludf.DUMMYFUNCTION("""COMPUTED_VALUE"""),"   Chicken meat (ground or minced, regular) [FOODON:03000404] ")</f>
        <v>   Chicken meat (ground or minced, regular) [FOODON:03000404] </v>
      </c>
      <c r="C87" s="57" t="str">
        <f>IFERROR(__xludf.DUMMYFUNCTION("""COMPUTED_VALUE"""),"FOODON:03000404")</f>
        <v>FOODON:03000404</v>
      </c>
      <c r="D87" s="58" t="str">
        <f>IFERROR(__xludf.DUMMYFUNCTION("""COMPUTED_VALUE"""),"A food product made of regular, ground or minced chicken meat.")</f>
        <v>A food product made of regular, ground or minced chicken meat.</v>
      </c>
      <c r="E87" s="56"/>
      <c r="F87" s="54"/>
      <c r="G87" s="54"/>
      <c r="H87" s="57"/>
      <c r="I87" s="57"/>
      <c r="J87" s="57"/>
      <c r="K87" s="54"/>
    </row>
    <row r="88">
      <c r="A88" s="57"/>
      <c r="B88" s="57" t="str">
        <f>IFERROR(__xludf.DUMMYFUNCTION("""COMPUTED_VALUE"""),"   Chicken meat (ground or minced, boneless) [FOODON:03000410] ")</f>
        <v>   Chicken meat (ground or minced, boneless) [FOODON:03000410] </v>
      </c>
      <c r="C88" s="57" t="str">
        <f>IFERROR(__xludf.DUMMYFUNCTION("""COMPUTED_VALUE"""),"FOODON:03000410")</f>
        <v>FOODON:03000410</v>
      </c>
      <c r="D88" s="58"/>
      <c r="E88" s="56"/>
      <c r="F88" s="54"/>
      <c r="G88" s="54"/>
      <c r="H88" s="57"/>
      <c r="I88" s="57"/>
      <c r="J88" s="57"/>
      <c r="K88" s="54"/>
    </row>
    <row r="89">
      <c r="A89" s="57"/>
      <c r="B89" s="57" t="str">
        <f>IFERROR(__xludf.DUMMYFUNCTION("""COMPUTED_VALUE""")," Chicken nugget [FOODON:00002672]   ")</f>
        <v> Chicken nugget [FOODON:00002672]   </v>
      </c>
      <c r="C89" s="57" t="str">
        <f>IFERROR(__xludf.DUMMYFUNCTION("""COMPUTED_VALUE"""),"FOODON:00002672")</f>
        <v>FOODON:00002672</v>
      </c>
      <c r="D89" s="58" t="str">
        <f>IFERROR(__xludf.DUMMYFUNCTION("""COMPUTED_VALUE"""),"A chicken nugget is a chicken product made from chicken meat that is breaded or battered, then deep-fried or baked.")</f>
        <v>A chicken nugget is a chicken product made from chicken meat that is breaded or battered, then deep-fried or baked.</v>
      </c>
      <c r="E89" s="56"/>
      <c r="F89" s="54"/>
      <c r="G89" s="54"/>
      <c r="H89" s="57"/>
      <c r="I89" s="57"/>
      <c r="J89" s="57"/>
      <c r="K89" s="54"/>
    </row>
    <row r="90">
      <c r="A90" s="57"/>
      <c r="B90" s="57" t="str">
        <f>IFERROR(__xludf.DUMMYFUNCTION("""COMPUTED_VALUE""")," Chicken thigh  [FOODON:02020219]   ")</f>
        <v> Chicken thigh  [FOODON:02020219]   </v>
      </c>
      <c r="C90" s="57" t="str">
        <f>IFERROR(__xludf.DUMMYFUNCTION("""COMPUTED_VALUE"""),"FOODON:02020219")</f>
        <v>FOODON:02020219</v>
      </c>
      <c r="D90" s="58" t="str">
        <f>IFERROR(__xludf.DUMMYFUNCTION("""COMPUTED_VALUE"""),"A whole thigh that derives from a chicken.")</f>
        <v>A whole thigh that derives from a chicken.</v>
      </c>
      <c r="E90" s="56"/>
      <c r="F90" s="54"/>
      <c r="G90" s="54"/>
      <c r="H90" s="57"/>
      <c r="I90" s="57"/>
      <c r="J90" s="57"/>
      <c r="K90" s="54"/>
    </row>
    <row r="91">
      <c r="A91" s="57"/>
      <c r="B91" s="57" t="str">
        <f>IFERROR(__xludf.DUMMYFUNCTION("""COMPUTED_VALUE"""),"  Chicken thigh (skinless) [FOODON:00003331]  ")</f>
        <v>  Chicken thigh (skinless) [FOODON:00003331]  </v>
      </c>
      <c r="C91" s="57" t="str">
        <f>IFERROR(__xludf.DUMMYFUNCTION("""COMPUTED_VALUE"""),"FOODON:00003331")</f>
        <v>FOODON:00003331</v>
      </c>
      <c r="D91" s="58" t="str">
        <f>IFERROR(__xludf.DUMMYFUNCTION("""COMPUTED_VALUE"""),"A chicken thigh after the skin has been removed.")</f>
        <v>A chicken thigh after the skin has been removed.</v>
      </c>
      <c r="E91" s="56"/>
      <c r="F91" s="54"/>
      <c r="G91" s="54"/>
      <c r="H91" s="57"/>
      <c r="I91" s="57"/>
      <c r="J91" s="57"/>
      <c r="K91" s="54"/>
    </row>
    <row r="92">
      <c r="A92" s="57"/>
      <c r="B92" s="57" t="str">
        <f>IFERROR(__xludf.DUMMYFUNCTION("""COMPUTED_VALUE"""),"  Chicken thigh (skinless, with bone) [FOODON:02020227]  ")</f>
        <v>  Chicken thigh (skinless, with bone) [FOODON:02020227]  </v>
      </c>
      <c r="C92" s="57" t="str">
        <f>IFERROR(__xludf.DUMMYFUNCTION("""COMPUTED_VALUE"""),"FOODON:02020227")</f>
        <v>FOODON:02020227</v>
      </c>
      <c r="D92" s="58" t="str">
        <f>IFERROR(__xludf.DUMMYFUNCTION("""COMPUTED_VALUE"""),"A chicken thigh that is skinless and contains bone element.")</f>
        <v>A chicken thigh that is skinless and contains bone element.</v>
      </c>
      <c r="E92" s="56"/>
      <c r="F92" s="54"/>
      <c r="G92" s="54"/>
      <c r="H92" s="57"/>
      <c r="I92" s="57"/>
      <c r="J92" s="57"/>
      <c r="K92" s="54"/>
    </row>
    <row r="93">
      <c r="A93" s="57"/>
      <c r="B93" s="57" t="str">
        <f>IFERROR(__xludf.DUMMYFUNCTION("""COMPUTED_VALUE"""),"  Chicken thigh (skinless, boneless) [FOODON:03000417]  ")</f>
        <v>  Chicken thigh (skinless, boneless) [FOODON:03000417]  </v>
      </c>
      <c r="C93" s="57" t="str">
        <f>IFERROR(__xludf.DUMMYFUNCTION("""COMPUTED_VALUE"""),"FOODON:03000417")</f>
        <v>FOODON:03000417</v>
      </c>
      <c r="D93" s="58"/>
      <c r="E93" s="56"/>
      <c r="F93" s="54"/>
      <c r="G93" s="54"/>
      <c r="H93" s="57"/>
      <c r="I93" s="57"/>
      <c r="J93" s="57"/>
      <c r="K93" s="54"/>
    </row>
    <row r="94">
      <c r="A94" s="57"/>
      <c r="B94" s="57" t="str">
        <f>IFERROR(__xludf.DUMMYFUNCTION("""COMPUTED_VALUE"""),"   Chicken upper thigh [FOODON:03000381] ")</f>
        <v>   Chicken upper thigh [FOODON:03000381] </v>
      </c>
      <c r="C94" s="57" t="str">
        <f>IFERROR(__xludf.DUMMYFUNCTION("""COMPUTED_VALUE"""),"FOODON:03000381")</f>
        <v>FOODON:03000381</v>
      </c>
      <c r="D94" s="58" t="str">
        <f>IFERROR(__xludf.DUMMYFUNCTION("""COMPUTED_VALUE"""),"Meat from the upper thigh of a chicken.")</f>
        <v>Meat from the upper thigh of a chicken.</v>
      </c>
      <c r="E94" s="56"/>
      <c r="F94" s="54"/>
      <c r="G94" s="54"/>
      <c r="H94" s="54"/>
      <c r="I94" s="54"/>
      <c r="J94" s="54"/>
      <c r="K94" s="54"/>
    </row>
    <row r="95">
      <c r="A95" s="57"/>
      <c r="B95" s="57" t="str">
        <f>IFERROR(__xludf.DUMMYFUNCTION("""COMPUTED_VALUE"""),"  Chicken thigh (with skin) [FOODON:00003330]  ")</f>
        <v>  Chicken thigh (with skin) [FOODON:00003330]  </v>
      </c>
      <c r="C95" s="57" t="str">
        <f>IFERROR(__xludf.DUMMYFUNCTION("""COMPUTED_VALUE"""),"FOODON:00003330")</f>
        <v>FOODON:00003330</v>
      </c>
      <c r="D95" s="58"/>
      <c r="E95" s="56"/>
      <c r="F95" s="54"/>
      <c r="G95" s="54"/>
      <c r="H95" s="57"/>
      <c r="I95" s="57"/>
      <c r="J95" s="57"/>
      <c r="K95" s="54"/>
    </row>
    <row r="96">
      <c r="A96" s="57"/>
      <c r="B96" s="57" t="str">
        <f>IFERROR(__xludf.DUMMYFUNCTION("""COMPUTED_VALUE"""),"  Chicken thigh (with skin, with bone) [FOODON_00003363]  ")</f>
        <v>  Chicken thigh (with skin, with bone) [FOODON_00003363]  </v>
      </c>
      <c r="C96" s="57" t="str">
        <f>IFERROR(__xludf.DUMMYFUNCTION("""COMPUTED_VALUE"""),"FOODON:00003363")</f>
        <v>FOODON:00003363</v>
      </c>
      <c r="D96" s="58" t="str">
        <f>IFERROR(__xludf.DUMMYFUNCTION("""COMPUTED_VALUE"""),"A chicken thigh that contains skin and bone material.")</f>
        <v>A chicken thigh that contains skin and bone material.</v>
      </c>
      <c r="E96" s="56"/>
      <c r="F96" s="54"/>
      <c r="G96" s="54"/>
      <c r="H96" s="57"/>
      <c r="I96" s="57"/>
      <c r="J96" s="57"/>
      <c r="K96" s="54"/>
    </row>
    <row r="97">
      <c r="A97" s="57"/>
      <c r="B97" s="57" t="str">
        <f>IFERROR(__xludf.DUMMYFUNCTION("""COMPUTED_VALUE""")," Chicken wing [FOODON:00002674]   ")</f>
        <v> Chicken wing [FOODON:00002674]   </v>
      </c>
      <c r="C97" s="57" t="str">
        <f>IFERROR(__xludf.DUMMYFUNCTION("""COMPUTED_VALUE"""),"FOODON:00002674")</f>
        <v>FOODON:00002674</v>
      </c>
      <c r="D97" s="58" t="str">
        <f>IFERROR(__xludf.DUMMYFUNCTION("""COMPUTED_VALUE"""),"A whole wing that derives from a chicken.")</f>
        <v>A whole wing that derives from a chicken.</v>
      </c>
      <c r="E97" s="56"/>
      <c r="F97" s="54"/>
      <c r="G97" s="54"/>
      <c r="H97" s="57"/>
      <c r="I97" s="57"/>
      <c r="J97" s="57"/>
      <c r="K97" s="54"/>
    </row>
    <row r="98">
      <c r="A98" s="57"/>
      <c r="B98" s="57" t="str">
        <f>IFERROR(__xludf.DUMMYFUNCTION("""COMPUTED_VALUE""")," Fish food product [FOODON:00001248]   ")</f>
        <v> Fish food product [FOODON:00001248]   </v>
      </c>
      <c r="C98" s="57" t="str">
        <f>IFERROR(__xludf.DUMMYFUNCTION("""COMPUTED_VALUE"""),"FOODON:00001248")</f>
        <v>FOODON:00001248</v>
      </c>
      <c r="D98" s="58" t="str">
        <f>IFERROR(__xludf.DUMMYFUNCTION("""COMPUTED_VALUE"""),"A fish food product includes products made from any fish species (aquatic vertebrate with gills and fins).")</f>
        <v>A fish food product includes products made from any fish species (aquatic vertebrate with gills and fins).</v>
      </c>
      <c r="E98" s="56"/>
      <c r="F98" s="54"/>
      <c r="G98" s="54"/>
      <c r="H98" s="57"/>
      <c r="I98" s="57"/>
      <c r="J98" s="57"/>
      <c r="K98" s="54"/>
    </row>
    <row r="99">
      <c r="A99" s="57"/>
      <c r="B99" s="57" t="str">
        <f>IFERROR(__xludf.DUMMYFUNCTION("""COMPUTED_VALUE"""),"  Fish steak [FOODON:00002986]  ")</f>
        <v>  Fish steak [FOODON:00002986]  </v>
      </c>
      <c r="C99" s="57" t="str">
        <f>IFERROR(__xludf.DUMMYFUNCTION("""COMPUTED_VALUE"""),"FOODON:00002986")</f>
        <v>FOODON:00002986</v>
      </c>
      <c r="D99" s="58" t="str">
        <f>IFERROR(__xludf.DUMMYFUNCTION("""COMPUTED_VALUE"""),"A fish steak, alternatively known as a fish cutlet, is a cut of fish which is cut perpendicular to the spine and can either include the bones or be boneless.")</f>
        <v>A fish steak, alternatively known as a fish cutlet, is a cut of fish which is cut perpendicular to the spine and can either include the bones or be boneless.</v>
      </c>
      <c r="E99" s="56"/>
      <c r="F99" s="54"/>
      <c r="G99" s="54"/>
      <c r="H99" s="57"/>
      <c r="I99" s="57"/>
      <c r="J99" s="57"/>
      <c r="K99" s="54"/>
    </row>
    <row r="100">
      <c r="A100" s="57"/>
      <c r="B100" s="57" t="str">
        <f>IFERROR(__xludf.DUMMYFUNCTION("""COMPUTED_VALUE""")," Ham food product [FOODON:00002502]   ")</f>
        <v> Ham food product [FOODON:00002502]   </v>
      </c>
      <c r="C100" s="57" t="str">
        <f>IFERROR(__xludf.DUMMYFUNCTION("""COMPUTED_VALUE"""),"FOODON:00002502")</f>
        <v>FOODON:00002502</v>
      </c>
      <c r="D100" s="58" t="str">
        <f>IFERROR(__xludf.DUMMYFUNCTION("""COMPUTED_VALUE"""),"Ham is pork from a leg cut that has been preserved by wet or dry curing, with or without smoking. As a processed meat, the term ""ham"" includes both whole cuts of meat and ones that have been mechanically formed.")</f>
        <v>Ham is pork from a leg cut that has been preserved by wet or dry curing, with or without smoking. As a processed meat, the term "ham" includes both whole cuts of meat and ones that have been mechanically formed.</v>
      </c>
      <c r="E100" s="56"/>
      <c r="F100" s="54"/>
      <c r="G100" s="54"/>
      <c r="H100" s="57"/>
      <c r="I100" s="57"/>
      <c r="J100" s="57"/>
      <c r="K100" s="54"/>
    </row>
    <row r="101">
      <c r="A101" s="57"/>
      <c r="B101" s="57" t="str">
        <f>IFERROR(__xludf.DUMMYFUNCTION("""COMPUTED_VALUE""")," Head cheese [FOODON:03315658]   ")</f>
        <v> Head cheese [FOODON:03315658]   </v>
      </c>
      <c r="C101" s="57" t="str">
        <f>IFERROR(__xludf.DUMMYFUNCTION("""COMPUTED_VALUE"""),"FOODON:03315658")</f>
        <v>FOODON:03315658</v>
      </c>
      <c r="D101" s="58" t="str">
        <f>IFERROR(__xludf.DUMMYFUNCTION("""COMPUTED_VALUE"""),"Head cheese is a cold cut that originated in Europe. Head cheese is not a dairy cheese, but a terrine or meat jelly made with flesh from the head of a calf or pig, or less commonly a sheep or cow, and often set in aspic. A version pickled with vinegar is "&amp;"known as souse.")</f>
        <v>Head cheese is a cold cut that originated in Europe. Head cheese is not a dairy cheese, but a terrine or meat jelly made with flesh from the head of a calf or pig, or less commonly a sheep or cow, and often set in aspic. A version pickled with vinegar is known as souse.</v>
      </c>
      <c r="E101" s="56"/>
      <c r="F101" s="54"/>
      <c r="G101" s="54"/>
      <c r="H101" s="57"/>
      <c r="I101" s="57"/>
      <c r="J101" s="57"/>
      <c r="K101" s="54"/>
    </row>
    <row r="102">
      <c r="A102" s="57"/>
      <c r="B102" s="57" t="str">
        <f>IFERROR(__xludf.DUMMYFUNCTION("""COMPUTED_VALUE""")," Lamb [FOODON:03411669]   ")</f>
        <v> Lamb [FOODON:03411669]   </v>
      </c>
      <c r="C102" s="57" t="str">
        <f>IFERROR(__xludf.DUMMYFUNCTION("""COMPUTED_VALUE"""),"FOODON:03411669")</f>
        <v>FOODON:03411669</v>
      </c>
      <c r="D102" s="58" t="str">
        <f>IFERROR(__xludf.DUMMYFUNCTION("""COMPUTED_VALUE"""),"A whole lamb or some material processed from a lamb.")</f>
        <v>A whole lamb or some material processed from a lamb.</v>
      </c>
      <c r="E102" s="56"/>
      <c r="F102" s="54"/>
      <c r="G102" s="54"/>
      <c r="H102" s="57"/>
      <c r="I102" s="57"/>
      <c r="J102" s="57"/>
      <c r="K102" s="54"/>
    </row>
    <row r="103">
      <c r="A103" s="57"/>
      <c r="B103" s="57" t="str">
        <f>IFERROR(__xludf.DUMMYFUNCTION("""COMPUTED_VALUE""")," Meat strip [FOODON:00004285]   ")</f>
        <v> Meat strip [FOODON:00004285]   </v>
      </c>
      <c r="C103" s="57" t="str">
        <f>IFERROR(__xludf.DUMMYFUNCTION("""COMPUTED_VALUE"""),"FOODON:00004285")</f>
        <v>FOODON:00004285</v>
      </c>
      <c r="D103" s="58" t="str">
        <f>IFERROR(__xludf.DUMMYFUNCTION("""COMPUTED_VALUE"""),"A cut of meat which is long, narrow and boneless.")</f>
        <v>A cut of meat which is long, narrow and boneless.</v>
      </c>
      <c r="E103" s="56"/>
      <c r="F103" s="54"/>
      <c r="G103" s="54"/>
      <c r="H103" s="57"/>
      <c r="I103" s="57"/>
      <c r="J103" s="57"/>
      <c r="K103" s="54"/>
    </row>
    <row r="104">
      <c r="A104" s="57"/>
      <c r="B104" s="57" t="str">
        <f>IFERROR(__xludf.DUMMYFUNCTION("""COMPUTED_VALUE""")," Mutton [FOODON:00002912]   ")</f>
        <v> Mutton [FOODON:00002912]   </v>
      </c>
      <c r="C104" s="57" t="str">
        <f>IFERROR(__xludf.DUMMYFUNCTION("""COMPUTED_VALUE"""),"FOODON:00002912")</f>
        <v>FOODON:00002912</v>
      </c>
      <c r="D104" s="58" t="str">
        <f>IFERROR(__xludf.DUMMYFUNCTION("""COMPUTED_VALUE"""),"The meat of an adult sheep is mutton, a term only used for the meat, not the living animals.")</f>
        <v>The meat of an adult sheep is mutton, a term only used for the meat, not the living animals.</v>
      </c>
      <c r="E104" s="56"/>
      <c r="F104" s="54"/>
      <c r="G104" s="54"/>
      <c r="H104" s="57"/>
      <c r="I104" s="57"/>
      <c r="J104" s="57"/>
      <c r="K104" s="54"/>
    </row>
    <row r="105">
      <c r="A105" s="57"/>
      <c r="B105" s="57" t="str">
        <f>IFERROR(__xludf.DUMMYFUNCTION("""COMPUTED_VALUE""")," Pork chop [FOODON:00001049]   ")</f>
        <v> Pork chop [FOODON:00001049]   </v>
      </c>
      <c r="C105" s="57" t="str">
        <f>IFERROR(__xludf.DUMMYFUNCTION("""COMPUTED_VALUE"""),"FOODON:00001049")</f>
        <v>FOODON:00001049</v>
      </c>
      <c r="D105" s="58" t="str">
        <f>IFERROR(__xludf.DUMMYFUNCTION("""COMPUTED_VALUE"""),"A cut of meat (a meat chop) cut perpendicularly to the spine of the pig and usually containing a rib or part of a vertebra, served as an individual portion.")</f>
        <v>A cut of meat (a meat chop) cut perpendicularly to the spine of the pig and usually containing a rib or part of a vertebra, served as an individual portion.</v>
      </c>
      <c r="E105" s="56"/>
      <c r="F105" s="54"/>
      <c r="G105" s="54"/>
      <c r="H105" s="57"/>
      <c r="I105" s="57"/>
      <c r="J105" s="57"/>
      <c r="K105" s="54"/>
    </row>
    <row r="106">
      <c r="A106" s="57"/>
      <c r="B106" s="57" t="str">
        <f>IFERROR(__xludf.DUMMYFUNCTION("""COMPUTED_VALUE""")," Pork meat (ground or minced) [FOODON:03309969]   ")</f>
        <v> Pork meat (ground or minced) [FOODON:03309969]   </v>
      </c>
      <c r="C106" s="57" t="str">
        <f>IFERROR(__xludf.DUMMYFUNCTION("""COMPUTED_VALUE"""),"FOODON:03309969")</f>
        <v>FOODON:03309969</v>
      </c>
      <c r="D106" s="58" t="str">
        <f>IFERROR(__xludf.DUMMYFUNCTION("""COMPUTED_VALUE"""),"Meat from a pig that has been ground or minced.")</f>
        <v>Meat from a pig that has been ground or minced.</v>
      </c>
      <c r="E106" s="56"/>
      <c r="F106" s="54"/>
      <c r="G106" s="54"/>
      <c r="H106" s="57"/>
      <c r="I106" s="57"/>
      <c r="J106" s="57"/>
      <c r="K106" s="54"/>
    </row>
    <row r="107">
      <c r="A107" s="57"/>
      <c r="B107" s="57" t="str">
        <f>IFERROR(__xludf.DUMMYFUNCTION("""COMPUTED_VALUE"""),"  Pork meat (ground or minced, boneless) [FOODON:03000413]  ")</f>
        <v>  Pork meat (ground or minced, boneless) [FOODON:03000413]  </v>
      </c>
      <c r="C107" s="57" t="str">
        <f>IFERROR(__xludf.DUMMYFUNCTION("""COMPUTED_VALUE"""),"FOODON:03000413")</f>
        <v>FOODON:03000413</v>
      </c>
      <c r="D107" s="58"/>
      <c r="E107" s="56"/>
      <c r="F107" s="54"/>
      <c r="G107" s="54"/>
      <c r="H107" s="57"/>
      <c r="I107" s="57"/>
      <c r="J107" s="57"/>
      <c r="K107" s="54"/>
    </row>
    <row r="108">
      <c r="A108" s="57"/>
      <c r="B108" s="57" t="str">
        <f>IFERROR(__xludf.DUMMYFUNCTION("""COMPUTED_VALUE"""),"  Pork meat (ground or minced, extra lean) [FOODON:03000399]  ")</f>
        <v>  Pork meat (ground or minced, extra lean) [FOODON:03000399]  </v>
      </c>
      <c r="C108" s="57" t="str">
        <f>IFERROR(__xludf.DUMMYFUNCTION("""COMPUTED_VALUE"""),"FOODON:03000399")</f>
        <v>FOODON:03000399</v>
      </c>
      <c r="D108" s="58" t="str">
        <f>IFERROR(__xludf.DUMMYFUNCTION("""COMPUTED_VALUE"""),"A food product made of extra-lean, ground or minced pork meat.")</f>
        <v>A food product made of extra-lean, ground or minced pork meat.</v>
      </c>
      <c r="E108" s="56"/>
      <c r="F108" s="54"/>
      <c r="G108" s="54"/>
      <c r="H108" s="57"/>
      <c r="I108" s="57"/>
      <c r="J108" s="57"/>
      <c r="K108" s="54"/>
    </row>
    <row r="109">
      <c r="A109" s="57"/>
      <c r="B109" s="57" t="str">
        <f>IFERROR(__xludf.DUMMYFUNCTION("""COMPUTED_VALUE"""),"  Pork meat (ground or minced, lean) [FOODON:03000395]  ")</f>
        <v>  Pork meat (ground or minced, lean) [FOODON:03000395]  </v>
      </c>
      <c r="C109" s="57" t="str">
        <f>IFERROR(__xludf.DUMMYFUNCTION("""COMPUTED_VALUE"""),"FOODON:03000395")</f>
        <v>FOODON:03000395</v>
      </c>
      <c r="D109" s="58" t="str">
        <f>IFERROR(__xludf.DUMMYFUNCTION("""COMPUTED_VALUE"""),"A food product made of lean, ground or minced pork meat.")</f>
        <v>A food product made of lean, ground or minced pork meat.</v>
      </c>
      <c r="E109" s="56"/>
      <c r="F109" s="54"/>
      <c r="G109" s="54"/>
      <c r="H109" s="57"/>
      <c r="I109" s="57"/>
      <c r="J109" s="57"/>
      <c r="K109" s="54"/>
    </row>
    <row r="110">
      <c r="A110" s="57"/>
      <c r="B110" s="57" t="str">
        <f>IFERROR(__xludf.DUMMYFUNCTION("""COMPUTED_VALUE"""),"  Pork meat (ground or minced, medium) [FOODON:03000403]  ")</f>
        <v>  Pork meat (ground or minced, medium) [FOODON:03000403]  </v>
      </c>
      <c r="C110" s="57" t="str">
        <f>IFERROR(__xludf.DUMMYFUNCTION("""COMPUTED_VALUE"""),"FOODON:03000403")</f>
        <v>FOODON:03000403</v>
      </c>
      <c r="D110" s="58" t="str">
        <f>IFERROR(__xludf.DUMMYFUNCTION("""COMPUTED_VALUE"""),"A food product made of medium, ground or minced pork meat.")</f>
        <v>A food product made of medium, ground or minced pork meat.</v>
      </c>
      <c r="E110" s="56"/>
      <c r="F110" s="54"/>
      <c r="G110" s="54"/>
      <c r="H110" s="57"/>
      <c r="I110" s="57"/>
      <c r="J110" s="57"/>
      <c r="K110" s="54"/>
    </row>
    <row r="111">
      <c r="A111" s="57"/>
      <c r="B111" s="57" t="str">
        <f>IFERROR(__xludf.DUMMYFUNCTION("""COMPUTED_VALUE"""),"  Pork meat (ground or minced, regular) [FOODON:03000407]  ")</f>
        <v>  Pork meat (ground or minced, regular) [FOODON:03000407]  </v>
      </c>
      <c r="C111" s="57" t="str">
        <f>IFERROR(__xludf.DUMMYFUNCTION("""COMPUTED_VALUE"""),"FOODON:03000407")</f>
        <v>FOODON:03000407</v>
      </c>
      <c r="D111" s="58" t="str">
        <f>IFERROR(__xludf.DUMMYFUNCTION("""COMPUTED_VALUE"""),"A food product made of regular, ground or minced pork meat.")</f>
        <v>A food product made of regular, ground or minced pork meat.</v>
      </c>
      <c r="E111" s="56"/>
      <c r="F111" s="54"/>
      <c r="G111" s="54"/>
      <c r="H111" s="57"/>
      <c r="I111" s="57"/>
      <c r="J111" s="57"/>
      <c r="K111" s="54"/>
    </row>
    <row r="112">
      <c r="A112" s="57"/>
      <c r="B112" s="57" t="str">
        <f>IFERROR(__xludf.DUMMYFUNCTION("""COMPUTED_VALUE"""),"  Pork meat (ground or minced, Sirloin) [FOODON:03000409]  ")</f>
        <v>  Pork meat (ground or minced, Sirloin) [FOODON:03000409]  </v>
      </c>
      <c r="C112" s="57" t="str">
        <f>IFERROR(__xludf.DUMMYFUNCTION("""COMPUTED_VALUE"""),"FOODON:03000409")</f>
        <v>FOODON:03000409</v>
      </c>
      <c r="D112" s="58" t="str">
        <f>IFERROR(__xludf.DUMMYFUNCTION("""COMPUTED_VALUE"""),"Ground or minced pork meat that comes from the sirloin region.")</f>
        <v>Ground or minced pork meat that comes from the sirloin region.</v>
      </c>
      <c r="E112" s="56"/>
      <c r="F112" s="54"/>
      <c r="G112" s="54"/>
      <c r="H112" s="57"/>
      <c r="I112" s="57"/>
      <c r="J112" s="57"/>
      <c r="K112" s="54"/>
    </row>
    <row r="113">
      <c r="A113" s="57"/>
      <c r="B113" s="57" t="str">
        <f>IFERROR(__xludf.DUMMYFUNCTION("""COMPUTED_VALUE""")," Pork shoulder [FOODON:03000376]   ")</f>
        <v> Pork shoulder [FOODON:03000376]   </v>
      </c>
      <c r="C113" s="57" t="str">
        <f>IFERROR(__xludf.DUMMYFUNCTION("""COMPUTED_VALUE"""),"FOODON:03000376")</f>
        <v>FOODON:03000376</v>
      </c>
      <c r="D113" s="58"/>
      <c r="E113" s="56"/>
      <c r="F113" s="54"/>
      <c r="G113" s="54"/>
      <c r="H113" s="57"/>
      <c r="I113" s="57"/>
      <c r="J113" s="57"/>
      <c r="K113" s="54"/>
    </row>
    <row r="114">
      <c r="A114" s="57"/>
      <c r="B114" s="57" t="str">
        <f>IFERROR(__xludf.DUMMYFUNCTION("""COMPUTED_VALUE"""),"  Pork shoulder chop [FOODON:03000388]  ")</f>
        <v>  Pork shoulder chop [FOODON:03000388]  </v>
      </c>
      <c r="C114" s="57" t="str">
        <f>IFERROR(__xludf.DUMMYFUNCTION("""COMPUTED_VALUE"""),"FOODON:03000388")</f>
        <v>FOODON:03000388</v>
      </c>
      <c r="D114" s="58" t="str">
        <f>IFERROR(__xludf.DUMMYFUNCTION("""COMPUTED_VALUE"""),"Meat chop from the blade roast of pork.")</f>
        <v>Meat chop from the blade roast of pork.</v>
      </c>
      <c r="E114" s="56"/>
      <c r="F114" s="54"/>
      <c r="G114" s="54"/>
      <c r="H114" s="57"/>
      <c r="I114" s="57"/>
      <c r="J114" s="57"/>
      <c r="K114" s="54"/>
    </row>
    <row r="115">
      <c r="A115" s="57"/>
      <c r="B115" s="57" t="str">
        <f>IFERROR(__xludf.DUMMYFUNCTION("""COMPUTED_VALUE""")," Pork sirloin chop [FOODON:03000390]   ")</f>
        <v> Pork sirloin chop [FOODON:03000390]   </v>
      </c>
      <c r="C115" s="57" t="str">
        <f>IFERROR(__xludf.DUMMYFUNCTION("""COMPUTED_VALUE"""),"FOODON:03000390")</f>
        <v>FOODON:03000390</v>
      </c>
      <c r="D115" s="58"/>
      <c r="E115" s="56"/>
      <c r="F115" s="54"/>
      <c r="G115" s="54"/>
      <c r="H115" s="57"/>
      <c r="I115" s="57"/>
      <c r="J115" s="57"/>
      <c r="K115" s="54"/>
    </row>
    <row r="116">
      <c r="A116" s="57"/>
      <c r="B116" s="57" t="str">
        <f>IFERROR(__xludf.DUMMYFUNCTION("""COMPUTED_VALUE""")," Pork steak [FOODON:00003148]   ")</f>
        <v> Pork steak [FOODON:00003148]   </v>
      </c>
      <c r="C116" s="57" t="str">
        <f>IFERROR(__xludf.DUMMYFUNCTION("""COMPUTED_VALUE"""),"FOODON:00003148")</f>
        <v>FOODON:00003148</v>
      </c>
      <c r="D116" s="58"/>
      <c r="E116" s="56"/>
      <c r="F116" s="54"/>
      <c r="G116" s="54"/>
      <c r="H116" s="57"/>
      <c r="I116" s="57"/>
      <c r="J116" s="57"/>
      <c r="K116" s="54"/>
    </row>
    <row r="117">
      <c r="A117" s="57"/>
      <c r="B117" s="57" t="str">
        <f>IFERROR(__xludf.DUMMYFUNCTION("""COMPUTED_VALUE""")," Pork tenderloin [FOODON:03000416]   ")</f>
        <v> Pork tenderloin [FOODON:03000416]   </v>
      </c>
      <c r="C117" s="57" t="str">
        <f>IFERROR(__xludf.DUMMYFUNCTION("""COMPUTED_VALUE"""),"FOODON:03000416")</f>
        <v>FOODON:03000416</v>
      </c>
      <c r="D117" s="58"/>
      <c r="E117" s="56"/>
      <c r="F117" s="54"/>
      <c r="G117" s="54"/>
      <c r="H117" s="57"/>
      <c r="I117" s="57"/>
      <c r="J117" s="57"/>
      <c r="K117" s="54"/>
    </row>
    <row r="118">
      <c r="A118" s="57"/>
      <c r="B118" s="57" t="str">
        <f>IFERROR(__xludf.DUMMYFUNCTION("""COMPUTED_VALUE""")," Poultry meat [FOODON:03315883]   ")</f>
        <v> Poultry meat [FOODON:03315883]   </v>
      </c>
      <c r="C118" s="57" t="str">
        <f>IFERROR(__xludf.DUMMYFUNCTION("""COMPUTED_VALUE"""),"FOODON:03315883")</f>
        <v>FOODON:03315883</v>
      </c>
      <c r="D118" s="58" t="str">
        <f>IFERROR(__xludf.DUMMYFUNCTION("""COMPUTED_VALUE"""),"Any meat from one or more poultry birds.")</f>
        <v>Any meat from one or more poultry birds.</v>
      </c>
      <c r="E118" s="56"/>
      <c r="F118" s="54"/>
      <c r="G118" s="54"/>
      <c r="H118" s="57"/>
      <c r="I118" s="57"/>
      <c r="J118" s="57"/>
      <c r="K118" s="54"/>
    </row>
    <row r="119">
      <c r="A119" s="57"/>
      <c r="B119" s="57" t="str">
        <f>IFERROR(__xludf.DUMMYFUNCTION("""COMPUTED_VALUE"""),"  Leg (poultry meat cut) [FOODON:03530159]  ")</f>
        <v>  Leg (poultry meat cut) [FOODON:03530159]  </v>
      </c>
      <c r="C119" s="57" t="str">
        <f>IFERROR(__xludf.DUMMYFUNCTION("""COMPUTED_VALUE"""),"FOODON:03530159")</f>
        <v>FOODON:03530159</v>
      </c>
      <c r="D119" s="58" t="str">
        <f>IFERROR(__xludf.DUMMYFUNCTION("""COMPUTED_VALUE"""),"The leg cut of a poultry bird.")</f>
        <v>The leg cut of a poultry bird.</v>
      </c>
      <c r="E119" s="56"/>
      <c r="F119" s="54"/>
      <c r="G119" s="54"/>
      <c r="H119" s="57"/>
      <c r="I119" s="57"/>
      <c r="J119" s="57"/>
      <c r="K119" s="54"/>
    </row>
    <row r="120">
      <c r="A120" s="57"/>
      <c r="B120" s="57" t="str">
        <f>IFERROR(__xludf.DUMMYFUNCTION("""COMPUTED_VALUE"""),"   Poultry drumstick [FOODON:00003469] ")</f>
        <v>   Poultry drumstick [FOODON:00003469] </v>
      </c>
      <c r="C120" s="57" t="str">
        <f>IFERROR(__xludf.DUMMYFUNCTION("""COMPUTED_VALUE"""),"FOODON:00003469")</f>
        <v>FOODON:00003469</v>
      </c>
      <c r="D120" s="58" t="str">
        <f>IFERROR(__xludf.DUMMYFUNCTION("""COMPUTED_VALUE"""),"The calf part of a poultry hindleg (hindlimb zeugopod)")</f>
        <v>The calf part of a poultry hindleg (hindlimb zeugopod)</v>
      </c>
      <c r="E120" s="56"/>
      <c r="F120" s="54"/>
      <c r="G120" s="54"/>
      <c r="H120" s="57"/>
      <c r="I120" s="57"/>
      <c r="J120" s="57"/>
      <c r="K120" s="54"/>
    </row>
    <row r="121">
      <c r="A121" s="57"/>
      <c r="B121" s="57" t="str">
        <f>IFERROR(__xludf.DUMMYFUNCTION("""COMPUTED_VALUE"""),"  Neck (poultry meat cut) [FOODON:03530294]  ")</f>
        <v>  Neck (poultry meat cut) [FOODON:03530294]  </v>
      </c>
      <c r="C121" s="57" t="str">
        <f>IFERROR(__xludf.DUMMYFUNCTION("""COMPUTED_VALUE"""),"FOODON:03530294")</f>
        <v>FOODON:03530294</v>
      </c>
      <c r="D121" s="58" t="str">
        <f>IFERROR(__xludf.DUMMYFUNCTION("""COMPUTED_VALUE"""),"The neck cut of a poultry bird.")</f>
        <v>The neck cut of a poultry bird.</v>
      </c>
      <c r="E121" s="56"/>
      <c r="F121" s="54"/>
      <c r="G121" s="54"/>
      <c r="H121" s="57"/>
      <c r="I121" s="57"/>
      <c r="J121" s="57"/>
      <c r="K121" s="54"/>
    </row>
    <row r="122">
      <c r="A122" s="57"/>
      <c r="B122" s="57" t="str">
        <f>IFERROR(__xludf.DUMMYFUNCTION("""COMPUTED_VALUE"""),"  Thigh (poultry meat cut) [FOODON:03530160]  ")</f>
        <v>  Thigh (poultry meat cut) [FOODON:03530160]  </v>
      </c>
      <c r="C122" s="57" t="str">
        <f>IFERROR(__xludf.DUMMYFUNCTION("""COMPUTED_VALUE"""),"FOODON:03530160")</f>
        <v>FOODON:03530160</v>
      </c>
      <c r="D122" s="58" t="str">
        <f>IFERROR(__xludf.DUMMYFUNCTION("""COMPUTED_VALUE"""),"The thigh cut of a poultry bird.")</f>
        <v>The thigh cut of a poultry bird.</v>
      </c>
      <c r="E122" s="56"/>
      <c r="F122" s="54"/>
      <c r="G122" s="54"/>
      <c r="H122" s="57"/>
      <c r="I122" s="57"/>
      <c r="J122" s="57"/>
      <c r="K122" s="54"/>
    </row>
    <row r="123">
      <c r="A123" s="57"/>
      <c r="B123" s="57" t="str">
        <f>IFERROR(__xludf.DUMMYFUNCTION("""COMPUTED_VALUE"""),"  Wing (poultry meat cut) [FOODON:03530157]  ")</f>
        <v>  Wing (poultry meat cut) [FOODON:03530157]  </v>
      </c>
      <c r="C123" s="57" t="str">
        <f>IFERROR(__xludf.DUMMYFUNCTION("""COMPUTED_VALUE"""),"FOODON:03530157")</f>
        <v>FOODON:03530157</v>
      </c>
      <c r="D123" s="58" t="str">
        <f>IFERROR(__xludf.DUMMYFUNCTION("""COMPUTED_VALUE"""),"The wing cut of a poultry bird.")</f>
        <v>The wing cut of a poultry bird.</v>
      </c>
      <c r="E123" s="56"/>
      <c r="F123" s="54"/>
      <c r="G123" s="54"/>
      <c r="H123" s="57"/>
      <c r="I123" s="57"/>
      <c r="J123" s="57"/>
      <c r="K123" s="54"/>
    </row>
    <row r="124">
      <c r="A124" s="57"/>
      <c r="B124" s="57" t="str">
        <f>IFERROR(__xludf.DUMMYFUNCTION("""COMPUTED_VALUE""")," Sausage (whole) [FOODON:03315904]   ")</f>
        <v> Sausage (whole) [FOODON:03315904]   </v>
      </c>
      <c r="C124" s="57" t="str">
        <f>IFERROR(__xludf.DUMMYFUNCTION("""COMPUTED_VALUE"""),"FOODON:03315904")</f>
        <v>FOODON:03315904</v>
      </c>
      <c r="D124" s="58" t="str">
        <f>IFERROR(__xludf.DUMMYFUNCTION("""COMPUTED_VALUE"""),"A food product that is highly seasoned minced meat and is encased in a skin in the shape of a cylinder.")</f>
        <v>A food product that is highly seasoned minced meat and is encased in a skin in the shape of a cylinder.</v>
      </c>
      <c r="E124" s="56"/>
      <c r="F124" s="54"/>
      <c r="G124" s="54"/>
      <c r="H124" s="57"/>
      <c r="I124" s="57"/>
      <c r="J124" s="57"/>
      <c r="K124" s="54"/>
    </row>
    <row r="125">
      <c r="A125" s="57"/>
      <c r="B125" s="57" t="str">
        <f>IFERROR(__xludf.DUMMYFUNCTION("""COMPUTED_VALUE"""),"  Pepperoni [FOODON:03311003]  ")</f>
        <v>  Pepperoni [FOODON:03311003]  </v>
      </c>
      <c r="C125" s="57" t="str">
        <f>IFERROR(__xludf.DUMMYFUNCTION("""COMPUTED_VALUE"""),"FOODON:03311003")</f>
        <v>FOODON:03311003</v>
      </c>
      <c r="D125" s="58" t="str">
        <f>IFERROR(__xludf.DUMMYFUNCTION("""COMPUTED_VALUE"""),"A highly seasoned and spicy beef or pork sausage.")</f>
        <v>A highly seasoned and spicy beef or pork sausage.</v>
      </c>
      <c r="E125" s="56"/>
      <c r="F125" s="54"/>
      <c r="G125" s="54"/>
      <c r="H125" s="57"/>
      <c r="I125" s="57"/>
      <c r="J125" s="57"/>
      <c r="K125" s="54"/>
    </row>
    <row r="126">
      <c r="A126" s="57"/>
      <c r="B126" s="57" t="str">
        <f>IFERROR(__xludf.DUMMYFUNCTION("""COMPUTED_VALUE"""),"  Salami [FOODON:03312067]  ")</f>
        <v>  Salami [FOODON:03312067]  </v>
      </c>
      <c r="C126" s="57" t="str">
        <f>IFERROR(__xludf.DUMMYFUNCTION("""COMPUTED_VALUE"""),"FOODON:03312067")</f>
        <v>FOODON:03312067</v>
      </c>
      <c r="D126" s="58" t="str">
        <f>IFERROR(__xludf.DUMMYFUNCTION("""COMPUTED_VALUE"""),"A cured sausage which consists of fermented and air-dried meat, typically pork.")</f>
        <v>A cured sausage which consists of fermented and air-dried meat, typically pork.</v>
      </c>
      <c r="E126" s="56"/>
      <c r="F126" s="54"/>
      <c r="G126" s="54"/>
      <c r="H126" s="57"/>
      <c r="I126" s="57"/>
      <c r="J126" s="57"/>
      <c r="K126" s="54"/>
    </row>
    <row r="127">
      <c r="A127" s="57"/>
      <c r="B127" s="57" t="str">
        <f>IFERROR(__xludf.DUMMYFUNCTION("""COMPUTED_VALUE""")," Shellfish [FOODON:03411433]   ")</f>
        <v> Shellfish [FOODON:03411433]   </v>
      </c>
      <c r="C127" s="57" t="str">
        <f>IFERROR(__xludf.DUMMYFUNCTION("""COMPUTED_VALUE"""),"FOODON:03411433")</f>
        <v>FOODON:03411433</v>
      </c>
      <c r="D127" s="58" t="str">
        <f>IFERROR(__xludf.DUMMYFUNCTION("""COMPUTED_VALUE"""),"The term shellfish is used both broadly and specifically. For regulatory purposes it is often narrowly defined as filter-feeding molluscs such as clams, mussels, and oyster to the exclusion of crustaceans and all else. Although their shells may differ, al"&amp;"l shellfish are invertebrates.")</f>
        <v>The term shellfish is used both broadly and specifically. For regulatory purposes it is often narrowly defined as filter-feeding molluscs such as clams, mussels, and oyster to the exclusion of crustaceans and all else. Although their shells may differ, all shellfish are invertebrates.</v>
      </c>
      <c r="E127" s="56"/>
      <c r="F127" s="54"/>
      <c r="G127" s="54"/>
      <c r="H127" s="57"/>
      <c r="I127" s="57"/>
      <c r="J127" s="57"/>
      <c r="K127" s="54"/>
    </row>
    <row r="128">
      <c r="A128" s="57"/>
      <c r="B128" s="57" t="str">
        <f>IFERROR(__xludf.DUMMYFUNCTION("""COMPUTED_VALUE"""),"  Shrimp [FOODON:03301673]  ")</f>
        <v>  Shrimp [FOODON:03301673]  </v>
      </c>
      <c r="C128" s="57" t="str">
        <f>IFERROR(__xludf.DUMMYFUNCTION("""COMPUTED_VALUE"""),"FOODON:03301673")</f>
        <v>FOODON:03301673</v>
      </c>
      <c r="D128" s="58" t="str">
        <f>IFERROR(__xludf.DUMMYFUNCTION("""COMPUTED_VALUE"""),"A whole shrimp or some material processed from a shrimp.")</f>
        <v>A whole shrimp or some material processed from a shrimp.</v>
      </c>
      <c r="E128" s="56"/>
      <c r="F128" s="54"/>
      <c r="G128" s="54"/>
      <c r="H128" s="57"/>
      <c r="I128" s="57"/>
      <c r="J128" s="57"/>
      <c r="K128" s="54"/>
    </row>
    <row r="129">
      <c r="A129" s="57"/>
      <c r="B129" s="57" t="str">
        <f>IFERROR(__xludf.DUMMYFUNCTION("""COMPUTED_VALUE"""),"  Scallop [FOODON:03411489]  ")</f>
        <v>  Scallop [FOODON:03411489]  </v>
      </c>
      <c r="C129" s="57" t="str">
        <f>IFERROR(__xludf.DUMMYFUNCTION("""COMPUTED_VALUE"""),"FOODON:03411489")</f>
        <v>FOODON:03411489</v>
      </c>
      <c r="D129" s="58"/>
      <c r="E129" s="56"/>
      <c r="F129" s="54"/>
      <c r="G129" s="54"/>
      <c r="H129" s="57"/>
      <c r="I129" s="57"/>
      <c r="J129" s="57"/>
      <c r="K129" s="54"/>
    </row>
    <row r="130">
      <c r="A130" s="57"/>
      <c r="B130" s="57" t="str">
        <f>IFERROR(__xludf.DUMMYFUNCTION("""COMPUTED_VALUE""")," Turkey breast [FOODON:00002690]   ")</f>
        <v> Turkey breast [FOODON:00002690]   </v>
      </c>
      <c r="C130" s="57" t="str">
        <f>IFERROR(__xludf.DUMMYFUNCTION("""COMPUTED_VALUE"""),"FOODON:00002690")</f>
        <v>FOODON:00002690</v>
      </c>
      <c r="D130" s="58" t="str">
        <f>IFERROR(__xludf.DUMMYFUNCTION("""COMPUTED_VALUE"""),"Turkey breast consists mainly of the breast meat portion of a turkey, and may or may not include connected bone (""deboned or boneless versus bone-in"") and skin.")</f>
        <v>Turkey breast consists mainly of the breast meat portion of a turkey, and may or may not include connected bone ("deboned or boneless versus bone-in") and skin.</v>
      </c>
      <c r="E130" s="56"/>
      <c r="F130" s="54"/>
      <c r="G130" s="54"/>
      <c r="H130" s="57"/>
      <c r="I130" s="57"/>
      <c r="J130" s="57"/>
      <c r="K130" s="54"/>
    </row>
    <row r="131">
      <c r="A131" s="57"/>
      <c r="B131" s="57" t="str">
        <f>IFERROR(__xludf.DUMMYFUNCTION("""COMPUTED_VALUE"""),"  Turkey breast (back off) [FOODON:03000386]  ")</f>
        <v>  Turkey breast (back off) [FOODON:03000386]  </v>
      </c>
      <c r="C131" s="57" t="str">
        <f>IFERROR(__xludf.DUMMYFUNCTION("""COMPUTED_VALUE"""),"FOODON:03000386")</f>
        <v>FOODON:03000386</v>
      </c>
      <c r="D131" s="58" t="str">
        <f>IFERROR(__xludf.DUMMYFUNCTION("""COMPUTED_VALUE"""),"A turkey breast with its backbone removed.")</f>
        <v>A turkey breast with its backbone removed.</v>
      </c>
      <c r="E131" s="56"/>
      <c r="F131" s="54"/>
      <c r="G131" s="54"/>
      <c r="H131" s="57"/>
      <c r="I131" s="57"/>
      <c r="J131" s="57"/>
      <c r="K131" s="54"/>
    </row>
    <row r="132">
      <c r="A132" s="57"/>
      <c r="B132" s="57" t="str">
        <f>IFERROR(__xludf.DUMMYFUNCTION("""COMPUTED_VALUE"""),"  Turkey breast (skinless) [FOODON:03000372]  ")</f>
        <v>  Turkey breast (skinless) [FOODON:03000372]  </v>
      </c>
      <c r="C132" s="57" t="str">
        <f>IFERROR(__xludf.DUMMYFUNCTION("""COMPUTED_VALUE"""),"FOODON:03000372")</f>
        <v>FOODON:03000372</v>
      </c>
      <c r="D132" s="58"/>
      <c r="E132" s="56"/>
      <c r="F132" s="54"/>
      <c r="G132" s="54"/>
      <c r="H132" s="57"/>
      <c r="I132" s="57"/>
      <c r="J132" s="57"/>
      <c r="K132" s="54"/>
    </row>
    <row r="133">
      <c r="A133" s="57"/>
      <c r="B133" s="57" t="str">
        <f>IFERROR(__xludf.DUMMYFUNCTION("""COMPUTED_VALUE"""),"  Turkey breast (skinless, boneless) [FOODON:03000373]  ")</f>
        <v>  Turkey breast (skinless, boneless) [FOODON:03000373]  </v>
      </c>
      <c r="C133" s="57" t="str">
        <f>IFERROR(__xludf.DUMMYFUNCTION("""COMPUTED_VALUE"""),"FOODON:03000373")</f>
        <v>FOODON:03000373</v>
      </c>
      <c r="D133" s="58"/>
      <c r="E133" s="56"/>
      <c r="F133" s="54"/>
      <c r="G133" s="54"/>
      <c r="H133" s="57"/>
      <c r="I133" s="57"/>
      <c r="J133" s="57"/>
      <c r="K133" s="54"/>
    </row>
    <row r="134">
      <c r="A134" s="57"/>
      <c r="B134" s="57" t="str">
        <f>IFERROR(__xludf.DUMMYFUNCTION("""COMPUTED_VALUE"""),"  Turkey breast (with skin) [FOODON:03000375]  ")</f>
        <v>  Turkey breast (with skin) [FOODON:03000375]  </v>
      </c>
      <c r="C134" s="57" t="str">
        <f>IFERROR(__xludf.DUMMYFUNCTION("""COMPUTED_VALUE"""),"FOODON:03000375")</f>
        <v>FOODON:03000375</v>
      </c>
      <c r="D134" s="58"/>
      <c r="E134" s="56"/>
      <c r="F134" s="54"/>
      <c r="G134" s="54"/>
      <c r="H134" s="57"/>
      <c r="I134" s="57"/>
      <c r="J134" s="57"/>
      <c r="K134" s="54"/>
    </row>
    <row r="135">
      <c r="A135" s="57"/>
      <c r="B135" s="57" t="str">
        <f>IFERROR(__xludf.DUMMYFUNCTION("""COMPUTED_VALUE""")," Turkey drumstick [FOODON:03000365]   ")</f>
        <v> Turkey drumstick [FOODON:03000365]   </v>
      </c>
      <c r="C135" s="57" t="str">
        <f>IFERROR(__xludf.DUMMYFUNCTION("""COMPUTED_VALUE"""),"FOODON:03000365")</f>
        <v>FOODON:03000365</v>
      </c>
      <c r="D135" s="58"/>
      <c r="E135" s="56"/>
      <c r="F135" s="54"/>
      <c r="G135" s="54"/>
      <c r="H135" s="57"/>
      <c r="I135" s="57"/>
      <c r="J135" s="57"/>
      <c r="K135" s="54"/>
    </row>
    <row r="136">
      <c r="A136" s="57"/>
      <c r="B136" s="57" t="str">
        <f>IFERROR(__xludf.DUMMYFUNCTION("""COMPUTED_VALUE"""),"  Turkey drumstick (skinless) [FOODON:03000367]  ")</f>
        <v>  Turkey drumstick (skinless) [FOODON:03000367]  </v>
      </c>
      <c r="C136" s="57" t="str">
        <f>IFERROR(__xludf.DUMMYFUNCTION("""COMPUTED_VALUE"""),"FOODON:03000367")</f>
        <v>FOODON:03000367</v>
      </c>
      <c r="D136" s="58"/>
      <c r="E136" s="56"/>
      <c r="F136" s="54"/>
      <c r="G136" s="54"/>
      <c r="H136" s="57"/>
      <c r="I136" s="57"/>
      <c r="J136" s="57"/>
      <c r="K136" s="54"/>
    </row>
    <row r="137">
      <c r="A137" s="57"/>
      <c r="B137" s="57" t="str">
        <f>IFERROR(__xludf.DUMMYFUNCTION("""COMPUTED_VALUE"""),"  Turkey drumstick (with skin) [FOODON:03000369]  ")</f>
        <v>  Turkey drumstick (with skin) [FOODON:03000369]  </v>
      </c>
      <c r="C137" s="57" t="str">
        <f>IFERROR(__xludf.DUMMYFUNCTION("""COMPUTED_VALUE"""),"FOODON:03000369")</f>
        <v>FOODON:03000369</v>
      </c>
      <c r="D137" s="58"/>
      <c r="E137" s="56"/>
      <c r="F137" s="54"/>
      <c r="G137" s="54"/>
      <c r="H137" s="57"/>
      <c r="I137" s="57"/>
      <c r="J137" s="57"/>
      <c r="K137" s="54"/>
    </row>
    <row r="138">
      <c r="A138" s="57"/>
      <c r="B138" s="57" t="str">
        <f>IFERROR(__xludf.DUMMYFUNCTION("""COMPUTED_VALUE""")," Turkey meat [FOODON:00001286]   ")</f>
        <v> Turkey meat [FOODON:00001286]   </v>
      </c>
      <c r="C138" s="57" t="str">
        <f>IFERROR(__xludf.DUMMYFUNCTION("""COMPUTED_VALUE"""),"FOODON:00001286")</f>
        <v>FOODON:00001286</v>
      </c>
      <c r="D138" s="58" t="str">
        <f>IFERROR(__xludf.DUMMYFUNCTION("""COMPUTED_VALUE"""),"A turkey meat food product is any food product made predominantly of turkey parts.")</f>
        <v>A turkey meat food product is any food product made predominantly of turkey parts.</v>
      </c>
      <c r="E138" s="56"/>
      <c r="F138" s="54"/>
      <c r="G138" s="54"/>
      <c r="H138" s="57"/>
      <c r="I138" s="57"/>
      <c r="J138" s="57"/>
      <c r="K138" s="54"/>
    </row>
    <row r="139">
      <c r="A139" s="57"/>
      <c r="B139" s="57" t="str">
        <f>IFERROR(__xludf.DUMMYFUNCTION("""COMPUTED_VALUE"""),"  Turkey meat (ground or minced) [FOODON:00002714]  ")</f>
        <v>  Turkey meat (ground or minced) [FOODON:00002714]  </v>
      </c>
      <c r="C139" s="57" t="str">
        <f>IFERROR(__xludf.DUMMYFUNCTION("""COMPUTED_VALUE"""),"FOODON:00002714")</f>
        <v>FOODON:00002714</v>
      </c>
      <c r="D139" s="58" t="str">
        <f>IFERROR(__xludf.DUMMYFUNCTION("""COMPUTED_VALUE"""),"A food product made of ground or minced turkey meat.")</f>
        <v>A food product made of ground or minced turkey meat.</v>
      </c>
      <c r="E139" s="56"/>
      <c r="F139" s="54"/>
      <c r="G139" s="54"/>
      <c r="H139" s="57"/>
      <c r="I139" s="57"/>
      <c r="J139" s="57"/>
      <c r="K139" s="54"/>
    </row>
    <row r="140">
      <c r="A140" s="57"/>
      <c r="B140" s="57" t="str">
        <f>IFERROR(__xludf.DUMMYFUNCTION("""COMPUTED_VALUE"""),"  Turkey meat (ground or minced, lean) [FOODON:03000393]  ")</f>
        <v>  Turkey meat (ground or minced, lean) [FOODON:03000393]  </v>
      </c>
      <c r="C140" s="57" t="str">
        <f>IFERROR(__xludf.DUMMYFUNCTION("""COMPUTED_VALUE"""),"FOODON:03000393")</f>
        <v>FOODON:03000393</v>
      </c>
      <c r="D140" s="58" t="str">
        <f>IFERROR(__xludf.DUMMYFUNCTION("""COMPUTED_VALUE"""),"A food product made of lean, ground or minced turkey meat.")</f>
        <v>A food product made of lean, ground or minced turkey meat.</v>
      </c>
      <c r="E140" s="56"/>
      <c r="F140" s="54"/>
      <c r="G140" s="54"/>
      <c r="H140" s="57"/>
      <c r="I140" s="57"/>
      <c r="J140" s="57"/>
      <c r="K140" s="54"/>
    </row>
    <row r="141">
      <c r="A141" s="57"/>
      <c r="B141" s="57" t="str">
        <f>IFERROR(__xludf.DUMMYFUNCTION("""COMPUTED_VALUE"""),"  Turkey meat (ground or minced, extra lean) [FOODON:03000397]  ")</f>
        <v>  Turkey meat (ground or minced, extra lean) [FOODON:03000397]  </v>
      </c>
      <c r="C141" s="57" t="str">
        <f>IFERROR(__xludf.DUMMYFUNCTION("""COMPUTED_VALUE"""),"FOODON:03000397")</f>
        <v>FOODON:03000397</v>
      </c>
      <c r="D141" s="58" t="str">
        <f>IFERROR(__xludf.DUMMYFUNCTION("""COMPUTED_VALUE"""),"A food product made of extra-lean, ground or minced turkey meat.")</f>
        <v>A food product made of extra-lean, ground or minced turkey meat.</v>
      </c>
      <c r="E141" s="56"/>
      <c r="F141" s="54"/>
      <c r="G141" s="54"/>
      <c r="H141" s="57"/>
      <c r="I141" s="57"/>
      <c r="J141" s="57"/>
      <c r="K141" s="54"/>
    </row>
    <row r="142">
      <c r="A142" s="57"/>
      <c r="B142" s="57" t="str">
        <f>IFERROR(__xludf.DUMMYFUNCTION("""COMPUTED_VALUE"""),"  Turkey meat (ground or minced, medium) [FOODON:03000401]  ")</f>
        <v>  Turkey meat (ground or minced, medium) [FOODON:03000401]  </v>
      </c>
      <c r="C142" s="57" t="str">
        <f>IFERROR(__xludf.DUMMYFUNCTION("""COMPUTED_VALUE"""),"FOODON:03000401")</f>
        <v>FOODON:03000401</v>
      </c>
      <c r="D142" s="58" t="str">
        <f>IFERROR(__xludf.DUMMYFUNCTION("""COMPUTED_VALUE"""),"A food product made of medium, ground or minced turkey meat.")</f>
        <v>A food product made of medium, ground or minced turkey meat.</v>
      </c>
      <c r="E142" s="56"/>
      <c r="F142" s="54"/>
      <c r="G142" s="54"/>
      <c r="H142" s="57"/>
      <c r="I142" s="57"/>
      <c r="J142" s="57"/>
      <c r="K142" s="54"/>
    </row>
    <row r="143">
      <c r="A143" s="57"/>
      <c r="B143" s="57" t="str">
        <f>IFERROR(__xludf.DUMMYFUNCTION("""COMPUTED_VALUE"""),"  Turkey meat (ground or minced, regular) [FOODON:03000405]  ")</f>
        <v>  Turkey meat (ground or minced, regular) [FOODON:03000405]  </v>
      </c>
      <c r="C143" s="57" t="str">
        <f>IFERROR(__xludf.DUMMYFUNCTION("""COMPUTED_VALUE"""),"FOODON:03000405")</f>
        <v>FOODON:03000405</v>
      </c>
      <c r="D143" s="58" t="str">
        <f>IFERROR(__xludf.DUMMYFUNCTION("""COMPUTED_VALUE"""),"A food product made of regular, ground or minced turkey meat.")</f>
        <v>A food product made of regular, ground or minced turkey meat.</v>
      </c>
      <c r="E143" s="56"/>
      <c r="F143" s="54"/>
      <c r="G143" s="54"/>
      <c r="H143" s="57"/>
      <c r="I143" s="57"/>
      <c r="J143" s="57"/>
      <c r="K143" s="54"/>
    </row>
    <row r="144">
      <c r="A144" s="57"/>
      <c r="B144" s="57" t="str">
        <f>IFERROR(__xludf.DUMMYFUNCTION("""COMPUTED_VALUE"""),"  Turkey meat (ground or minced, boneless) [FOODON:03000411]  ")</f>
        <v>  Turkey meat (ground or minced, boneless) [FOODON:03000411]  </v>
      </c>
      <c r="C144" s="57" t="str">
        <f>IFERROR(__xludf.DUMMYFUNCTION("""COMPUTED_VALUE"""),"FOODON:03000411")</f>
        <v>FOODON:03000411</v>
      </c>
      <c r="D144" s="58"/>
      <c r="E144" s="56"/>
      <c r="F144" s="54"/>
      <c r="G144" s="54"/>
      <c r="H144" s="57"/>
      <c r="I144" s="57"/>
      <c r="J144" s="57"/>
      <c r="K144" s="54"/>
    </row>
    <row r="145">
      <c r="A145" s="57"/>
      <c r="B145" s="57" t="str">
        <f>IFERROR(__xludf.DUMMYFUNCTION("""COMPUTED_VALUE""")," Turkey thigh [FOODON:00003325]   ")</f>
        <v> Turkey thigh [FOODON:00003325]   </v>
      </c>
      <c r="C145" s="57" t="str">
        <f>IFERROR(__xludf.DUMMYFUNCTION("""COMPUTED_VALUE"""),"FOODON:00003325")</f>
        <v>FOODON:00003325</v>
      </c>
      <c r="D145" s="58" t="str">
        <f>IFERROR(__xludf.DUMMYFUNCTION("""COMPUTED_VALUE"""),"A thigh poultry cut of turkey.")</f>
        <v>A thigh poultry cut of turkey.</v>
      </c>
      <c r="E145" s="56"/>
      <c r="F145" s="54"/>
      <c r="G145" s="54"/>
      <c r="H145" s="57"/>
      <c r="I145" s="57"/>
      <c r="J145" s="57"/>
      <c r="K145" s="54"/>
    </row>
    <row r="146">
      <c r="A146" s="57"/>
      <c r="B146" s="57" t="str">
        <f>IFERROR(__xludf.DUMMYFUNCTION("""COMPUTED_VALUE"""),"  Turkey thigh (skinless) [FOODON:00003329]  ")</f>
        <v>  Turkey thigh (skinless) [FOODON:00003329]  </v>
      </c>
      <c r="C146" s="57" t="str">
        <f>IFERROR(__xludf.DUMMYFUNCTION("""COMPUTED_VALUE"""),"FOODON:00003329")</f>
        <v>FOODON:00003329</v>
      </c>
      <c r="D146" s="58" t="str">
        <f>IFERROR(__xludf.DUMMYFUNCTION("""COMPUTED_VALUE"""),"A turkey thigh after the skin has been removed.")</f>
        <v>A turkey thigh after the skin has been removed.</v>
      </c>
      <c r="E146" s="56"/>
      <c r="F146" s="54"/>
      <c r="G146" s="54"/>
      <c r="H146" s="57"/>
      <c r="I146" s="57"/>
      <c r="J146" s="57"/>
      <c r="K146" s="54"/>
    </row>
    <row r="147">
      <c r="A147" s="57"/>
      <c r="B147" s="57" t="str">
        <f>IFERROR(__xludf.DUMMYFUNCTION("""COMPUTED_VALUE"""),"  Turkey thigh (skinless, boneless) [FOODON:03000370]  ")</f>
        <v>  Turkey thigh (skinless, boneless) [FOODON:03000370]  </v>
      </c>
      <c r="C147" s="57" t="str">
        <f>IFERROR(__xludf.DUMMYFUNCTION("""COMPUTED_VALUE"""),"FOODON:03000370")</f>
        <v>FOODON:03000370</v>
      </c>
      <c r="D147" s="58"/>
      <c r="E147" s="56"/>
      <c r="F147" s="54"/>
      <c r="G147" s="54"/>
      <c r="H147" s="57"/>
      <c r="I147" s="57"/>
      <c r="J147" s="57"/>
      <c r="K147" s="54"/>
    </row>
    <row r="148">
      <c r="A148" s="57"/>
      <c r="B148" s="57" t="str">
        <f>IFERROR(__xludf.DUMMYFUNCTION("""COMPUTED_VALUE"""),"  Turkey thigh (with skin) [FOODON:00003328]  ")</f>
        <v>  Turkey thigh (with skin) [FOODON:00003328]  </v>
      </c>
      <c r="C148" s="57" t="str">
        <f>IFERROR(__xludf.DUMMYFUNCTION("""COMPUTED_VALUE"""),"FOODON:00003328")</f>
        <v>FOODON:00003328</v>
      </c>
      <c r="D148" s="58" t="str">
        <f>IFERROR(__xludf.DUMMYFUNCTION("""COMPUTED_VALUE"""),"A turkey thigh that still contains the skin.")</f>
        <v>A turkey thigh that still contains the skin.</v>
      </c>
      <c r="E148" s="56"/>
      <c r="F148" s="54"/>
      <c r="G148" s="54"/>
      <c r="H148" s="57"/>
      <c r="I148" s="57"/>
      <c r="J148" s="57"/>
      <c r="K148" s="54"/>
    </row>
    <row r="149">
      <c r="A149" s="57"/>
      <c r="B149" s="57" t="str">
        <f>IFERROR(__xludf.DUMMYFUNCTION("""COMPUTED_VALUE"""),"   Turkey upper thigh [FOODON:03000382] ")</f>
        <v>   Turkey upper thigh [FOODON:03000382] </v>
      </c>
      <c r="C149" s="57" t="str">
        <f>IFERROR(__xludf.DUMMYFUNCTION("""COMPUTED_VALUE"""),"FOODON:03000382")</f>
        <v>FOODON:03000382</v>
      </c>
      <c r="D149" s="58" t="str">
        <f>IFERROR(__xludf.DUMMYFUNCTION("""COMPUTED_VALUE"""),"Meat from the upper thigh of a turkey.")</f>
        <v>Meat from the upper thigh of a turkey.</v>
      </c>
      <c r="E149" s="56"/>
      <c r="F149" s="54"/>
      <c r="G149" s="54"/>
      <c r="H149" s="57"/>
      <c r="I149" s="57"/>
      <c r="J149" s="57"/>
      <c r="K149" s="54"/>
    </row>
    <row r="150">
      <c r="A150" s="57"/>
      <c r="B150" s="57" t="str">
        <f>IFERROR(__xludf.DUMMYFUNCTION("""COMPUTED_VALUE"""),"   Turkey upper thigh (with skin) [FOODON:03000384] ")</f>
        <v>   Turkey upper thigh (with skin) [FOODON:03000384] </v>
      </c>
      <c r="C150" s="57" t="str">
        <f>IFERROR(__xludf.DUMMYFUNCTION("""COMPUTED_VALUE"""),"FOODON:03000384")</f>
        <v>FOODON:03000384</v>
      </c>
      <c r="D150" s="58" t="str">
        <f>IFERROR(__xludf.DUMMYFUNCTION("""COMPUTED_VALUE"""),"Turkey's upper thigh that contains the skin.")</f>
        <v>Turkey's upper thigh that contains the skin.</v>
      </c>
      <c r="E150" s="56"/>
      <c r="F150" s="54"/>
      <c r="G150" s="54"/>
      <c r="H150" s="57"/>
      <c r="I150" s="57"/>
      <c r="J150" s="57"/>
      <c r="K150" s="54"/>
    </row>
    <row r="151">
      <c r="A151" s="57"/>
      <c r="B151" s="57" t="str">
        <f>IFERROR(__xludf.DUMMYFUNCTION("""COMPUTED_VALUE""")," Turkey wing [FOODON:03000371]   ")</f>
        <v> Turkey wing [FOODON:03000371]   </v>
      </c>
      <c r="C151" s="57" t="str">
        <f>IFERROR(__xludf.DUMMYFUNCTION("""COMPUTED_VALUE"""),"FOODON:03000371")</f>
        <v>FOODON:03000371</v>
      </c>
      <c r="D151" s="58"/>
      <c r="E151" s="56"/>
      <c r="F151" s="54"/>
      <c r="G151" s="54"/>
      <c r="H151" s="57"/>
      <c r="I151" s="57"/>
      <c r="J151" s="57"/>
      <c r="K151" s="54"/>
    </row>
    <row r="152">
      <c r="A152" s="57"/>
      <c r="B152" s="57" t="str">
        <f>IFERROR(__xludf.DUMMYFUNCTION("""COMPUTED_VALUE""")," Veal [FOODON:00003083]   ")</f>
        <v> Veal [FOODON:00003083]   </v>
      </c>
      <c r="C152" s="57" t="str">
        <f>IFERROR(__xludf.DUMMYFUNCTION("""COMPUTED_VALUE"""),"FOODON:00003083")</f>
        <v>FOODON:00003083</v>
      </c>
      <c r="D152" s="58" t="str">
        <f>IFERROR(__xludf.DUMMYFUNCTION("""COMPUTED_VALUE"""),"Veal is the meat of calves, in contrast to the beef from older cattle. Veal can be produced from a calf of either sex and any breed; however, most veal comes from young males of dairy breeds which are not used for breeding.")</f>
        <v>Veal is the meat of calves, in contrast to the beef from older cattle. Veal can be produced from a calf of either sex and any breed; however, most veal comes from young males of dairy breeds which are not used for breeding.</v>
      </c>
      <c r="E152" s="56"/>
      <c r="F152" s="54"/>
      <c r="G152" s="54"/>
      <c r="H152" s="57"/>
      <c r="I152" s="57"/>
      <c r="J152" s="57"/>
      <c r="K152" s="54"/>
    </row>
    <row r="153">
      <c r="A153" s="57"/>
      <c r="B153" s="57" t="str">
        <f>IFERROR(__xludf.DUMMYFUNCTION("""COMPUTED_VALUE"""),"  Formula fed veal [FOODON:000039111]  ")</f>
        <v>  Formula fed veal [FOODON:000039111]  </v>
      </c>
      <c r="C153" s="57" t="str">
        <f>IFERROR(__xludf.DUMMYFUNCTION("""COMPUTED_VALUE"""),"OODON:000039111")</f>
        <v>OODON:000039111</v>
      </c>
      <c r="D153" s="58"/>
      <c r="E153" s="56"/>
      <c r="F153" s="54"/>
      <c r="G153" s="54"/>
      <c r="H153" s="57"/>
      <c r="I153" s="57"/>
      <c r="J153" s="57"/>
      <c r="K153" s="54"/>
    </row>
    <row r="154">
      <c r="A154" s="57"/>
      <c r="B154" s="57" t="str">
        <f>IFERROR(__xludf.DUMMYFUNCTION("""COMPUTED_VALUE"""),"  Grain-fed veal [FOODON:00004280]  ")</f>
        <v>  Grain-fed veal [FOODON:00004280]  </v>
      </c>
      <c r="C154" s="57" t="str">
        <f>IFERROR(__xludf.DUMMYFUNCTION("""COMPUTED_VALUE"""),"FOODON:00004280")</f>
        <v>FOODON:00004280</v>
      </c>
      <c r="D154" s="58" t="str">
        <f>IFERROR(__xludf.DUMMYFUNCTION("""COMPUTED_VALUE"""),"Meat from a calf that is raised on grain, hay, or other solid food, in addition to milk")</f>
        <v>Meat from a calf that is raised on grain, hay, or other solid food, in addition to milk</v>
      </c>
      <c r="E154" s="56"/>
      <c r="F154" s="54"/>
      <c r="G154" s="54"/>
      <c r="H154" s="57"/>
      <c r="I154" s="57"/>
      <c r="J154" s="57"/>
      <c r="K154" s="54"/>
    </row>
    <row r="155">
      <c r="A155" s="57"/>
      <c r="B155" s="57" t="str">
        <f>IFERROR(__xludf.DUMMYFUNCTION("""COMPUTED_VALUE"""),"    ")</f>
        <v>    </v>
      </c>
      <c r="C155" s="57" t="str">
        <f>IFERROR(__xludf.DUMMYFUNCTION("""COMPUTED_VALUE"""),"")</f>
        <v/>
      </c>
      <c r="D155" s="58"/>
      <c r="E155" s="56"/>
      <c r="F155" s="54"/>
      <c r="G155" s="54"/>
      <c r="H155" s="54"/>
      <c r="I155" s="54"/>
      <c r="J155" s="54"/>
      <c r="K155" s="54"/>
    </row>
    <row r="156">
      <c r="A156" s="57" t="str">
        <f>IFERROR(__xludf.DUMMYFUNCTION("""COMPUTED_VALUE"""),"food_product_properties menu")</f>
        <v>food_product_properties menu</v>
      </c>
      <c r="B156" s="57" t="str">
        <f>IFERROR(__xludf.DUMMYFUNCTION("""COMPUTED_VALUE"""),"    ")</f>
        <v>    </v>
      </c>
      <c r="C156" s="57" t="str">
        <f>IFERROR(__xludf.DUMMYFUNCTION("""COMPUTED_VALUE"""),"")</f>
        <v/>
      </c>
      <c r="D156" s="58"/>
      <c r="E156" s="56"/>
      <c r="F156" s="54"/>
      <c r="G156" s="54"/>
      <c r="H156" s="54"/>
      <c r="I156" s="54"/>
      <c r="J156" s="54"/>
      <c r="K156" s="54"/>
    </row>
    <row r="157">
      <c r="A157" s="57"/>
      <c r="B157" s="57" t="str">
        <f>IFERROR(__xludf.DUMMYFUNCTION("""COMPUTED_VALUE"""),"Organic food claim or use [FOODON:03510128]    ")</f>
        <v>Organic food claim or use [FOODON:03510128]    </v>
      </c>
      <c r="C157" s="57" t="str">
        <f>IFERROR(__xludf.DUMMYFUNCTION("""COMPUTED_VALUE"""),"FOODON:03510128")</f>
        <v>FOODON:03510128</v>
      </c>
      <c r="D157" s="58" t="str">
        <f>IFERROR(__xludf.DUMMYFUNCTION("""COMPUTED_VALUE"""),"USA: The 1990 Farm Act specifies that a food labeled 'organic' must meet four requirements: 1) the food must be raised by specified methods to replenish and maintain the fertility of the soil; 2) the food must be certified as having been produced with a n"&amp;"ationally approved list of materials and practices; 3) to be eligible for certification at least three years must have elapsed between the first organic harvest and first use of nationally approved materials on land and crops;and 4) organic foods must mee"&amp;"t all local, state and federal regulations governing the quality and safety of the food supply. Europe: Foods produced in accordance with Council Regulation (EC) No 834/2007 of 28 June 2007 on organic production and labelling of organic products and repea"&amp;"ling Regulation (EEC) No 2092/91. [http://eur-lex.europa.eu/LexUriServ/LexUriServ.do?uri=OJ:L:2007:189:0001:0023:EN:PDF]")</f>
        <v>USA: The 1990 Farm Act specifies that a food labeled 'organic' must meet four requirements: 1) the food must be raised by specified methods to replenish and maintain the fertility of the soil; 2) the food must be certified as having been produced with a nationally approved list of materials and practices; 3) to be eligible for certification at least three years must have elapsed between the first organic harvest and first use of nationally approved materials on land and crops;and 4) organic foods must meet all local, state and federal regulations governing the quality and safety of the food supply. Europe: Foods produced in accordance with Council Regulation (EC) No 834/2007 of 28 June 2007 on organic production and labelling of organic products and repealing Regulation (EEC) No 2092/91. [http://eur-lex.europa.eu/LexUriServ/LexUriServ.do?uri=OJ:L:2007:189:0001:0023:EN:PDF]</v>
      </c>
      <c r="E157" s="56"/>
      <c r="F157" s="54"/>
      <c r="G157" s="54"/>
      <c r="H157" s="57"/>
      <c r="I157" s="57"/>
      <c r="J157" s="57"/>
      <c r="K157" s="54"/>
    </row>
    <row r="158">
      <c r="A158" s="57"/>
      <c r="B158" s="57" t="str">
        <f>IFERROR(__xludf.DUMMYFUNCTION("""COMPUTED_VALUE"""),"Food (raw) [FOODON:03311126]    ")</f>
        <v>Food (raw) [FOODON:03311126]    </v>
      </c>
      <c r="C158" s="57" t="str">
        <f>IFERROR(__xludf.DUMMYFUNCTION("""COMPUTED_VALUE"""),"FOODON:03311126")</f>
        <v>FOODON:03311126</v>
      </c>
      <c r="D158" s="58" t="str">
        <f>IFERROR(__xludf.DUMMYFUNCTION("""COMPUTED_VALUE"""),"A food material that has not been cooked.")</f>
        <v>A food material that has not been cooked.</v>
      </c>
      <c r="E158" s="56"/>
      <c r="F158" s="54"/>
      <c r="G158" s="54"/>
      <c r="H158" s="57"/>
      <c r="I158" s="57"/>
      <c r="J158" s="57"/>
      <c r="K158" s="54"/>
    </row>
    <row r="159">
      <c r="A159" s="57"/>
      <c r="B159" s="57" t="str">
        <f>IFERROR(__xludf.DUMMYFUNCTION("""COMPUTED_VALUE"""),"Food (heat treated) [FOODON:03316043]    ")</f>
        <v>Food (heat treated) [FOODON:03316043]    </v>
      </c>
      <c r="C159" s="57" t="str">
        <f>IFERROR(__xludf.DUMMYFUNCTION("""COMPUTED_VALUE"""),"FOODON:03316043")</f>
        <v>FOODON:03316043</v>
      </c>
      <c r="D159" s="58"/>
      <c r="E159" s="56"/>
      <c r="F159" s="54"/>
      <c r="G159" s="54"/>
      <c r="H159" s="57"/>
      <c r="I159" s="57"/>
      <c r="J159" s="57"/>
      <c r="K159" s="54"/>
    </row>
    <row r="160">
      <c r="A160" s="57"/>
      <c r="B160" s="57" t="str">
        <f>IFERROR(__xludf.DUMMYFUNCTION("""COMPUTED_VALUE"""),"Food (pasteurized) [FOODON:00002654]    ")</f>
        <v>Food (pasteurized) [FOODON:00002654]    </v>
      </c>
      <c r="C160" s="57" t="str">
        <f>IFERROR(__xludf.DUMMYFUNCTION("""COMPUTED_VALUE"""),"FOODON:00002654")</f>
        <v>FOODON:00002654</v>
      </c>
      <c r="D160" s="58"/>
      <c r="E160" s="56"/>
      <c r="F160" s="54"/>
      <c r="G160" s="54"/>
      <c r="H160" s="57"/>
      <c r="I160" s="57"/>
      <c r="J160" s="57"/>
      <c r="K160" s="54"/>
    </row>
    <row r="161">
      <c r="A161" s="57"/>
      <c r="B161" s="57" t="str">
        <f>IFERROR(__xludf.DUMMYFUNCTION("""COMPUTED_VALUE"""),"Dairy product (no fat removed, whole)    ")</f>
        <v>Dairy product (no fat removed, whole)    </v>
      </c>
      <c r="C161" s="57" t="str">
        <f>IFERROR(__xludf.DUMMYFUNCTION("""COMPUTED_VALUE"""),"")</f>
        <v/>
      </c>
      <c r="D161" s="58"/>
      <c r="E161" s="56"/>
      <c r="F161" s="54"/>
      <c r="G161" s="54"/>
      <c r="H161" s="57"/>
      <c r="I161" s="57"/>
      <c r="J161" s="57"/>
      <c r="K161" s="54"/>
    </row>
    <row r="162">
      <c r="A162" s="57"/>
      <c r="B162" s="57" t="str">
        <f>IFERROR(__xludf.DUMMYFUNCTION("""COMPUTED_VALUE"""),"Dairy product (skimmed, non-fat)    ")</f>
        <v>Dairy product (skimmed, non-fat)    </v>
      </c>
      <c r="C162" s="57" t="str">
        <f>IFERROR(__xludf.DUMMYFUNCTION("""COMPUTED_VALUE"""),"")</f>
        <v/>
      </c>
      <c r="D162" s="58"/>
      <c r="E162" s="56"/>
      <c r="F162" s="54"/>
      <c r="G162" s="54"/>
      <c r="H162" s="57"/>
      <c r="I162" s="57"/>
      <c r="J162" s="57"/>
      <c r="K162" s="54"/>
    </row>
    <row r="163">
      <c r="A163" s="57"/>
      <c r="B163" s="57" t="str">
        <f>IFERROR(__xludf.DUMMYFUNCTION("""COMPUTED_VALUE"""),"Dairy product (semi-skimmed, reduced fat, 1%)    ")</f>
        <v>Dairy product (semi-skimmed, reduced fat, 1%)    </v>
      </c>
      <c r="C163" s="57" t="str">
        <f>IFERROR(__xludf.DUMMYFUNCTION("""COMPUTED_VALUE"""),"")</f>
        <v/>
      </c>
      <c r="D163" s="58"/>
      <c r="E163" s="56"/>
      <c r="F163" s="54"/>
      <c r="G163" s="54"/>
      <c r="H163" s="57"/>
      <c r="I163" s="57"/>
      <c r="J163" s="57"/>
      <c r="K163" s="54"/>
    </row>
    <row r="164">
      <c r="A164" s="57"/>
      <c r="B164" s="57" t="str">
        <f>IFERROR(__xludf.DUMMYFUNCTION("""COMPUTED_VALUE"""),"Dairy product (semi-skimmed, reduced fat, 2%)    ")</f>
        <v>Dairy product (semi-skimmed, reduced fat, 2%)    </v>
      </c>
      <c r="C164" s="57" t="str">
        <f>IFERROR(__xludf.DUMMYFUNCTION("""COMPUTED_VALUE"""),"")</f>
        <v/>
      </c>
      <c r="D164" s="58"/>
      <c r="E164" s="56"/>
      <c r="F164" s="54"/>
      <c r="G164" s="54"/>
      <c r="H164" s="57"/>
      <c r="I164" s="57"/>
      <c r="J164" s="57"/>
      <c r="K164" s="54"/>
    </row>
    <row r="165">
      <c r="A165" s="57" t="str">
        <f>IFERROR(__xludf.DUMMYFUNCTION("""COMPUTED_VALUE"""),"food_packaging menu")</f>
        <v>food_packaging menu</v>
      </c>
      <c r="B165" s="57" t="str">
        <f>IFERROR(__xludf.DUMMYFUNCTION("""COMPUTED_VALUE"""),"    ")</f>
        <v>    </v>
      </c>
      <c r="C165" s="57" t="str">
        <f>IFERROR(__xludf.DUMMYFUNCTION("""COMPUTED_VALUE"""),"")</f>
        <v/>
      </c>
      <c r="D165" s="58"/>
      <c r="E165" s="56"/>
      <c r="F165" s="54"/>
      <c r="G165" s="54"/>
      <c r="H165" s="54"/>
      <c r="I165" s="54"/>
      <c r="J165" s="54"/>
      <c r="K165" s="54"/>
    </row>
    <row r="166">
      <c r="A166" s="57"/>
      <c r="B166" s="57" t="str">
        <f>IFERROR(__xludf.DUMMYFUNCTION("""COMPUTED_VALUE"""),"Bottle [FOODON:03490214    ")</f>
        <v>Bottle [FOODON:03490214    </v>
      </c>
      <c r="C166" s="57" t="str">
        <f>IFERROR(__xludf.DUMMYFUNCTION("""COMPUTED_VALUE"""),"FOODON:03490214")</f>
        <v>FOODON:03490214</v>
      </c>
      <c r="D166" s="58" t="str">
        <f>IFERROR(__xludf.DUMMYFUNCTION("""COMPUTED_VALUE"""),"A rigid or semirigid container typically of glass or plastic having a comparatively narrow neck or mouth and usually no handle.")</f>
        <v>A rigid or semirigid container typically of glass or plastic having a comparatively narrow neck or mouth and usually no handle.</v>
      </c>
      <c r="E166" s="56"/>
      <c r="F166" s="54"/>
      <c r="G166" s="54"/>
      <c r="H166" s="59"/>
      <c r="I166" s="59"/>
      <c r="J166" s="59"/>
      <c r="K166" s="54"/>
    </row>
    <row r="167">
      <c r="A167" s="57"/>
      <c r="B167" s="57" t="str">
        <f>IFERROR(__xludf.DUMMYFUNCTION("""COMPUTED_VALUE"""),"Bag [FOODON:03490197]    ")</f>
        <v>Bag [FOODON:03490197]    </v>
      </c>
      <c r="C167" s="57" t="str">
        <f>IFERROR(__xludf.DUMMYFUNCTION("""COMPUTED_VALUE"""),"FOODON:03490197")</f>
        <v>FOODON:03490197</v>
      </c>
      <c r="D167" s="58" t="str">
        <f>IFERROR(__xludf.DUMMYFUNCTION("""COMPUTED_VALUE"""),"According to FSTA Thesaurus Packaging 3.1 package types, includes boil-in bag, carrier bag, flat bag, inner bag, retort pouch, shipping bag, valve bag, and valve sack")</f>
        <v>According to FSTA Thesaurus Packaging 3.1 package types, includes boil-in bag, carrier bag, flat bag, inner bag, retort pouch, shipping bag, valve bag, and valve sack</v>
      </c>
      <c r="E167" s="56"/>
      <c r="F167" s="54"/>
      <c r="G167" s="54"/>
      <c r="H167" s="59"/>
      <c r="I167" s="59"/>
      <c r="J167" s="59"/>
      <c r="K167" s="54"/>
    </row>
    <row r="168">
      <c r="A168" s="57"/>
      <c r="B168" s="57" t="str">
        <f>IFERROR(__xludf.DUMMYFUNCTION("""COMPUTED_VALUE"""),"Carton [FOODON:03490213]    ")</f>
        <v>Carton [FOODON:03490213]    </v>
      </c>
      <c r="C168" s="57" t="str">
        <f>IFERROR(__xludf.DUMMYFUNCTION("""COMPUTED_VALUE"""),"FOODON:03490213")</f>
        <v>FOODON:03490213</v>
      </c>
      <c r="D168" s="58"/>
      <c r="E168" s="56"/>
      <c r="F168" s="54"/>
      <c r="G168" s="54"/>
      <c r="H168" s="59"/>
      <c r="I168" s="59"/>
      <c r="J168" s="59"/>
      <c r="K168" s="54"/>
    </row>
    <row r="169">
      <c r="A169" s="57" t="str">
        <f>IFERROR(__xludf.DUMMYFUNCTION("""COMPUTED_VALUE"""),"environmental_site menu")</f>
        <v>environmental_site menu</v>
      </c>
      <c r="B169" s="57" t="str">
        <f>IFERROR(__xludf.DUMMYFUNCTION("""COMPUTED_VALUE"""),"    ")</f>
        <v>    </v>
      </c>
      <c r="C169" s="57" t="str">
        <f>IFERROR(__xludf.DUMMYFUNCTION("""COMPUTED_VALUE"""),"")</f>
        <v/>
      </c>
      <c r="D169" s="58"/>
      <c r="E169" s="56"/>
      <c r="F169" s="54"/>
      <c r="G169" s="54"/>
      <c r="H169" s="54"/>
      <c r="I169" s="54"/>
      <c r="J169" s="54"/>
      <c r="K169" s="54"/>
    </row>
    <row r="170">
      <c r="A170" s="57"/>
      <c r="B170" s="57" t="str">
        <f>IFERROR(__xludf.DUMMYFUNCTION("""COMPUTED_VALUE"""),"Abattoir [ENVO:01000925]    ")</f>
        <v>Abattoir [ENVO:01000925]    </v>
      </c>
      <c r="C170" s="57" t="str">
        <f>IFERROR(__xludf.DUMMYFUNCTION("""COMPUTED_VALUE"""),"ENVO:01000925")</f>
        <v>ENVO:01000925</v>
      </c>
      <c r="D170" s="58" t="str">
        <f>IFERROR(__xludf.DUMMYFUNCTION("""COMPUTED_VALUE"""),"A facility in which non-human animals are slaughtered and processed for human consumption.")</f>
        <v>A facility in which non-human animals are slaughtered and processed for human consumption.</v>
      </c>
      <c r="E170" s="56"/>
      <c r="F170" s="54"/>
      <c r="G170" s="54"/>
      <c r="H170" s="59"/>
      <c r="I170" s="59"/>
      <c r="J170" s="59"/>
      <c r="K170" s="54"/>
    </row>
    <row r="171">
      <c r="A171" s="57"/>
      <c r="B171" s="57" t="str">
        <f>IFERROR(__xludf.DUMMYFUNCTION("""COMPUTED_VALUE"""),"Agricultural Field [ENVO:00000114]    ")</f>
        <v>Agricultural Field [ENVO:00000114]    </v>
      </c>
      <c r="C171" s="57" t="str">
        <f>IFERROR(__xludf.DUMMYFUNCTION("""COMPUTED_VALUE"""),"ENVO:00000114")</f>
        <v>ENVO:00000114</v>
      </c>
      <c r="D171" s="58" t="str">
        <f>IFERROR(__xludf.DUMMYFUNCTION("""COMPUTED_VALUE"""),"A field which is located on land and used for agricultural purposes, such as the grazing of livestock or the cultivation of crops.")</f>
        <v>A field which is located on land and used for agricultural purposes, such as the grazing of livestock or the cultivation of crops.</v>
      </c>
      <c r="E171" s="56"/>
      <c r="F171" s="54"/>
      <c r="G171" s="54"/>
      <c r="H171" s="59"/>
      <c r="I171" s="59"/>
      <c r="J171" s="59"/>
      <c r="K171" s="54"/>
    </row>
    <row r="172">
      <c r="A172" s="57"/>
      <c r="B172" s="57" t="str">
        <f>IFERROR(__xludf.DUMMYFUNCTION("""COMPUTED_VALUE"""),"Animal cage [ENVO:01000922]            ")</f>
        <v>Animal cage [ENVO:01000922]            </v>
      </c>
      <c r="C172" s="57" t="str">
        <f>IFERROR(__xludf.DUMMYFUNCTION("""COMPUTED_VALUE"""),"ENVO:01000922")</f>
        <v>ENVO:01000922</v>
      </c>
      <c r="D172" s="58" t="str">
        <f>IFERROR(__xludf.DUMMYFUNCTION("""COMPUTED_VALUE"""),"A manufactured cage which may be used to confine, contain, or protect an animal.")</f>
        <v>A manufactured cage which may be used to confine, contain, or protect an animal.</v>
      </c>
      <c r="E172" s="56"/>
      <c r="F172" s="54"/>
      <c r="G172" s="54"/>
      <c r="H172" s="59"/>
      <c r="I172" s="59"/>
      <c r="J172" s="59"/>
      <c r="K172" s="54"/>
    </row>
    <row r="173">
      <c r="A173" s="57"/>
      <c r="B173" s="57" t="str">
        <f>IFERROR(__xludf.DUMMYFUNCTION("""COMPUTED_VALUE"""),"Artificial wetland [ENVO:03501406]    ")</f>
        <v>Artificial wetland [ENVO:03501406]    </v>
      </c>
      <c r="C173" s="57" t="str">
        <f>IFERROR(__xludf.DUMMYFUNCTION("""COMPUTED_VALUE"""),"ENVO:03501406")</f>
        <v>ENVO:03501406</v>
      </c>
      <c r="D173" s="58" t="str">
        <f>IFERROR(__xludf.DUMMYFUNCTION("""COMPUTED_VALUE"""),"A wetland ecosystem which is constructed to treat municipal or industrial wastewater, greywater or stormwater runoff.")</f>
        <v>A wetland ecosystem which is constructed to treat municipal or industrial wastewater, greywater or stormwater runoff.</v>
      </c>
      <c r="E173" s="56"/>
      <c r="F173" s="54"/>
      <c r="G173" s="54"/>
      <c r="H173" s="59"/>
      <c r="I173" s="59"/>
      <c r="J173" s="59"/>
      <c r="K173" s="54"/>
    </row>
    <row r="174">
      <c r="A174" s="57"/>
      <c r="B174" s="57" t="str">
        <f>IFERROR(__xludf.DUMMYFUNCTION("""COMPUTED_VALUE"""),"Breeding ground [ENVO:03501441]    ")</f>
        <v>Breeding ground [ENVO:03501441]    </v>
      </c>
      <c r="C174" s="57" t="str">
        <f>IFERROR(__xludf.DUMMYFUNCTION("""COMPUTED_VALUE"""),"ENVO:03501441")</f>
        <v>ENVO:03501441</v>
      </c>
      <c r="D174" s="58" t="str">
        <f>IFERROR(__xludf.DUMMYFUNCTION("""COMPUTED_VALUE"""),"A place where animals breed.")</f>
        <v>A place where animals breed.</v>
      </c>
      <c r="E174" s="56"/>
      <c r="F174" s="54"/>
      <c r="G174" s="54"/>
      <c r="H174" s="59"/>
      <c r="I174" s="59"/>
      <c r="J174" s="59"/>
      <c r="K174" s="54"/>
    </row>
    <row r="175">
      <c r="A175" s="57"/>
      <c r="B175" s="57" t="str">
        <f>IFERROR(__xludf.DUMMYFUNCTION("""COMPUTED_VALUE"""),"Building [ENVO:00000073]    ")</f>
        <v>Building [ENVO:00000073]    </v>
      </c>
      <c r="C175" s="57" t="str">
        <f>IFERROR(__xludf.DUMMYFUNCTION("""COMPUTED_VALUE"""),"ENVO:00000073")</f>
        <v>ENVO:00000073</v>
      </c>
      <c r="D175" s="58" t="str">
        <f>IFERROR(__xludf.DUMMYFUNCTION("""COMPUTED_VALUE"""),"A permanent walled and roofed construction.")</f>
        <v>A permanent walled and roofed construction.</v>
      </c>
      <c r="E175" s="56"/>
      <c r="F175" s="54"/>
      <c r="G175" s="54"/>
      <c r="H175" s="59"/>
      <c r="I175" s="59"/>
      <c r="J175" s="59"/>
      <c r="K175" s="54"/>
    </row>
    <row r="176">
      <c r="A176" s="57"/>
      <c r="B176" s="57" t="str">
        <f>IFERROR(__xludf.DUMMYFUNCTION("""COMPUTED_VALUE"""),"Barn [ENVO:03501257]    ")</f>
        <v>Barn [ENVO:03501257]    </v>
      </c>
      <c r="C176" s="57" t="str">
        <f>IFERROR(__xludf.DUMMYFUNCTION("""COMPUTED_VALUE"""),"ENVO:03501257")</f>
        <v>ENVO:03501257</v>
      </c>
      <c r="D176" s="58" t="str">
        <f>IFERROR(__xludf.DUMMYFUNCTION("""COMPUTED_VALUE"""),"A farm building used for housing livestock, storing machinery or crops etc")</f>
        <v>A farm building used for housing livestock, storing machinery or crops etc</v>
      </c>
      <c r="E176" s="56"/>
      <c r="F176" s="54"/>
      <c r="G176" s="54"/>
      <c r="H176" s="59"/>
      <c r="I176" s="59"/>
      <c r="J176" s="59"/>
      <c r="K176" s="54"/>
    </row>
    <row r="177">
      <c r="A177" s="57"/>
      <c r="B177" s="57" t="str">
        <f>IFERROR(__xludf.DUMMYFUNCTION("""COMPUTED_VALUE""")," Breeder barn [ENVO:03501383]   ")</f>
        <v> Breeder barn [ENVO:03501383]   </v>
      </c>
      <c r="C177" s="57" t="str">
        <f>IFERROR(__xludf.DUMMYFUNCTION("""COMPUTED_VALUE"""),"ENVO:03501383")</f>
        <v>ENVO:03501383</v>
      </c>
      <c r="D177" s="58" t="str">
        <f>IFERROR(__xludf.DUMMYFUNCTION("""COMPUTED_VALUE"""),"A barn where animals are kept for breeding purposes.")</f>
        <v>A barn where animals are kept for breeding purposes.</v>
      </c>
      <c r="E177" s="56"/>
      <c r="F177" s="54"/>
      <c r="G177" s="54"/>
      <c r="H177" s="59"/>
      <c r="I177" s="59"/>
      <c r="J177" s="59"/>
      <c r="K177" s="54"/>
    </row>
    <row r="178">
      <c r="A178" s="57"/>
      <c r="B178" s="57" t="str">
        <f>IFERROR(__xludf.DUMMYFUNCTION("""COMPUTED_VALUE""")," Broiler barn [ENVO:03501386]   ")</f>
        <v> Broiler barn [ENVO:03501386]   </v>
      </c>
      <c r="C178" s="57" t="str">
        <f>IFERROR(__xludf.DUMMYFUNCTION("""COMPUTED_VALUE"""),"ENVO:03501386")</f>
        <v>ENVO:03501386</v>
      </c>
      <c r="D178" s="58" t="str">
        <f>IFERROR(__xludf.DUMMYFUNCTION("""COMPUTED_VALUE"""),"A barn where broiler chickens are reared.")</f>
        <v>A barn where broiler chickens are reared.</v>
      </c>
      <c r="E178" s="56"/>
      <c r="F178" s="54"/>
      <c r="G178" s="54"/>
      <c r="H178" s="59"/>
      <c r="I178" s="59"/>
      <c r="J178" s="59"/>
      <c r="K178" s="54"/>
    </row>
    <row r="179">
      <c r="A179" s="57"/>
      <c r="B179" s="57" t="str">
        <f>IFERROR(__xludf.DUMMYFUNCTION("""COMPUTED_VALUE""")," Sheep barn [ENVO:03501385]   ")</f>
        <v> Sheep barn [ENVO:03501385]   </v>
      </c>
      <c r="C179" s="57" t="str">
        <f>IFERROR(__xludf.DUMMYFUNCTION("""COMPUTED_VALUE"""),"ENVO:03501385")</f>
        <v>ENVO:03501385</v>
      </c>
      <c r="D179" s="58" t="str">
        <f>IFERROR(__xludf.DUMMYFUNCTION("""COMPUTED_VALUE"""),"A barn where sheep are kept. ")</f>
        <v>A barn where sheep are kept. </v>
      </c>
      <c r="E179" s="56"/>
      <c r="F179" s="54"/>
      <c r="G179" s="54"/>
      <c r="H179" s="59"/>
      <c r="I179" s="59"/>
      <c r="J179" s="59"/>
      <c r="K179" s="54"/>
    </row>
    <row r="180">
      <c r="A180" s="57"/>
      <c r="B180" s="57" t="str">
        <f>IFERROR(__xludf.DUMMYFUNCTION("""COMPUTED_VALUE"""),"Dairy [ENVO:00003862]    ")</f>
        <v>Dairy [ENVO:00003862]    </v>
      </c>
      <c r="C180" s="57" t="str">
        <f>IFERROR(__xludf.DUMMYFUNCTION("""COMPUTED_VALUE"""),"ENVO:00003862")</f>
        <v>ENVO:00003862</v>
      </c>
      <c r="D180" s="58" t="str">
        <f>IFERROR(__xludf.DUMMYFUNCTION("""COMPUTED_VALUE"""),"A dairy is a building in which animal milk is harvested and, optionally, processed for human consumption.")</f>
        <v>A dairy is a building in which animal milk is harvested and, optionally, processed for human consumption.</v>
      </c>
      <c r="E180" s="56"/>
      <c r="F180" s="54"/>
      <c r="G180" s="54"/>
      <c r="H180" s="59"/>
      <c r="I180" s="59"/>
      <c r="J180" s="59"/>
      <c r="K180" s="54"/>
    </row>
    <row r="181">
      <c r="A181" s="57"/>
      <c r="B181" s="57" t="str">
        <f>IFERROR(__xludf.DUMMYFUNCTION("""COMPUTED_VALUE"""),"Farm [ENVO:00000078]    ")</f>
        <v>Farm [ENVO:00000078]    </v>
      </c>
      <c r="C181" s="57" t="str">
        <f>IFERROR(__xludf.DUMMYFUNCTION("""COMPUTED_VALUE"""),"ENVO:00000078")</f>
        <v>ENVO:00000078</v>
      </c>
      <c r="D181" s="58" t="str">
        <f>IFERROR(__xludf.DUMMYFUNCTION("""COMPUTED_VALUE"""),"An area of land which is used for the cultivation of crops or grazing of livestock, including any agricultural constructions therein.")</f>
        <v>An area of land which is used for the cultivation of crops or grazing of livestock, including any agricultural constructions therein.</v>
      </c>
      <c r="E181" s="56"/>
      <c r="F181" s="54"/>
      <c r="G181" s="54"/>
      <c r="H181" s="59"/>
      <c r="I181" s="59"/>
      <c r="J181" s="59"/>
      <c r="K181" s="54"/>
    </row>
    <row r="182">
      <c r="A182" s="57"/>
      <c r="B182" s="57" t="str">
        <f>IFERROR(__xludf.DUMMYFUNCTION("""COMPUTED_VALUE""")," Beef farm [ENVO:03501443]   ")</f>
        <v> Beef farm [ENVO:03501443]   </v>
      </c>
      <c r="C182" s="57" t="str">
        <f>IFERROR(__xludf.DUMMYFUNCTION("""COMPUTED_VALUE"""),"ENVO:03501443")</f>
        <v>ENVO:03501443</v>
      </c>
      <c r="D182" s="58" t="str">
        <f>IFERROR(__xludf.DUMMYFUNCTION("""COMPUTED_VALUE"""),"A farm where cows are kept for the purpose of meat production.")</f>
        <v>A farm where cows are kept for the purpose of meat production.</v>
      </c>
      <c r="E182" s="56"/>
      <c r="F182" s="54"/>
      <c r="G182" s="54"/>
      <c r="H182" s="59"/>
      <c r="I182" s="59"/>
      <c r="J182" s="59"/>
      <c r="K182" s="54"/>
    </row>
    <row r="183">
      <c r="A183" s="57"/>
      <c r="B183" s="57" t="str">
        <f>IFERROR(__xludf.DUMMYFUNCTION("""COMPUTED_VALUE""")," Breeder farm [ENVO:03501384]   ")</f>
        <v> Breeder farm [ENVO:03501384]   </v>
      </c>
      <c r="C183" s="57" t="str">
        <f>IFERROR(__xludf.DUMMYFUNCTION("""COMPUTED_VALUE"""),"ENVO:03501384")</f>
        <v>ENVO:03501384</v>
      </c>
      <c r="D183" s="58" t="str">
        <f>IFERROR(__xludf.DUMMYFUNCTION("""COMPUTED_VALUE"""),"A farm where animals are kept for breeding purposes.")</f>
        <v>A farm where animals are kept for breeding purposes.</v>
      </c>
      <c r="E183" s="56"/>
      <c r="F183" s="54"/>
      <c r="G183" s="54"/>
      <c r="H183" s="59"/>
      <c r="I183" s="59"/>
      <c r="J183" s="59"/>
      <c r="K183" s="54"/>
    </row>
    <row r="184">
      <c r="A184" s="57"/>
      <c r="B184" s="57" t="str">
        <f>IFERROR(__xludf.DUMMYFUNCTION("""COMPUTED_VALUE""")," Dairy farm [ENVO:03501416]   ")</f>
        <v> Dairy farm [ENVO:03501416]   </v>
      </c>
      <c r="C184" s="57" t="str">
        <f>IFERROR(__xludf.DUMMYFUNCTION("""COMPUTED_VALUE"""),"ENVO:03501416")</f>
        <v>ENVO:03501416</v>
      </c>
      <c r="D184" s="58" t="str">
        <f>IFERROR(__xludf.DUMMYFUNCTION("""COMPUTED_VALUE"""),"A farm where cows are kept for the purpose of producing milk and other dairy products.")</f>
        <v>A farm where cows are kept for the purpose of producing milk and other dairy products.</v>
      </c>
      <c r="E184" s="56"/>
      <c r="F184" s="54"/>
      <c r="G184" s="54"/>
      <c r="H184" s="59"/>
      <c r="I184" s="59"/>
      <c r="J184" s="59"/>
      <c r="K184" s="54"/>
    </row>
    <row r="185">
      <c r="A185" s="57"/>
      <c r="B185" s="57" t="str">
        <f>IFERROR(__xludf.DUMMYFUNCTION("""COMPUTED_VALUE""")," Feedlot [ENVO:01000627]   ")</f>
        <v> Feedlot [ENVO:01000627]   </v>
      </c>
      <c r="C185" s="57" t="str">
        <f>IFERROR(__xludf.DUMMYFUNCTION("""COMPUTED_VALUE"""),"ENVO:01000627")</f>
        <v>ENVO:01000627</v>
      </c>
      <c r="D185" s="58" t="str">
        <f>IFERROR(__xludf.DUMMYFUNCTION("""COMPUTED_VALUE"""),"A feedlot is a plot of land on which livestock are fattened for market [URL:http://www.merriam-webster.com/dictionary/feedlot ].")</f>
        <v>A feedlot is a plot of land on which livestock are fattened for market [URL:http://www.merriam-webster.com/dictionary/feedlot ].</v>
      </c>
      <c r="E185" s="56"/>
      <c r="F185" s="54"/>
      <c r="G185" s="54"/>
      <c r="H185" s="59"/>
      <c r="I185" s="59"/>
      <c r="J185" s="59"/>
      <c r="K185" s="54"/>
    </row>
    <row r="186">
      <c r="A186" s="57"/>
      <c r="B186" s="57" t="str">
        <f>IFERROR(__xludf.DUMMYFUNCTION("""COMPUTED_VALUE"""),"  Beef cattle feedlot [ENVO:03501444]  ")</f>
        <v>  Beef cattle feedlot [ENVO:03501444]  </v>
      </c>
      <c r="C186" s="57" t="str">
        <f>IFERROR(__xludf.DUMMYFUNCTION("""COMPUTED_VALUE"""),"ENVO:03501444")</f>
        <v>ENVO:03501444</v>
      </c>
      <c r="D186" s="58" t="str">
        <f>IFERROR(__xludf.DUMMYFUNCTION("""COMPUTED_VALUE"""),"A feedlot where beef cattle are kept with a focus on efficient growth and weight gain of the animals.")</f>
        <v>A feedlot where beef cattle are kept with a focus on efficient growth and weight gain of the animals.</v>
      </c>
      <c r="E186" s="56"/>
      <c r="F186" s="54"/>
      <c r="G186" s="54"/>
      <c r="H186" s="59"/>
      <c r="I186" s="59"/>
      <c r="J186" s="59"/>
      <c r="K186" s="54"/>
    </row>
    <row r="187">
      <c r="A187" s="57"/>
      <c r="B187" s="57" t="str">
        <f>IFERROR(__xludf.DUMMYFUNCTION("""COMPUTED_VALUE""")," Fish farm [ENVO:00000294]   ")</f>
        <v> Fish farm [ENVO:00000294]   </v>
      </c>
      <c r="C187" s="57" t="str">
        <f>IFERROR(__xludf.DUMMYFUNCTION("""COMPUTED_VALUE"""),"ENVO:00000294")</f>
        <v>ENVO:00000294</v>
      </c>
      <c r="D187" s="58" t="str">
        <f>IFERROR(__xludf.DUMMYFUNCTION("""COMPUTED_VALUE"""),"A facility in which fish are raised commercially in tanks or enclosures, usually for food.")</f>
        <v>A facility in which fish are raised commercially in tanks or enclosures, usually for food.</v>
      </c>
      <c r="E187" s="56"/>
      <c r="F187" s="54"/>
      <c r="G187" s="54"/>
      <c r="H187" s="59"/>
      <c r="I187" s="59"/>
      <c r="J187" s="59"/>
      <c r="K187" s="54"/>
    </row>
    <row r="188">
      <c r="A188" s="57"/>
      <c r="B188" s="57" t="str">
        <f>IFERROR(__xludf.DUMMYFUNCTION("""COMPUTED_VALUE""")," Research farm [ENVO:03501417]   ")</f>
        <v> Research farm [ENVO:03501417]   </v>
      </c>
      <c r="C188" s="57" t="str">
        <f>IFERROR(__xludf.DUMMYFUNCTION("""COMPUTED_VALUE"""),"ENVO:03501417")</f>
        <v>ENVO:03501417</v>
      </c>
      <c r="D188" s="58" t="str">
        <f>IFERROR(__xludf.DUMMYFUNCTION("""COMPUTED_VALUE"""),"A farm which is used for conducting agricultural research.")</f>
        <v>A farm which is used for conducting agricultural research.</v>
      </c>
      <c r="E188" s="56"/>
      <c r="F188" s="54"/>
      <c r="G188" s="54"/>
      <c r="H188" s="59"/>
      <c r="I188" s="59"/>
      <c r="J188" s="59"/>
      <c r="K188" s="54"/>
    </row>
    <row r="189">
      <c r="A189" s="57"/>
      <c r="B189" s="57" t="str">
        <f>IFERROR(__xludf.DUMMYFUNCTION("""COMPUTED_VALUE""")," Central Experimental Farm [GAZ:00004603]   ")</f>
        <v> Central Experimental Farm [GAZ:00004603]   </v>
      </c>
      <c r="C189" s="57" t="str">
        <f>IFERROR(__xludf.DUMMYFUNCTION("""COMPUTED_VALUE"""),"GAZ:00004603")</f>
        <v>GAZ:00004603</v>
      </c>
      <c r="D189" s="58" t="str">
        <f>IFERROR(__xludf.DUMMYFUNCTION("""COMPUTED_VALUE"""),"An agricultural facility, working farm, and research centre of the Research Branch of Agriculture and Agri-Food Canada. This farm is centrally located in and completely surrounded by the City of Ottawa, Ontario, Canada. The CEF is bordered by the Rideau C"&amp;"anal (a National Historic Site as well) to the east, by Baseline Road to the south, by Merivale and Fisher Roads to the west, and Carling Avenue to the north.")</f>
        <v>An agricultural facility, working farm, and research centre of the Research Branch of Agriculture and Agri-Food Canada. This farm is centrally located in and completely surrounded by the City of Ottawa, Ontario, Canada. The CEF is bordered by the Rideau Canal (a National Historic Site as well) to the east, by Baseline Road to the south, by Merivale and Fisher Roads to the west, and Carling Avenue to the north.</v>
      </c>
      <c r="E189" s="56"/>
      <c r="F189" s="54"/>
      <c r="G189" s="54"/>
      <c r="H189" s="59"/>
      <c r="I189" s="59"/>
      <c r="J189" s="59"/>
      <c r="K189" s="54"/>
    </row>
    <row r="190">
      <c r="A190" s="57"/>
      <c r="B190" s="57" t="str">
        <f>IFERROR(__xludf.DUMMYFUNCTION("""COMPUTED_VALUE"""),"Freshwater environment [ENVO:01000306]    ")</f>
        <v>Freshwater environment [ENVO:01000306]    </v>
      </c>
      <c r="C190" s="57" t="str">
        <f>IFERROR(__xludf.DUMMYFUNCTION("""COMPUTED_VALUE"""),"ENVO:01000306")</f>
        <v>ENVO:01000306</v>
      </c>
      <c r="D190" s="58" t="str">
        <f>IFERROR(__xludf.DUMMYFUNCTION("""COMPUTED_VALUE"""),"An aquatic environment which is determined by freshwater.")</f>
        <v>An aquatic environment which is determined by freshwater.</v>
      </c>
      <c r="E190" s="56"/>
      <c r="F190" s="54"/>
      <c r="G190" s="54"/>
      <c r="H190" s="59"/>
      <c r="I190" s="59"/>
      <c r="J190" s="59"/>
      <c r="K190" s="54"/>
    </row>
    <row r="191">
      <c r="A191" s="57"/>
      <c r="B191" s="57" t="str">
        <f>IFERROR(__xludf.DUMMYFUNCTION("""COMPUTED_VALUE"""),"Hatchery [ENVO:01001873]    ")</f>
        <v>Hatchery [ENVO:01001873]    </v>
      </c>
      <c r="C191" s="57" t="str">
        <f>IFERROR(__xludf.DUMMYFUNCTION("""COMPUTED_VALUE"""),"ENVO:01001873")</f>
        <v>ENVO:01001873</v>
      </c>
      <c r="D191" s="58" t="str">
        <f>IFERROR(__xludf.DUMMYFUNCTION("""COMPUTED_VALUE"""),"A construction in which eggs are hatched under artificial conditions.")</f>
        <v>A construction in which eggs are hatched under artificial conditions.</v>
      </c>
      <c r="E191" s="56"/>
      <c r="F191" s="54"/>
      <c r="G191" s="54"/>
      <c r="H191" s="59"/>
      <c r="I191" s="59"/>
      <c r="J191" s="59"/>
      <c r="K191" s="54"/>
    </row>
    <row r="192">
      <c r="A192" s="57"/>
      <c r="B192" s="57" t="str">
        <f>IFERROR(__xludf.DUMMYFUNCTION("""COMPUTED_VALUE""")," Poultry hatchery [ENVO:01001874]   ")</f>
        <v> Poultry hatchery [ENVO:01001874]   </v>
      </c>
      <c r="C192" s="57" t="str">
        <f>IFERROR(__xludf.DUMMYFUNCTION("""COMPUTED_VALUE"""),"ENVO:01001874")</f>
        <v>ENVO:01001874</v>
      </c>
      <c r="D192" s="58" t="str">
        <f>IFERROR(__xludf.DUMMYFUNCTION("""COMPUTED_VALUE"""),"A hatchery in which the eggs of poultry are hatched under artificial conditions")</f>
        <v>A hatchery in which the eggs of poultry are hatched under artificial conditions</v>
      </c>
      <c r="E192" s="56"/>
      <c r="F192" s="54"/>
      <c r="G192" s="54"/>
      <c r="H192" s="59"/>
      <c r="I192" s="59"/>
      <c r="J192" s="59"/>
      <c r="K192" s="54"/>
    </row>
    <row r="193">
      <c r="A193" s="57"/>
      <c r="B193" s="57" t="str">
        <f>IFERROR(__xludf.DUMMYFUNCTION("""COMPUTED_VALUE"""),"Hospital [ENVO:00002173]    ")</f>
        <v>Hospital [ENVO:00002173]    </v>
      </c>
      <c r="C193" s="57" t="str">
        <f>IFERROR(__xludf.DUMMYFUNCTION("""COMPUTED_VALUE"""),"ENVO:00002173")</f>
        <v>ENVO:00002173</v>
      </c>
      <c r="D193" s="58" t="str">
        <f>IFERROR(__xludf.DUMMYFUNCTION("""COMPUTED_VALUE"""),"A building in which health care services are provided by specialized staff and equipment.")</f>
        <v>A building in which health care services are provided by specialized staff and equipment.</v>
      </c>
      <c r="E193" s="56"/>
      <c r="F193" s="54"/>
      <c r="G193" s="54"/>
      <c r="H193" s="59"/>
      <c r="I193" s="59"/>
      <c r="J193" s="59"/>
      <c r="K193" s="54"/>
    </row>
    <row r="194">
      <c r="A194" s="57"/>
      <c r="B194" s="57" t="str">
        <f>IFERROR(__xludf.DUMMYFUNCTION("""COMPUTED_VALUE"""),"Lake [ENVO:00000020]    ")</f>
        <v>Lake [ENVO:00000020]    </v>
      </c>
      <c r="C194" s="57" t="str">
        <f>IFERROR(__xludf.DUMMYFUNCTION("""COMPUTED_VALUE"""),"ENVO:00000020")</f>
        <v>ENVO:00000020</v>
      </c>
      <c r="D194" s="58" t="str">
        <f>IFERROR(__xludf.DUMMYFUNCTION("""COMPUTED_VALUE"""),"A body of water or other liquid of considerable size contained in a depression on a landmass.")</f>
        <v>A body of water or other liquid of considerable size contained in a depression on a landmass.</v>
      </c>
      <c r="E194" s="56"/>
      <c r="F194" s="54"/>
      <c r="G194" s="54"/>
      <c r="H194" s="59"/>
      <c r="I194" s="59"/>
      <c r="J194" s="59"/>
      <c r="K194" s="54"/>
    </row>
    <row r="195">
      <c r="A195" s="57"/>
      <c r="B195" s="57" t="str">
        <f>IFERROR(__xludf.DUMMYFUNCTION("""COMPUTED_VALUE"""),"Pond [ENVO:00000033]    ")</f>
        <v>Pond [ENVO:00000033]    </v>
      </c>
      <c r="C195" s="57" t="str">
        <f>IFERROR(__xludf.DUMMYFUNCTION("""COMPUTED_VALUE"""),"ENVO:00000033")</f>
        <v>ENVO:00000033</v>
      </c>
      <c r="D195" s="58" t="str">
        <f>IFERROR(__xludf.DUMMYFUNCTION("""COMPUTED_VALUE"""),"A body of water, usually of smaller size than a lake.")</f>
        <v>A body of water, usually of smaller size than a lake.</v>
      </c>
      <c r="E195" s="56"/>
      <c r="F195" s="54"/>
      <c r="G195" s="54"/>
      <c r="H195" s="59"/>
      <c r="I195" s="59"/>
      <c r="J195" s="59"/>
      <c r="K195" s="54"/>
    </row>
    <row r="196">
      <c r="A196" s="57"/>
      <c r="B196" s="57" t="str">
        <f>IFERROR(__xludf.DUMMYFUNCTION("""COMPUTED_VALUE"""),"Reservoir [ENVO:00000025]    ")</f>
        <v>Reservoir [ENVO:00000025]    </v>
      </c>
      <c r="C196" s="57" t="str">
        <f>IFERROR(__xludf.DUMMYFUNCTION("""COMPUTED_VALUE"""),"ENVO:00000025")</f>
        <v>ENVO:00000025</v>
      </c>
      <c r="D196" s="58" t="str">
        <f>IFERROR(__xludf.DUMMYFUNCTION("""COMPUTED_VALUE"""),"An artificial body of water, often contained by a dam, constructed for the purpose of water storage.")</f>
        <v>An artificial body of water, often contained by a dam, constructed for the purpose of water storage.</v>
      </c>
      <c r="E196" s="56"/>
      <c r="F196" s="54"/>
      <c r="G196" s="54"/>
      <c r="H196" s="59"/>
      <c r="I196" s="59"/>
      <c r="J196" s="59"/>
      <c r="K196" s="54"/>
    </row>
    <row r="197">
      <c r="A197" s="57"/>
      <c r="B197" s="57" t="str">
        <f>IFERROR(__xludf.DUMMYFUNCTION("""COMPUTED_VALUE""")," Irrigation reservoir [ENVO:00000450]   ")</f>
        <v> Irrigation reservoir [ENVO:00000450]   </v>
      </c>
      <c r="C197" s="57" t="str">
        <f>IFERROR(__xludf.DUMMYFUNCTION("""COMPUTED_VALUE"""),"ENVO:00000450")</f>
        <v>ENVO:00000450</v>
      </c>
      <c r="D197" s="58" t="str">
        <f>IFERROR(__xludf.DUMMYFUNCTION("""COMPUTED_VALUE"""),"A reservoir constructed for the purpose of providing water for irrigation.")</f>
        <v>A reservoir constructed for the purpose of providing water for irrigation.</v>
      </c>
      <c r="E197" s="56"/>
      <c r="F197" s="54"/>
      <c r="G197" s="54"/>
      <c r="H197" s="59"/>
      <c r="I197" s="59"/>
      <c r="J197" s="59"/>
      <c r="K197" s="54"/>
    </row>
    <row r="198">
      <c r="A198" s="57"/>
      <c r="B198" s="57" t="str">
        <f>IFERROR(__xludf.DUMMYFUNCTION("""COMPUTED_VALUE"""),"Retail environment [ENVO:01001448]    ")</f>
        <v>Retail environment [ENVO:01001448]    </v>
      </c>
      <c r="C198" s="57" t="str">
        <f>IFERROR(__xludf.DUMMYFUNCTION("""COMPUTED_VALUE"""),"ENVO:01001448")</f>
        <v>ENVO:01001448</v>
      </c>
      <c r="D198" s="58" t="str">
        <f>IFERROR(__xludf.DUMMYFUNCTION("""COMPUTED_VALUE"""),"A planned environmental usage process during which an environment supports the sale of goods to ultimate consumers, usually in small quantities.")</f>
        <v>A planned environmental usage process during which an environment supports the sale of goods to ultimate consumers, usually in small quantities.</v>
      </c>
      <c r="E198" s="56"/>
      <c r="F198" s="54"/>
      <c r="G198" s="54"/>
      <c r="H198" s="59"/>
      <c r="I198" s="59"/>
      <c r="J198" s="59"/>
      <c r="K198" s="54"/>
    </row>
    <row r="199">
      <c r="A199" s="57"/>
      <c r="B199" s="57" t="str">
        <f>IFERROR(__xludf.DUMMYFUNCTION("""COMPUTED_VALUE""")," Shop [ENVO:00002221]   ")</f>
        <v> Shop [ENVO:00002221]   </v>
      </c>
      <c r="C199" s="57" t="str">
        <f>IFERROR(__xludf.DUMMYFUNCTION("""COMPUTED_VALUE"""),"ENVO:00002221")</f>
        <v>ENVO:00002221</v>
      </c>
      <c r="D199" s="58" t="str">
        <f>IFERROR(__xludf.DUMMYFUNCTION("""COMPUTED_VALUE"""),"A building in which a business presents a selection of goods and offers to trade or sell them to customers for money or other goods.")</f>
        <v>A building in which a business presents a selection of goods and offers to trade or sell them to customers for money or other goods.</v>
      </c>
      <c r="E199" s="56"/>
      <c r="F199" s="54"/>
      <c r="G199" s="54"/>
      <c r="H199" s="59"/>
      <c r="I199" s="59"/>
      <c r="J199" s="59"/>
      <c r="K199" s="54"/>
    </row>
    <row r="200">
      <c r="A200" s="57"/>
      <c r="B200" s="57" t="str">
        <f>IFERROR(__xludf.DUMMYFUNCTION("""COMPUTED_VALUE"""),"  Supermarket [ENVO:01000984]  ")</f>
        <v>  Supermarket [ENVO:01000984]  </v>
      </c>
      <c r="C200" s="57" t="str">
        <f>IFERROR(__xludf.DUMMYFUNCTION("""COMPUTED_VALUE"""),"ENVO:01000984")</f>
        <v>ENVO:01000984</v>
      </c>
      <c r="D200" s="58" t="str">
        <f>IFERROR(__xludf.DUMMYFUNCTION("""COMPUTED_VALUE"""),"A food shop in which food products are the primary offer for sale or trade. ")</f>
        <v>A food shop in which food products are the primary offer for sale or trade. </v>
      </c>
      <c r="E200" s="56"/>
      <c r="F200" s="54"/>
      <c r="G200" s="54"/>
      <c r="H200" s="59"/>
      <c r="I200" s="59"/>
      <c r="J200" s="59"/>
      <c r="K200" s="54"/>
    </row>
    <row r="201">
      <c r="A201" s="57"/>
      <c r="B201" s="57" t="str">
        <f>IFERROR(__xludf.DUMMYFUNCTION("""COMPUTED_VALUE"""),"River [ENVO:00000022]    ")</f>
        <v>River [ENVO:00000022]    </v>
      </c>
      <c r="C201" s="57" t="str">
        <f>IFERROR(__xludf.DUMMYFUNCTION("""COMPUTED_VALUE"""),"ENVO:00000022")</f>
        <v>ENVO:00000022</v>
      </c>
      <c r="D201" s="58" t="str">
        <f>IFERROR(__xludf.DUMMYFUNCTION("""COMPUTED_VALUE"""),"A stream which, through permanent or seasonal flow processes, moves from elevated land towards lower elevations through a definite channel and empties either into a sea, lake, or another river or ends on land as bed seepage and evapotranspiration exceed w"&amp;"ater supply.")</f>
        <v>A stream which, through permanent or seasonal flow processes, moves from elevated land towards lower elevations through a definite channel and empties either into a sea, lake, or another river or ends on land as bed seepage and evapotranspiration exceed water supply.</v>
      </c>
      <c r="E201" s="56"/>
      <c r="F201" s="54"/>
      <c r="G201" s="54"/>
      <c r="H201" s="59"/>
      <c r="I201" s="59"/>
      <c r="J201" s="59"/>
      <c r="K201" s="54"/>
    </row>
    <row r="202">
      <c r="A202" s="57"/>
      <c r="B202" s="57" t="str">
        <f>IFERROR(__xludf.DUMMYFUNCTION("""COMPUTED_VALUE"""),"Roost (bird) [ENVO:03501439]    ")</f>
        <v>Roost (bird) [ENVO:03501439]    </v>
      </c>
      <c r="C202" s="57" t="str">
        <f>IFERROR(__xludf.DUMMYFUNCTION("""COMPUTED_VALUE"""),"ENVO:03501439")</f>
        <v>ENVO:03501439</v>
      </c>
      <c r="D202" s="58" t="str">
        <f>IFERROR(__xludf.DUMMYFUNCTION("""COMPUTED_VALUE"""),"A perch on which birds rest.")</f>
        <v>A perch on which birds rest.</v>
      </c>
      <c r="E202" s="56"/>
      <c r="F202" s="54"/>
      <c r="G202" s="54"/>
      <c r="H202" s="59"/>
      <c r="I202" s="59"/>
      <c r="J202" s="59"/>
      <c r="K202" s="54"/>
    </row>
    <row r="203">
      <c r="A203" s="57"/>
      <c r="B203" s="57" t="str">
        <f>IFERROR(__xludf.DUMMYFUNCTION("""COMPUTED_VALUE"""),"Wastewater treatment plant [ENVO:00002272]    ")</f>
        <v>Wastewater treatment plant [ENVO:00002272]    </v>
      </c>
      <c r="C203" s="57" t="str">
        <f>IFERROR(__xludf.DUMMYFUNCTION("""COMPUTED_VALUE"""),"ENVO:00002272")</f>
        <v>ENVO:00002272</v>
      </c>
      <c r="D203" s="58" t="str">
        <f>IFERROR(__xludf.DUMMYFUNCTION("""COMPUTED_VALUE"""),"A plant in which wastewater is treated.")</f>
        <v>A plant in which wastewater is treated.</v>
      </c>
      <c r="E203" s="56"/>
      <c r="F203" s="54"/>
      <c r="G203" s="54"/>
      <c r="H203" s="59"/>
      <c r="I203" s="59"/>
      <c r="J203" s="59"/>
      <c r="K203" s="54"/>
    </row>
    <row r="204">
      <c r="A204" s="57"/>
      <c r="B204" s="57" t="str">
        <f>IFERROR(__xludf.DUMMYFUNCTION("""COMPUTED_VALUE"""),"Wetland [ENVO:00000043]    ")</f>
        <v>Wetland [ENVO:00000043]    </v>
      </c>
      <c r="C204" s="57" t="str">
        <f>IFERROR(__xludf.DUMMYFUNCTION("""COMPUTED_VALUE"""),"ENVO:00000043")</f>
        <v>ENVO:00000043</v>
      </c>
      <c r="D204" s="58" t="str">
        <f>IFERROR(__xludf.DUMMYFUNCTION("""COMPUTED_VALUE"""),"An area that is inundated or saturated by surface or ground water at a frequency and duration sufficient to support, and that under normal circumstances do support, a prevalence of vegetation typically adapted for life in saturated soil conditions.")</f>
        <v>An area that is inundated or saturated by surface or ground water at a frequency and duration sufficient to support, and that under normal circumstances do support, a prevalence of vegetation typically adapted for life in saturated soil conditions.</v>
      </c>
      <c r="E204" s="56"/>
      <c r="F204" s="54"/>
      <c r="G204" s="54"/>
      <c r="H204" s="59"/>
      <c r="I204" s="59"/>
      <c r="J204" s="59"/>
      <c r="K204" s="54"/>
    </row>
    <row r="205">
      <c r="A205" s="57" t="str">
        <f>IFERROR(__xludf.DUMMYFUNCTION("""COMPUTED_VALUE"""),"environmental_material menu")</f>
        <v>environmental_material menu</v>
      </c>
      <c r="B205" s="57" t="str">
        <f>IFERROR(__xludf.DUMMYFUNCTION("""COMPUTED_VALUE"""),"    ")</f>
        <v>    </v>
      </c>
      <c r="C205" s="57" t="str">
        <f>IFERROR(__xludf.DUMMYFUNCTION("""COMPUTED_VALUE"""),"")</f>
        <v/>
      </c>
      <c r="D205" s="58"/>
      <c r="E205" s="56"/>
      <c r="F205" s="54"/>
      <c r="G205" s="54"/>
      <c r="H205" s="54"/>
      <c r="I205" s="54"/>
      <c r="J205" s="54"/>
      <c r="K205" s="54"/>
    </row>
    <row r="206">
      <c r="A206" s="57"/>
      <c r="B206" s="57" t="str">
        <f>IFERROR(__xludf.DUMMYFUNCTION("""COMPUTED_VALUE"""),"Air [ENVO:00002005]    ")</f>
        <v>Air [ENVO:00002005]    </v>
      </c>
      <c r="C206" s="57" t="str">
        <f>IFERROR(__xludf.DUMMYFUNCTION("""COMPUTED_VALUE"""),"ENVO:00002005")</f>
        <v>ENVO:00002005</v>
      </c>
      <c r="D206" s="58" t="str">
        <f>IFERROR(__xludf.DUMMYFUNCTION("""COMPUTED_VALUE"""),"The mixture of gases (roughly (by molar content/volume: 78% nitrogen, 20.95% oxygen, 0.93% argon, 0.038% carbon dioxide, trace amounts of other gases, and a variable amount (average around 1%) of water vapor) that surrounds the planet Earth.")</f>
        <v>The mixture of gases (roughly (by molar content/volume: 78% nitrogen, 20.95% oxygen, 0.93% argon, 0.038% carbon dioxide, trace amounts of other gases, and a variable amount (average around 1%) of water vapor) that surrounds the planet Earth.</v>
      </c>
      <c r="E206" s="56"/>
      <c r="F206" s="54"/>
      <c r="G206" s="54"/>
      <c r="H206" s="59"/>
      <c r="I206" s="59"/>
      <c r="J206" s="59"/>
      <c r="K206" s="54"/>
    </row>
    <row r="207">
      <c r="A207" s="57"/>
      <c r="B207" s="57" t="str">
        <f>IFERROR(__xludf.DUMMYFUNCTION("""COMPUTED_VALUE"""),"Animal manure [AGRO:00000079]    ")</f>
        <v>Animal manure [AGRO:00000079]    </v>
      </c>
      <c r="C207" s="57" t="str">
        <f>IFERROR(__xludf.DUMMYFUNCTION("""COMPUTED_VALUE"""),"AGRO:00000079")</f>
        <v>AGRO:00000079</v>
      </c>
      <c r="D207" s="58" t="str">
        <f>IFERROR(__xludf.DUMMYFUNCTION("""COMPUTED_VALUE"""),"Organic matter mostly derived from animal feces which can be used as organic fertilizer in agriculture.")</f>
        <v>Organic matter mostly derived from animal feces which can be used as organic fertilizer in agriculture.</v>
      </c>
      <c r="E207" s="56"/>
      <c r="F207" s="54"/>
      <c r="G207" s="54"/>
      <c r="H207" s="59"/>
      <c r="I207" s="59"/>
      <c r="J207" s="59"/>
      <c r="K207" s="54"/>
    </row>
    <row r="208">
      <c r="A208" s="57"/>
      <c r="B208" s="57" t="str">
        <f>IFERROR(__xludf.DUMMYFUNCTION("""COMPUTED_VALUE"""),"Animal feeding equipment [AGRO:00000675]    ")</f>
        <v>Animal feeding equipment [AGRO:00000675]    </v>
      </c>
      <c r="C208" s="57" t="str">
        <f>IFERROR(__xludf.DUMMYFUNCTION("""COMPUTED_VALUE"""),"AGRO:00000675")</f>
        <v>AGRO:00000675</v>
      </c>
      <c r="D208" s="58" t="str">
        <f>IFERROR(__xludf.DUMMYFUNCTION("""COMPUTED_VALUE"""),"An equipment used to feed and water livestock animals. ")</f>
        <v>An equipment used to feed and water livestock animals. </v>
      </c>
      <c r="E208" s="56"/>
      <c r="F208" s="54"/>
      <c r="G208" s="54"/>
      <c r="H208" s="59"/>
      <c r="I208" s="59"/>
      <c r="J208" s="59"/>
      <c r="K208" s="54"/>
    </row>
    <row r="209">
      <c r="A209" s="57"/>
      <c r="B209" s="57" t="str">
        <f>IFERROR(__xludf.DUMMYFUNCTION("""COMPUTED_VALUE""")," Animal feeder [AGRO:00000679]   ")</f>
        <v> Animal feeder [AGRO:00000679]   </v>
      </c>
      <c r="C209" s="57" t="str">
        <f>IFERROR(__xludf.DUMMYFUNCTION("""COMPUTED_VALUE"""),"AGRO:00000679")</f>
        <v>AGRO:00000679</v>
      </c>
      <c r="D209" s="58" t="str">
        <f>IFERROR(__xludf.DUMMYFUNCTION("""COMPUTED_VALUE"""),"An animal feeding equipment that has a food storage unit and which enables livestock to obtain their own food.")</f>
        <v>An animal feeding equipment that has a food storage unit and which enables livestock to obtain their own food.</v>
      </c>
      <c r="E209" s="56"/>
      <c r="F209" s="54"/>
      <c r="G209" s="54"/>
      <c r="H209" s="59"/>
      <c r="I209" s="59"/>
      <c r="J209" s="59"/>
      <c r="K209" s="54"/>
    </row>
    <row r="210">
      <c r="A210" s="57"/>
      <c r="B210" s="57" t="str">
        <f>IFERROR(__xludf.DUMMYFUNCTION("""COMPUTED_VALUE""")," Animal drinker [AGRO:00000680]   ")</f>
        <v> Animal drinker [AGRO:00000680]   </v>
      </c>
      <c r="C210" s="57" t="str">
        <f>IFERROR(__xludf.DUMMYFUNCTION("""COMPUTED_VALUE"""),"AGRO:00000680")</f>
        <v>AGRO:00000680</v>
      </c>
      <c r="D210" s="58" t="str">
        <f>IFERROR(__xludf.DUMMYFUNCTION("""COMPUTED_VALUE"""),"An animal feeding equipment that has a water storage unit which enables livestock to obtain their own water.")</f>
        <v>An animal feeding equipment that has a water storage unit which enables livestock to obtain their own water.</v>
      </c>
      <c r="E210" s="56"/>
      <c r="F210" s="54"/>
      <c r="G210" s="54"/>
      <c r="H210" s="59"/>
      <c r="I210" s="59"/>
      <c r="J210" s="59"/>
      <c r="K210" s="54"/>
    </row>
    <row r="211">
      <c r="A211" s="57"/>
      <c r="B211" s="57" t="str">
        <f>IFERROR(__xludf.DUMMYFUNCTION("""COMPUTED_VALUE""")," Feed pan [AGRO:00000676]   ")</f>
        <v> Feed pan [AGRO:00000676]   </v>
      </c>
      <c r="C211" s="57" t="str">
        <f>IFERROR(__xludf.DUMMYFUNCTION("""COMPUTED_VALUE"""),"AGRO:00000676")</f>
        <v>AGRO:00000676</v>
      </c>
      <c r="D211" s="58" t="str">
        <f>IFERROR(__xludf.DUMMYFUNCTION("""COMPUTED_VALUE"""),"A bowl or pan which is used to feed livestock.")</f>
        <v>A bowl or pan which is used to feed livestock.</v>
      </c>
      <c r="E211" s="56"/>
      <c r="F211" s="54"/>
      <c r="G211" s="54"/>
      <c r="H211" s="59"/>
      <c r="I211" s="59"/>
      <c r="J211" s="59"/>
      <c r="K211" s="54"/>
    </row>
    <row r="212">
      <c r="A212" s="57"/>
      <c r="B212" s="57" t="str">
        <f>IFERROR(__xludf.DUMMYFUNCTION("""COMPUTED_VALUE""")," Watering bowl [AGRO:00000677]   ")</f>
        <v> Watering bowl [AGRO:00000677]   </v>
      </c>
      <c r="C212" s="57" t="str">
        <f>IFERROR(__xludf.DUMMYFUNCTION("""COMPUTED_VALUE"""),"AGRO:00000677")</f>
        <v>AGRO:00000677</v>
      </c>
      <c r="D212" s="58" t="str">
        <f>IFERROR(__xludf.DUMMYFUNCTION("""COMPUTED_VALUE"""),"A bowl from which animals can drink.")</f>
        <v>A bowl from which animals can drink.</v>
      </c>
      <c r="E212" s="56"/>
      <c r="F212" s="54"/>
      <c r="G212" s="54"/>
      <c r="H212" s="59"/>
      <c r="I212" s="59"/>
      <c r="J212" s="59"/>
      <c r="K212" s="54"/>
    </row>
    <row r="213">
      <c r="A213" s="57"/>
      <c r="B213" s="57" t="str">
        <f>IFERROR(__xludf.DUMMYFUNCTION("""COMPUTED_VALUE"""),"Animal transportation equipment [AGRO:00000671]    ")</f>
        <v>Animal transportation equipment [AGRO:00000671]    </v>
      </c>
      <c r="C213" s="57" t="str">
        <f>IFERROR(__xludf.DUMMYFUNCTION("""COMPUTED_VALUE"""),"AGRO:00000671")</f>
        <v>AGRO:00000671</v>
      </c>
      <c r="D213" s="58" t="str">
        <f>IFERROR(__xludf.DUMMYFUNCTION("""COMPUTED_VALUE"""),"An equipment used in the transportation of an animal")</f>
        <v>An equipment used in the transportation of an animal</v>
      </c>
      <c r="E213" s="56"/>
      <c r="F213" s="54"/>
      <c r="G213" s="54"/>
      <c r="H213" s="59"/>
      <c r="I213" s="59"/>
      <c r="J213" s="59"/>
      <c r="K213" s="54"/>
    </row>
    <row r="214">
      <c r="A214" s="57"/>
      <c r="B214" s="57" t="str">
        <f>IFERROR(__xludf.DUMMYFUNCTION("""COMPUTED_VALUE""")," Dead haul trailer [GENEPIO:0100896]   ")</f>
        <v> Dead haul trailer [GENEPIO:0100896]   </v>
      </c>
      <c r="C214" s="57" t="str">
        <f>IFERROR(__xludf.DUMMYFUNCTION("""COMPUTED_VALUE"""),"GENEPIO:0100896")</f>
        <v>GENEPIO:0100896</v>
      </c>
      <c r="D214" s="58" t="str">
        <f>IFERROR(__xludf.DUMMYFUNCTION("""COMPUTED_VALUE"""),"A trailer used by a dead haul truck to transport dead animal from an abattoir.")</f>
        <v>A trailer used by a dead haul truck to transport dead animal from an abattoir.</v>
      </c>
      <c r="E214" s="56"/>
      <c r="F214" s="54"/>
      <c r="G214" s="54"/>
      <c r="H214" s="59"/>
      <c r="I214" s="59"/>
      <c r="J214" s="59"/>
      <c r="K214" s="54"/>
    </row>
    <row r="215">
      <c r="A215" s="57"/>
      <c r="B215" s="57" t="str">
        <f>IFERROR(__xludf.DUMMYFUNCTION("""COMPUTED_VALUE""")," Dead haul truck [AGRO:00000673]   ")</f>
        <v> Dead haul truck [AGRO:00000673]   </v>
      </c>
      <c r="C215" s="57" t="str">
        <f>IFERROR(__xludf.DUMMYFUNCTION("""COMPUTED_VALUE"""),"AGRO:00000673")</f>
        <v>AGRO:00000673</v>
      </c>
      <c r="D215" s="58" t="str">
        <f>IFERROR(__xludf.DUMMYFUNCTION("""COMPUTED_VALUE"""),"A truck used to haul dead animals from an abattoir.")</f>
        <v>A truck used to haul dead animals from an abattoir.</v>
      </c>
      <c r="E215" s="56"/>
      <c r="F215" s="54"/>
      <c r="G215" s="54"/>
      <c r="H215" s="59"/>
      <c r="I215" s="59"/>
      <c r="J215" s="59"/>
      <c r="K215" s="54"/>
    </row>
    <row r="216">
      <c r="A216" s="57"/>
      <c r="B216" s="57" t="str">
        <f>IFERROR(__xludf.DUMMYFUNCTION("""COMPUTED_VALUE""")," Live haul trailer [GENEPIO:0100897]   ")</f>
        <v> Live haul trailer [GENEPIO:0100897]   </v>
      </c>
      <c r="C216" s="57" t="str">
        <f>IFERROR(__xludf.DUMMYFUNCTION("""COMPUTED_VALUE"""),"GENEPIO:0100897")</f>
        <v>GENEPIO:0100897</v>
      </c>
      <c r="D216" s="58" t="str">
        <f>IFERROR(__xludf.DUMMYFUNCTION("""COMPUTED_VALUE"""),"A trailer used by a live haul truck to transport live animals.")</f>
        <v>A trailer used by a live haul truck to transport live animals.</v>
      </c>
      <c r="E216" s="56"/>
      <c r="F216" s="54"/>
      <c r="G216" s="54"/>
      <c r="H216" s="59"/>
      <c r="I216" s="59"/>
      <c r="J216" s="59"/>
      <c r="K216" s="54"/>
    </row>
    <row r="217">
      <c r="A217" s="57"/>
      <c r="B217" s="57" t="str">
        <f>IFERROR(__xludf.DUMMYFUNCTION("""COMPUTED_VALUE""")," Live haul truck [AGRO:00000674]   ")</f>
        <v> Live haul truck [AGRO:00000674]   </v>
      </c>
      <c r="C217" s="57" t="str">
        <f>IFERROR(__xludf.DUMMYFUNCTION("""COMPUTED_VALUE"""),"AGRO:00000674")</f>
        <v>AGRO:00000674</v>
      </c>
      <c r="D217" s="58" t="str">
        <f>IFERROR(__xludf.DUMMYFUNCTION("""COMPUTED_VALUE"""),"A truck used to haul live animals.")</f>
        <v>A truck used to haul live animals.</v>
      </c>
      <c r="E217" s="56"/>
      <c r="F217" s="54"/>
      <c r="G217" s="54"/>
      <c r="H217" s="59"/>
      <c r="I217" s="59"/>
      <c r="J217" s="59"/>
      <c r="K217" s="54"/>
    </row>
    <row r="218">
      <c r="A218" s="57"/>
      <c r="B218" s="57" t="str">
        <f>IFERROR(__xludf.DUMMYFUNCTION("""COMPUTED_VALUE"""),"Belt [NCIT:C49844]    ")</f>
        <v>Belt [NCIT:C49844]    </v>
      </c>
      <c r="C218" s="57" t="str">
        <f>IFERROR(__xludf.DUMMYFUNCTION("""COMPUTED_VALUE"""),"NCIT:C49844")</f>
        <v>NCIT:C49844</v>
      </c>
      <c r="D218" s="58" t="str">
        <f>IFERROR(__xludf.DUMMYFUNCTION("""COMPUTED_VALUE"""),"A device consisting of a narrow loop of material moving over shafts or pulleys.")</f>
        <v>A device consisting of a narrow loop of material moving over shafts or pulleys.</v>
      </c>
      <c r="E218" s="56"/>
      <c r="F218" s="54"/>
      <c r="G218" s="54"/>
      <c r="H218" s="59"/>
      <c r="I218" s="59"/>
      <c r="J218" s="59"/>
      <c r="K218" s="54"/>
    </row>
    <row r="219">
      <c r="A219" s="57"/>
      <c r="B219" s="57" t="str">
        <f>IFERROR(__xludf.DUMMYFUNCTION("""COMPUTED_VALUE""")," Egg belt [AGRO:00000670]   ")</f>
        <v> Egg belt [AGRO:00000670]   </v>
      </c>
      <c r="C219" s="57" t="str">
        <f>IFERROR(__xludf.DUMMYFUNCTION("""COMPUTED_VALUE"""),"AGRO:00000670")</f>
        <v>AGRO:00000670</v>
      </c>
      <c r="D219" s="58" t="str">
        <f>IFERROR(__xludf.DUMMYFUNCTION("""COMPUTED_VALUE"""),"A conveyor belt used to collect eggs in an industrial egg production environment.")</f>
        <v>A conveyor belt used to collect eggs in an industrial egg production environment.</v>
      </c>
      <c r="E219" s="56"/>
      <c r="F219" s="54"/>
      <c r="G219" s="54"/>
      <c r="H219" s="59"/>
      <c r="I219" s="59"/>
      <c r="J219" s="59"/>
      <c r="K219" s="54"/>
    </row>
    <row r="220">
      <c r="A220" s="57"/>
      <c r="B220" s="57" t="str">
        <f>IFERROR(__xludf.DUMMYFUNCTION("""COMPUTED_VALUE""")," Plucking belt [AGRO:00000669]   ")</f>
        <v> Plucking belt [AGRO:00000669]   </v>
      </c>
      <c r="C220" s="57" t="str">
        <f>IFERROR(__xludf.DUMMYFUNCTION("""COMPUTED_VALUE"""),"AGRO:00000669")</f>
        <v>AGRO:00000669</v>
      </c>
      <c r="D220" s="58" t="str">
        <f>IFERROR(__xludf.DUMMYFUNCTION("""COMPUTED_VALUE"""),"A part of the plucking machine that moves the birds through the stages of plucking within the plucking apparatus.")</f>
        <v>A part of the plucking machine that moves the birds through the stages of plucking within the plucking apparatus.</v>
      </c>
      <c r="E220" s="56"/>
      <c r="F220" s="54"/>
      <c r="G220" s="54"/>
      <c r="H220" s="59"/>
      <c r="I220" s="59"/>
      <c r="J220" s="59"/>
      <c r="K220" s="54"/>
    </row>
    <row r="221">
      <c r="A221" s="57"/>
      <c r="B221" s="57" t="str">
        <f>IFERROR(__xludf.DUMMYFUNCTION("""COMPUTED_VALUE"""),"Biosolids [ENVO:00002059]    ")</f>
        <v>Biosolids [ENVO:00002059]    </v>
      </c>
      <c r="C221" s="57" t="str">
        <f>IFERROR(__xludf.DUMMYFUNCTION("""COMPUTED_VALUE"""),"ENVO:00002059")</f>
        <v>ENVO:00002059</v>
      </c>
      <c r="D221" s="58" t="str">
        <f>IFERROR(__xludf.DUMMYFUNCTION("""COMPUTED_VALUE"""),"A treated form of sludge, sometimes used as a fertilizer in agriculture.")</f>
        <v>A treated form of sludge, sometimes used as a fertilizer in agriculture.</v>
      </c>
      <c r="E221" s="56"/>
      <c r="F221" s="54"/>
      <c r="G221" s="54"/>
      <c r="H221" s="59"/>
      <c r="I221" s="59"/>
      <c r="J221" s="59"/>
      <c r="K221" s="54"/>
    </row>
    <row r="222">
      <c r="A222" s="57"/>
      <c r="B222" s="57" t="str">
        <f>IFERROR(__xludf.DUMMYFUNCTION("""COMPUTED_VALUE"""),"Boot [GSSO:012935]    ")</f>
        <v>Boot [GSSO:012935]    </v>
      </c>
      <c r="C222" s="57" t="str">
        <f>IFERROR(__xludf.DUMMYFUNCTION("""COMPUTED_VALUE"""),"GSSO:012935")</f>
        <v>GSSO:012935</v>
      </c>
      <c r="D222" s="58" t="str">
        <f>IFERROR(__xludf.DUMMYFUNCTION("""COMPUTED_VALUE"""),"A footwear which covers the foot, the ankle, and sometimes the leg below the knee.")</f>
        <v>A footwear which covers the foot, the ankle, and sometimes the leg below the knee.</v>
      </c>
      <c r="E222" s="56"/>
      <c r="F222" s="54"/>
      <c r="G222" s="54"/>
      <c r="H222" s="59"/>
      <c r="I222" s="59"/>
      <c r="J222" s="59"/>
      <c r="K222" s="54"/>
    </row>
    <row r="223">
      <c r="A223" s="57"/>
      <c r="B223" s="57" t="str">
        <f>IFERROR(__xludf.DUMMYFUNCTION("""COMPUTED_VALUE""")," Boot cover [OBI:0002806]   ")</f>
        <v> Boot cover [OBI:0002806]   </v>
      </c>
      <c r="C223" s="57" t="str">
        <f>IFERROR(__xludf.DUMMYFUNCTION("""COMPUTED_VALUE"""),"OBI:0002806")</f>
        <v>OBI:0002806</v>
      </c>
      <c r="D223" s="58" t="str">
        <f>IFERROR(__xludf.DUMMYFUNCTION("""COMPUTED_VALUE"""),"A personal protective device which is an impermiable material which covers a shoe or boot in order to prevent spread of specific environmental contaminants.")</f>
        <v>A personal protective device which is an impermiable material which covers a shoe or boot in order to prevent spread of specific environmental contaminants.</v>
      </c>
      <c r="E223" s="56"/>
      <c r="F223" s="54"/>
      <c r="G223" s="54"/>
      <c r="H223" s="59"/>
      <c r="I223" s="59"/>
      <c r="J223" s="59"/>
      <c r="K223" s="54"/>
    </row>
    <row r="224">
      <c r="A224" s="57"/>
      <c r="B224" s="57" t="str">
        <f>IFERROR(__xludf.DUMMYFUNCTION("""COMPUTED_VALUE"""),"Broom [ENVO:03501431]    ")</f>
        <v>Broom [ENVO:03501431]    </v>
      </c>
      <c r="C224" s="57" t="str">
        <f>IFERROR(__xludf.DUMMYFUNCTION("""COMPUTED_VALUE"""),"ENVO:03501431")</f>
        <v>ENVO:03501431</v>
      </c>
      <c r="D224" s="58" t="str">
        <f>IFERROR(__xludf.DUMMYFUNCTION("""COMPUTED_VALUE"""),"A cleaning equipment piece which is a bundle of fibres attached to a long handle, and is used for sweeping.")</f>
        <v>A cleaning equipment piece which is a bundle of fibres attached to a long handle, and is used for sweeping.</v>
      </c>
      <c r="E224" s="56"/>
      <c r="F224" s="54"/>
      <c r="G224" s="54"/>
      <c r="H224" s="59"/>
      <c r="I224" s="59"/>
      <c r="J224" s="59"/>
      <c r="K224" s="54"/>
    </row>
    <row r="225">
      <c r="A225" s="57"/>
      <c r="B225" s="57" t="str">
        <f>IFERROR(__xludf.DUMMYFUNCTION("""COMPUTED_VALUE"""),"Bulk tank [ENVO:03501379]    ")</f>
        <v>Bulk tank [ENVO:03501379]    </v>
      </c>
      <c r="C225" s="57" t="str">
        <f>IFERROR(__xludf.DUMMYFUNCTION("""COMPUTED_VALUE"""),"ENVO:03501379")</f>
        <v>ENVO:03501379</v>
      </c>
      <c r="D225" s="58" t="str">
        <f>IFERROR(__xludf.DUMMYFUNCTION("""COMPUTED_VALUE"""),"A manufactured product which used to safely store and/or transport solids, liquids, gases and a variety of compounds and mixtures.")</f>
        <v>A manufactured product which used to safely store and/or transport solids, liquids, gases and a variety of compounds and mixtures.</v>
      </c>
      <c r="E225" s="56"/>
      <c r="F225" s="54"/>
      <c r="G225" s="54"/>
      <c r="H225" s="59"/>
      <c r="I225" s="59"/>
      <c r="J225" s="59"/>
      <c r="K225" s="54"/>
    </row>
    <row r="226">
      <c r="A226" s="57"/>
      <c r="B226" s="57" t="str">
        <f>IFERROR(__xludf.DUMMYFUNCTION("""COMPUTED_VALUE"""),"Chick box [AGRO:00000678]    ")</f>
        <v>Chick box [AGRO:00000678]    </v>
      </c>
      <c r="C226" s="57" t="str">
        <f>IFERROR(__xludf.DUMMYFUNCTION("""COMPUTED_VALUE"""),"AGRO:00000678")</f>
        <v>AGRO:00000678</v>
      </c>
      <c r="D226" s="58" t="str">
        <f>IFERROR(__xludf.DUMMYFUNCTION("""COMPUTED_VALUE"""),"The box which is used to transport chick (juvenile chicken).")</f>
        <v>The box which is used to transport chick (juvenile chicken).</v>
      </c>
      <c r="E226" s="56"/>
      <c r="F226" s="54"/>
      <c r="G226" s="54"/>
      <c r="H226" s="59"/>
      <c r="I226" s="59"/>
      <c r="J226" s="59"/>
      <c r="K226" s="54"/>
    </row>
    <row r="227">
      <c r="A227" s="57"/>
      <c r="B227" s="57" t="str">
        <f>IFERROR(__xludf.DUMMYFUNCTION("""COMPUTED_VALUE"""),"Chick pad [AGRO:00000672]    ")</f>
        <v>Chick pad [AGRO:00000672]    </v>
      </c>
      <c r="C227" s="57" t="str">
        <f>IFERROR(__xludf.DUMMYFUNCTION("""COMPUTED_VALUE"""),"AGRO:00000672")</f>
        <v>AGRO:00000672</v>
      </c>
      <c r="D227" s="58" t="str">
        <f>IFERROR(__xludf.DUMMYFUNCTION("""COMPUTED_VALUE"""),"The lining of a box or crate used to transport chicks (juvenile chickens).")</f>
        <v>The lining of a box or crate used to transport chicks (juvenile chickens).</v>
      </c>
      <c r="E227" s="56"/>
      <c r="F227" s="54"/>
      <c r="G227" s="54"/>
      <c r="H227" s="59"/>
      <c r="I227" s="59"/>
      <c r="J227" s="59"/>
      <c r="K227" s="54"/>
    </row>
    <row r="228">
      <c r="A228" s="57"/>
      <c r="B228" s="57" t="str">
        <f>IFERROR(__xludf.DUMMYFUNCTION("""COMPUTED_VALUE"""),"Cleaning equipment [ENVO:03501430]    ")</f>
        <v>Cleaning equipment [ENVO:03501430]    </v>
      </c>
      <c r="C228" s="57" t="str">
        <f>IFERROR(__xludf.DUMMYFUNCTION("""COMPUTED_VALUE"""),"ENVO:03501430")</f>
        <v>ENVO:03501430</v>
      </c>
      <c r="D228" s="58" t="str">
        <f>IFERROR(__xludf.DUMMYFUNCTION("""COMPUTED_VALUE"""),"An equipment piece used for cleaning a built environment or a manufactured product.")</f>
        <v>An equipment piece used for cleaning a built environment or a manufactured product.</v>
      </c>
      <c r="E228" s="56"/>
      <c r="F228" s="54"/>
      <c r="G228" s="54"/>
      <c r="H228" s="59"/>
      <c r="I228" s="59"/>
      <c r="J228" s="59"/>
      <c r="K228" s="54"/>
    </row>
    <row r="229">
      <c r="A229" s="57"/>
      <c r="B229" s="57" t="str">
        <f>IFERROR(__xludf.DUMMYFUNCTION("""COMPUTED_VALUE"""),"Compost [ENVO:00002170]    ")</f>
        <v>Compost [ENVO:00002170]    </v>
      </c>
      <c r="C229" s="57" t="str">
        <f>IFERROR(__xludf.DUMMYFUNCTION("""COMPUTED_VALUE"""),"ENVO:00002170")</f>
        <v>ENVO:00002170</v>
      </c>
      <c r="D229" s="58" t="str">
        <f>IFERROR(__xludf.DUMMYFUNCTION("""COMPUTED_VALUE"""),"The aerobically decomposed remnants of organic materials. ")</f>
        <v>The aerobically decomposed remnants of organic materials. </v>
      </c>
      <c r="E229" s="56"/>
      <c r="F229" s="54"/>
      <c r="G229" s="54"/>
      <c r="H229" s="59"/>
      <c r="I229" s="59"/>
      <c r="J229" s="59"/>
      <c r="K229" s="54"/>
    </row>
    <row r="230">
      <c r="A230" s="57"/>
      <c r="B230" s="57" t="str">
        <f>IFERROR(__xludf.DUMMYFUNCTION("""COMPUTED_VALUE"""),"Crate [ENVO:03501372]    ")</f>
        <v>Crate [ENVO:03501372]    </v>
      </c>
      <c r="C230" s="57" t="str">
        <f>IFERROR(__xludf.DUMMYFUNCTION("""COMPUTED_VALUE"""),"ENVO:03501372")</f>
        <v>ENVO:03501372</v>
      </c>
      <c r="D230" s="58" t="str">
        <f>IFERROR(__xludf.DUMMYFUNCTION("""COMPUTED_VALUE"""),"A manufactured product which is a container, traditionally made of wooden slates, designed to protect transported goods from damage.")</f>
        <v>A manufactured product which is a container, traditionally made of wooden slates, designed to protect transported goods from damage.</v>
      </c>
      <c r="E230" s="56"/>
      <c r="F230" s="54"/>
      <c r="G230" s="54"/>
      <c r="H230" s="59"/>
      <c r="I230" s="59"/>
      <c r="J230" s="59"/>
      <c r="K230" s="54"/>
    </row>
    <row r="231">
      <c r="A231" s="57"/>
      <c r="B231" s="57" t="str">
        <f>IFERROR(__xludf.DUMMYFUNCTION("""COMPUTED_VALUE"""),"Dumpster [ENVO:03501400]    ")</f>
        <v>Dumpster [ENVO:03501400]    </v>
      </c>
      <c r="C231" s="57" t="str">
        <f>IFERROR(__xludf.DUMMYFUNCTION("""COMPUTED_VALUE"""),"ENVO:03501400")</f>
        <v>ENVO:03501400</v>
      </c>
      <c r="D231" s="58" t="str">
        <f>IFERROR(__xludf.DUMMYFUNCTION("""COMPUTED_VALUE"""),"A manufactured product which is a reusable container that accumulates waste until it is periodically emptied or replaced.")</f>
        <v>A manufactured product which is a reusable container that accumulates waste until it is periodically emptied or replaced.</v>
      </c>
      <c r="E231" s="56"/>
      <c r="F231" s="54"/>
      <c r="G231" s="54"/>
      <c r="H231" s="59"/>
      <c r="I231" s="59"/>
      <c r="J231" s="59"/>
      <c r="K231" s="54"/>
    </row>
    <row r="232">
      <c r="A232" s="57"/>
      <c r="B232" s="57" t="str">
        <f>IFERROR(__xludf.DUMMYFUNCTION("""COMPUTED_VALUE"""),"Dust [ENVO:00002008]    ")</f>
        <v>Dust [ENVO:00002008]    </v>
      </c>
      <c r="C232" s="57" t="str">
        <f>IFERROR(__xludf.DUMMYFUNCTION("""COMPUTED_VALUE"""),"ENVO:00002008")</f>
        <v>ENVO:00002008</v>
      </c>
      <c r="D232" s="58" t="str">
        <f>IFERROR(__xludf.DUMMYFUNCTION("""COMPUTED_VALUE"""),"Minute solid particles with diameters less than 500 micrometers. Occurs in and may be deposited from, the atmosphere. ")</f>
        <v>Minute solid particles with diameters less than 500 micrometers. Occurs in and may be deposited from, the atmosphere. </v>
      </c>
      <c r="E232" s="56"/>
      <c r="F232" s="54"/>
      <c r="G232" s="54"/>
      <c r="H232" s="59"/>
      <c r="I232" s="59"/>
      <c r="J232" s="59"/>
      <c r="K232" s="54"/>
    </row>
    <row r="233">
      <c r="A233" s="57"/>
      <c r="B233" s="57" t="str">
        <f>IFERROR(__xludf.DUMMYFUNCTION("""COMPUTED_VALUE"""),"Fan [NCIT:C49947]    ")</f>
        <v>Fan [NCIT:C49947]    </v>
      </c>
      <c r="C233" s="57" t="str">
        <f>IFERROR(__xludf.DUMMYFUNCTION("""COMPUTED_VALUE"""),"NCIT:C49947")</f>
        <v>NCIT:C49947</v>
      </c>
      <c r="D233" s="58" t="str">
        <f>IFERROR(__xludf.DUMMYFUNCTION("""COMPUTED_VALUE"""),"A device designed to create an air current through the rotation of a planar surface.")</f>
        <v>A device designed to create an air current through the rotation of a planar surface.</v>
      </c>
      <c r="E233" s="56"/>
      <c r="F233" s="54"/>
      <c r="G233" s="54"/>
      <c r="H233" s="59"/>
      <c r="I233" s="59"/>
      <c r="J233" s="59"/>
      <c r="K233" s="54"/>
    </row>
    <row r="234">
      <c r="A234" s="57"/>
      <c r="B234" s="57" t="str">
        <f>IFERROR(__xludf.DUMMYFUNCTION("""COMPUTED_VALUE"""),"Freezer [ENVO:03501415]    ")</f>
        <v>Freezer [ENVO:03501415]    </v>
      </c>
      <c r="C234" s="57" t="str">
        <f>IFERROR(__xludf.DUMMYFUNCTION("""COMPUTED_VALUE"""),"ENVO:03501415")</f>
        <v>ENVO:03501415</v>
      </c>
      <c r="D234" s="58" t="str">
        <f>IFERROR(__xludf.DUMMYFUNCTION("""COMPUTED_VALUE"""),"A manufactured product which is a device used to keep things frozen by maintaining a temperature below the freezing point of water.")</f>
        <v>A manufactured product which is a device used to keep things frozen by maintaining a temperature below the freezing point of water.</v>
      </c>
      <c r="E234" s="56"/>
      <c r="F234" s="54"/>
      <c r="G234" s="54"/>
      <c r="H234" s="59"/>
      <c r="I234" s="59"/>
      <c r="J234" s="59"/>
      <c r="K234" s="54"/>
    </row>
    <row r="235">
      <c r="A235" s="57"/>
      <c r="B235" s="57" t="str">
        <f>IFERROR(__xludf.DUMMYFUNCTION("""COMPUTED_VALUE""")," Freezer handle [ENVO:03501414]   ")</f>
        <v> Freezer handle [ENVO:03501414]   </v>
      </c>
      <c r="C235" s="57" t="str">
        <f>IFERROR(__xludf.DUMMYFUNCTION("""COMPUTED_VALUE"""),"ENVO:03501414")</f>
        <v>ENVO:03501414</v>
      </c>
      <c r="D235" s="58" t="str">
        <f>IFERROR(__xludf.DUMMYFUNCTION("""COMPUTED_VALUE"""),"A manufactured product which is the handle of a freezer door.")</f>
        <v>A manufactured product which is the handle of a freezer door.</v>
      </c>
      <c r="E235" s="56"/>
      <c r="F235" s="54"/>
      <c r="G235" s="54"/>
      <c r="H235" s="59"/>
      <c r="I235" s="59"/>
      <c r="J235" s="59"/>
      <c r="K235" s="54"/>
    </row>
    <row r="236">
      <c r="A236" s="57"/>
      <c r="B236" s="57" t="str">
        <f>IFERROR(__xludf.DUMMYFUNCTION("""COMPUTED_VALUE"""),"Manure digester equipment [ENVO:03501424]    ")</f>
        <v>Manure digester equipment [ENVO:03501424]    </v>
      </c>
      <c r="C236" s="57" t="str">
        <f>IFERROR(__xludf.DUMMYFUNCTION("""COMPUTED_VALUE"""),"ENVO:03501424")</f>
        <v>ENVO:03501424</v>
      </c>
      <c r="D236" s="58" t="str">
        <f>IFERROR(__xludf.DUMMYFUNCTION("""COMPUTED_VALUE"""),"An equipment piece which is used in the aerobic or anaerobic microbial digestion of manure.")</f>
        <v>An equipment piece which is used in the aerobic or anaerobic microbial digestion of manure.</v>
      </c>
      <c r="E236" s="56"/>
      <c r="F236" s="54"/>
      <c r="G236" s="54"/>
      <c r="H236" s="59"/>
      <c r="I236" s="59"/>
      <c r="J236" s="59"/>
      <c r="K236" s="54"/>
    </row>
    <row r="237">
      <c r="A237" s="57"/>
      <c r="B237" s="57" t="str">
        <f>IFERROR(__xludf.DUMMYFUNCTION("""COMPUTED_VALUE"""),"Nest [ENVO:03501432]    ")</f>
        <v>Nest [ENVO:03501432]    </v>
      </c>
      <c r="C237" s="57" t="str">
        <f>IFERROR(__xludf.DUMMYFUNCTION("""COMPUTED_VALUE"""),"ENVO:03501432")</f>
        <v>ENVO:03501432</v>
      </c>
      <c r="D237" s="58" t="str">
        <f>IFERROR(__xludf.DUMMYFUNCTION("""COMPUTED_VALUE"""),"A structure that is built for certain animals to hold eggs or young.")</f>
        <v>A structure that is built for certain animals to hold eggs or young.</v>
      </c>
      <c r="E237" s="56"/>
      <c r="F237" s="54"/>
      <c r="G237" s="54"/>
      <c r="H237" s="59"/>
      <c r="I237" s="59"/>
      <c r="J237" s="59"/>
      <c r="K237" s="54"/>
    </row>
    <row r="238">
      <c r="A238" s="57"/>
      <c r="B238" s="57" t="str">
        <f>IFERROR(__xludf.DUMMYFUNCTION("""COMPUTED_VALUE""")," Bird's nest [ENVO:00005805]   ")</f>
        <v> Bird's nest [ENVO:00005805]   </v>
      </c>
      <c r="C238" s="57" t="str">
        <f>IFERROR(__xludf.DUMMYFUNCTION("""COMPUTED_VALUE"""),"ENVO:00005805")</f>
        <v>ENVO:00005805</v>
      </c>
      <c r="D238" s="58" t="str">
        <f>IFERROR(__xludf.DUMMYFUNCTION("""COMPUTED_VALUE"""),"A bird nest is the spot in which a bird lays and incubates its eggs and raises its young. [ https://en.wikipedia.org/wiki/Bird_nest ]")</f>
        <v>A bird nest is the spot in which a bird lays and incubates its eggs and raises its young. [ https://en.wikipedia.org/wiki/Bird_nest ]</v>
      </c>
      <c r="E238" s="56"/>
      <c r="F238" s="54"/>
      <c r="G238" s="54"/>
      <c r="H238" s="59"/>
      <c r="I238" s="59"/>
      <c r="J238" s="59"/>
      <c r="K238" s="54"/>
    </row>
    <row r="239">
      <c r="A239" s="57"/>
      <c r="B239" s="57" t="str">
        <f>IFERROR(__xludf.DUMMYFUNCTION("""COMPUTED_VALUE"""),"Permafrost [ENVO:00000134]    ")</f>
        <v>Permafrost [ENVO:00000134]    </v>
      </c>
      <c r="C239" s="57" t="str">
        <f>IFERROR(__xludf.DUMMYFUNCTION("""COMPUTED_VALUE"""),"ENVO:00000134")</f>
        <v>ENVO:00000134</v>
      </c>
      <c r="D239" s="58" t="str">
        <f>IFERROR(__xludf.DUMMYFUNCTION("""COMPUTED_VALUE"""),"Soil or rock and included ice or organic material at or below the freezing point of water (0 degrees Celsius or 32 degrees Fahrenheit) for two or more years.")</f>
        <v>Soil or rock and included ice or organic material at or below the freezing point of water (0 degrees Celsius or 32 degrees Fahrenheit) for two or more years.</v>
      </c>
      <c r="E239" s="56"/>
      <c r="F239" s="54"/>
      <c r="G239" s="54"/>
      <c r="H239" s="59"/>
      <c r="I239" s="59"/>
      <c r="J239" s="59"/>
      <c r="K239" s="54"/>
    </row>
    <row r="240">
      <c r="A240" s="57"/>
      <c r="B240" s="57" t="str">
        <f>IFERROR(__xludf.DUMMYFUNCTION("""COMPUTED_VALUE"""),"Poultry fluff [UBERON:0008291]    ")</f>
        <v>Poultry fluff [UBERON:0008291]    </v>
      </c>
      <c r="C240" s="57" t="str">
        <f>IFERROR(__xludf.DUMMYFUNCTION("""COMPUTED_VALUE"""),"UBERON:0008291")</f>
        <v>UBERON:0008291</v>
      </c>
      <c r="D240" s="58" t="str">
        <f>IFERROR(__xludf.DUMMYFUNCTION("""COMPUTED_VALUE"""),"A feather lacking a vane and having a rudimentary rachis and a tuft of non-interlocked barbs with elongated barbules extending from the calamus.")</f>
        <v>A feather lacking a vane and having a rudimentary rachis and a tuft of non-interlocked barbs with elongated barbules extending from the calamus.</v>
      </c>
      <c r="E240" s="56"/>
      <c r="F240" s="54"/>
      <c r="G240" s="54"/>
      <c r="H240" s="59"/>
      <c r="I240" s="59"/>
      <c r="J240" s="59"/>
      <c r="K240" s="54"/>
    </row>
    <row r="241">
      <c r="A241" s="57"/>
      <c r="B241" s="57" t="str">
        <f>IFERROR(__xludf.DUMMYFUNCTION("""COMPUTED_VALUE"""),"Poultry litter [AGRO:00000080]    ")</f>
        <v>Poultry litter [AGRO:00000080]    </v>
      </c>
      <c r="C241" s="57" t="str">
        <f>IFERROR(__xludf.DUMMYFUNCTION("""COMPUTED_VALUE"""),"AGRO:00000080")</f>
        <v>AGRO:00000080</v>
      </c>
      <c r="D241" s="58" t="str">
        <f>IFERROR(__xludf.DUMMYFUNCTION("""COMPUTED_VALUE"""),"Manure which is primarily composed of pig feces.")</f>
        <v>Manure which is primarily composed of pig feces.</v>
      </c>
      <c r="E241" s="56"/>
      <c r="F241" s="54"/>
      <c r="G241" s="54"/>
      <c r="H241" s="59"/>
      <c r="I241" s="59"/>
      <c r="J241" s="59"/>
      <c r="K241" s="54"/>
    </row>
    <row r="242">
      <c r="A242" s="57"/>
      <c r="B242" s="57" t="str">
        <f>IFERROR(__xludf.DUMMYFUNCTION("""COMPUTED_VALUE"""),"Sediment [ENVO:00002007]    ")</f>
        <v>Sediment [ENVO:00002007]    </v>
      </c>
      <c r="C242" s="57" t="str">
        <f>IFERROR(__xludf.DUMMYFUNCTION("""COMPUTED_VALUE"""),"ENVO:00002007")</f>
        <v>ENVO:00002007</v>
      </c>
      <c r="D242" s="58" t="str">
        <f>IFERROR(__xludf.DUMMYFUNCTION("""COMPUTED_VALUE"""),"Sediment is an environmental substance comprised of any particulate matter that can be transported by fluid flow and which eventually is deposited as a layer of solid particles on the bedor bottom of a body of water or other liquid. ")</f>
        <v>Sediment is an environmental substance comprised of any particulate matter that can be transported by fluid flow and which eventually is deposited as a layer of solid particles on the bedor bottom of a body of water or other liquid. </v>
      </c>
      <c r="E242" s="56"/>
      <c r="F242" s="54"/>
      <c r="G242" s="54"/>
      <c r="H242" s="59"/>
      <c r="I242" s="59"/>
      <c r="J242" s="59"/>
      <c r="K242" s="54"/>
    </row>
    <row r="243">
      <c r="A243" s="57"/>
      <c r="B243" s="57" t="str">
        <f>IFERROR(__xludf.DUMMYFUNCTION("""COMPUTED_VALUE"""),"Soil [ENVO:00001998]    ")</f>
        <v>Soil [ENVO:00001998]    </v>
      </c>
      <c r="C243" s="57" t="str">
        <f>IFERROR(__xludf.DUMMYFUNCTION("""COMPUTED_VALUE"""),"ENVO:00001998")</f>
        <v>ENVO:00001998</v>
      </c>
      <c r="D243" s="58" t="str">
        <f>IFERROR(__xludf.DUMMYFUNCTION("""COMPUTED_VALUE"""),"Soil is an environmental material which is primarily composed of minerals, varying proportions of sand, silt, and clay, organic material such as humus, gases, liquids, and a broad range of resident micro- and macroorganisms.")</f>
        <v>Soil is an environmental material which is primarily composed of minerals, varying proportions of sand, silt, and clay, organic material such as humus, gases, liquids, and a broad range of resident micro- and macroorganisms.</v>
      </c>
      <c r="E243" s="56"/>
      <c r="F243" s="54"/>
      <c r="G243" s="54"/>
      <c r="H243" s="59"/>
      <c r="I243" s="59"/>
      <c r="J243" s="59"/>
      <c r="K243" s="54"/>
    </row>
    <row r="244">
      <c r="A244" s="57"/>
      <c r="B244" s="57" t="str">
        <f>IFERROR(__xludf.DUMMYFUNCTION("""COMPUTED_VALUE""")," Agricultural soil [ENVO:00002259]   ")</f>
        <v> Agricultural soil [ENVO:00002259]   </v>
      </c>
      <c r="C244" s="57" t="str">
        <f>IFERROR(__xludf.DUMMYFUNCTION("""COMPUTED_VALUE"""),"ENVO:00002259")</f>
        <v>ENVO:00002259</v>
      </c>
      <c r="D244" s="58" t="str">
        <f>IFERROR(__xludf.DUMMYFUNCTION("""COMPUTED_VALUE"""),"A type of soil used for agriculture that supports the physical, chemical, and biological needs of the desired crop during production.")</f>
        <v>A type of soil used for agriculture that supports the physical, chemical, and biological needs of the desired crop during production.</v>
      </c>
      <c r="E244" s="56"/>
      <c r="F244" s="54"/>
      <c r="G244" s="54"/>
      <c r="H244" s="59"/>
      <c r="I244" s="59"/>
      <c r="J244" s="59"/>
      <c r="K244" s="54"/>
    </row>
    <row r="245">
      <c r="A245" s="57"/>
      <c r="B245" s="57" t="str">
        <f>IFERROR(__xludf.DUMMYFUNCTION("""COMPUTED_VALUE""")," Forest soil [ENVO:00002261]   ")</f>
        <v> Forest soil [ENVO:00002261]   </v>
      </c>
      <c r="C245" s="57" t="str">
        <f>IFERROR(__xludf.DUMMYFUNCTION("""COMPUTED_VALUE"""),"ENVO:00002261")</f>
        <v>ENVO:00002261</v>
      </c>
      <c r="D245" s="58" t="str">
        <f>IFERROR(__xludf.DUMMYFUNCTION("""COMPUTED_VALUE"""),"A portion of soil which is found in a forested area.")</f>
        <v>A portion of soil which is found in a forested area.</v>
      </c>
      <c r="E245" s="56"/>
      <c r="F245" s="54"/>
      <c r="G245" s="54"/>
      <c r="H245" s="59"/>
      <c r="I245" s="59"/>
      <c r="J245" s="59"/>
      <c r="K245" s="54"/>
    </row>
    <row r="246">
      <c r="A246" s="57"/>
      <c r="B246" s="57" t="str">
        <f>IFERROR(__xludf.DUMMYFUNCTION("""COMPUTED_VALUE"""),"Straw [ENVO:00003869]    ")</f>
        <v>Straw [ENVO:00003869]    </v>
      </c>
      <c r="C246" s="57" t="str">
        <f>IFERROR(__xludf.DUMMYFUNCTION("""COMPUTED_VALUE"""),"ENVO:00003869")</f>
        <v>ENVO:00003869</v>
      </c>
      <c r="D246" s="58" t="str">
        <f>IFERROR(__xludf.DUMMYFUNCTION("""COMPUTED_VALUE"""),"An agricultural byproduct, the dry stalk of a cereal plant, after the nutrient grain or seed has been removed.")</f>
        <v>An agricultural byproduct, the dry stalk of a cereal plant, after the nutrient grain or seed has been removed.</v>
      </c>
      <c r="E246" s="56"/>
      <c r="F246" s="54"/>
      <c r="G246" s="54"/>
      <c r="H246" s="59"/>
      <c r="I246" s="59"/>
      <c r="J246" s="59"/>
      <c r="K246" s="54"/>
    </row>
    <row r="247">
      <c r="A247" s="57"/>
      <c r="B247" s="57" t="str">
        <f>IFERROR(__xludf.DUMMYFUNCTION("""COMPUTED_VALUE"""),"Water [CHEBI:15377]    ")</f>
        <v>Water [CHEBI:15377]    </v>
      </c>
      <c r="C247" s="57" t="str">
        <f>IFERROR(__xludf.DUMMYFUNCTION("""COMPUTED_VALUE"""),"CHEBI:15377")</f>
        <v>CHEBI:15377</v>
      </c>
      <c r="D247" s="58" t="str">
        <f>IFERROR(__xludf.DUMMYFUNCTION("""COMPUTED_VALUE"""),"An oxygen hydride consisting of an oxygen atom that is covalently bonded to two hydrogen atoms.")</f>
        <v>An oxygen hydride consisting of an oxygen atom that is covalently bonded to two hydrogen atoms.</v>
      </c>
      <c r="E247" s="56"/>
      <c r="F247" s="54"/>
      <c r="G247" s="54"/>
      <c r="H247" s="59"/>
      <c r="I247" s="59"/>
      <c r="J247" s="59"/>
      <c r="K247" s="54"/>
    </row>
    <row r="248">
      <c r="A248" s="57"/>
      <c r="B248" s="57" t="str">
        <f>IFERROR(__xludf.DUMMYFUNCTION("""COMPUTED_VALUE""")," Drinking water [ENVO:00003064]   ")</f>
        <v> Drinking water [ENVO:00003064]   </v>
      </c>
      <c r="C248" s="57" t="str">
        <f>IFERROR(__xludf.DUMMYFUNCTION("""COMPUTED_VALUE"""),"ENVO:00003064")</f>
        <v>ENVO:00003064</v>
      </c>
      <c r="D248" s="58" t="str">
        <f>IFERROR(__xludf.DUMMYFUNCTION("""COMPUTED_VALUE"""),"Water which is suitable for consumption by humans ")</f>
        <v>Water which is suitable for consumption by humans </v>
      </c>
      <c r="E248" s="56"/>
      <c r="F248" s="54"/>
      <c r="G248" s="54"/>
      <c r="H248" s="59"/>
      <c r="I248" s="59"/>
      <c r="J248" s="59"/>
      <c r="K248" s="54"/>
    </row>
    <row r="249">
      <c r="A249" s="57"/>
      <c r="B249" s="57" t="str">
        <f>IFERROR(__xludf.DUMMYFUNCTION("""COMPUTED_VALUE""")," Fecal slurry [ENVO:03501436]   ")</f>
        <v> Fecal slurry [ENVO:03501436]   </v>
      </c>
      <c r="C249" s="57" t="str">
        <f>IFERROR(__xludf.DUMMYFUNCTION("""COMPUTED_VALUE"""),"ENVO:03501436")</f>
        <v>ENVO:03501436</v>
      </c>
      <c r="D249" s="58" t="str">
        <f>IFERROR(__xludf.DUMMYFUNCTION("""COMPUTED_VALUE"""),"A mixture of fecal material mixed, buffer, and other materials, that is homogenized and strained and used in fecal microbiota translpantation.")</f>
        <v>A mixture of fecal material mixed, buffer, and other materials, that is homogenized and strained and used in fecal microbiota translpantation.</v>
      </c>
      <c r="E249" s="56"/>
      <c r="F249" s="54"/>
      <c r="G249" s="54"/>
      <c r="H249" s="59"/>
      <c r="I249" s="59"/>
      <c r="J249" s="59"/>
      <c r="K249" s="54"/>
    </row>
    <row r="250">
      <c r="A250" s="57"/>
      <c r="B250" s="57" t="str">
        <f>IFERROR(__xludf.DUMMYFUNCTION("""COMPUTED_VALUE""")," Fluid from meat rinse [GENEPIO:0004323]   ")</f>
        <v> Fluid from meat rinse [GENEPIO:0004323]   </v>
      </c>
      <c r="C250" s="57" t="str">
        <f>IFERROR(__xludf.DUMMYFUNCTION("""COMPUTED_VALUE"""),"GENEPIO:0004323")</f>
        <v>GENEPIO:0004323</v>
      </c>
      <c r="D250" s="58"/>
      <c r="E250" s="56"/>
      <c r="F250" s="54"/>
      <c r="G250" s="54"/>
      <c r="H250" s="59"/>
      <c r="I250" s="59"/>
      <c r="J250" s="59"/>
      <c r="K250" s="54"/>
    </row>
    <row r="251">
      <c r="A251" s="57"/>
      <c r="B251" s="57" t="str">
        <f>IFERROR(__xludf.DUMMYFUNCTION("""COMPUTED_VALUE""")," Groundwater [ENVO:01001004]   ")</f>
        <v> Groundwater [ENVO:01001004]   </v>
      </c>
      <c r="C251" s="57" t="str">
        <f>IFERROR(__xludf.DUMMYFUNCTION("""COMPUTED_VALUE"""),"ENVO:01001004")</f>
        <v>ENVO:01001004</v>
      </c>
      <c r="D251" s="58" t="str">
        <f>IFERROR(__xludf.DUMMYFUNCTION("""COMPUTED_VALUE"""),"Underground water which is located in pore spaces found in rock or unconsolidated deposits such as soil, clay, or gravel.")</f>
        <v>Underground water which is located in pore spaces found in rock or unconsolidated deposits such as soil, clay, or gravel.</v>
      </c>
      <c r="E251" s="56"/>
      <c r="F251" s="54"/>
      <c r="G251" s="54"/>
      <c r="H251" s="59"/>
      <c r="I251" s="59"/>
      <c r="J251" s="59"/>
      <c r="K251" s="54"/>
    </row>
    <row r="252">
      <c r="A252" s="57"/>
      <c r="B252" s="57" t="str">
        <f>IFERROR(__xludf.DUMMYFUNCTION("""COMPUTED_VALUE""")," Poultry plucking water [AGRO_00000693]   ")</f>
        <v> Poultry plucking water [AGRO_00000693]   </v>
      </c>
      <c r="C252" s="57" t="str">
        <f>IFERROR(__xludf.DUMMYFUNCTION("""COMPUTED_VALUE"""),"AGRO:00000693")</f>
        <v>AGRO:00000693</v>
      </c>
      <c r="D252" s="58" t="str">
        <f>IFERROR(__xludf.DUMMYFUNCTION("""COMPUTED_VALUE"""),"A type of water obtained from rinsing poultry carcasses during the feather plucking process.")</f>
        <v>A type of water obtained from rinsing poultry carcasses during the feather plucking process.</v>
      </c>
      <c r="E252" s="56"/>
      <c r="F252" s="54"/>
      <c r="G252" s="54"/>
      <c r="H252" s="59"/>
      <c r="I252" s="59"/>
      <c r="J252" s="59"/>
      <c r="K252" s="54"/>
    </row>
    <row r="253">
      <c r="A253" s="57"/>
      <c r="B253" s="57" t="str">
        <f>IFERROR(__xludf.DUMMYFUNCTION("""COMPUTED_VALUE""")," Surface runoff [ENVO:03501408]   ")</f>
        <v> Surface runoff [ENVO:03501408]   </v>
      </c>
      <c r="C253" s="57" t="str">
        <f>IFERROR(__xludf.DUMMYFUNCTION("""COMPUTED_VALUE"""),"ENVO:03501408")</f>
        <v>ENVO:03501408</v>
      </c>
      <c r="D253" s="58" t="str">
        <f>IFERROR(__xludf.DUMMYFUNCTION("""COMPUTED_VALUE"""),"Surface water which is 1) from some rainwater, stormwater, meltwater, or other local source and 2) which can no longer sufficiently rapidly infiltrate into soil, and instead flows along a drainage slope.")</f>
        <v>Surface water which is 1) from some rainwater, stormwater, meltwater, or other local source and 2) which can no longer sufficiently rapidly infiltrate into soil, and instead flows along a drainage slope.</v>
      </c>
      <c r="E253" s="56"/>
      <c r="F253" s="54"/>
      <c r="G253" s="54"/>
      <c r="H253" s="59"/>
      <c r="I253" s="59"/>
      <c r="J253" s="59"/>
      <c r="K253" s="54"/>
    </row>
    <row r="254">
      <c r="A254" s="57"/>
      <c r="B254" s="57" t="str">
        <f>IFERROR(__xludf.DUMMYFUNCTION("""COMPUTED_VALUE""")," Surface water [ENVO:00002042]   ")</f>
        <v> Surface water [ENVO:00002042]   </v>
      </c>
      <c r="C254" s="57" t="str">
        <f>IFERROR(__xludf.DUMMYFUNCTION("""COMPUTED_VALUE"""),"ENVO:00002042")</f>
        <v>ENVO:00002042</v>
      </c>
      <c r="D254" s="58" t="str">
        <f>IFERROR(__xludf.DUMMYFUNCTION("""COMPUTED_VALUE"""),"Water that is found on the surface of an astronomical object.")</f>
        <v>Water that is found on the surface of an astronomical object.</v>
      </c>
      <c r="E254" s="56"/>
      <c r="F254" s="54"/>
      <c r="G254" s="54"/>
      <c r="H254" s="59"/>
      <c r="I254" s="59"/>
      <c r="J254" s="59"/>
      <c r="K254" s="54"/>
    </row>
    <row r="255">
      <c r="A255" s="57"/>
      <c r="B255" s="57" t="str">
        <f>IFERROR(__xludf.DUMMYFUNCTION("""COMPUTED_VALUE""")," Wastewater [ENVO:00002001]   ")</f>
        <v> Wastewater [ENVO:00002001]   </v>
      </c>
      <c r="C255" s="57" t="str">
        <f>IFERROR(__xludf.DUMMYFUNCTION("""COMPUTED_VALUE"""),"ENVO:00002001")</f>
        <v>ENVO:00002001</v>
      </c>
      <c r="D255" s="58" t="str">
        <f>IFERROR(__xludf.DUMMYFUNCTION("""COMPUTED_VALUE"""),"Water that has been adversely affected in quality by anthropogenic influence")</f>
        <v>Water that has been adversely affected in quality by anthropogenic influence</v>
      </c>
      <c r="E255" s="56"/>
      <c r="F255" s="54"/>
      <c r="G255" s="54"/>
      <c r="H255" s="59"/>
      <c r="I255" s="59"/>
      <c r="J255" s="59"/>
      <c r="K255" s="54"/>
    </row>
    <row r="256">
      <c r="A256" s="57"/>
      <c r="B256" s="57" t="str">
        <f>IFERROR(__xludf.DUMMYFUNCTION("""COMPUTED_VALUE"""),"  Sludge [ENVO:00002044]  ")</f>
        <v>  Sludge [ENVO:00002044]  </v>
      </c>
      <c r="C256" s="57" t="str">
        <f>IFERROR(__xludf.DUMMYFUNCTION("""COMPUTED_VALUE"""),"ENVO:00002044")</f>
        <v>ENVO:00002044</v>
      </c>
      <c r="D256" s="58" t="str">
        <f>IFERROR(__xludf.DUMMYFUNCTION("""COMPUTED_VALUE"""),"The residual semi-solid material left from domestic or industrial processes, or wastewater treatment processes.")</f>
        <v>The residual semi-solid material left from domestic or industrial processes, or wastewater treatment processes.</v>
      </c>
      <c r="E256" s="56"/>
      <c r="F256" s="54"/>
      <c r="G256" s="54"/>
      <c r="H256" s="59"/>
      <c r="I256" s="59"/>
      <c r="J256" s="59"/>
      <c r="K256" s="54"/>
    </row>
    <row r="257">
      <c r="A257" s="57"/>
      <c r="B257" s="57" t="str">
        <f>IFERROR(__xludf.DUMMYFUNCTION("""COMPUTED_VALUE"""),"   Primary sludge [ENVO:00002057] ")</f>
        <v>   Primary sludge [ENVO:00002057] </v>
      </c>
      <c r="C257" s="57" t="str">
        <f>IFERROR(__xludf.DUMMYFUNCTION("""COMPUTED_VALUE"""),"ENVO:00002057")</f>
        <v>ENVO:00002057</v>
      </c>
      <c r="D257" s="58" t="str">
        <f>IFERROR(__xludf.DUMMYFUNCTION("""COMPUTED_VALUE"""),"Sludge generated from the initial processes (i.e., precipitation, sedimentation) of wastewater treatment.")</f>
        <v>Sludge generated from the initial processes (i.e., precipitation, sedimentation) of wastewater treatment.</v>
      </c>
      <c r="E257" s="56"/>
      <c r="F257" s="54"/>
      <c r="G257" s="54"/>
      <c r="H257" s="59"/>
      <c r="I257" s="59"/>
      <c r="J257" s="59"/>
      <c r="K257" s="54"/>
    </row>
    <row r="258">
      <c r="A258" s="57"/>
      <c r="B258" s="57" t="str">
        <f>IFERROR(__xludf.DUMMYFUNCTION("""COMPUTED_VALUE"""),"   Secondary sludge [ENVO:00002058] ")</f>
        <v>   Secondary sludge [ENVO:00002058] </v>
      </c>
      <c r="C258" s="57" t="str">
        <f>IFERROR(__xludf.DUMMYFUNCTION("""COMPUTED_VALUE"""),"ENVO:00002058")</f>
        <v>ENVO:00002058</v>
      </c>
      <c r="D258" s="58" t="str">
        <f>IFERROR(__xludf.DUMMYFUNCTION("""COMPUTED_VALUE"""),"Activated waste biomass generated during wastewater treatment.")</f>
        <v>Activated waste biomass generated during wastewater treatment.</v>
      </c>
      <c r="E258" s="56"/>
      <c r="F258" s="54"/>
      <c r="G258" s="54"/>
      <c r="H258" s="59"/>
      <c r="I258" s="59"/>
      <c r="J258" s="59"/>
      <c r="K258" s="54"/>
    </row>
    <row r="259">
      <c r="A259" s="57"/>
      <c r="B259" s="57" t="str">
        <f>IFERROR(__xludf.DUMMYFUNCTION("""COMPUTED_VALUE"""),"  Wastewater effluent [GENEPIO:0100891]  ")</f>
        <v>  Wastewater effluent [GENEPIO:0100891]  </v>
      </c>
      <c r="C259" s="57" t="str">
        <f>IFERROR(__xludf.DUMMYFUNCTION("""COMPUTED_VALUE"""),"GENEPIO:0100891")</f>
        <v>GENEPIO:0100891</v>
      </c>
      <c r="D259" s="58"/>
      <c r="E259" s="56"/>
      <c r="F259" s="54"/>
      <c r="G259" s="54"/>
      <c r="H259" s="59"/>
      <c r="I259" s="59"/>
      <c r="J259" s="59"/>
      <c r="K259" s="54"/>
    </row>
    <row r="260">
      <c r="A260" s="57"/>
      <c r="B260" s="57" t="str">
        <f>IFERROR(__xludf.DUMMYFUNCTION("""COMPUTED_VALUE"""),"   Primary wastewater effluent [GENEPIO:0100892] ")</f>
        <v>   Primary wastewater effluent [GENEPIO:0100892] </v>
      </c>
      <c r="C260" s="57" t="str">
        <f>IFERROR(__xludf.DUMMYFUNCTION("""COMPUTED_VALUE"""),"GENEPIO:0100892")</f>
        <v>GENEPIO:0100892</v>
      </c>
      <c r="D260" s="58" t="str">
        <f>IFERROR(__xludf.DUMMYFUNCTION("""COMPUTED_VALUE"""),"A wastewater effluent which has been discharged from a primary clarifier after the first stage of sedimentation. ")</f>
        <v>A wastewater effluent which has been discharged from a primary clarifier after the first stage of sedimentation. </v>
      </c>
      <c r="E260" s="56"/>
      <c r="F260" s="54"/>
      <c r="G260" s="54"/>
      <c r="H260" s="59"/>
      <c r="I260" s="59"/>
      <c r="J260" s="59"/>
      <c r="K260" s="54"/>
    </row>
    <row r="261">
      <c r="A261" s="57"/>
      <c r="B261" s="57" t="str">
        <f>IFERROR(__xludf.DUMMYFUNCTION("""COMPUTED_VALUE"""),"   Secondary wastewater effluent [GENEPIO:0100893] ")</f>
        <v>   Secondary wastewater effluent [GENEPIO:0100893] </v>
      </c>
      <c r="C261" s="57" t="str">
        <f>IFERROR(__xludf.DUMMYFUNCTION("""COMPUTED_VALUE"""),"GENEPIO:0100893")</f>
        <v>GENEPIO:0100893</v>
      </c>
      <c r="D261" s="58" t="str">
        <f>IFERROR(__xludf.DUMMYFUNCTION("""COMPUTED_VALUE"""),"A wastewater effluent which has been discharged from a secondary clarifier after the second stage of sedimentation. ")</f>
        <v>A wastewater effluent which has been discharged from a secondary clarifier after the second stage of sedimentation. </v>
      </c>
      <c r="E261" s="56"/>
      <c r="F261" s="54"/>
      <c r="G261" s="54"/>
      <c r="H261" s="59"/>
      <c r="I261" s="59"/>
      <c r="J261" s="59"/>
      <c r="K261" s="54"/>
    </row>
    <row r="262">
      <c r="A262" s="57"/>
      <c r="B262" s="57" t="str">
        <f>IFERROR(__xludf.DUMMYFUNCTION("""COMPUTED_VALUE"""),"  Wastewater sediment [GENEPIO:0100890]  ")</f>
        <v>  Wastewater sediment [GENEPIO:0100890]  </v>
      </c>
      <c r="C262" s="57" t="str">
        <f>IFERROR(__xludf.DUMMYFUNCTION("""COMPUTED_VALUE"""),"GENEPIO:0100890")</f>
        <v>GENEPIO:0100890</v>
      </c>
      <c r="D262" s="58"/>
      <c r="E262" s="56"/>
      <c r="F262" s="54"/>
      <c r="G262" s="54"/>
      <c r="H262" s="59"/>
      <c r="I262" s="59"/>
      <c r="J262" s="59"/>
      <c r="K262" s="54"/>
    </row>
    <row r="263">
      <c r="A263" s="57"/>
      <c r="B263" s="57" t="str">
        <f>IFERROR(__xludf.DUMMYFUNCTION("""COMPUTED_VALUE""")," Weep fluid [AGRO:00000692]   ")</f>
        <v> Weep fluid [AGRO:00000692]   </v>
      </c>
      <c r="C263" s="57" t="str">
        <f>IFERROR(__xludf.DUMMYFUNCTION("""COMPUTED_VALUE"""),"AGRO:00000692")</f>
        <v>AGRO:00000692</v>
      </c>
      <c r="D263" s="58" t="str">
        <f>IFERROR(__xludf.DUMMYFUNCTION("""COMPUTED_VALUE"""),"A fluid that leaks from a bag containing an animal carcass, and can include water, chemicals and anatomical fluids.")</f>
        <v>A fluid that leaks from a bag containing an animal carcass, and can include water, chemicals and anatomical fluids.</v>
      </c>
      <c r="E263" s="56"/>
      <c r="F263" s="54"/>
      <c r="G263" s="54"/>
      <c r="H263" s="59"/>
      <c r="I263" s="59"/>
      <c r="J263" s="59"/>
      <c r="K263" s="54"/>
    </row>
    <row r="264">
      <c r="A264" s="57" t="str">
        <f>IFERROR(__xludf.DUMMYFUNCTION("""COMPUTED_VALUE"""),"anatomical_material menu")</f>
        <v>anatomical_material menu</v>
      </c>
      <c r="B264" s="57" t="str">
        <f>IFERROR(__xludf.DUMMYFUNCTION("""COMPUTED_VALUE"""),"    ")</f>
        <v>    </v>
      </c>
      <c r="C264" s="57" t="str">
        <f>IFERROR(__xludf.DUMMYFUNCTION("""COMPUTED_VALUE"""),"")</f>
        <v/>
      </c>
      <c r="D264" s="58"/>
      <c r="E264" s="56"/>
      <c r="F264" s="54"/>
      <c r="G264" s="54"/>
      <c r="H264" s="54"/>
      <c r="I264" s="54"/>
      <c r="J264" s="54"/>
      <c r="K264" s="54"/>
    </row>
    <row r="265">
      <c r="A265" s="57"/>
      <c r="B265" s="57" t="str">
        <f>IFERROR(__xludf.DUMMYFUNCTION("""COMPUTED_VALUE"""),"Blood [UBERON:0000178]    ")</f>
        <v>Blood [UBERON:0000178]    </v>
      </c>
      <c r="C265" s="57" t="str">
        <f>IFERROR(__xludf.DUMMYFUNCTION("""COMPUTED_VALUE"""),"UBERON:0000178")</f>
        <v>UBERON:0000178</v>
      </c>
      <c r="D265" s="58" t="str">
        <f>IFERROR(__xludf.DUMMYFUNCTION("""COMPUTED_VALUE"""),"A fluid that is composed of blood plasma and erythrocytes.")</f>
        <v>A fluid that is composed of blood plasma and erythrocytes.</v>
      </c>
      <c r="E265" s="56"/>
      <c r="F265" s="54"/>
      <c r="G265" s="54"/>
      <c r="H265" s="59"/>
      <c r="I265" s="59"/>
      <c r="J265" s="59"/>
      <c r="K265" s="54"/>
    </row>
    <row r="266">
      <c r="A266" s="57"/>
      <c r="B266" s="57" t="str">
        <f>IFERROR(__xludf.DUMMYFUNCTION("""COMPUTED_VALUE"""),"Fluid [UBERON:0006314]    ")</f>
        <v>Fluid [UBERON:0006314]    </v>
      </c>
      <c r="C266" s="57" t="str">
        <f>IFERROR(__xludf.DUMMYFUNCTION("""COMPUTED_VALUE"""),"UBERON:0006314")</f>
        <v>UBERON:0006314</v>
      </c>
      <c r="D266" s="58" t="str">
        <f>IFERROR(__xludf.DUMMYFUNCTION("""COMPUTED_VALUE"""),"Liquid components of living organisms. includes fluids that are excreted or secreted from the body as well as body water that normally is not.")</f>
        <v>Liquid components of living organisms. includes fluids that are excreted or secreted from the body as well as body water that normally is not.</v>
      </c>
      <c r="E266" s="56"/>
      <c r="F266" s="54"/>
      <c r="G266" s="54"/>
      <c r="H266" s="59"/>
      <c r="I266" s="59"/>
      <c r="J266" s="59"/>
      <c r="K266" s="54"/>
    </row>
    <row r="267">
      <c r="A267" s="57"/>
      <c r="B267" s="57" t="str">
        <f>IFERROR(__xludf.DUMMYFUNCTION("""COMPUTED_VALUE""")," Fluid (cerebrospinal (CSF)) [UBERON:0001359]   ")</f>
        <v> Fluid (cerebrospinal (CSF)) [UBERON:0001359]   </v>
      </c>
      <c r="C267" s="57" t="str">
        <f>IFERROR(__xludf.DUMMYFUNCTION("""COMPUTED_VALUE"""),"UBERON:0001359")</f>
        <v>UBERON:0001359</v>
      </c>
      <c r="D267" s="58" t="str">
        <f>IFERROR(__xludf.DUMMYFUNCTION("""COMPUTED_VALUE"""),"A clear, colorless, bodily fluid, that occupies the subarachnoid space and the ventricular system around and inside the brain and spinal cord.")</f>
        <v>A clear, colorless, bodily fluid, that occupies the subarachnoid space and the ventricular system around and inside the brain and spinal cord.</v>
      </c>
      <c r="E267" s="56"/>
      <c r="F267" s="54"/>
      <c r="G267" s="54"/>
      <c r="H267" s="59"/>
      <c r="I267" s="59"/>
      <c r="J267" s="59"/>
      <c r="K267" s="54"/>
    </row>
    <row r="268">
      <c r="A268" s="57"/>
      <c r="B268" s="57" t="str">
        <f>IFERROR(__xludf.DUMMYFUNCTION("""COMPUTED_VALUE""")," Fluid (amniotic) [UBERON:0000173]   ")</f>
        <v> Fluid (amniotic) [UBERON:0000173]   </v>
      </c>
      <c r="C268" s="57" t="str">
        <f>IFERROR(__xludf.DUMMYFUNCTION("""COMPUTED_VALUE"""),"UBERON:0000173")</f>
        <v>UBERON:0000173</v>
      </c>
      <c r="D268" s="58" t="str">
        <f>IFERROR(__xludf.DUMMYFUNCTION("""COMPUTED_VALUE"""),"Amniotic fluid is a bodily fluid consisting of watery liquid surrounding and cushioning a growing fetus within the amnion.")</f>
        <v>Amniotic fluid is a bodily fluid consisting of watery liquid surrounding and cushioning a growing fetus within the amnion.</v>
      </c>
      <c r="E268" s="56"/>
      <c r="F268" s="54"/>
      <c r="G268" s="54"/>
      <c r="H268" s="59"/>
      <c r="I268" s="59"/>
      <c r="J268" s="59"/>
      <c r="K268" s="54"/>
    </row>
    <row r="269">
      <c r="A269" s="57"/>
      <c r="B269" s="57" t="str">
        <f>IFERROR(__xludf.DUMMYFUNCTION("""COMPUTED_VALUE""")," Saliva [UBERON:0001836]   ")</f>
        <v> Saliva [UBERON:0001836]   </v>
      </c>
      <c r="C269" s="57" t="str">
        <f>IFERROR(__xludf.DUMMYFUNCTION("""COMPUTED_VALUE"""),"UBERON:0001836")</f>
        <v>UBERON:0001836</v>
      </c>
      <c r="D269" s="58" t="str">
        <f>IFERROR(__xludf.DUMMYFUNCTION("""COMPUTED_VALUE"""),"A fluid produced in the oral cavity by salivary glands, typically used in predigestion, but also in other functions.")</f>
        <v>A fluid produced in the oral cavity by salivary glands, typically used in predigestion, but also in other functions.</v>
      </c>
      <c r="E269" s="56"/>
      <c r="F269" s="54"/>
      <c r="G269" s="54"/>
      <c r="H269" s="59"/>
      <c r="I269" s="59"/>
      <c r="J269" s="59"/>
      <c r="K269" s="54"/>
    </row>
    <row r="270">
      <c r="A270" s="57"/>
      <c r="B270" s="57" t="str">
        <f>IFERROR(__xludf.DUMMYFUNCTION("""COMPUTED_VALUE"""),"Tissue [UBERON:0000479]    ")</f>
        <v>Tissue [UBERON:0000479]    </v>
      </c>
      <c r="C270" s="57" t="str">
        <f>IFERROR(__xludf.DUMMYFUNCTION("""COMPUTED_VALUE"""),"UBERON:0000479")</f>
        <v>UBERON:0000479</v>
      </c>
      <c r="D270" s="58" t="str">
        <f>IFERROR(__xludf.DUMMYFUNCTION("""COMPUTED_VALUE"""),"Multicellular anatomical structure that consists of many cells of one or a few types, arranged in an extracellular matrix such that their long-range organisation is at least partly a repetition of their short-range organisation.")</f>
        <v>Multicellular anatomical structure that consists of many cells of one or a few types, arranged in an extracellular matrix such that their long-range organisation is at least partly a repetition of their short-range organisation.</v>
      </c>
      <c r="E270" s="56"/>
      <c r="F270" s="54"/>
      <c r="G270" s="54"/>
      <c r="H270" s="59"/>
      <c r="I270" s="59"/>
      <c r="J270" s="59"/>
      <c r="K270" s="54"/>
    </row>
    <row r="271">
      <c r="A271" s="57" t="str">
        <f>IFERROR(__xludf.DUMMYFUNCTION("""COMPUTED_VALUE"""),"body_product menu")</f>
        <v>body_product menu</v>
      </c>
      <c r="B271" s="57" t="str">
        <f>IFERROR(__xludf.DUMMYFUNCTION("""COMPUTED_VALUE"""),"    ")</f>
        <v>    </v>
      </c>
      <c r="C271" s="57" t="str">
        <f>IFERROR(__xludf.DUMMYFUNCTION("""COMPUTED_VALUE"""),"")</f>
        <v/>
      </c>
      <c r="D271" s="58"/>
      <c r="E271" s="56"/>
      <c r="F271" s="54"/>
      <c r="G271" s="54"/>
      <c r="H271" s="54"/>
      <c r="I271" s="54"/>
      <c r="J271" s="54"/>
      <c r="K271" s="54"/>
    </row>
    <row r="272">
      <c r="A272" s="57"/>
      <c r="B272" s="57" t="str">
        <f>IFERROR(__xludf.DUMMYFUNCTION("""COMPUTED_VALUE"""),"Digestive tract substance [GENEPIO:0100898]    ")</f>
        <v>Digestive tract substance [GENEPIO:0100898]    </v>
      </c>
      <c r="C272" s="57" t="str">
        <f>IFERROR(__xludf.DUMMYFUNCTION("""COMPUTED_VALUE"""),"GENEPIO:0100898")</f>
        <v>GENEPIO:0100898</v>
      </c>
      <c r="D272" s="58" t="str">
        <f>IFERROR(__xludf.DUMMYFUNCTION("""COMPUTED_VALUE"""),"Undigested food material, microbiota, and other materials found in the digestive tract. ")</f>
        <v>Undigested food material, microbiota, and other materials found in the digestive tract. </v>
      </c>
      <c r="E272" s="56"/>
      <c r="F272" s="54"/>
      <c r="G272" s="54"/>
      <c r="H272" s="59"/>
      <c r="I272" s="59"/>
      <c r="J272" s="59"/>
      <c r="K272" s="54"/>
    </row>
    <row r="273">
      <c r="A273" s="57"/>
      <c r="B273" s="57" t="str">
        <f>IFERROR(__xludf.DUMMYFUNCTION("""COMPUTED_VALUE""")," Caecal content [GENEPIO:0100899]   ")</f>
        <v> Caecal content [GENEPIO:0100899]   </v>
      </c>
      <c r="C273" s="57" t="str">
        <f>IFERROR(__xludf.DUMMYFUNCTION("""COMPUTED_VALUE"""),"GENEPIO:0100899")</f>
        <v>GENEPIO:0100899</v>
      </c>
      <c r="D273" s="58" t="str">
        <f>IFERROR(__xludf.DUMMYFUNCTION("""COMPUTED_VALUE"""),"Undigested food material, microbiota, and other materials found in the cecum ")</f>
        <v>Undigested food material, microbiota, and other materials found in the cecum </v>
      </c>
      <c r="E273" s="56"/>
      <c r="F273" s="54"/>
      <c r="G273" s="54"/>
      <c r="H273" s="59"/>
      <c r="I273" s="59"/>
      <c r="J273" s="59"/>
      <c r="K273" s="54"/>
    </row>
    <row r="274">
      <c r="A274" s="57"/>
      <c r="B274" s="57" t="str">
        <f>IFERROR(__xludf.DUMMYFUNCTION("""COMPUTED_VALUE""")," Intestinal content [GENEPIO:0100900]   ")</f>
        <v> Intestinal content [GENEPIO:0100900]   </v>
      </c>
      <c r="C274" s="57" t="str">
        <f>IFERROR(__xludf.DUMMYFUNCTION("""COMPUTED_VALUE"""),"GENEPIO:0100900")</f>
        <v>GENEPIO:0100900</v>
      </c>
      <c r="D274" s="58" t="str">
        <f>IFERROR(__xludf.DUMMYFUNCTION("""COMPUTED_VALUE"""),"Undigested food material, microbiota, and other materials found in the intestine ")</f>
        <v>Undigested food material, microbiota, and other materials found in the intestine </v>
      </c>
      <c r="E274" s="56"/>
      <c r="F274" s="54"/>
      <c r="G274" s="54"/>
      <c r="H274" s="59"/>
      <c r="I274" s="59"/>
      <c r="J274" s="59"/>
      <c r="K274" s="54"/>
    </row>
    <row r="275">
      <c r="A275" s="57"/>
      <c r="B275" s="57" t="str">
        <f>IFERROR(__xludf.DUMMYFUNCTION("""COMPUTED_VALUE""")," Stomach content [GENEPIO:0100901]   ")</f>
        <v> Stomach content [GENEPIO:0100901]   </v>
      </c>
      <c r="C275" s="57" t="str">
        <f>IFERROR(__xludf.DUMMYFUNCTION("""COMPUTED_VALUE"""),"GENEPIO:0100901")</f>
        <v>GENEPIO:0100901</v>
      </c>
      <c r="D275" s="58" t="str">
        <f>IFERROR(__xludf.DUMMYFUNCTION("""COMPUTED_VALUE"""),"Undigested food material, microbiota, and other materials found in the stomach ")</f>
        <v>Undigested food material, microbiota, and other materials found in the stomach </v>
      </c>
      <c r="E275" s="56"/>
      <c r="F275" s="54"/>
      <c r="G275" s="54"/>
      <c r="H275" s="59"/>
      <c r="I275" s="59"/>
      <c r="J275" s="59"/>
      <c r="K275" s="54"/>
    </row>
    <row r="276">
      <c r="A276" s="57"/>
      <c r="B276" s="57" t="str">
        <f>IFERROR(__xludf.DUMMYFUNCTION("""COMPUTED_VALUE"""),"Feces [UBERON:0001988]    ")</f>
        <v>Feces [UBERON:0001988]    </v>
      </c>
      <c r="C276" s="57" t="str">
        <f>IFERROR(__xludf.DUMMYFUNCTION("""COMPUTED_VALUE"""),"UBERON:0001988")</f>
        <v>UBERON:0001988</v>
      </c>
      <c r="D276" s="58" t="str">
        <f>IFERROR(__xludf.DUMMYFUNCTION("""COMPUTED_VALUE"""),"Portion of semisolid bodily waste discharged through the anus.")</f>
        <v>Portion of semisolid bodily waste discharged through the anus.</v>
      </c>
      <c r="E276" s="56"/>
      <c r="F276" s="54"/>
      <c r="G276" s="54"/>
      <c r="H276" s="59"/>
      <c r="I276" s="59"/>
      <c r="J276" s="59"/>
      <c r="K276" s="54"/>
    </row>
    <row r="277">
      <c r="A277" s="57"/>
      <c r="B277" s="57" t="str">
        <f>IFERROR(__xludf.DUMMYFUNCTION("""COMPUTED_VALUE""")," Fecal composite [GENEPIO:0004512]   ")</f>
        <v> Fecal composite [GENEPIO:0004512]   </v>
      </c>
      <c r="C277" s="57" t="str">
        <f>IFERROR(__xludf.DUMMYFUNCTION("""COMPUTED_VALUE"""),"GENEPIO:0004512")</f>
        <v>GENEPIO:0004512</v>
      </c>
      <c r="D277" s="58" t="str">
        <f>IFERROR(__xludf.DUMMYFUNCTION("""COMPUTED_VALUE"""),"A mixture of feces obtained from multiple individuals.")</f>
        <v>A mixture of feces obtained from multiple individuals.</v>
      </c>
      <c r="E277" s="56"/>
      <c r="F277" s="54"/>
      <c r="G277" s="54"/>
      <c r="H277" s="59"/>
      <c r="I277" s="59"/>
      <c r="J277" s="59"/>
      <c r="K277" s="54"/>
    </row>
    <row r="278">
      <c r="A278" s="57"/>
      <c r="B278" s="57" t="str">
        <f>IFERROR(__xludf.DUMMYFUNCTION("""COMPUTED_VALUE""")," Feces (fresh) [GENEPIO:0004513]   ")</f>
        <v> Feces (fresh) [GENEPIO:0004513]   </v>
      </c>
      <c r="C278" s="57" t="str">
        <f>IFERROR(__xludf.DUMMYFUNCTION("""COMPUTED_VALUE"""),"GENEPIO:0004513")</f>
        <v>GENEPIO:0004513</v>
      </c>
      <c r="D278" s="58" t="str">
        <f>IFERROR(__xludf.DUMMYFUNCTION("""COMPUTED_VALUE"""),"Feces that was recently excreted.")</f>
        <v>Feces that was recently excreted.</v>
      </c>
      <c r="E278" s="56"/>
      <c r="F278" s="54"/>
      <c r="G278" s="54"/>
      <c r="H278" s="59"/>
      <c r="I278" s="59"/>
      <c r="J278" s="59"/>
      <c r="K278" s="54"/>
    </row>
    <row r="279">
      <c r="A279" s="57"/>
      <c r="B279" s="57" t="str">
        <f>IFERROR(__xludf.DUMMYFUNCTION("""COMPUTED_VALUE""")," Feces (environmental) [GENEPIO:0004514]   ")</f>
        <v> Feces (environmental) [GENEPIO:0004514]   </v>
      </c>
      <c r="C279" s="57" t="str">
        <f>IFERROR(__xludf.DUMMYFUNCTION("""COMPUTED_VALUE"""),"GENEPIO:0004514")</f>
        <v>GENEPIO:0004514</v>
      </c>
      <c r="D279" s="58" t="str">
        <f>IFERROR(__xludf.DUMMYFUNCTION("""COMPUTED_VALUE"""),"Feces which is deposited in the environment.")</f>
        <v>Feces which is deposited in the environment.</v>
      </c>
      <c r="E279" s="56"/>
      <c r="F279" s="54"/>
      <c r="G279" s="54"/>
      <c r="H279" s="59"/>
      <c r="I279" s="59"/>
      <c r="J279" s="59"/>
      <c r="K279" s="54"/>
    </row>
    <row r="280">
      <c r="A280" s="57"/>
      <c r="B280" s="57" t="str">
        <f>IFERROR(__xludf.DUMMYFUNCTION("""COMPUTED_VALUE""")," Meconium [UBERON:0007109]   ")</f>
        <v> Meconium [UBERON:0007109]   </v>
      </c>
      <c r="C280" s="57" t="str">
        <f>IFERROR(__xludf.DUMMYFUNCTION("""COMPUTED_VALUE"""),"UBERON:0007109")</f>
        <v>UBERON:0007109</v>
      </c>
      <c r="D280" s="58" t="str">
        <f>IFERROR(__xludf.DUMMYFUNCTION("""COMPUTED_VALUE"""),"A dark greenish mass that accumulates in the bowel during fetal life and is discharged shortly after birth.")</f>
        <v>A dark greenish mass that accumulates in the bowel during fetal life and is discharged shortly after birth.</v>
      </c>
      <c r="E280" s="56"/>
      <c r="F280" s="54"/>
      <c r="G280" s="54"/>
      <c r="H280" s="59"/>
      <c r="I280" s="59"/>
      <c r="J280" s="59"/>
      <c r="K280" s="54"/>
    </row>
    <row r="281">
      <c r="A281" s="57"/>
      <c r="B281" s="57" t="str">
        <f>IFERROR(__xludf.DUMMYFUNCTION("""COMPUTED_VALUE"""),"Milk [UBERON:0001913]    ")</f>
        <v>Milk [UBERON:0001913]    </v>
      </c>
      <c r="C281" s="57" t="str">
        <f>IFERROR(__xludf.DUMMYFUNCTION("""COMPUTED_VALUE"""),"UBERON:0001913")</f>
        <v>UBERON:0001913</v>
      </c>
      <c r="D281" s="58" t="str">
        <f>IFERROR(__xludf.DUMMYFUNCTION("""COMPUTED_VALUE"""),"An emulsion of fat globules within a fluid that is secreted by the mammary gland during lactation.")</f>
        <v>An emulsion of fat globules within a fluid that is secreted by the mammary gland during lactation.</v>
      </c>
      <c r="E281" s="56"/>
      <c r="F281" s="54"/>
      <c r="G281" s="54"/>
      <c r="H281" s="59"/>
      <c r="I281" s="59"/>
      <c r="J281" s="59"/>
      <c r="K281" s="54"/>
    </row>
    <row r="282">
      <c r="A282" s="57"/>
      <c r="B282" s="57" t="str">
        <f>IFERROR(__xludf.DUMMYFUNCTION("""COMPUTED_VALUE""")," Colostrum [UBERON:0001914]   ")</f>
        <v> Colostrum [UBERON:0001914]   </v>
      </c>
      <c r="C282" s="57" t="str">
        <f>IFERROR(__xludf.DUMMYFUNCTION("""COMPUTED_VALUE"""),"UBERON:0001914")</f>
        <v>UBERON:0001914</v>
      </c>
      <c r="D282" s="58" t="str">
        <f>IFERROR(__xludf.DUMMYFUNCTION("""COMPUTED_VALUE"""),"The thin, yellow, serous fluid secreted by the mammary glands during pregnancy and immediately postpartum before lactation begins. It consists of immunologically active substances, white blood cells, water, protein, fat, and carbohydrates. [ MESH : A12.20"&amp;"0.194 http://en.wikipedia.org/wiki/Colostrum ]")</f>
        <v>The thin, yellow, serous fluid secreted by the mammary glands during pregnancy and immediately postpartum before lactation begins. It consists of immunologically active substances, white blood cells, water, protein, fat, and carbohydrates. [ MESH : A12.200.194 http://en.wikipedia.org/wiki/Colostrum ]</v>
      </c>
      <c r="E282" s="56"/>
      <c r="F282" s="54"/>
      <c r="G282" s="54"/>
      <c r="H282" s="59"/>
      <c r="I282" s="59"/>
      <c r="J282" s="59"/>
      <c r="K282" s="54"/>
    </row>
    <row r="283">
      <c r="A283" s="57"/>
      <c r="B283" s="57" t="str">
        <f>IFERROR(__xludf.DUMMYFUNCTION("""COMPUTED_VALUE"""),"Mucus [UBERON:0000912]    ")</f>
        <v>Mucus [UBERON:0000912]    </v>
      </c>
      <c r="C283" s="57" t="str">
        <f>IFERROR(__xludf.DUMMYFUNCTION("""COMPUTED_VALUE"""),"UBERON:0000912")</f>
        <v>UBERON:0000912</v>
      </c>
      <c r="D283" s="58" t="str">
        <f>IFERROR(__xludf.DUMMYFUNCTION("""COMPUTED_VALUE"""),"Mucus is a bodily fluid consisting of a slippery secretion of the lining of the mucous membranes in the body. It is a viscous colloid containing antiseptic enzymes (such as lysozyme) and immunoglobulins. Mucus is produced by goblet cells in the mucous mem"&amp;"branes that cover the surfaces of the membranes. It is made up of mucins and inorganic salts suspended in water.")</f>
        <v>Mucus is a bodily fluid consisting of a slippery secretion of the lining of the mucous membranes in the body. It is a viscous colloid containing antiseptic enzymes (such as lysozyme) and immunoglobulins. Mucus is produced by goblet cells in the mucous membranes that cover the surfaces of the membranes. It is made up of mucins and inorganic salts suspended in water.</v>
      </c>
      <c r="E283" s="56"/>
      <c r="F283" s="54"/>
      <c r="G283" s="54"/>
      <c r="H283" s="59"/>
      <c r="I283" s="59"/>
      <c r="J283" s="59"/>
      <c r="K283" s="54"/>
    </row>
    <row r="284">
      <c r="A284" s="57"/>
      <c r="B284" s="57" t="str">
        <f>IFERROR(__xludf.DUMMYFUNCTION("""COMPUTED_VALUE"""),"Urine [UBERON:0001088]    ")</f>
        <v>Urine [UBERON:0001088]    </v>
      </c>
      <c r="C284" s="57" t="str">
        <f>IFERROR(__xludf.DUMMYFUNCTION("""COMPUTED_VALUE"""),"UBERON:0001088")</f>
        <v>UBERON:0001088</v>
      </c>
      <c r="D284" s="58" t="str">
        <f>IFERROR(__xludf.DUMMYFUNCTION("""COMPUTED_VALUE"""),"Excretion that is the output of a kidney.")</f>
        <v>Excretion that is the output of a kidney.</v>
      </c>
      <c r="E284" s="56"/>
      <c r="F284" s="54"/>
      <c r="G284" s="54"/>
      <c r="H284" s="54"/>
      <c r="I284" s="54"/>
      <c r="J284" s="54"/>
      <c r="K284" s="54"/>
    </row>
    <row r="285">
      <c r="A285" s="57" t="str">
        <f>IFERROR(__xludf.DUMMYFUNCTION("""COMPUTED_VALUE"""),"anatomical_part menu")</f>
        <v>anatomical_part menu</v>
      </c>
      <c r="B285" s="57" t="str">
        <f>IFERROR(__xludf.DUMMYFUNCTION("""COMPUTED_VALUE"""),"    ")</f>
        <v>    </v>
      </c>
      <c r="C285" s="57" t="str">
        <f>IFERROR(__xludf.DUMMYFUNCTION("""COMPUTED_VALUE"""),"")</f>
        <v/>
      </c>
      <c r="D285" s="58"/>
      <c r="E285" s="56"/>
      <c r="F285" s="54"/>
      <c r="G285" s="54"/>
      <c r="H285" s="59"/>
      <c r="I285" s="59"/>
      <c r="J285" s="59"/>
      <c r="K285" s="54"/>
    </row>
    <row r="286">
      <c r="A286" s="57"/>
      <c r="B286" s="57" t="str">
        <f>IFERROR(__xludf.DUMMYFUNCTION("""COMPUTED_VALUE"""),"Carcass [UBERON:0008979]    ")</f>
        <v>Carcass [UBERON:0008979]    </v>
      </c>
      <c r="C286" s="57" t="str">
        <f>IFERROR(__xludf.DUMMYFUNCTION("""COMPUTED_VALUE"""),"UBERON:0008979")</f>
        <v>UBERON:0008979</v>
      </c>
      <c r="D286" s="58" t="str">
        <f>IFERROR(__xludf.DUMMYFUNCTION("""COMPUTED_VALUE"""),"A body of a multi-cellular organism that is no longer living.")</f>
        <v>A body of a multi-cellular organism that is no longer living.</v>
      </c>
      <c r="E286" s="56"/>
      <c r="F286" s="54"/>
      <c r="G286" s="54"/>
      <c r="H286" s="59"/>
      <c r="I286" s="59"/>
      <c r="J286" s="59"/>
      <c r="K286" s="54"/>
    </row>
    <row r="287">
      <c r="A287" s="57"/>
      <c r="B287" s="57" t="str">
        <f>IFERROR(__xludf.DUMMYFUNCTION("""COMPUTED_VALUE"""),"Digestive system [UBERON:0001007]    ")</f>
        <v>Digestive system [UBERON:0001007]    </v>
      </c>
      <c r="C287" s="57" t="str">
        <f>IFERROR(__xludf.DUMMYFUNCTION("""COMPUTED_VALUE"""),"UBERON:0001007")</f>
        <v>UBERON:0001007</v>
      </c>
      <c r="D287" s="58" t="str">
        <f>IFERROR(__xludf.DUMMYFUNCTION("""COMPUTED_VALUE"""),"Anatomical system that has as its parts the organs devoted to the ingestion, digestion, and assimilation of food and the discharge of residual wastes. ")</f>
        <v>Anatomical system that has as its parts the organs devoted to the ingestion, digestion, and assimilation of food and the discharge of residual wastes. </v>
      </c>
      <c r="E287" s="56"/>
      <c r="F287" s="54"/>
      <c r="G287" s="54"/>
      <c r="H287" s="59"/>
      <c r="I287" s="59"/>
      <c r="J287" s="59"/>
      <c r="K287" s="54"/>
    </row>
    <row r="288">
      <c r="A288" s="57"/>
      <c r="B288" s="57" t="str">
        <f>IFERROR(__xludf.DUMMYFUNCTION("""COMPUTED_VALUE""")," Caecum [UBERON:0001153]   ")</f>
        <v> Caecum [UBERON:0001153]   </v>
      </c>
      <c r="C288" s="57" t="str">
        <f>IFERROR(__xludf.DUMMYFUNCTION("""COMPUTED_VALUE"""),"UBERON:0001153")</f>
        <v>UBERON:0001153</v>
      </c>
      <c r="D288" s="58" t="str">
        <f>IFERROR(__xludf.DUMMYFUNCTION("""COMPUTED_VALUE""")," pouch in the digestive tract that connects the ileum with the ascending colon of the large intestine. It is separated from the ileum by the ileocecal valve, and is the beginning of the large intestine. It is also separated from the colon by the cecocolic"&amp;" junction.")</f>
        <v> pouch in the digestive tract that connects the ileum with the ascending colon of the large intestine. It is separated from the ileum by the ileocecal valve, and is the beginning of the large intestine. It is also separated from the colon by the cecocolic junction.</v>
      </c>
      <c r="E288" s="56"/>
      <c r="F288" s="54"/>
      <c r="G288" s="54"/>
      <c r="H288" s="59"/>
      <c r="I288" s="59"/>
      <c r="J288" s="59"/>
      <c r="K288" s="54"/>
    </row>
    <row r="289">
      <c r="A289" s="57"/>
      <c r="B289" s="57" t="str">
        <f>IFERROR(__xludf.DUMMYFUNCTION("""COMPUTED_VALUE""")," Colon [UBERON:0001155]   ")</f>
        <v> Colon [UBERON:0001155]   </v>
      </c>
      <c r="C289" s="57" t="str">
        <f>IFERROR(__xludf.DUMMYFUNCTION("""COMPUTED_VALUE"""),"UBERON:0001155")</f>
        <v>UBERON:0001155</v>
      </c>
      <c r="D289" s="58" t="str">
        <f>IFERROR(__xludf.DUMMYFUNCTION("""COMPUTED_VALUE"""),"A portion of the large intestine before it becomes the rectum. In mammals, the colon is the most part of the large intestine, excluding the vermiform appendix, the rectum and the anal canal.")</f>
        <v>A portion of the large intestine before it becomes the rectum. In mammals, the colon is the most part of the large intestine, excluding the vermiform appendix, the rectum and the anal canal.</v>
      </c>
      <c r="E289" s="56"/>
      <c r="F289" s="54"/>
      <c r="G289" s="54"/>
      <c r="H289" s="59"/>
      <c r="I289" s="59"/>
      <c r="J289" s="59"/>
      <c r="K289" s="54"/>
    </row>
    <row r="290">
      <c r="A290" s="57"/>
      <c r="B290" s="57" t="str">
        <f>IFERROR(__xludf.DUMMYFUNCTION("""COMPUTED_VALUE""")," Digestive gland [UBERON:0006925]   ")</f>
        <v> Digestive gland [UBERON:0006925]   </v>
      </c>
      <c r="C290" s="57" t="str">
        <f>IFERROR(__xludf.DUMMYFUNCTION("""COMPUTED_VALUE"""),"UBERON:0006925")</f>
        <v>UBERON:0006925</v>
      </c>
      <c r="D290" s="58" t="str">
        <f>IFERROR(__xludf.DUMMYFUNCTION("""COMPUTED_VALUE"""),"Any gland that is part of the digestive system.")</f>
        <v>Any gland that is part of the digestive system.</v>
      </c>
      <c r="E290" s="56"/>
      <c r="F290" s="54"/>
      <c r="G290" s="54"/>
      <c r="H290" s="59"/>
      <c r="I290" s="59"/>
      <c r="J290" s="59"/>
      <c r="K290" s="54"/>
    </row>
    <row r="291">
      <c r="A291" s="57"/>
      <c r="B291" s="57" t="str">
        <f>IFERROR(__xludf.DUMMYFUNCTION("""COMPUTED_VALUE""")," Foregut [UBERON:0001041]   ")</f>
        <v> Foregut [UBERON:0001041]   </v>
      </c>
      <c r="C291" s="57" t="str">
        <f>IFERROR(__xludf.DUMMYFUNCTION("""COMPUTED_VALUE"""),"UBERON:0001041")</f>
        <v>UBERON:0001041</v>
      </c>
      <c r="D291" s="58" t="str">
        <f>IFERROR(__xludf.DUMMYFUNCTION("""COMPUTED_VALUE"""),"Anterior subdivision of a digestive tract. ")</f>
        <v>Anterior subdivision of a digestive tract. </v>
      </c>
      <c r="E291" s="56"/>
      <c r="F291" s="54"/>
      <c r="G291" s="54"/>
      <c r="H291" s="59"/>
      <c r="I291" s="59"/>
      <c r="J291" s="59"/>
      <c r="K291" s="54"/>
    </row>
    <row r="292">
      <c r="A292" s="57"/>
      <c r="B292" s="57" t="str">
        <f>IFERROR(__xludf.DUMMYFUNCTION("""COMPUTED_VALUE""")," Gall bladder [UBERON:0002110]   ")</f>
        <v> Gall bladder [UBERON:0002110]   </v>
      </c>
      <c r="C292" s="57" t="str">
        <f>IFERROR(__xludf.DUMMYFUNCTION("""COMPUTED_VALUE"""),"UBERON:0002110")</f>
        <v>UBERON:0002110</v>
      </c>
      <c r="D292" s="58" t="str">
        <f>IFERROR(__xludf.DUMMYFUNCTION("""COMPUTED_VALUE"""),"An organ that aids digestion and stores bile produced by the liver.")</f>
        <v>An organ that aids digestion and stores bile produced by the liver.</v>
      </c>
      <c r="E292" s="56"/>
      <c r="F292" s="54"/>
      <c r="G292" s="54"/>
      <c r="H292" s="59"/>
      <c r="I292" s="59"/>
      <c r="J292" s="59"/>
      <c r="K292" s="54"/>
    </row>
    <row r="293">
      <c r="A293" s="57"/>
      <c r="B293" s="57" t="str">
        <f>IFERROR(__xludf.DUMMYFUNCTION("""COMPUTED_VALUE""")," Gastrointestinal system mucosa [UBERON:0004786]   ")</f>
        <v> Gastrointestinal system mucosa [UBERON:0004786]   </v>
      </c>
      <c r="C293" s="57" t="str">
        <f>IFERROR(__xludf.DUMMYFUNCTION("""COMPUTED_VALUE"""),"UBERON:0004786")</f>
        <v>UBERON:0004786</v>
      </c>
      <c r="D293" s="58" t="str">
        <f>IFERROR(__xludf.DUMMYFUNCTION("""COMPUTED_VALUE"""),"A mucosa that is part of a gastrointestinal system. ")</f>
        <v>A mucosa that is part of a gastrointestinal system. </v>
      </c>
      <c r="E293" s="56"/>
      <c r="F293" s="54"/>
      <c r="G293" s="54"/>
      <c r="H293" s="59"/>
      <c r="I293" s="59"/>
      <c r="J293" s="59"/>
      <c r="K293" s="54"/>
    </row>
    <row r="294">
      <c r="A294" s="57"/>
      <c r="B294" s="57" t="str">
        <f>IFERROR(__xludf.DUMMYFUNCTION("""COMPUTED_VALUE""")," Gizzard [UBERON:0005052]   ")</f>
        <v> Gizzard [UBERON:0005052]   </v>
      </c>
      <c r="C294" s="57" t="str">
        <f>IFERROR(__xludf.DUMMYFUNCTION("""COMPUTED_VALUE"""),"UBERON:0005052")</f>
        <v>UBERON:0005052</v>
      </c>
      <c r="D294" s="58" t="str">
        <f>IFERROR(__xludf.DUMMYFUNCTION("""COMPUTED_VALUE"""),"The muscular enlargement of the alimentary canal that has usually thick muscular walls and a tough horny lining for grinding the food and when the crop is present follows it and the proventriculus.")</f>
        <v>The muscular enlargement of the alimentary canal that has usually thick muscular walls and a tough horny lining for grinding the food and when the crop is present follows it and the proventriculus.</v>
      </c>
      <c r="E294" s="56"/>
      <c r="F294" s="54"/>
      <c r="G294" s="54"/>
      <c r="H294" s="59"/>
      <c r="I294" s="59"/>
      <c r="J294" s="59"/>
      <c r="K294" s="54"/>
    </row>
    <row r="295">
      <c r="A295" s="57"/>
      <c r="B295" s="57" t="str">
        <f>IFERROR(__xludf.DUMMYFUNCTION("""COMPUTED_VALUE""")," Hindgut [UBERON:0001046]   ")</f>
        <v> Hindgut [UBERON:0001046]   </v>
      </c>
      <c r="C295" s="57" t="str">
        <f>IFERROR(__xludf.DUMMYFUNCTION("""COMPUTED_VALUE"""),"UBERON:0001046")</f>
        <v>UBERON:0001046</v>
      </c>
      <c r="D295" s="58" t="str">
        <f>IFERROR(__xludf.DUMMYFUNCTION("""COMPUTED_VALUE"""),"The caudalmost subdivision of a digestive tract.")</f>
        <v>The caudalmost subdivision of a digestive tract.</v>
      </c>
      <c r="E295" s="56"/>
      <c r="F295" s="54"/>
      <c r="G295" s="54"/>
      <c r="H295" s="59"/>
      <c r="I295" s="59"/>
      <c r="J295" s="59"/>
      <c r="K295" s="54"/>
    </row>
    <row r="296">
      <c r="A296" s="57"/>
      <c r="B296" s="57" t="str">
        <f>IFERROR(__xludf.DUMMYFUNCTION("""COMPUTED_VALUE""")," Intestine [UBERON:0000160]   ")</f>
        <v> Intestine [UBERON:0000160]   </v>
      </c>
      <c r="C296" s="57" t="str">
        <f>IFERROR(__xludf.DUMMYFUNCTION("""COMPUTED_VALUE"""),"UBERON:0000160")</f>
        <v>UBERON:0000160</v>
      </c>
      <c r="D296" s="58" t="str">
        <f>IFERROR(__xludf.DUMMYFUNCTION("""COMPUTED_VALUE"""),"Segment of the alimentary canal extending from the stomach to the anus and, in humans and other mammals, consists of two segments, the small intestine and the large intestine. ")</f>
        <v>Segment of the alimentary canal extending from the stomach to the anus and, in humans and other mammals, consists of two segments, the small intestine and the large intestine. </v>
      </c>
      <c r="E296" s="56"/>
      <c r="F296" s="54"/>
      <c r="G296" s="54"/>
      <c r="H296" s="59"/>
      <c r="I296" s="59"/>
      <c r="J296" s="59"/>
      <c r="K296" s="54"/>
    </row>
    <row r="297">
      <c r="A297" s="57"/>
      <c r="B297" s="57" t="str">
        <f>IFERROR(__xludf.DUMMYFUNCTION("""COMPUTED_VALUE"""),"  Small intestine [UBERON:0002108]  ")</f>
        <v>  Small intestine [UBERON:0002108]  </v>
      </c>
      <c r="C297" s="57" t="str">
        <f>IFERROR(__xludf.DUMMYFUNCTION("""COMPUTED_VALUE"""),"UBERON:0002108")</f>
        <v>UBERON:0002108</v>
      </c>
      <c r="D297" s="58" t="str">
        <f>IFERROR(__xludf.DUMMYFUNCTION("""COMPUTED_VALUE"""),"Subdivision of digestive tract that connects the stomach to the large intestine and is where much of the digestion and absorption of food takes place (with the exception of ruminants). The mammalian small intestine is long and coiled and can be differenti"&amp;"ated histologically into: duodenum, jejunem, ileum.")</f>
        <v>Subdivision of digestive tract that connects the stomach to the large intestine and is where much of the digestion and absorption of food takes place (with the exception of ruminants). The mammalian small intestine is long and coiled and can be differentiated histologically into: duodenum, jejunem, ileum.</v>
      </c>
      <c r="E297" s="56"/>
      <c r="F297" s="54"/>
      <c r="G297" s="54"/>
      <c r="H297" s="59"/>
      <c r="I297" s="59"/>
      <c r="J297" s="59"/>
      <c r="K297" s="54"/>
    </row>
    <row r="298">
      <c r="A298" s="57"/>
      <c r="B298" s="57" t="str">
        <f>IFERROR(__xludf.DUMMYFUNCTION("""COMPUTED_VALUE"""),"   Duodenum [UBERON:0002114] ")</f>
        <v>   Duodenum [UBERON:0002114] </v>
      </c>
      <c r="C298" s="57" t="str">
        <f>IFERROR(__xludf.DUMMYFUNCTION("""COMPUTED_VALUE"""),"UBERON:0002114")</f>
        <v>UBERON:0002114</v>
      </c>
      <c r="D298" s="58" t="str">
        <f>IFERROR(__xludf.DUMMYFUNCTION("""COMPUTED_VALUE"""),"The first part of the small intestine. At the junction of the stomach and the duodenum the alimentary canal is inflected. The duodenum first goes anteriorly for a short distance, turns dorsally, and eventually caudally, thus it is a U-shaped structure wit"&amp;"h two horizontal sections (a ventral and a dorsal one).")</f>
        <v>The first part of the small intestine. At the junction of the stomach and the duodenum the alimentary canal is inflected. The duodenum first goes anteriorly for a short distance, turns dorsally, and eventually caudally, thus it is a U-shaped structure with two horizontal sections (a ventral and a dorsal one).</v>
      </c>
      <c r="E298" s="56"/>
      <c r="F298" s="54"/>
      <c r="G298" s="54"/>
      <c r="H298" s="59"/>
      <c r="I298" s="59"/>
      <c r="J298" s="59"/>
      <c r="K298" s="54"/>
    </row>
    <row r="299">
      <c r="A299" s="57"/>
      <c r="B299" s="57" t="str">
        <f>IFERROR(__xludf.DUMMYFUNCTION("""COMPUTED_VALUE"""),"   Ileum [UBERON:0002116] ")</f>
        <v>   Ileum [UBERON:0002116] </v>
      </c>
      <c r="C299" s="57" t="str">
        <f>IFERROR(__xludf.DUMMYFUNCTION("""COMPUTED_VALUE"""),"UBERON:0002116")</f>
        <v>UBERON:0002116</v>
      </c>
      <c r="D299" s="58" t="str">
        <f>IFERROR(__xludf.DUMMYFUNCTION("""COMPUTED_VALUE"""),"The portion of the small intestine that extends from the jejunum to the colon.")</f>
        <v>The portion of the small intestine that extends from the jejunum to the colon.</v>
      </c>
      <c r="E299" s="56"/>
      <c r="F299" s="54"/>
      <c r="G299" s="54"/>
      <c r="H299" s="59"/>
      <c r="I299" s="59"/>
      <c r="J299" s="59"/>
      <c r="K299" s="54"/>
    </row>
    <row r="300">
      <c r="A300" s="57"/>
      <c r="B300" s="57" t="str">
        <f>IFERROR(__xludf.DUMMYFUNCTION("""COMPUTED_VALUE"""),"   Jejunum [UBERON:0002115] ")</f>
        <v>   Jejunum [UBERON:0002115] </v>
      </c>
      <c r="C300" s="57" t="str">
        <f>IFERROR(__xludf.DUMMYFUNCTION("""COMPUTED_VALUE"""),"UBERON:0002115")</f>
        <v>UBERON:0002115</v>
      </c>
      <c r="D300" s="58" t="str">
        <f>IFERROR(__xludf.DUMMYFUNCTION("""COMPUTED_VALUE"""),"The portion of the small intestine that extends from the duodenum to the ileum. ")</f>
        <v>The portion of the small intestine that extends from the duodenum to the ileum. </v>
      </c>
      <c r="E300" s="56"/>
      <c r="F300" s="54"/>
      <c r="G300" s="54"/>
      <c r="H300" s="59"/>
      <c r="I300" s="59"/>
      <c r="J300" s="59"/>
      <c r="K300" s="54"/>
    </row>
    <row r="301">
      <c r="A301" s="57"/>
      <c r="B301" s="57" t="str">
        <f>IFERROR(__xludf.DUMMYFUNCTION("""COMPUTED_VALUE""")," Stomach [UBERON:0000945]   ")</f>
        <v> Stomach [UBERON:0000945]   </v>
      </c>
      <c r="C301" s="57" t="str">
        <f>IFERROR(__xludf.DUMMYFUNCTION("""COMPUTED_VALUE"""),"UBERON:0000945")</f>
        <v>UBERON:0000945</v>
      </c>
      <c r="D301" s="58" t="str">
        <f>IFERROR(__xludf.DUMMYFUNCTION("""COMPUTED_VALUE"""),"An expanded region of the vertebrate alimentary tract that serves as a food storage compartment and digestive organ. A stomach is lined, in whole or in part by a glandular epithelium.")</f>
        <v>An expanded region of the vertebrate alimentary tract that serves as a food storage compartment and digestive organ. A stomach is lined, in whole or in part by a glandular epithelium.</v>
      </c>
      <c r="E301" s="56"/>
      <c r="F301" s="54"/>
      <c r="G301" s="54"/>
      <c r="H301" s="59"/>
      <c r="I301" s="59"/>
      <c r="J301" s="59"/>
      <c r="K301" s="54"/>
    </row>
    <row r="302">
      <c r="A302" s="57"/>
      <c r="B302" s="57" t="str">
        <f>IFERROR(__xludf.DUMMYFUNCTION("""COMPUTED_VALUE"""),"  Abomasum [UBERON:0007358]  ")</f>
        <v>  Abomasum [UBERON:0007358]  </v>
      </c>
      <c r="C302" s="57" t="str">
        <f>IFERROR(__xludf.DUMMYFUNCTION("""COMPUTED_VALUE"""),"UBERON:0007358")</f>
        <v>UBERON:0007358</v>
      </c>
      <c r="D302" s="58" t="str">
        <f>IFERROR(__xludf.DUMMYFUNCTION("""COMPUTED_VALUE"""),"The fourth stomach of ruminating animals, which is an elongated pear-shaped sac lying on the floor of the abdomen, on the right-hand side, and roughly between the seventh and twelfth ribs. It leads to the beginning of the small intestine. ")</f>
        <v>The fourth stomach of ruminating animals, which is an elongated pear-shaped sac lying on the floor of the abdomen, on the right-hand side, and roughly between the seventh and twelfth ribs. It leads to the beginning of the small intestine. </v>
      </c>
      <c r="E302" s="56"/>
      <c r="F302" s="54"/>
      <c r="G302" s="54"/>
      <c r="H302" s="59"/>
      <c r="I302" s="59"/>
      <c r="J302" s="59"/>
      <c r="K302" s="54"/>
    </row>
    <row r="303">
      <c r="A303" s="57"/>
      <c r="B303" s="57" t="str">
        <f>IFERROR(__xludf.DUMMYFUNCTION("""COMPUTED_VALUE"""),"  Rumen [UBERON:0007365]  ")</f>
        <v>  Rumen [UBERON:0007365]  </v>
      </c>
      <c r="C303" s="57" t="str">
        <f>IFERROR(__xludf.DUMMYFUNCTION("""COMPUTED_VALUE"""),"UBERON:0007365")</f>
        <v>UBERON:0007365</v>
      </c>
      <c r="D303" s="58" t="str">
        <f>IFERROR(__xludf.DUMMYFUNCTION("""COMPUTED_VALUE"""),"The first compartment of the ruminant stomach. It lies on the left side of the body, occupying the whole of the left side of the abdomen and even stretching across the median plane of the body to the right side. It is capacious, divided into an upper and "&amp;"a lower sac, each of which has a blind sac at its posterior extremity.")</f>
        <v>The first compartment of the ruminant stomach. It lies on the left side of the body, occupying the whole of the left side of the abdomen and even stretching across the median plane of the body to the right side. It is capacious, divided into an upper and a lower sac, each of which has a blind sac at its posterior extremity.</v>
      </c>
      <c r="E303" s="56"/>
      <c r="F303" s="54"/>
      <c r="G303" s="54"/>
      <c r="H303" s="59"/>
      <c r="I303" s="59"/>
      <c r="J303" s="59"/>
      <c r="K303" s="54"/>
    </row>
    <row r="304">
      <c r="A304" s="57"/>
      <c r="B304" s="57" t="str">
        <f>IFERROR(__xludf.DUMMYFUNCTION("""COMPUTED_VALUE"""),"Excretory system (organizational term)     ")</f>
        <v>Excretory system (organizational term)     </v>
      </c>
      <c r="C304" s="57" t="str">
        <f>IFERROR(__xludf.DUMMYFUNCTION("""COMPUTED_VALUE"""),"")</f>
        <v/>
      </c>
      <c r="D304" s="58"/>
      <c r="E304" s="56"/>
      <c r="F304" s="54"/>
      <c r="G304" s="54"/>
      <c r="H304" s="59"/>
      <c r="I304" s="59"/>
      <c r="J304" s="59"/>
      <c r="K304" s="54"/>
    </row>
    <row r="305">
      <c r="A305" s="57"/>
      <c r="B305" s="57" t="str">
        <f>IFERROR(__xludf.DUMMYFUNCTION("""COMPUTED_VALUE""")," Anus [UBERON:0001245]   ")</f>
        <v> Anus [UBERON:0001245]   </v>
      </c>
      <c r="C305" s="57" t="str">
        <f>IFERROR(__xludf.DUMMYFUNCTION("""COMPUTED_VALUE"""),"UBERON:0001245")</f>
        <v>UBERON:0001245</v>
      </c>
      <c r="D305" s="58" t="str">
        <f>IFERROR(__xludf.DUMMYFUNCTION("""COMPUTED_VALUE"""),"Orifice at the opposite end of an animal's digestive tract from the mouth. Its function is to expel feces, unwanted semi-solid matter produced during digestion, which, depending on the type of animal, may be one or more of: matter which the animal cannot "&amp;"digest, such as bones; food material after all the nutrients have been extracted, for example cellulose or lignin; ingested matter which would be toxic if it remained in the digestive tract; and dead or excess gut bacteria and other endosymbionts.")</f>
        <v>Orifice at the opposite end of an animal's digestive tract from the mouth. Its function is to expel feces, unwanted semi-solid matter produced during digestion, which, depending on the type of animal, may be one or more of: matter which the animal cannot digest, such as bones; food material after all the nutrients have been extracted, for example cellulose or lignin; ingested matter which would be toxic if it remained in the digestive tract; and dead or excess gut bacteria and other endosymbionts.</v>
      </c>
      <c r="E305" s="56"/>
      <c r="F305" s="54"/>
      <c r="G305" s="54"/>
      <c r="H305" s="59"/>
      <c r="I305" s="59"/>
      <c r="J305" s="59"/>
      <c r="K305" s="54"/>
    </row>
    <row r="306">
      <c r="A306" s="57"/>
      <c r="B306" s="57" t="str">
        <f>IFERROR(__xludf.DUMMYFUNCTION("""COMPUTED_VALUE""")," Anal gland [UBERON:0011253]   ")</f>
        <v> Anal gland [UBERON:0011253]   </v>
      </c>
      <c r="C306" s="57" t="str">
        <f>IFERROR(__xludf.DUMMYFUNCTION("""COMPUTED_VALUE"""),"UBERON:0011253")</f>
        <v>UBERON:0011253</v>
      </c>
      <c r="D306" s="58" t="str">
        <f>IFERROR(__xludf.DUMMYFUNCTION("""COMPUTED_VALUE"""),"A type of gland occurring as solitary or in pairs or groups, near the anus and sometimes opening into the rectum.")</f>
        <v>A type of gland occurring as solitary or in pairs or groups, near the anus and sometimes opening into the rectum.</v>
      </c>
      <c r="E306" s="56"/>
      <c r="F306" s="54"/>
      <c r="G306" s="54"/>
      <c r="H306" s="59"/>
      <c r="I306" s="59"/>
      <c r="J306" s="59"/>
      <c r="K306" s="54"/>
    </row>
    <row r="307">
      <c r="A307" s="57"/>
      <c r="B307" s="57" t="str">
        <f>IFERROR(__xludf.DUMMYFUNCTION("""COMPUTED_VALUE""")," Cloaca [UBERON:0000162]   ")</f>
        <v> Cloaca [UBERON:0000162]   </v>
      </c>
      <c r="C307" s="57" t="str">
        <f>IFERROR(__xludf.DUMMYFUNCTION("""COMPUTED_VALUE"""),"UBERON:0000162")</f>
        <v>UBERON:0000162</v>
      </c>
      <c r="D307" s="58" t="str">
        <f>IFERROR(__xludf.DUMMYFUNCTION("""COMPUTED_VALUE"""),"Common chamber into which the intestines and excretory system opens. Arises during development in all vertebrates, but in many it becomes subdivided, lost or incorporated into other structures.")</f>
        <v>Common chamber into which the intestines and excretory system opens. Arises during development in all vertebrates, but in many it becomes subdivided, lost or incorporated into other structures.</v>
      </c>
      <c r="E307" s="56"/>
      <c r="F307" s="54"/>
      <c r="G307" s="54"/>
      <c r="H307" s="59"/>
      <c r="I307" s="59"/>
      <c r="J307" s="59"/>
      <c r="K307" s="54"/>
    </row>
    <row r="308">
      <c r="A308" s="57"/>
      <c r="B308" s="57" t="str">
        <f>IFERROR(__xludf.DUMMYFUNCTION("""COMPUTED_VALUE""")," Liver [UBERON:0002107]   ")</f>
        <v> Liver [UBERON:0002107]   </v>
      </c>
      <c r="C308" s="57" t="str">
        <f>IFERROR(__xludf.DUMMYFUNCTION("""COMPUTED_VALUE"""),"UBERON:0002107")</f>
        <v>UBERON:0002107</v>
      </c>
      <c r="D308" s="58" t="str">
        <f>IFERROR(__xludf.DUMMYFUNCTION("""COMPUTED_VALUE"""),"An exocrine gland which secretes bile and functions in metabolism of protein and carbohydrate and fat, synthesizes substances involved in the clotting of the blood, synthesizes vitamin A, detoxifies poisonous substances, stores glycogen, and breaks down w"&amp;"orn-out erythrocytes")</f>
        <v>An exocrine gland which secretes bile and functions in metabolism of protein and carbohydrate and fat, synthesizes substances involved in the clotting of the blood, synthesizes vitamin A, detoxifies poisonous substances, stores glycogen, and breaks down worn-out erythrocytes</v>
      </c>
      <c r="E308" s="56"/>
      <c r="F308" s="54"/>
      <c r="G308" s="54"/>
      <c r="H308" s="59"/>
      <c r="I308" s="59"/>
      <c r="J308" s="59"/>
      <c r="K308" s="54"/>
    </row>
    <row r="309">
      <c r="A309" s="57"/>
      <c r="B309" s="57" t="str">
        <f>IFERROR(__xludf.DUMMYFUNCTION("""COMPUTED_VALUE""")," Kidney [UBERON:0002113]   ")</f>
        <v> Kidney [UBERON:0002113]   </v>
      </c>
      <c r="C309" s="57" t="str">
        <f>IFERROR(__xludf.DUMMYFUNCTION("""COMPUTED_VALUE"""),"UBERON:0002113")</f>
        <v>UBERON:0002113</v>
      </c>
      <c r="D309" s="58" t="str">
        <f>IFERROR(__xludf.DUMMYFUNCTION("""COMPUTED_VALUE"""),"A paired organ of the urinary tract which has the production of urine as its primary function.")</f>
        <v>A paired organ of the urinary tract which has the production of urine as its primary function.</v>
      </c>
      <c r="E309" s="56"/>
      <c r="F309" s="54"/>
      <c r="G309" s="54"/>
      <c r="H309" s="59"/>
      <c r="I309" s="59"/>
      <c r="J309" s="59"/>
      <c r="K309" s="54"/>
    </row>
    <row r="310">
      <c r="A310" s="57"/>
      <c r="B310" s="57" t="str">
        <f>IFERROR(__xludf.DUMMYFUNCTION("""COMPUTED_VALUE""")," Rectum [UBERON:0001052]   ")</f>
        <v> Rectum [UBERON:0001052]   </v>
      </c>
      <c r="C310" s="57" t="str">
        <f>IFERROR(__xludf.DUMMYFUNCTION("""COMPUTED_VALUE"""),"UBERON:0001052")</f>
        <v>UBERON:0001052</v>
      </c>
      <c r="D310" s="58" t="str">
        <f>IFERROR(__xludf.DUMMYFUNCTION("""COMPUTED_VALUE"""),"The terminal portion of the intestinal tube, terminating with the anus.")</f>
        <v>The terminal portion of the intestinal tube, terminating with the anus.</v>
      </c>
      <c r="E310" s="56"/>
      <c r="F310" s="54"/>
      <c r="G310" s="54"/>
      <c r="H310" s="59"/>
      <c r="I310" s="59"/>
      <c r="J310" s="59"/>
      <c r="K310" s="54"/>
    </row>
    <row r="311">
      <c r="A311" s="57"/>
      <c r="B311" s="57" t="str">
        <f>IFERROR(__xludf.DUMMYFUNCTION("""COMPUTED_VALUE""")," Spleen [UBERON:0002106]   ")</f>
        <v> Spleen [UBERON:0002106]   </v>
      </c>
      <c r="C311" s="57" t="str">
        <f>IFERROR(__xludf.DUMMYFUNCTION("""COMPUTED_VALUE"""),"UBERON:0002106")</f>
        <v>UBERON:0002106</v>
      </c>
      <c r="D311" s="58" t="str">
        <f>IFERROR(__xludf.DUMMYFUNCTION("""COMPUTED_VALUE"""),"The organ that functions to filter blood and to store red corpuscles and platelets. ")</f>
        <v>The organ that functions to filter blood and to store red corpuscles and platelets. </v>
      </c>
      <c r="E311" s="56"/>
      <c r="F311" s="54"/>
      <c r="G311" s="54"/>
      <c r="H311" s="59"/>
      <c r="I311" s="59"/>
      <c r="J311" s="59"/>
      <c r="K311" s="54"/>
    </row>
    <row r="312">
      <c r="A312" s="57"/>
      <c r="B312" s="57" t="str">
        <f>IFERROR(__xludf.DUMMYFUNCTION("""COMPUTED_VALUE""")," Urinary bladder [UBERON:0001255]   ")</f>
        <v> Urinary bladder [UBERON:0001255]   </v>
      </c>
      <c r="C312" s="57" t="str">
        <f>IFERROR(__xludf.DUMMYFUNCTION("""COMPUTED_VALUE"""),"UBERON:0001255")</f>
        <v>UBERON:0001255</v>
      </c>
      <c r="D312" s="58" t="str">
        <f>IFERROR(__xludf.DUMMYFUNCTION("""COMPUTED_VALUE"""),"Distensible musculomembranous organ situated in the anterior part of the pelvic cavity in which urine collects before excretion.")</f>
        <v>Distensible musculomembranous organ situated in the anterior part of the pelvic cavity in which urine collects before excretion.</v>
      </c>
      <c r="E312" s="56"/>
      <c r="F312" s="54"/>
      <c r="G312" s="54"/>
      <c r="H312" s="59"/>
      <c r="I312" s="59"/>
      <c r="J312" s="59"/>
      <c r="K312" s="54"/>
    </row>
    <row r="313">
      <c r="A313" s="57"/>
      <c r="B313" s="57" t="str">
        <f>IFERROR(__xludf.DUMMYFUNCTION("""COMPUTED_VALUE"""),"Foot [UBERON:0002387]    ")</f>
        <v>Foot [UBERON:0002387]    </v>
      </c>
      <c r="C313" s="57" t="str">
        <f>IFERROR(__xludf.DUMMYFUNCTION("""COMPUTED_VALUE"""),"UBERON:0002387")</f>
        <v>UBERON:0002387</v>
      </c>
      <c r="D313" s="58" t="str">
        <f>IFERROR(__xludf.DUMMYFUNCTION("""COMPUTED_VALUE"""),"The terminal part of the vertebrate leg upon which an individual stands. 2: An invertebrate organ of locomotion or attachment; especially: a ventral muscular surface or process of a mollusk. ")</f>
        <v>The terminal part of the vertebrate leg upon which an individual stands. 2: An invertebrate organ of locomotion or attachment; especially: a ventral muscular surface or process of a mollusk. </v>
      </c>
      <c r="E313" s="56"/>
      <c r="F313" s="54"/>
      <c r="G313" s="54"/>
      <c r="H313" s="59"/>
      <c r="I313" s="59"/>
      <c r="J313" s="59"/>
      <c r="K313" s="54"/>
    </row>
    <row r="314">
      <c r="A314" s="57"/>
      <c r="B314" s="57" t="str">
        <f>IFERROR(__xludf.DUMMYFUNCTION("""COMPUTED_VALUE""")," Head [UBERON:0000033]   ")</f>
        <v> Head [UBERON:0000033]   </v>
      </c>
      <c r="C314" s="57" t="str">
        <f>IFERROR(__xludf.DUMMYFUNCTION("""COMPUTED_VALUE"""),"UBERON:0000033")</f>
        <v>UBERON:0000033</v>
      </c>
      <c r="D314" s="58" t="str">
        <f>IFERROR(__xludf.DUMMYFUNCTION("""COMPUTED_VALUE"""),"The head is the anterior-most division of the body.")</f>
        <v>The head is the anterior-most division of the body.</v>
      </c>
      <c r="E314" s="56"/>
      <c r="F314" s="54"/>
      <c r="G314" s="54"/>
      <c r="H314" s="59"/>
      <c r="I314" s="59"/>
      <c r="J314" s="59"/>
      <c r="K314" s="54"/>
    </row>
    <row r="315">
      <c r="A315" s="57"/>
      <c r="B315" s="57" t="str">
        <f>IFERROR(__xludf.DUMMYFUNCTION("""COMPUTED_VALUE""")," Brain [UBERON:0000955]   ")</f>
        <v> Brain [UBERON:0000955]   </v>
      </c>
      <c r="C315" s="57" t="str">
        <f>IFERROR(__xludf.DUMMYFUNCTION("""COMPUTED_VALUE"""),"UBERON:0000955")</f>
        <v>UBERON:0000955</v>
      </c>
      <c r="D315" s="58" t="str">
        <f>IFERROR(__xludf.DUMMYFUNCTION("""COMPUTED_VALUE"""),"The brain is the center of the nervous system in all vertebrate, and most invertebrate, animals. Some primitive animals such as jellyfish and starfish have a decentralized nervous system without a brain, while sponges lack any nervous system at all. In ve"&amp;"rtebrates, the brain is located in the head, protected by the skull and close to the primary sensory apparatus of vision, hearing, balance, taste, and smell.")</f>
        <v>The brain is the center of the nervous system in all vertebrate, and most invertebrate, animals. Some primitive animals such as jellyfish and starfish have a decentralized nervous system without a brain, while sponges lack any nervous system at all. In vertebrates, the brain is located in the head, protected by the skull and close to the primary sensory apparatus of vision, hearing, balance, taste, and smell.</v>
      </c>
      <c r="E315" s="56"/>
      <c r="F315" s="54"/>
      <c r="G315" s="54"/>
      <c r="H315" s="59"/>
      <c r="I315" s="59"/>
      <c r="J315" s="59"/>
      <c r="K315" s="54"/>
    </row>
    <row r="316">
      <c r="A316" s="57"/>
      <c r="B316" s="57" t="str">
        <f>IFERROR(__xludf.DUMMYFUNCTION("""COMPUTED_VALUE""")," Ear [UBERON:0001690]   ")</f>
        <v> Ear [UBERON:0001690]   </v>
      </c>
      <c r="C316" s="57" t="str">
        <f>IFERROR(__xludf.DUMMYFUNCTION("""COMPUTED_VALUE"""),"UBERON:0001690")</f>
        <v>UBERON:0001690</v>
      </c>
      <c r="D316" s="58" t="str">
        <f>IFERROR(__xludf.DUMMYFUNCTION("""COMPUTED_VALUE"""),"Sense organ in vertebrates that is specialized for the detection of sound, and the maintenance of balance. Includes the outer ear and middle ear, which collect and transmit sound waves; and the inner ear, which contains the organs of balance and (except i"&amp;"n fish) hearing. Also includes the pinna, the visible part of the outer ear, present in some mammals.")</f>
        <v>Sense organ in vertebrates that is specialized for the detection of sound, and the maintenance of balance. Includes the outer ear and middle ear, which collect and transmit sound waves; and the inner ear, which contains the organs of balance and (except in fish) hearing. Also includes the pinna, the visible part of the outer ear, present in some mammals.</v>
      </c>
      <c r="E316" s="56"/>
      <c r="F316" s="54"/>
      <c r="G316" s="54"/>
      <c r="H316" s="59"/>
      <c r="I316" s="59"/>
      <c r="J316" s="59"/>
      <c r="K316" s="54"/>
    </row>
    <row r="317">
      <c r="A317" s="57"/>
      <c r="B317" s="57" t="str">
        <f>IFERROR(__xludf.DUMMYFUNCTION("""COMPUTED_VALUE""")," Eye [UBERON:0000970]   ")</f>
        <v> Eye [UBERON:0000970]   </v>
      </c>
      <c r="C317" s="57" t="str">
        <f>IFERROR(__xludf.DUMMYFUNCTION("""COMPUTED_VALUE"""),"UBERON:0000970")</f>
        <v>UBERON:0000970</v>
      </c>
      <c r="D317" s="58" t="str">
        <f>IFERROR(__xludf.DUMMYFUNCTION("""COMPUTED_VALUE"""),"An organ that detects light.")</f>
        <v>An organ that detects light.</v>
      </c>
      <c r="E317" s="56"/>
      <c r="F317" s="54"/>
      <c r="G317" s="54"/>
      <c r="H317" s="59"/>
      <c r="I317" s="59"/>
      <c r="J317" s="59"/>
      <c r="K317" s="54"/>
    </row>
    <row r="318">
      <c r="A318" s="57"/>
      <c r="B318" s="57" t="str">
        <f>IFERROR(__xludf.DUMMYFUNCTION("""COMPUTED_VALUE""")," Mouth [UBERON:0000165]   ")</f>
        <v> Mouth [UBERON:0000165]   </v>
      </c>
      <c r="C318" s="57" t="str">
        <f>IFERROR(__xludf.DUMMYFUNCTION("""COMPUTED_VALUE"""),"UBERON:0000165")</f>
        <v>UBERON:0000165</v>
      </c>
      <c r="D318" s="58" t="str">
        <f>IFERROR(__xludf.DUMMYFUNCTION("""COMPUTED_VALUE"""),"The proximal portion of the digestive tract, containing the oral cavity and bounded by the oral opening. In vertebrates, this extends to the pharynx and includes gums, lips, tongue and parts of the palate. Typically also includes the teeth, except where t"&amp;"hese occur elsewhere (e.g. pharyngeal jaws) or protrude from the mouth (tusks).")</f>
        <v>The proximal portion of the digestive tract, containing the oral cavity and bounded by the oral opening. In vertebrates, this extends to the pharynx and includes gums, lips, tongue and parts of the palate. Typically also includes the teeth, except where these occur elsewhere (e.g. pharyngeal jaws) or protrude from the mouth (tusks).</v>
      </c>
      <c r="E318" s="56"/>
      <c r="F318" s="54"/>
      <c r="G318" s="54"/>
      <c r="H318" s="59"/>
      <c r="I318" s="59"/>
      <c r="J318" s="59"/>
      <c r="K318" s="54"/>
    </row>
    <row r="319">
      <c r="A319" s="57"/>
      <c r="B319" s="57" t="str">
        <f>IFERROR(__xludf.DUMMYFUNCTION("""COMPUTED_VALUE""")," Nose [UBERON:0000004]   ")</f>
        <v> Nose [UBERON:0000004]   </v>
      </c>
      <c r="C319" s="57" t="str">
        <f>IFERROR(__xludf.DUMMYFUNCTION("""COMPUTED_VALUE"""),"UBERON:0000004")</f>
        <v>UBERON:0000004</v>
      </c>
      <c r="D319" s="58" t="str">
        <f>IFERROR(__xludf.DUMMYFUNCTION("""COMPUTED_VALUE"""),"The olfactory organ of vertebrates, consisting of nares, olfactory epithelia and the structures and skeletal framework of the nasal cavity.")</f>
        <v>The olfactory organ of vertebrates, consisting of nares, olfactory epithelia and the structures and skeletal framework of the nasal cavity.</v>
      </c>
      <c r="E319" s="56"/>
      <c r="F319" s="54"/>
      <c r="G319" s="54"/>
      <c r="H319" s="59"/>
      <c r="I319" s="59"/>
      <c r="J319" s="59"/>
      <c r="K319" s="54"/>
    </row>
    <row r="320">
      <c r="A320" s="57"/>
      <c r="B320" s="57" t="str">
        <f>IFERROR(__xludf.DUMMYFUNCTION("""COMPUTED_VALUE"""),"  Nasal turbinal [UBERON:0035612]  ")</f>
        <v>  Nasal turbinal [UBERON:0035612]  </v>
      </c>
      <c r="C320" s="57" t="str">
        <f>IFERROR(__xludf.DUMMYFUNCTION("""COMPUTED_VALUE"""),"UBERON:0035612")</f>
        <v>UBERON:0035612</v>
      </c>
      <c r="D320" s="58" t="str">
        <f>IFERROR(__xludf.DUMMYFUNCTION("""COMPUTED_VALUE"""),"A skeletal element of the ethmoid region with complex morphology that are lined with mucuous membranes involved in either olfaction or air conditioning.")</f>
        <v>A skeletal element of the ethmoid region with complex morphology that are lined with mucuous membranes involved in either olfaction or air conditioning.</v>
      </c>
      <c r="E320" s="56"/>
      <c r="F320" s="54"/>
      <c r="G320" s="54"/>
      <c r="H320" s="59"/>
      <c r="I320" s="59"/>
      <c r="J320" s="59"/>
      <c r="K320" s="54"/>
    </row>
    <row r="321">
      <c r="A321" s="57"/>
      <c r="B321" s="57" t="str">
        <f>IFERROR(__xludf.DUMMYFUNCTION("""COMPUTED_VALUE"""),"  Nasopharynx (NP) [UBERON:0001728]  ")</f>
        <v>  Nasopharynx (NP) [UBERON:0001728]  </v>
      </c>
      <c r="C321" s="57" t="str">
        <f>IFERROR(__xludf.DUMMYFUNCTION("""COMPUTED_VALUE"""),"UBERON:0001728")</f>
        <v>UBERON:0001728</v>
      </c>
      <c r="D321" s="58" t="str">
        <f>IFERROR(__xludf.DUMMYFUNCTION("""COMPUTED_VALUE"""),"The section of the pharynx that lies above the soft palate.")</f>
        <v>The section of the pharynx that lies above the soft palate.</v>
      </c>
      <c r="E321" s="56"/>
      <c r="F321" s="54"/>
      <c r="G321" s="54"/>
      <c r="H321" s="59"/>
      <c r="I321" s="59"/>
      <c r="J321" s="59"/>
      <c r="K321" s="54"/>
    </row>
    <row r="322">
      <c r="A322" s="57"/>
      <c r="B322" s="57" t="str">
        <f>IFERROR(__xludf.DUMMYFUNCTION("""COMPUTED_VALUE"""),"  Pair of nares [UBERON:0002109]  ")</f>
        <v>  Pair of nares [UBERON:0002109]  </v>
      </c>
      <c r="C322" s="57" t="str">
        <f>IFERROR(__xludf.DUMMYFUNCTION("""COMPUTED_VALUE"""),"UBERON:0002109")</f>
        <v>UBERON:0002109</v>
      </c>
      <c r="D322" s="58" t="str">
        <f>IFERROR(__xludf.DUMMYFUNCTION("""COMPUTED_VALUE"""),"Pair of nostrils.")</f>
        <v>Pair of nostrils.</v>
      </c>
      <c r="E322" s="56"/>
      <c r="F322" s="54"/>
      <c r="G322" s="54"/>
      <c r="H322" s="59"/>
      <c r="I322" s="59"/>
      <c r="J322" s="59"/>
      <c r="K322" s="54"/>
    </row>
    <row r="323">
      <c r="A323" s="57"/>
      <c r="B323" s="57" t="str">
        <f>IFERROR(__xludf.DUMMYFUNCTION("""COMPUTED_VALUE"""),"  Paranasal sinus [UBERON:0001825]  ")</f>
        <v>  Paranasal sinus [UBERON:0001825]  </v>
      </c>
      <c r="C323" s="57" t="str">
        <f>IFERROR(__xludf.DUMMYFUNCTION("""COMPUTED_VALUE"""),"UBERON:0001825")</f>
        <v>UBERON:0001825</v>
      </c>
      <c r="D323" s="58" t="str">
        <f>IFERROR(__xludf.DUMMYFUNCTION("""COMPUTED_VALUE"""),"The paired air-filled cavities surrounded by the bones of the face that are lined by mucous membranes and are continuous with the nasal cavity.")</f>
        <v>The paired air-filled cavities surrounded by the bones of the face that are lined by mucous membranes and are continuous with the nasal cavity.</v>
      </c>
      <c r="E323" s="56"/>
      <c r="F323" s="54"/>
      <c r="G323" s="54"/>
      <c r="H323" s="59"/>
      <c r="I323" s="59"/>
      <c r="J323" s="59"/>
      <c r="K323" s="54"/>
    </row>
    <row r="324">
      <c r="A324" s="57"/>
      <c r="B324" s="57" t="str">
        <f>IFERROR(__xludf.DUMMYFUNCTION("""COMPUTED_VALUE"""),"  Snout [UBERON:0006333]  ")</f>
        <v>  Snout [UBERON:0006333]  </v>
      </c>
      <c r="C324" s="57" t="str">
        <f>IFERROR(__xludf.DUMMYFUNCTION("""COMPUTED_VALUE"""),"UBERON:0006333")</f>
        <v>UBERON:0006333</v>
      </c>
      <c r="D324" s="58" t="str">
        <f>IFERROR(__xludf.DUMMYFUNCTION("""COMPUTED_VALUE"""),"The projecting nose and mouth of an animal, especially a mammal.")</f>
        <v>The projecting nose and mouth of an animal, especially a mammal.</v>
      </c>
      <c r="E324" s="56"/>
      <c r="F324" s="54"/>
      <c r="G324" s="54"/>
      <c r="H324" s="59"/>
      <c r="I324" s="59"/>
      <c r="J324" s="59"/>
      <c r="K324" s="54"/>
    </row>
    <row r="325">
      <c r="A325" s="57"/>
      <c r="B325" s="57" t="str">
        <f>IFERROR(__xludf.DUMMYFUNCTION("""COMPUTED_VALUE"""),"Lymphatic system [UBERON:0006558]    ")</f>
        <v>Lymphatic system [UBERON:0006558]    </v>
      </c>
      <c r="C325" s="57" t="str">
        <f>IFERROR(__xludf.DUMMYFUNCTION("""COMPUTED_VALUE"""),"UBERON:0006558")</f>
        <v>UBERON:0006558</v>
      </c>
      <c r="D325" s="58" t="str">
        <f>IFERROR(__xludf.DUMMYFUNCTION("""COMPUTED_VALUE"""),"An organ system subdivision that is a network of vessels capable of removing accumulating protein and fluid from the interstitial space and returning it to the vascular space. In some species, this network is connected to the immune system via lymph nodes"&amp;" and lymphocyte-producing organs, with the whole being the lymphoid system.")</f>
        <v>An organ system subdivision that is a network of vessels capable of removing accumulating protein and fluid from the interstitial space and returning it to the vascular space. In some species, this network is connected to the immune system via lymph nodes and lymphocyte-producing organs, with the whole being the lymphoid system.</v>
      </c>
      <c r="E325" s="56"/>
      <c r="F325" s="54"/>
      <c r="G325" s="54"/>
      <c r="H325" s="59"/>
      <c r="I325" s="59"/>
      <c r="J325" s="59"/>
      <c r="K325" s="54"/>
    </row>
    <row r="326">
      <c r="A326" s="57"/>
      <c r="B326" s="57" t="str">
        <f>IFERROR(__xludf.DUMMYFUNCTION("""COMPUTED_VALUE""")," Lymph node [UBERON:0000029]   ")</f>
        <v> Lymph node [UBERON:0000029]   </v>
      </c>
      <c r="C326" s="57" t="str">
        <f>IFERROR(__xludf.DUMMYFUNCTION("""COMPUTED_VALUE"""),"UBERON:0000029")</f>
        <v>UBERON:0000029</v>
      </c>
      <c r="D326" s="58" t="str">
        <f>IFERROR(__xludf.DUMMYFUNCTION("""COMPUTED_VALUE"""),"Any of the rounded masses of lymphoid tissue that are surrounded by a capsule of connective tissue, are distributed along the lymphatic vessels, and contain numerous lymphocytes which filter the flow of lymph.")</f>
        <v>Any of the rounded masses of lymphoid tissue that are surrounded by a capsule of connective tissue, are distributed along the lymphatic vessels, and contain numerous lymphocytes which filter the flow of lymph.</v>
      </c>
      <c r="E326" s="56"/>
      <c r="F326" s="54"/>
      <c r="G326" s="54"/>
      <c r="H326" s="59"/>
      <c r="I326" s="59"/>
      <c r="J326" s="59"/>
      <c r="K326" s="54"/>
    </row>
    <row r="327">
      <c r="A327" s="57"/>
      <c r="B327" s="57" t="str">
        <f>IFERROR(__xludf.DUMMYFUNCTION("""COMPUTED_VALUE"""),"  Mesenteric lymph node [UBERON:0002509]  ")</f>
        <v>  Mesenteric lymph node [UBERON:0002509]  </v>
      </c>
      <c r="C327" s="57" t="str">
        <f>IFERROR(__xludf.DUMMYFUNCTION("""COMPUTED_VALUE"""),"UBERON:0002509")</f>
        <v>UBERON:0002509</v>
      </c>
      <c r="D327" s="58" t="str">
        <f>IFERROR(__xludf.DUMMYFUNCTION("""COMPUTED_VALUE"""),"The lymph nodes located in the mesentery, of which there are 3 classes: ileocolic, juxtaintestinal mesenteric, and central superior group. ")</f>
        <v>The lymph nodes located in the mesentery, of which there are 3 classes: ileocolic, juxtaintestinal mesenteric, and central superior group. </v>
      </c>
      <c r="E327" s="56"/>
      <c r="F327" s="54"/>
      <c r="G327" s="54"/>
      <c r="H327" s="59"/>
      <c r="I327" s="59"/>
      <c r="J327" s="59"/>
      <c r="K327" s="54"/>
    </row>
    <row r="328">
      <c r="A328" s="57"/>
      <c r="B328" s="57" t="str">
        <f>IFERROR(__xludf.DUMMYFUNCTION("""COMPUTED_VALUE"""),"Mantle (bird) [GENEPIO:0100927]    ")</f>
        <v>Mantle (bird) [GENEPIO:0100927]    </v>
      </c>
      <c r="C328" s="57" t="str">
        <f>IFERROR(__xludf.DUMMYFUNCTION("""COMPUTED_VALUE"""),"GENEPIO:0100927")</f>
        <v>GENEPIO:0100927</v>
      </c>
      <c r="D328" s="58" t="str">
        <f>IFERROR(__xludf.DUMMYFUNCTION("""COMPUTED_VALUE"""),"The forward area of a bird's upper side that is sandwiched between the nape and the start of the back.")</f>
        <v>The forward area of a bird's upper side that is sandwiched between the nape and the start of the back.</v>
      </c>
      <c r="E328" s="56"/>
      <c r="F328" s="54"/>
      <c r="G328" s="54"/>
      <c r="H328" s="59"/>
      <c r="I328" s="59"/>
      <c r="J328" s="59"/>
      <c r="K328" s="54"/>
    </row>
    <row r="329">
      <c r="A329" s="57"/>
      <c r="B329" s="57" t="str">
        <f>IFERROR(__xludf.DUMMYFUNCTION("""COMPUTED_VALUE"""),"Neck [UBERON:0000974]    ")</f>
        <v>Neck [UBERON:0000974]    </v>
      </c>
      <c r="C329" s="57" t="str">
        <f>IFERROR(__xludf.DUMMYFUNCTION("""COMPUTED_VALUE"""),"UBERON:0000974")</f>
        <v>UBERON:0000974</v>
      </c>
      <c r="D329" s="58" t="str">
        <f>IFERROR(__xludf.DUMMYFUNCTION("""COMPUTED_VALUE"""),"An organism subdivision that extends from the head to the pectoral girdle, encompassing the cervical vertebral column.")</f>
        <v>An organism subdivision that extends from the head to the pectoral girdle, encompassing the cervical vertebral column.</v>
      </c>
      <c r="E329" s="56"/>
      <c r="F329" s="54"/>
      <c r="G329" s="54"/>
      <c r="H329" s="59"/>
      <c r="I329" s="59"/>
      <c r="J329" s="59"/>
      <c r="K329" s="54"/>
    </row>
    <row r="330">
      <c r="A330" s="57"/>
      <c r="B330" s="57" t="str">
        <f>IFERROR(__xludf.DUMMYFUNCTION("""COMPUTED_VALUE""")," Esophagus [UBERON:0001043]   ")</f>
        <v> Esophagus [UBERON:0001043]   </v>
      </c>
      <c r="C330" s="57" t="str">
        <f>IFERROR(__xludf.DUMMYFUNCTION("""COMPUTED_VALUE"""),"UBERON:0001043")</f>
        <v>UBERON:0001043</v>
      </c>
      <c r="D330" s="58" t="str">
        <f>IFERROR(__xludf.DUMMYFUNCTION("""COMPUTED_VALUE"""),"Tube that connects the pharynx to the stomach. In mammals, the oesophagus connects the buccal cavity with the stomach. The stratified squamous non-keratinised epithelium lining the buccal cavity is continued through the pharynx down into the oesophagus. T"&amp;"he lowest part of the oesophagus (ca. 2 cm) is lined with gastric mucosa and covered by peritoneum. The main body of the oesophagus is lined with small, simple mucous glands. Each gland opens into the lumen by a long duct which pierces the muscularis muco"&amp;"sae (Wilson and Washington, 1989). A sphincter is situated at the point where the oesophagus enters the stomach to prevent gastro-oesophageal reflux, i.e. to prevent acidic gastric contents from reaching stratified epithelia of the oesophagus, where they "&amp;"can cause inflammation and irritation.")</f>
        <v>Tube that connects the pharynx to the stomach. In mammals, the oesophagus connects the buccal cavity with the stomach. The stratified squamous non-keratinised epithelium lining the buccal cavity is continued through the pharynx down into the oesophagus. The lowest part of the oesophagus (ca. 2 cm) is lined with gastric mucosa and covered by peritoneum. The main body of the oesophagus is lined with small, simple mucous glands. Each gland opens into the lumen by a long duct which pierces the muscularis mucosae (Wilson and Washington, 1989). A sphincter is situated at the point where the oesophagus enters the stomach to prevent gastro-oesophageal reflux, i.e. to prevent acidic gastric contents from reaching stratified epithelia of the oesophagus, where they can cause inflammation and irritation.</v>
      </c>
      <c r="E330" s="56"/>
      <c r="F330" s="54"/>
      <c r="G330" s="54"/>
      <c r="H330" s="59"/>
      <c r="I330" s="59"/>
      <c r="J330" s="59"/>
      <c r="K330" s="54"/>
    </row>
    <row r="331">
      <c r="A331" s="57"/>
      <c r="B331" s="57" t="str">
        <f>IFERROR(__xludf.DUMMYFUNCTION("""COMPUTED_VALUE""")," Trachea [UBERON:0003126]   ")</f>
        <v> Trachea [UBERON:0003126]   </v>
      </c>
      <c r="C331" s="57" t="str">
        <f>IFERROR(__xludf.DUMMYFUNCTION("""COMPUTED_VALUE"""),"UBERON:0003126")</f>
        <v>UBERON:0003126</v>
      </c>
      <c r="D331" s="58" t="str">
        <f>IFERROR(__xludf.DUMMYFUNCTION("""COMPUTED_VALUE"""),"The trachea is the portion of the airway that attaches to the bronchi as it branches.")</f>
        <v>The trachea is the portion of the airway that attaches to the bronchi as it branches.</v>
      </c>
      <c r="E331" s="56"/>
      <c r="F331" s="54"/>
      <c r="G331" s="54"/>
      <c r="H331" s="59"/>
      <c r="I331" s="59"/>
      <c r="J331" s="59"/>
      <c r="K331" s="54"/>
    </row>
    <row r="332">
      <c r="A332" s="57"/>
      <c r="B332" s="57" t="str">
        <f>IFERROR(__xludf.DUMMYFUNCTION("""COMPUTED_VALUE"""),"Nerve [UBERON:0001021]    ")</f>
        <v>Nerve [UBERON:0001021]    </v>
      </c>
      <c r="C332" s="57" t="str">
        <f>IFERROR(__xludf.DUMMYFUNCTION("""COMPUTED_VALUE"""),"UBERON:0001021")</f>
        <v>UBERON:0001021</v>
      </c>
      <c r="D332" s="58" t="str">
        <f>IFERROR(__xludf.DUMMYFUNCTION("""COMPUTED_VALUE"""),"An enclosed, cable-like bundle of axons in the peripheral nervous system originating in a nerve root in the central nervous system (or a condensed nervous structure) connecting with peripheral structures.")</f>
        <v>An enclosed, cable-like bundle of axons in the peripheral nervous system originating in a nerve root in the central nervous system (or a condensed nervous structure) connecting with peripheral structures.</v>
      </c>
      <c r="E332" s="56"/>
      <c r="F332" s="54"/>
      <c r="G332" s="54"/>
      <c r="H332" s="59"/>
      <c r="I332" s="59"/>
      <c r="J332" s="59"/>
      <c r="K332" s="54"/>
    </row>
    <row r="333">
      <c r="A333" s="57"/>
      <c r="B333" s="57" t="str">
        <f>IFERROR(__xludf.DUMMYFUNCTION("""COMPUTED_VALUE""")," Spinal cord [UBERON:0002240]   ")</f>
        <v> Spinal cord [UBERON:0002240]   </v>
      </c>
      <c r="C333" s="57" t="str">
        <f>IFERROR(__xludf.DUMMYFUNCTION("""COMPUTED_VALUE"""),"UBERON:0002240")</f>
        <v>UBERON:0002240</v>
      </c>
      <c r="D333" s="58" t="str">
        <f>IFERROR(__xludf.DUMMYFUNCTION("""COMPUTED_VALUE"""),"Part of the central nervous system located in the vertebral canal continuous with and caudal to the brain; demarcated from brain by plane of foramen magnum. It is composed of an inner core of gray matter in which nerve cells predominate, and an outer laye"&amp;"r of white matter in which myelinated nerve fibers predominate, and surrounds the central canal. ")</f>
        <v>Part of the central nervous system located in the vertebral canal continuous with and caudal to the brain; demarcated from brain by plane of foramen magnum. It is composed of an inner core of gray matter in which nerve cells predominate, and an outer layer of white matter in which myelinated nerve fibers predominate, and surrounds the central canal. </v>
      </c>
      <c r="E333" s="56"/>
      <c r="F333" s="54"/>
      <c r="G333" s="54"/>
      <c r="H333" s="59"/>
      <c r="I333" s="59"/>
      <c r="J333" s="59"/>
      <c r="K333" s="54"/>
    </row>
    <row r="334">
      <c r="A334" s="57"/>
      <c r="B334" s="57" t="str">
        <f>IFERROR(__xludf.DUMMYFUNCTION("""COMPUTED_VALUE"""),"Organs or organ parts [GENEPIO:0001117]    ")</f>
        <v>Organs or organ parts [GENEPIO:0001117]    </v>
      </c>
      <c r="C334" s="57" t="str">
        <f>IFERROR(__xludf.DUMMYFUNCTION("""COMPUTED_VALUE"""),"GENEPIO:0001117")</f>
        <v>GENEPIO:0001117</v>
      </c>
      <c r="D334" s="58" t="str">
        <f>IFERROR(__xludf.DUMMYFUNCTION("""COMPUTED_VALUE"""),"An object aggregate which has as members whole organs or parts of organs, possibly from different organisms.")</f>
        <v>An object aggregate which has as members whole organs or parts of organs, possibly from different organisms.</v>
      </c>
      <c r="E334" s="56"/>
      <c r="F334" s="54"/>
      <c r="G334" s="54"/>
      <c r="H334" s="59"/>
      <c r="I334" s="59"/>
      <c r="J334" s="59"/>
      <c r="K334" s="54"/>
    </row>
    <row r="335">
      <c r="A335" s="57"/>
      <c r="B335" s="57" t="str">
        <f>IFERROR(__xludf.DUMMYFUNCTION("""COMPUTED_VALUE""")," Organ [UBERON:0000062]   ")</f>
        <v> Organ [UBERON:0000062]   </v>
      </c>
      <c r="C335" s="57" t="str">
        <f>IFERROR(__xludf.DUMMYFUNCTION("""COMPUTED_VALUE"""),"UBERON:0000062")</f>
        <v>UBERON:0000062</v>
      </c>
      <c r="D335" s="58" t="str">
        <f>IFERROR(__xludf.DUMMYFUNCTION("""COMPUTED_VALUE"""),"Anatomical structure that performs a specific function or group of functions ")</f>
        <v>Anatomical structure that performs a specific function or group of functions </v>
      </c>
      <c r="E335" s="56"/>
      <c r="F335" s="54"/>
      <c r="G335" s="54"/>
      <c r="H335" s="59"/>
      <c r="I335" s="59"/>
      <c r="J335" s="59"/>
      <c r="K335" s="54"/>
    </row>
    <row r="336">
      <c r="A336" s="57"/>
      <c r="B336" s="57" t="str">
        <f>IFERROR(__xludf.DUMMYFUNCTION("""COMPUTED_VALUE"""),"  Muscle organ [UBERON:0001630]  ")</f>
        <v>  Muscle organ [UBERON:0001630]  </v>
      </c>
      <c r="C336" s="57" t="str">
        <f>IFERROR(__xludf.DUMMYFUNCTION("""COMPUTED_VALUE"""),"UBERON:0001630")</f>
        <v>UBERON:0001630</v>
      </c>
      <c r="D336" s="58" t="str">
        <f>IFERROR(__xludf.DUMMYFUNCTION("""COMPUTED_VALUE"""),"Organ consisting of a tissue made up of various elongated cells that are specialized to contract and thus to produce movement and mechanical work.")</f>
        <v>Organ consisting of a tissue made up of various elongated cells that are specialized to contract and thus to produce movement and mechanical work.</v>
      </c>
      <c r="E336" s="56"/>
      <c r="F336" s="54"/>
      <c r="G336" s="54"/>
      <c r="H336" s="59"/>
      <c r="I336" s="59"/>
      <c r="J336" s="59"/>
      <c r="K336" s="54"/>
    </row>
    <row r="337">
      <c r="A337" s="57"/>
      <c r="B337" s="57" t="str">
        <f>IFERROR(__xludf.DUMMYFUNCTION("""COMPUTED_VALUE"""),"  Skin of body [UBERON:0002097]  ")</f>
        <v>  Skin of body [UBERON:0002097]  </v>
      </c>
      <c r="C337" s="57" t="str">
        <f>IFERROR(__xludf.DUMMYFUNCTION("""COMPUTED_VALUE"""),"UBERON:0002097")</f>
        <v>UBERON:0002097</v>
      </c>
      <c r="D337" s="58" t="str">
        <f>IFERROR(__xludf.DUMMYFUNCTION("""COMPUTED_VALUE"""),"The organ covering the body that consists of the dermis and epidermis. ")</f>
        <v>The organ covering the body that consists of the dermis and epidermis. </v>
      </c>
      <c r="E337" s="56"/>
      <c r="F337" s="54"/>
      <c r="G337" s="54"/>
      <c r="H337" s="59"/>
      <c r="I337" s="59"/>
      <c r="J337" s="59"/>
      <c r="K337" s="54"/>
    </row>
    <row r="338">
      <c r="A338" s="57"/>
      <c r="B338" s="57" t="str">
        <f>IFERROR(__xludf.DUMMYFUNCTION("""COMPUTED_VALUE"""),"Reproductive system [UBERON:0000990]    ")</f>
        <v>Reproductive system [UBERON:0000990]    </v>
      </c>
      <c r="C338" s="57" t="str">
        <f>IFERROR(__xludf.DUMMYFUNCTION("""COMPUTED_VALUE"""),"UBERON:0000990")</f>
        <v>UBERON:0000990</v>
      </c>
      <c r="D338" s="58" t="str">
        <f>IFERROR(__xludf.DUMMYFUNCTION("""COMPUTED_VALUE"""),"Anatomical system that has as its parts the organs concerned with reproduction. ")</f>
        <v>Anatomical system that has as its parts the organs concerned with reproduction. </v>
      </c>
      <c r="E338" s="56"/>
      <c r="F338" s="54"/>
      <c r="G338" s="54"/>
      <c r="H338" s="59"/>
      <c r="I338" s="59"/>
      <c r="J338" s="59"/>
      <c r="K338" s="54"/>
    </row>
    <row r="339">
      <c r="A339" s="57"/>
      <c r="B339" s="57" t="str">
        <f>IFERROR(__xludf.DUMMYFUNCTION("""COMPUTED_VALUE""")," Embryo [UBERON:0000922]   ")</f>
        <v> Embryo [UBERON:0000922]   </v>
      </c>
      <c r="C339" s="57" t="str">
        <f>IFERROR(__xludf.DUMMYFUNCTION("""COMPUTED_VALUE"""),"UBERON:0000922")</f>
        <v>UBERON:0000922</v>
      </c>
      <c r="D339" s="58" t="str">
        <f>IFERROR(__xludf.DUMMYFUNCTION("""COMPUTED_VALUE"""),"Anatomical entity that comprises the organism in the early stages of growth and differentiation that are characterized by cleavage, the laying down of fundamental tissues, and the formation of primitive organs and organ systems. For example, for mammals, "&amp;"the process would begin with zygote formation and end with birth. For insects, the process would begin at zygote formation and end with larval hatching. For plant zygotic embryos, this would be from zygote formation to the end of seed dormancy. For plant "&amp;"vegetative embryos, this would be from the initial determination of the cell or group of cells to form an embryo until the point when the embryo becomes independent of the parent plant.")</f>
        <v>Anatomical entity that comprises the organism in the early stages of growth and differentiation that are characterized by cleavage, the laying down of fundamental tissues, and the formation of primitive organs and organ systems. For example, for mammals, the process would begin with zygote formation and end with birth. For insects, the process would begin at zygote formation and end with larval hatching. For plant zygotic embryos, this would be from zygote formation to the end of seed dormancy. For plant vegetative embryos, this would be from the initial determination of the cell or group of cells to form an embryo until the point when the embryo becomes independent of the parent plant.</v>
      </c>
      <c r="E339" s="56"/>
      <c r="F339" s="54"/>
      <c r="G339" s="54"/>
      <c r="H339" s="59"/>
      <c r="I339" s="59"/>
      <c r="J339" s="59"/>
      <c r="K339" s="54"/>
    </row>
    <row r="340">
      <c r="A340" s="57"/>
      <c r="B340" s="57" t="str">
        <f>IFERROR(__xludf.DUMMYFUNCTION("""COMPUTED_VALUE""")," Fetus [UBERON:0000323]   ")</f>
        <v> Fetus [UBERON:0000323]   </v>
      </c>
      <c r="C340" s="57" t="str">
        <f>IFERROR(__xludf.DUMMYFUNCTION("""COMPUTED_VALUE"""),"UBERON:0000323")</f>
        <v>UBERON:0000323</v>
      </c>
      <c r="D340" s="58" t="str">
        <f>IFERROR(__xludf.DUMMYFUNCTION("""COMPUTED_VALUE"""),"An embryo that is at the late embryonic stage; this stage covers late steps of the embryogenesis with a fully formed embryo still developing before birth or egg hatching")</f>
        <v>An embryo that is at the late embryonic stage; this stage covers late steps of the embryogenesis with a fully formed embryo still developing before birth or egg hatching</v>
      </c>
      <c r="E340" s="56"/>
      <c r="F340" s="54"/>
      <c r="G340" s="54"/>
      <c r="H340" s="59"/>
      <c r="I340" s="59"/>
      <c r="J340" s="59"/>
      <c r="K340" s="54"/>
    </row>
    <row r="341">
      <c r="A341" s="57"/>
      <c r="B341" s="57" t="str">
        <f>IFERROR(__xludf.DUMMYFUNCTION("""COMPUTED_VALUE""")," Ovary [UBERON:0000992]   ")</f>
        <v> Ovary [UBERON:0000992]   </v>
      </c>
      <c r="C341" s="57" t="str">
        <f>IFERROR(__xludf.DUMMYFUNCTION("""COMPUTED_VALUE"""),"UBERON:0000992")</f>
        <v>UBERON:0000992</v>
      </c>
      <c r="D341" s="58" t="str">
        <f>IFERROR(__xludf.DUMMYFUNCTION("""COMPUTED_VALUE"""),"The gonad of a female organism which contains germ cells.")</f>
        <v>The gonad of a female organism which contains germ cells.</v>
      </c>
      <c r="E341" s="56"/>
      <c r="F341" s="54"/>
      <c r="G341" s="54"/>
      <c r="H341" s="59"/>
      <c r="I341" s="59"/>
      <c r="J341" s="59"/>
      <c r="K341" s="54"/>
    </row>
    <row r="342">
      <c r="A342" s="57"/>
      <c r="B342" s="57" t="str">
        <f>IFERROR(__xludf.DUMMYFUNCTION("""COMPUTED_VALUE""")," Oviduct [UBERON:0000993]   ")</f>
        <v> Oviduct [UBERON:0000993]   </v>
      </c>
      <c r="C342" s="57" t="str">
        <f>IFERROR(__xludf.DUMMYFUNCTION("""COMPUTED_VALUE"""),"UBERON:0000993")</f>
        <v>UBERON:0000993</v>
      </c>
      <c r="D342" s="58" t="str">
        <f>IFERROR(__xludf.DUMMYFUNCTION("""COMPUTED_VALUE"""),"A tube or collection of tubes in an animal from the ovaries to the outside of the body.")</f>
        <v>A tube or collection of tubes in an animal from the ovaries to the outside of the body.</v>
      </c>
      <c r="E342" s="56"/>
      <c r="F342" s="54"/>
      <c r="G342" s="54"/>
      <c r="H342" s="59"/>
      <c r="I342" s="59"/>
      <c r="J342" s="59"/>
      <c r="K342" s="54"/>
    </row>
    <row r="343">
      <c r="A343" s="57"/>
      <c r="B343" s="57" t="str">
        <f>IFERROR(__xludf.DUMMYFUNCTION("""COMPUTED_VALUE""")," Placenta [UBERON:0001987]   ")</f>
        <v> Placenta [UBERON:0001987]   </v>
      </c>
      <c r="C343" s="57" t="str">
        <f>IFERROR(__xludf.DUMMYFUNCTION("""COMPUTED_VALUE"""),"UBERON:0001987")</f>
        <v>UBERON:0001987</v>
      </c>
      <c r="D343" s="58" t="str">
        <f>IFERROR(__xludf.DUMMYFUNCTION("""COMPUTED_VALUE"""),"Organ of metabolic interchange between fetus and mother, partly of embryonic origin and partly of maternal origin[GO]. The fetal portion of the placenta is known as the villous chorion. The maternal portion is known as the decidua basalis. The two portion"&amp;"s are held together by anchoring villi that are anchored to the decidua basalis by the cytotrophoblastic shell.")</f>
        <v>Organ of metabolic interchange between fetus and mother, partly of embryonic origin and partly of maternal origin[GO]. The fetal portion of the placenta is known as the villous chorion. The maternal portion is known as the decidua basalis. The two portions are held together by anchoring villi that are anchored to the decidua basalis by the cytotrophoblastic shell.</v>
      </c>
      <c r="E343" s="56"/>
      <c r="F343" s="54"/>
      <c r="G343" s="54"/>
      <c r="H343" s="59"/>
      <c r="I343" s="59"/>
      <c r="J343" s="59"/>
      <c r="K343" s="54"/>
    </row>
    <row r="344">
      <c r="A344" s="57"/>
      <c r="B344" s="57" t="str">
        <f>IFERROR(__xludf.DUMMYFUNCTION("""COMPUTED_VALUE""")," Testis [UBERON:0000473]   ")</f>
        <v> Testis [UBERON:0000473]   </v>
      </c>
      <c r="C344" s="57" t="str">
        <f>IFERROR(__xludf.DUMMYFUNCTION("""COMPUTED_VALUE"""),"UBERON:0000473")</f>
        <v>UBERON:0000473</v>
      </c>
      <c r="D344" s="58" t="str">
        <f>IFERROR(__xludf.DUMMYFUNCTION("""COMPUTED_VALUE"""),"A gonad of a male animal. A gonad produces and releases sperm.")</f>
        <v>A gonad of a male animal. A gonad produces and releases sperm.</v>
      </c>
      <c r="E344" s="56"/>
      <c r="F344" s="54"/>
      <c r="G344" s="54"/>
      <c r="H344" s="59"/>
      <c r="I344" s="59"/>
      <c r="J344" s="59"/>
      <c r="K344" s="54"/>
    </row>
    <row r="345">
      <c r="A345" s="57"/>
      <c r="B345" s="57" t="str">
        <f>IFERROR(__xludf.DUMMYFUNCTION("""COMPUTED_VALUE""")," Udder [UBERON:0013216]   ")</f>
        <v> Udder [UBERON:0013216]   </v>
      </c>
      <c r="C345" s="57" t="str">
        <f>IFERROR(__xludf.DUMMYFUNCTION("""COMPUTED_VALUE"""),"UBERON:0013216")</f>
        <v>UBERON:0013216</v>
      </c>
      <c r="D345" s="58" t="str">
        <f>IFERROR(__xludf.DUMMYFUNCTION("""COMPUTED_VALUE"""),"A large pendulous organ consisting of two or more mammary glands enclosed in a common envelope and each provided with a single nipple.")</f>
        <v>A large pendulous organ consisting of two or more mammary glands enclosed in a common envelope and each provided with a single nipple.</v>
      </c>
      <c r="E345" s="56"/>
      <c r="F345" s="54"/>
      <c r="G345" s="54"/>
      <c r="H345" s="59"/>
      <c r="I345" s="59"/>
      <c r="J345" s="59"/>
      <c r="K345" s="54"/>
    </row>
    <row r="346">
      <c r="A346" s="57"/>
      <c r="B346" s="57" t="str">
        <f>IFERROR(__xludf.DUMMYFUNCTION("""COMPUTED_VALUE""")," Uterus [UBERON:0000995]   ")</f>
        <v> Uterus [UBERON:0000995]   </v>
      </c>
      <c r="C346" s="57" t="str">
        <f>IFERROR(__xludf.DUMMYFUNCTION("""COMPUTED_VALUE"""),"UBERON:0000995")</f>
        <v>UBERON:0000995</v>
      </c>
      <c r="D346" s="58" t="str">
        <f>IFERROR(__xludf.DUMMYFUNCTION("""COMPUTED_VALUE"""),"The female muscular organ of gestation in which the developing embryo or fetus is nourished until birth.")</f>
        <v>The female muscular organ of gestation in which the developing embryo or fetus is nourished until birth.</v>
      </c>
      <c r="E346" s="56"/>
      <c r="F346" s="54"/>
      <c r="G346" s="54"/>
      <c r="H346" s="59"/>
      <c r="I346" s="59"/>
      <c r="J346" s="59"/>
      <c r="K346" s="54"/>
    </row>
    <row r="347">
      <c r="A347" s="57"/>
      <c r="B347" s="57" t="str">
        <f>IFERROR(__xludf.DUMMYFUNCTION("""COMPUTED_VALUE""")," Vagina [UBERON:0000996]   ")</f>
        <v> Vagina [UBERON:0000996]   </v>
      </c>
      <c r="C347" s="57" t="str">
        <f>IFERROR(__xludf.DUMMYFUNCTION("""COMPUTED_VALUE"""),"UBERON:0000996")</f>
        <v>UBERON:0000996</v>
      </c>
      <c r="D347" s="58" t="str">
        <f>IFERROR(__xludf.DUMMYFUNCTION("""COMPUTED_VALUE"""),"A fibromuscular tubular tract leading from the uterus to the exterior of the body in female placental mammals and marsupials, or to the cloaca in female birds, monotremes, and some reptiles")</f>
        <v>A fibromuscular tubular tract leading from the uterus to the exterior of the body in female placental mammals and marsupials, or to the cloaca in female birds, monotremes, and some reptiles</v>
      </c>
      <c r="E347" s="56"/>
      <c r="F347" s="54"/>
      <c r="G347" s="54"/>
      <c r="H347" s="59"/>
      <c r="I347" s="59"/>
      <c r="J347" s="59"/>
      <c r="K347" s="54"/>
    </row>
    <row r="348">
      <c r="A348" s="57"/>
      <c r="B348" s="57" t="str">
        <f>IFERROR(__xludf.DUMMYFUNCTION("""COMPUTED_VALUE""")," Yolk sac [UBERON:0001040]   ")</f>
        <v> Yolk sac [UBERON:0001040]   </v>
      </c>
      <c r="C348" s="57" t="str">
        <f>IFERROR(__xludf.DUMMYFUNCTION("""COMPUTED_VALUE"""),"UBERON:0001040")</f>
        <v>UBERON:0001040</v>
      </c>
      <c r="D348" s="58" t="str">
        <f>IFERROR(__xludf.DUMMYFUNCTION("""COMPUTED_VALUE"""),"A sac-like expansion of the ventral wall of the intestine, narrowed into a yolk stalk near the body[Hyman's]. Membranous sac attached to an embryo, providing early nourishment in the form of yolk in bony fishes, sharks, reptiles, birds, and primitive mamm"&amp;"als. It functions as the developmental circulatory system of the human embryo, before internal circulation begins. In the mouse, the yolk sac is the first site of blood formation, generating primitive macrophages and erythrocytes.")</f>
        <v>A sac-like expansion of the ventral wall of the intestine, narrowed into a yolk stalk near the body[Hyman's]. Membranous sac attached to an embryo, providing early nourishment in the form of yolk in bony fishes, sharks, reptiles, birds, and primitive mammals. It functions as the developmental circulatory system of the human embryo, before internal circulation begins. In the mouse, the yolk sac is the first site of blood formation, generating primitive macrophages and erythrocytes.</v>
      </c>
      <c r="E348" s="56"/>
      <c r="F348" s="54"/>
      <c r="G348" s="54"/>
      <c r="H348" s="59"/>
      <c r="I348" s="59"/>
      <c r="J348" s="59"/>
      <c r="K348" s="54"/>
    </row>
    <row r="349">
      <c r="A349" s="57"/>
      <c r="B349" s="57" t="str">
        <f>IFERROR(__xludf.DUMMYFUNCTION("""COMPUTED_VALUE"""),"Respiratory system [UBERON:0001004]    ")</f>
        <v>Respiratory system [UBERON:0001004]    </v>
      </c>
      <c r="C349" s="57" t="str">
        <f>IFERROR(__xludf.DUMMYFUNCTION("""COMPUTED_VALUE"""),"UBERON:0001004")</f>
        <v>UBERON:0001004</v>
      </c>
      <c r="D349" s="58" t="str">
        <f>IFERROR(__xludf.DUMMYFUNCTION("""COMPUTED_VALUE"""),"Functional system which consists of structures involved in respiration.")</f>
        <v>Functional system which consists of structures involved in respiration.</v>
      </c>
      <c r="E349" s="56"/>
      <c r="F349" s="54"/>
      <c r="G349" s="54"/>
      <c r="H349" s="59"/>
      <c r="I349" s="59"/>
      <c r="J349" s="59"/>
      <c r="K349" s="54"/>
    </row>
    <row r="350">
      <c r="A350" s="57"/>
      <c r="B350" s="57" t="str">
        <f>IFERROR(__xludf.DUMMYFUNCTION("""COMPUTED_VALUE""")," Air sac [UBERON:0009060]   ")</f>
        <v> Air sac [UBERON:0009060]   </v>
      </c>
      <c r="C350" s="57" t="str">
        <f>IFERROR(__xludf.DUMMYFUNCTION("""COMPUTED_VALUE"""),"UBERON:0009060")</f>
        <v>UBERON:0009060</v>
      </c>
      <c r="D350" s="58" t="str">
        <f>IFERROR(__xludf.DUMMYFUNCTION("""COMPUTED_VALUE"""),"Any of the membranous air-filled extensions of the lungs of birds, which increase the efficiency of gaseous exchange in the lungs. ")</f>
        <v>Any of the membranous air-filled extensions of the lungs of birds, which increase the efficiency of gaseous exchange in the lungs. </v>
      </c>
      <c r="E350" s="56"/>
      <c r="F350" s="54"/>
      <c r="G350" s="54"/>
      <c r="H350" s="59"/>
      <c r="I350" s="59"/>
      <c r="J350" s="59"/>
      <c r="K350" s="54"/>
    </row>
    <row r="351">
      <c r="A351" s="57"/>
      <c r="B351" s="57" t="str">
        <f>IFERROR(__xludf.DUMMYFUNCTION("""COMPUTED_VALUE""")," Lung [UBERON:0002048]   ")</f>
        <v> Lung [UBERON:0002048]   </v>
      </c>
      <c r="C351" s="57" t="str">
        <f>IFERROR(__xludf.DUMMYFUNCTION("""COMPUTED_VALUE"""),"UBERON:0002048")</f>
        <v>UBERON:0002048</v>
      </c>
      <c r="D351" s="58" t="str">
        <f>IFERROR(__xludf.DUMMYFUNCTION("""COMPUTED_VALUE"""),"Respiration organ that develops as an outpocketing of the esophagus")</f>
        <v>Respiration organ that develops as an outpocketing of the esophagus</v>
      </c>
      <c r="E351" s="56"/>
      <c r="F351" s="54"/>
      <c r="G351" s="54"/>
      <c r="H351" s="59"/>
      <c r="I351" s="59"/>
      <c r="J351" s="59"/>
      <c r="K351" s="54"/>
    </row>
    <row r="352">
      <c r="A352" s="57"/>
      <c r="B352" s="57" t="str">
        <f>IFERROR(__xludf.DUMMYFUNCTION("""COMPUTED_VALUE""")," Pleura [UBERON:0000977]   ")</f>
        <v> Pleura [UBERON:0000977]   </v>
      </c>
      <c r="C352" s="57" t="str">
        <f>IFERROR(__xludf.DUMMYFUNCTION("""COMPUTED_VALUE"""),"UBERON:0000977")</f>
        <v>UBERON:0000977</v>
      </c>
      <c r="D352" s="58" t="str">
        <f>IFERROR(__xludf.DUMMYFUNCTION("""COMPUTED_VALUE"""),"The invaginated serous membrane that surrounds the lungs (the visceral portion) and lines the walls of the pleural cavity (parietal portion).")</f>
        <v>The invaginated serous membrane that surrounds the lungs (the visceral portion) and lines the walls of the pleural cavity (parietal portion).</v>
      </c>
      <c r="E352" s="56"/>
      <c r="F352" s="54"/>
      <c r="G352" s="54"/>
      <c r="H352" s="59"/>
      <c r="I352" s="59"/>
      <c r="J352" s="59"/>
      <c r="K352" s="54"/>
    </row>
    <row r="353">
      <c r="A353" s="57"/>
      <c r="B353" s="57" t="str">
        <f>IFERROR(__xludf.DUMMYFUNCTION("""COMPUTED_VALUE""")," Respiratory system mucosa [UBERON:0004785]   ")</f>
        <v> Respiratory system mucosa [UBERON:0004785]   </v>
      </c>
      <c r="C353" s="57" t="str">
        <f>IFERROR(__xludf.DUMMYFUNCTION("""COMPUTED_VALUE"""),"UBERON:0004785")</f>
        <v>UBERON:0004785</v>
      </c>
      <c r="D353" s="58" t="str">
        <f>IFERROR(__xludf.DUMMYFUNCTION("""COMPUTED_VALUE"""),"The mucous membrane lining the respiratory tract.")</f>
        <v>The mucous membrane lining the respiratory tract.</v>
      </c>
      <c r="E353" s="56"/>
      <c r="F353" s="54"/>
      <c r="G353" s="54"/>
      <c r="H353" s="59"/>
      <c r="I353" s="59"/>
      <c r="J353" s="59"/>
      <c r="K353" s="54"/>
    </row>
    <row r="354">
      <c r="A354" s="57"/>
      <c r="B354" s="57" t="str">
        <f>IFERROR(__xludf.DUMMYFUNCTION("""COMPUTED_VALUE"""),"Skeletal system [UBERON:0001434]    ")</f>
        <v>Skeletal system [UBERON:0001434]    </v>
      </c>
      <c r="C354" s="57" t="str">
        <f>IFERROR(__xludf.DUMMYFUNCTION("""COMPUTED_VALUE"""),"UBERON:0001434")</f>
        <v>UBERON:0001434</v>
      </c>
      <c r="D354" s="58" t="str">
        <f>IFERROR(__xludf.DUMMYFUNCTION("""COMPUTED_VALUE"""),"Anatomical system that is a multi-element, multi-tissue anatomical cluster that consists of the skeleton and the articular system.")</f>
        <v>Anatomical system that is a multi-element, multi-tissue anatomical cluster that consists of the skeleton and the articular system.</v>
      </c>
      <c r="E354" s="56"/>
      <c r="F354" s="54"/>
      <c r="G354" s="54"/>
      <c r="H354" s="59"/>
      <c r="I354" s="59"/>
      <c r="J354" s="59"/>
      <c r="K354" s="54"/>
    </row>
    <row r="355">
      <c r="A355" s="57"/>
      <c r="B355" s="57" t="str">
        <f>IFERROR(__xludf.DUMMYFUNCTION("""COMPUTED_VALUE""")," Skeletal joint [UBERON:0000982]   ")</f>
        <v> Skeletal joint [UBERON:0000982]   </v>
      </c>
      <c r="C355" s="57" t="str">
        <f>IFERROR(__xludf.DUMMYFUNCTION("""COMPUTED_VALUE"""),"UBERON:0000982")</f>
        <v>UBERON:0000982</v>
      </c>
      <c r="D355" s="58" t="str">
        <f>IFERROR(__xludf.DUMMYFUNCTION("""COMPUTED_VALUE"""),"Anatomical cluster that consists of two or more adjacent skeletal structures, which may be interconnected by various types of tissue.")</f>
        <v>Anatomical cluster that consists of two or more adjacent skeletal structures, which may be interconnected by various types of tissue.</v>
      </c>
      <c r="E355" s="56"/>
      <c r="F355" s="54"/>
      <c r="G355" s="54"/>
      <c r="H355" s="59"/>
      <c r="I355" s="59"/>
      <c r="J355" s="59"/>
      <c r="K355" s="54"/>
    </row>
    <row r="356">
      <c r="A356" s="57"/>
      <c r="B356" s="57" t="str">
        <f>IFERROR(__xludf.DUMMYFUNCTION("""COMPUTED_VALUE""")," Bone element [UBERON:0001474]   ")</f>
        <v> Bone element [UBERON:0001474]   </v>
      </c>
      <c r="C356" s="57" t="str">
        <f>IFERROR(__xludf.DUMMYFUNCTION("""COMPUTED_VALUE"""),"UBERON:0001474")</f>
        <v>UBERON:0001474</v>
      </c>
      <c r="D356" s="58" t="str">
        <f>IFERROR(__xludf.DUMMYFUNCTION("""COMPUTED_VALUE"""),"Skeletal element that is composed of bone tissue.")</f>
        <v>Skeletal element that is composed of bone tissue.</v>
      </c>
      <c r="E356" s="56"/>
      <c r="F356" s="54"/>
      <c r="G356" s="54"/>
      <c r="H356" s="59"/>
      <c r="I356" s="59"/>
      <c r="J356" s="59"/>
      <c r="K356" s="54"/>
    </row>
    <row r="357">
      <c r="A357" s="57"/>
      <c r="B357" s="57" t="str">
        <f>IFERROR(__xludf.DUMMYFUNCTION("""COMPUTED_VALUE"""),"Thoracic segment of trunk [UBERON:0000915]    ")</f>
        <v>Thoracic segment of trunk [UBERON:0000915]    </v>
      </c>
      <c r="C357" s="57" t="str">
        <f>IFERROR(__xludf.DUMMYFUNCTION("""COMPUTED_VALUE"""),"UBERON:0000915")</f>
        <v>UBERON:0000915</v>
      </c>
      <c r="D357" s="58" t="str">
        <f>IFERROR(__xludf.DUMMYFUNCTION("""COMPUTED_VALUE"""),"Subdivision of trunk that lies between the head and the abdomen. ")</f>
        <v>Subdivision of trunk that lies between the head and the abdomen. </v>
      </c>
      <c r="E357" s="56"/>
      <c r="F357" s="54"/>
      <c r="G357" s="54"/>
      <c r="H357" s="59"/>
      <c r="I357" s="59"/>
      <c r="J357" s="59"/>
      <c r="K357" s="54"/>
    </row>
    <row r="358">
      <c r="A358" s="57"/>
      <c r="B358" s="57" t="str">
        <f>IFERROR(__xludf.DUMMYFUNCTION("""COMPUTED_VALUE""")," Abdomen [UBERON:0000916]   ")</f>
        <v> Abdomen [UBERON:0000916]   </v>
      </c>
      <c r="C358" s="57" t="str">
        <f>IFERROR(__xludf.DUMMYFUNCTION("""COMPUTED_VALUE"""),"UBERON:0000916")</f>
        <v>UBERON:0000916</v>
      </c>
      <c r="D358" s="58" t="str">
        <f>IFERROR(__xludf.DUMMYFUNCTION("""COMPUTED_VALUE"""),"The subdivision of the vertebrate body between the thorax and pelvis. The ventral part of the abdomen contains the abdominal cavity and visceral organs. The dorsal part includes the abdominal section of the vertebral column.")</f>
        <v>The subdivision of the vertebrate body between the thorax and pelvis. The ventral part of the abdomen contains the abdominal cavity and visceral organs. The dorsal part includes the abdominal section of the vertebral column.</v>
      </c>
      <c r="E358" s="56"/>
      <c r="F358" s="54"/>
      <c r="G358" s="54"/>
      <c r="H358" s="59"/>
      <c r="I358" s="59"/>
      <c r="J358" s="59"/>
      <c r="K358" s="54"/>
    </row>
    <row r="359">
      <c r="A359" s="57"/>
      <c r="B359" s="57" t="str">
        <f>IFERROR(__xludf.DUMMYFUNCTION("""COMPUTED_VALUE"""),"  Muscle of abdomen [UBERON:0002378]  ")</f>
        <v>  Muscle of abdomen [UBERON:0002378]  </v>
      </c>
      <c r="C359" s="57" t="str">
        <f>IFERROR(__xludf.DUMMYFUNCTION("""COMPUTED_VALUE"""),"UBERON:0002378")</f>
        <v>UBERON:0002378</v>
      </c>
      <c r="D359" s="58" t="str">
        <f>IFERROR(__xludf.DUMMYFUNCTION("""COMPUTED_VALUE"""),"Muscle (organ) which is a part of the abdomen. Examples: external oblique, rectus abdominis.")</f>
        <v>Muscle (organ) which is a part of the abdomen. Examples: external oblique, rectus abdominis.</v>
      </c>
      <c r="E359" s="56"/>
      <c r="F359" s="54"/>
      <c r="G359" s="54"/>
      <c r="H359" s="59"/>
      <c r="I359" s="59"/>
      <c r="J359" s="59"/>
      <c r="K359" s="54"/>
    </row>
    <row r="360">
      <c r="A360" s="57"/>
      <c r="B360" s="57" t="str">
        <f>IFERROR(__xludf.DUMMYFUNCTION("""COMPUTED_VALUE"""),"  Peritoneum [UBERON:0002358]  ")</f>
        <v>  Peritoneum [UBERON:0002358]  </v>
      </c>
      <c r="C360" s="57" t="str">
        <f>IFERROR(__xludf.DUMMYFUNCTION("""COMPUTED_VALUE"""),"UBERON:0002358")</f>
        <v>UBERON:0002358</v>
      </c>
      <c r="D360" s="58" t="str">
        <f>IFERROR(__xludf.DUMMYFUNCTION("""COMPUTED_VALUE"""),"Muscle (organ) which is a part of the abdomen. Examples: external oblique, rectus abdominis.")</f>
        <v>Muscle (organ) which is a part of the abdomen. Examples: external oblique, rectus abdominis.</v>
      </c>
      <c r="E360" s="56"/>
      <c r="F360" s="54"/>
      <c r="G360" s="54"/>
      <c r="H360" s="59"/>
      <c r="I360" s="59"/>
      <c r="J360" s="59"/>
      <c r="K360" s="54"/>
    </row>
    <row r="361">
      <c r="A361" s="57"/>
      <c r="B361" s="57" t="str">
        <f>IFERROR(__xludf.DUMMYFUNCTION("""COMPUTED_VALUE"""),"Vascular system [UBERON:0007798]    ")</f>
        <v>Vascular system [UBERON:0007798]    </v>
      </c>
      <c r="C361" s="57" t="str">
        <f>IFERROR(__xludf.DUMMYFUNCTION("""COMPUTED_VALUE"""),"UBERON:0007798")</f>
        <v>UBERON:0007798</v>
      </c>
      <c r="D361" s="58" t="str">
        <f>IFERROR(__xludf.DUMMYFUNCTION("""COMPUTED_VALUE"""),"Anatomical system that consists of all blood and lymph vessels. ")</f>
        <v>Anatomical system that consists of all blood and lymph vessels. </v>
      </c>
      <c r="E361" s="56"/>
      <c r="F361" s="54"/>
      <c r="G361" s="54"/>
      <c r="H361" s="59"/>
      <c r="I361" s="59"/>
      <c r="J361" s="59"/>
      <c r="K361" s="54"/>
    </row>
    <row r="362">
      <c r="A362" s="57"/>
      <c r="B362" s="57" t="str">
        <f>IFERROR(__xludf.DUMMYFUNCTION("""COMPUTED_VALUE""")," Blood vessel [UBERON:0001981]   ")</f>
        <v> Blood vessel [UBERON:0001981]   </v>
      </c>
      <c r="C362" s="57" t="str">
        <f>IFERROR(__xludf.DUMMYFUNCTION("""COMPUTED_VALUE"""),"UBERON:0001981")</f>
        <v>UBERON:0001981</v>
      </c>
      <c r="D362" s="58" t="str">
        <f>IFERROR(__xludf.DUMMYFUNCTION("""COMPUTED_VALUE"""),"A vessel through which blood circulates in the body.")</f>
        <v>A vessel through which blood circulates in the body.</v>
      </c>
      <c r="E362" s="56"/>
      <c r="F362" s="54"/>
      <c r="G362" s="54"/>
      <c r="H362" s="59"/>
      <c r="I362" s="59"/>
      <c r="J362" s="59"/>
      <c r="K362" s="54"/>
    </row>
    <row r="363">
      <c r="A363" s="57"/>
      <c r="B363" s="57" t="str">
        <f>IFERROR(__xludf.DUMMYFUNCTION("""COMPUTED_VALUE""")," Bursa of Fabricius [UBERON:0003903]   ")</f>
        <v> Bursa of Fabricius [UBERON:0003903]   </v>
      </c>
      <c r="C363" s="57" t="str">
        <f>IFERROR(__xludf.DUMMYFUNCTION("""COMPUTED_VALUE"""),"UBERON:0003903")</f>
        <v>UBERON:0003903</v>
      </c>
      <c r="D363" s="58" t="str">
        <f>IFERROR(__xludf.DUMMYFUNCTION("""COMPUTED_VALUE"""),"An epithelial and lymphoid organ that develops as a dorsal diverticulum of the proctodeal region of the cloaca in birds. The luminal (interior) surface of the bursa is plicated with as many as 15 primary and 7 secondary plicae or folds. These plicae have "&amp;"hundreds of bursal follicles containing follicle-associated epithelial cells, lymphocytes, macrophages, and plasma cells. Lymphoid stem cells migrate from the fetal liver to the bursa during ontogeny. In the bursa, these stem cells acquire the characteris"&amp;"tics of mature, immunocompetent B cells. The bursa is an organ found in birds involved in B cell differentiation.")</f>
        <v>An epithelial and lymphoid organ that develops as a dorsal diverticulum of the proctodeal region of the cloaca in birds. The luminal (interior) surface of the bursa is plicated with as many as 15 primary and 7 secondary plicae or folds. These plicae have hundreds of bursal follicles containing follicle-associated epithelial cells, lymphocytes, macrophages, and plasma cells. Lymphoid stem cells migrate from the fetal liver to the bursa during ontogeny. In the bursa, these stem cells acquire the characteristics of mature, immunocompetent B cells. The bursa is an organ found in birds involved in B cell differentiation.</v>
      </c>
      <c r="E363" s="56"/>
      <c r="F363" s="54"/>
      <c r="G363" s="54"/>
      <c r="H363" s="59"/>
      <c r="I363" s="59"/>
      <c r="J363" s="59"/>
      <c r="K363" s="54"/>
    </row>
    <row r="364">
      <c r="A364" s="57"/>
      <c r="B364" s="57" t="str">
        <f>IFERROR(__xludf.DUMMYFUNCTION("""COMPUTED_VALUE""")," Gill [UBERON:0002535]   ")</f>
        <v> Gill [UBERON:0002535]   </v>
      </c>
      <c r="C364" s="57" t="str">
        <f>IFERROR(__xludf.DUMMYFUNCTION("""COMPUTED_VALUE"""),"UBERON:0002535")</f>
        <v>UBERON:0002535</v>
      </c>
      <c r="D364" s="58" t="str">
        <f>IFERROR(__xludf.DUMMYFUNCTION("""COMPUTED_VALUE"""),"Anatomical surface structure found in many aquatic organisms. It is a respiration organ whose function is the extraction of oxygen from water and the excretion of carbon dioxide. The microscopic structure of a gill is such that it presents a very large su"&amp;"rface area to the external environment. Gills usually consist of thin filaments of tissue, branches, or slender tufted processes which have a highly folded surface to increase surface area. A high surface area is crucial to the gas exchange of aquatic org"&amp;"anisms as water contains only 1/20 parts dissolved Oxygen compared to air. With the exception of some aquatic insects, the filaments and lamellae (folds) contain blood or coelomic fluid, from which gases are exchanged through the thin walls. Oxygen is car"&amp;"ried by the blood to other parts of the body. Carbon dioxide passes from the blood through the thin gill tissue into the water. Gills or gill-like organs, located in different parts of the body, are found in various groups of aquatic animals, including mo"&amp;"llusks, crustaceans, insects, fish, and amphibians. [ http://en.wikipedia.org/wiki/Gill ]")</f>
        <v>Anatomical surface structure found in many aquatic organisms. It is a respiration organ whose function is the extraction of oxygen from water and the excretion of carbon dioxide. The microscopic structure of a gill is such that it presents a very large surface area to the external environment. Gills usually consist of thin filaments of tissue, branches, or slender tufted processes which have a highly folded surface to increase surface area. A high surface area is crucial to the gas exchange of aquatic organisms as water contains only 1/20 parts dissolved Oxygen compared to air. With the exception of some aquatic insects, the filaments and lamellae (folds) contain blood or coelomic fluid, from which gases are exchanged through the thin walls. Oxygen is carried by the blood to other parts of the body. Carbon dioxide passes from the blood through the thin gill tissue into the water. Gills or gill-like organs, located in different parts of the body, are found in various groups of aquatic animals, including mollusks, crustaceans, insects, fish, and amphibians. [ http://en.wikipedia.org/wiki/Gill ]</v>
      </c>
      <c r="E364" s="56"/>
      <c r="F364" s="54"/>
      <c r="G364" s="54"/>
      <c r="H364" s="59"/>
      <c r="I364" s="59"/>
      <c r="J364" s="59"/>
      <c r="K364" s="54"/>
    </row>
    <row r="365">
      <c r="A365" s="57"/>
      <c r="B365" s="57" t="str">
        <f>IFERROR(__xludf.DUMMYFUNCTION("""COMPUTED_VALUE""")," Heart [UBERON:0000948]   ")</f>
        <v> Heart [UBERON:0000948]   </v>
      </c>
      <c r="C365" s="57" t="str">
        <f>IFERROR(__xludf.DUMMYFUNCTION("""COMPUTED_VALUE"""),"UBERON:0000948")</f>
        <v>UBERON:0000948</v>
      </c>
      <c r="D365" s="58" t="str">
        <f>IFERROR(__xludf.DUMMYFUNCTION("""COMPUTED_VALUE"""),"A myogenic muscular circulatory organ found in the vertebrate cardiovascular system composed of chambers of cardiac muscle. It is the primary circulatory organ.")</f>
        <v>A myogenic muscular circulatory organ found in the vertebrate cardiovascular system composed of chambers of cardiac muscle. It is the primary circulatory organ.</v>
      </c>
      <c r="E365" s="56"/>
      <c r="F365" s="54"/>
      <c r="G365" s="54"/>
      <c r="H365" s="59"/>
      <c r="I365" s="59"/>
      <c r="J365" s="59"/>
      <c r="K365" s="54"/>
    </row>
    <row r="366">
      <c r="A366" s="57"/>
      <c r="B366" s="57" t="str">
        <f>IFERROR(__xludf.DUMMYFUNCTION("""COMPUTED_VALUE""")," Lung [UBERON:0002048]   ")</f>
        <v> Lung [UBERON:0002048]   </v>
      </c>
      <c r="C366" s="57" t="str">
        <f>IFERROR(__xludf.DUMMYFUNCTION("""COMPUTED_VALUE"""),"UBERON:0002048")</f>
        <v>UBERON:0002048</v>
      </c>
      <c r="D366" s="58" t="str">
        <f>IFERROR(__xludf.DUMMYFUNCTION("""COMPUTED_VALUE"""),"Respiration organ that develops as an outpocketing of the esophagus")</f>
        <v>Respiration organ that develops as an outpocketing of the esophagus</v>
      </c>
      <c r="E366" s="56"/>
      <c r="F366" s="54"/>
      <c r="G366" s="54"/>
      <c r="H366" s="59"/>
      <c r="I366" s="59"/>
      <c r="J366" s="59"/>
      <c r="K366" s="54"/>
    </row>
    <row r="367">
      <c r="A367" s="57"/>
      <c r="B367" s="57" t="str">
        <f>IFERROR(__xludf.DUMMYFUNCTION("""COMPUTED_VALUE""")," Pericardium [UBERON:0002407]   ")</f>
        <v> Pericardium [UBERON:0002407]   </v>
      </c>
      <c r="C367" s="57" t="str">
        <f>IFERROR(__xludf.DUMMYFUNCTION("""COMPUTED_VALUE"""),"UBERON:0002407")</f>
        <v>UBERON:0002407</v>
      </c>
      <c r="D367" s="58" t="str">
        <f>IFERROR(__xludf.DUMMYFUNCTION("""COMPUTED_VALUE"""),"The combination of pericardial sac (a double-walled sac containing the heart and the roots of the great vessels) plus fibrous pericardium.")</f>
        <v>The combination of pericardial sac (a double-walled sac containing the heart and the roots of the great vessels) plus fibrous pericardium.</v>
      </c>
      <c r="E367" s="56"/>
      <c r="F367" s="54"/>
      <c r="G367" s="54"/>
      <c r="H367" s="59"/>
      <c r="I367" s="59"/>
      <c r="J367" s="59"/>
      <c r="K367" s="54"/>
    </row>
    <row r="368">
      <c r="A368" s="57"/>
      <c r="B368" s="57" t="str">
        <f>IFERROR(__xludf.DUMMYFUNCTION("""COMPUTED_VALUE"""),"Vent (anatomical) [UBERON:2000298]    ")</f>
        <v>Vent (anatomical) [UBERON:2000298]    </v>
      </c>
      <c r="C368" s="57" t="str">
        <f>IFERROR(__xludf.DUMMYFUNCTION("""COMPUTED_VALUE"""),"UBERON:2000298")</f>
        <v>UBERON:2000298</v>
      </c>
      <c r="D368" s="58" t="str">
        <f>IFERROR(__xludf.DUMMYFUNCTION("""COMPUTED_VALUE"""),"The external opening of the rectum or cloaca.")</f>
        <v>The external opening of the rectum or cloaca.</v>
      </c>
      <c r="E368" s="56"/>
      <c r="F368" s="54"/>
      <c r="G368" s="54"/>
      <c r="H368" s="59"/>
      <c r="I368" s="59"/>
      <c r="J368" s="59"/>
      <c r="K368" s="54"/>
    </row>
    <row r="369">
      <c r="A369" s="57"/>
      <c r="B369" s="57" t="str">
        <f>IFERROR(__xludf.DUMMYFUNCTION("""COMPUTED_VALUE""")," Bird vent [UBERON:0012464]   ")</f>
        <v> Bird vent [UBERON:0012464]   </v>
      </c>
      <c r="C369" s="57" t="str">
        <f>IFERROR(__xludf.DUMMYFUNCTION("""COMPUTED_VALUE"""),"UBERON:0012464")</f>
        <v>UBERON:0012464</v>
      </c>
      <c r="D369" s="58" t="str">
        <f>IFERROR(__xludf.DUMMYFUNCTION("""COMPUTED_VALUE"""),"The opening of the cloacal chamber to the outside of the organism. Birds maintain a single cloacal opening throughout their lives. [ http://orcid.org/0000-0002-6601-2165 ]")</f>
        <v>The opening of the cloacal chamber to the outside of the organism. Birds maintain a single cloacal opening throughout their lives. [ http://orcid.org/0000-0002-6601-2165 ]</v>
      </c>
      <c r="E369" s="56"/>
      <c r="F369" s="54"/>
      <c r="G369" s="54"/>
      <c r="H369" s="59"/>
      <c r="I369" s="59"/>
      <c r="J369" s="59"/>
      <c r="K369" s="54"/>
    </row>
    <row r="370">
      <c r="A370" s="57"/>
      <c r="B370" s="57" t="str">
        <f>IFERROR(__xludf.DUMMYFUNCTION("""COMPUTED_VALUE""")," Fish vent [GENEPIO:0100902]   ")</f>
        <v> Fish vent [GENEPIO:0100902]   </v>
      </c>
      <c r="C370" s="57" t="str">
        <f>IFERROR(__xludf.DUMMYFUNCTION("""COMPUTED_VALUE"""),"GENEPIO:0100902")</f>
        <v>GENEPIO:0100902</v>
      </c>
      <c r="D370" s="58" t="str">
        <f>IFERROR(__xludf.DUMMYFUNCTION("""COMPUTED_VALUE"""),"The external opening which opens to the reproductive and digestive tracts of the fish. During spawning, the vent serves as an outlet for eggs and sperm. In most fishes, the vent is in front of the anal fin.")</f>
        <v>The external opening which opens to the reproductive and digestive tracts of the fish. During spawning, the vent serves as an outlet for eggs and sperm. In most fishes, the vent is in front of the anal fin.</v>
      </c>
      <c r="E370" s="56"/>
      <c r="F370" s="54"/>
      <c r="G370" s="54"/>
      <c r="H370" s="54"/>
      <c r="I370" s="54"/>
      <c r="J370" s="54"/>
      <c r="K370" s="54"/>
    </row>
    <row r="371">
      <c r="A371" s="57" t="str">
        <f>IFERROR(__xludf.DUMMYFUNCTION("""COMPUTED_VALUE"""),"collection_device menu")</f>
        <v>collection_device menu</v>
      </c>
      <c r="B371" s="57" t="str">
        <f>IFERROR(__xludf.DUMMYFUNCTION("""COMPUTED_VALUE"""),"    ")</f>
        <v>    </v>
      </c>
      <c r="C371" s="57" t="str">
        <f>IFERROR(__xludf.DUMMYFUNCTION("""COMPUTED_VALUE"""),"")</f>
        <v/>
      </c>
      <c r="D371" s="58"/>
      <c r="E371" s="56"/>
      <c r="F371" s="54"/>
      <c r="G371" s="54"/>
      <c r="H371" s="59"/>
      <c r="I371" s="59"/>
      <c r="J371" s="59"/>
      <c r="K371" s="54"/>
    </row>
    <row r="372">
      <c r="A372" s="57"/>
      <c r="B372" s="57" t="str">
        <f>IFERROR(__xludf.DUMMYFUNCTION("""COMPUTED_VALUE"""),"Air filter [ENVO:00003968]    ")</f>
        <v>Air filter [ENVO:00003968]    </v>
      </c>
      <c r="C372" s="57" t="str">
        <f>IFERROR(__xludf.DUMMYFUNCTION("""COMPUTED_VALUE"""),"ENVO:00003968")</f>
        <v>ENVO:00003968</v>
      </c>
      <c r="D372" s="58"/>
      <c r="E372" s="56"/>
      <c r="F372" s="54"/>
      <c r="G372" s="54"/>
      <c r="H372" s="59"/>
      <c r="I372" s="59"/>
      <c r="J372" s="59"/>
      <c r="K372" s="54"/>
    </row>
    <row r="373">
      <c r="A373" s="57"/>
      <c r="B373" s="57" t="str">
        <f>IFERROR(__xludf.DUMMYFUNCTION("""COMPUTED_VALUE"""),"Auger (earth auger) [AGRO:00000405]    ")</f>
        <v>Auger (earth auger) [AGRO:00000405]    </v>
      </c>
      <c r="C373" s="57" t="str">
        <f>IFERROR(__xludf.DUMMYFUNCTION("""COMPUTED_VALUE"""),"AGRO:00000405")</f>
        <v>AGRO:00000405</v>
      </c>
      <c r="D373" s="58" t="str">
        <f>IFERROR(__xludf.DUMMYFUNCTION("""COMPUTED_VALUE"""),"Manually operated hand tool that consists of cutter head having semicircular blades connected to pipe with the help of clamp and flange. The connecting pipe is further connected to a handle.")</f>
        <v>Manually operated hand tool that consists of cutter head having semicircular blades connected to pipe with the help of clamp and flange. The connecting pipe is further connected to a handle.</v>
      </c>
      <c r="E373" s="56"/>
      <c r="F373" s="54"/>
      <c r="G373" s="54"/>
      <c r="H373" s="59"/>
      <c r="I373" s="59"/>
      <c r="J373" s="59"/>
      <c r="K373" s="54"/>
    </row>
    <row r="374">
      <c r="A374" s="57"/>
      <c r="B374" s="57" t="str">
        <f>IFERROR(__xludf.DUMMYFUNCTION("""COMPUTED_VALUE"""),"Bag [GSSO:008558]    ")</f>
        <v>Bag [GSSO:008558]    </v>
      </c>
      <c r="C374" s="57" t="str">
        <f>IFERROR(__xludf.DUMMYFUNCTION("""COMPUTED_VALUE"""),"GSSO:008558")</f>
        <v>GSSO:008558</v>
      </c>
      <c r="D374" s="58" t="str">
        <f>IFERROR(__xludf.DUMMYFUNCTION("""COMPUTED_VALUE"""),"A sac or pouch.")</f>
        <v>A sac or pouch.</v>
      </c>
      <c r="E374" s="56"/>
      <c r="F374" s="54"/>
      <c r="G374" s="54"/>
      <c r="H374" s="59"/>
      <c r="I374" s="59"/>
      <c r="J374" s="59"/>
      <c r="K374" s="54"/>
    </row>
    <row r="375">
      <c r="A375" s="57"/>
      <c r="B375" s="57" t="str">
        <f>IFERROR(__xludf.DUMMYFUNCTION("""COMPUTED_VALUE""")," Whirlpak sampling bag [GENEPIO:0002122]   ")</f>
        <v> Whirlpak sampling bag [GENEPIO:0002122]   </v>
      </c>
      <c r="C375" s="57" t="str">
        <f>IFERROR(__xludf.DUMMYFUNCTION("""COMPUTED_VALUE"""),"GENEPIO:0002122")</f>
        <v>GENEPIO:0002122</v>
      </c>
      <c r="D375" s="58" t="str">
        <f>IFERROR(__xludf.DUMMYFUNCTION("""COMPUTED_VALUE"""),"A sterilized sampling bag that is puncture proof tabs for protection from damage due to wire-end protrusion and leak-proof closures.")</f>
        <v>A sterilized sampling bag that is puncture proof tabs for protection from damage due to wire-end protrusion and leak-proof closures.</v>
      </c>
      <c r="E375" s="56"/>
      <c r="F375" s="54"/>
      <c r="G375" s="54"/>
      <c r="H375" s="59"/>
      <c r="I375" s="59"/>
      <c r="J375" s="59"/>
      <c r="K375" s="54"/>
    </row>
    <row r="376">
      <c r="A376" s="57"/>
      <c r="B376" s="57" t="str">
        <f>IFERROR(__xludf.DUMMYFUNCTION("""COMPUTED_VALUE"""),"Bottle [FOODON:03490214]    ")</f>
        <v>Bottle [FOODON:03490214]    </v>
      </c>
      <c r="C376" s="57" t="str">
        <f>IFERROR(__xludf.DUMMYFUNCTION("""COMPUTED_VALUE"""),"FOODON:03490214")</f>
        <v>FOODON:03490214</v>
      </c>
      <c r="D376" s="58" t="str">
        <f>IFERROR(__xludf.DUMMYFUNCTION("""COMPUTED_VALUE"""),"A rigid or semirigid container typically of glass or plastic having a comparatively narrow neck or mouth and usually no handle.")</f>
        <v>A rigid or semirigid container typically of glass or plastic having a comparatively narrow neck or mouth and usually no handle.</v>
      </c>
      <c r="E376" s="56"/>
      <c r="F376" s="54"/>
      <c r="G376" s="54"/>
      <c r="H376" s="59"/>
      <c r="I376" s="59"/>
      <c r="J376" s="59"/>
      <c r="K376" s="54"/>
    </row>
    <row r="377">
      <c r="A377" s="57"/>
      <c r="B377" s="57" t="str">
        <f>IFERROR(__xludf.DUMMYFUNCTION("""COMPUTED_VALUE"""),"Box corer [GENEPIO:0100928]    ")</f>
        <v>Box corer [GENEPIO:0100928]    </v>
      </c>
      <c r="C377" s="57" t="str">
        <f>IFERROR(__xludf.DUMMYFUNCTION("""COMPUTED_VALUE"""),"GENEPIO:0100928")</f>
        <v>GENEPIO:0100928</v>
      </c>
      <c r="D377" s="58" t="str">
        <f>IFERROR(__xludf.DUMMYFUNCTION("""COMPUTED_VALUE"""),"A specimen collection device that is used to collect soft sediments in lakes or oceans.")</f>
        <v>A specimen collection device that is used to collect soft sediments in lakes or oceans.</v>
      </c>
      <c r="E377" s="56"/>
      <c r="F377" s="54"/>
      <c r="G377" s="54"/>
      <c r="H377" s="59"/>
      <c r="I377" s="59"/>
      <c r="J377" s="59"/>
      <c r="K377" s="54"/>
    </row>
    <row r="378">
      <c r="A378" s="57"/>
      <c r="B378" s="57" t="str">
        <f>IFERROR(__xludf.DUMMYFUNCTION("""COMPUTED_VALUE"""),"Bronchoscope [OBI:0002826]    ")</f>
        <v>Bronchoscope [OBI:0002826]    </v>
      </c>
      <c r="C378" s="57" t="str">
        <f>IFERROR(__xludf.DUMMYFUNCTION("""COMPUTED_VALUE"""),"OBI:0002826")</f>
        <v>OBI:0002826</v>
      </c>
      <c r="D378" s="58" t="str">
        <f>IFERROR(__xludf.DUMMYFUNCTION("""COMPUTED_VALUE"""),"A device which is a thin, tube-like instrument which includes a light and a lens used to examine a lung.")</f>
        <v>A device which is a thin, tube-like instrument which includes a light and a lens used to examine a lung.</v>
      </c>
      <c r="E378" s="56"/>
      <c r="F378" s="54"/>
      <c r="G378" s="54"/>
      <c r="H378" s="59"/>
      <c r="I378" s="59"/>
      <c r="J378" s="59"/>
      <c r="K378" s="54"/>
    </row>
    <row r="379">
      <c r="A379" s="57"/>
      <c r="B379" s="57" t="str">
        <f>IFERROR(__xludf.DUMMYFUNCTION("""COMPUTED_VALUE"""),"Collection Container [OBI:0002088]    ")</f>
        <v>Collection Container [OBI:0002088]    </v>
      </c>
      <c r="C379" s="57" t="str">
        <f>IFERROR(__xludf.DUMMYFUNCTION("""COMPUTED_VALUE"""),"OBI:0002088")</f>
        <v>OBI:0002088</v>
      </c>
      <c r="D379" s="58" t="str">
        <f>IFERROR(__xludf.DUMMYFUNCTION("""COMPUTED_VALUE"""),"A container with the function of containing a specimen.")</f>
        <v>A container with the function of containing a specimen.</v>
      </c>
      <c r="E379" s="56"/>
      <c r="F379" s="54"/>
      <c r="G379" s="54"/>
      <c r="H379" s="59"/>
      <c r="I379" s="59"/>
      <c r="J379" s="59"/>
      <c r="K379" s="54"/>
    </row>
    <row r="380">
      <c r="A380" s="57"/>
      <c r="B380" s="57" t="str">
        <f>IFERROR(__xludf.DUMMYFUNCTION("""COMPUTED_VALUE"""),"Collection Cup [GENEPIO:0100026]    ")</f>
        <v>Collection Cup [GENEPIO:0100026]    </v>
      </c>
      <c r="C380" s="57" t="str">
        <f>IFERROR(__xludf.DUMMYFUNCTION("""COMPUTED_VALUE"""),"GENEPIO:0100026")</f>
        <v>GENEPIO:0100026</v>
      </c>
      <c r="D380" s="58" t="str">
        <f>IFERROR(__xludf.DUMMYFUNCTION("""COMPUTED_VALUE"""),"A device which is used to collect liquid samples.")</f>
        <v>A device which is used to collect liquid samples.</v>
      </c>
      <c r="E380" s="56"/>
      <c r="F380" s="54"/>
      <c r="G380" s="54"/>
      <c r="H380" s="59"/>
      <c r="I380" s="59"/>
      <c r="J380" s="59"/>
      <c r="K380" s="54"/>
    </row>
    <row r="381">
      <c r="A381" s="57"/>
      <c r="B381" s="57" t="str">
        <f>IFERROR(__xludf.DUMMYFUNCTION("""COMPUTED_VALUE"""),"Culture plate [GENEPIO:0004318]    ")</f>
        <v>Culture plate [GENEPIO:0004318]    </v>
      </c>
      <c r="C381" s="57" t="str">
        <f>IFERROR(__xludf.DUMMYFUNCTION("""COMPUTED_VALUE"""),"GENEPIO:0004318")</f>
        <v>GENEPIO:0004318</v>
      </c>
      <c r="D381" s="58" t="str">
        <f>IFERROR(__xludf.DUMMYFUNCTION("""COMPUTED_VALUE"""),"A low flat-bottomed laboratory container for growing a layer of organisms such as bacteria, molds, and cells on a thin layer of nutrient medium.")</f>
        <v>A low flat-bottomed laboratory container for growing a layer of organisms such as bacteria, molds, and cells on a thin layer of nutrient medium.</v>
      </c>
      <c r="E381" s="56"/>
      <c r="F381" s="54"/>
      <c r="G381" s="54"/>
      <c r="H381" s="59"/>
      <c r="I381" s="59"/>
      <c r="J381" s="59"/>
      <c r="K381" s="54"/>
    </row>
    <row r="382">
      <c r="A382" s="57"/>
      <c r="B382" s="57" t="str">
        <f>IFERROR(__xludf.DUMMYFUNCTION("""COMPUTED_VALUE""")," Petri dish [NCIT:C96141]   ")</f>
        <v> Petri dish [NCIT:C96141]   </v>
      </c>
      <c r="C382" s="57" t="str">
        <f>IFERROR(__xludf.DUMMYFUNCTION("""COMPUTED_VALUE"""),"NCIT:C96141")</f>
        <v>NCIT:C96141</v>
      </c>
      <c r="D382" s="58" t="str">
        <f>IFERROR(__xludf.DUMMYFUNCTION("""COMPUTED_VALUE"""),"A shallow dish with a lid used to culture cells.")</f>
        <v>A shallow dish with a lid used to culture cells.</v>
      </c>
      <c r="E382" s="56"/>
      <c r="F382" s="54"/>
      <c r="G382" s="54"/>
      <c r="H382" s="59"/>
      <c r="I382" s="59"/>
      <c r="J382" s="59"/>
      <c r="K382" s="54"/>
    </row>
    <row r="383">
      <c r="A383" s="57"/>
      <c r="B383" s="57" t="str">
        <f>IFERROR(__xludf.DUMMYFUNCTION("""COMPUTED_VALUE"""),"Fibrobronchoscope Brush [OBI:0002825]    ")</f>
        <v>Fibrobronchoscope Brush [OBI:0002825]    </v>
      </c>
      <c r="C383" s="57" t="str">
        <f>IFERROR(__xludf.DUMMYFUNCTION("""COMPUTED_VALUE"""),"OBI:0002825")</f>
        <v>OBI:0002825</v>
      </c>
      <c r="D383" s="58"/>
      <c r="E383" s="56"/>
      <c r="F383" s="54"/>
      <c r="G383" s="54"/>
      <c r="H383" s="59"/>
      <c r="I383" s="59"/>
      <c r="J383" s="59"/>
      <c r="K383" s="54"/>
    </row>
    <row r="384">
      <c r="A384" s="57"/>
      <c r="B384" s="57" t="str">
        <f>IFERROR(__xludf.DUMMYFUNCTION("""COMPUTED_VALUE"""),"Filter [GENEPIO:0100103]    ")</f>
        <v>Filter [GENEPIO:0100103]    </v>
      </c>
      <c r="C384" s="57" t="str">
        <f>IFERROR(__xludf.DUMMYFUNCTION("""COMPUTED_VALUE"""),"GENEPIO:0100103")</f>
        <v>GENEPIO:0100103</v>
      </c>
      <c r="D384" s="58" t="str">
        <f>IFERROR(__xludf.DUMMYFUNCTION("""COMPUTED_VALUE"""),"A manufactured product which separates solids from fluids by adding a medium through which only a fluid can pass.")</f>
        <v>A manufactured product which separates solids from fluids by adding a medium through which only a fluid can pass.</v>
      </c>
      <c r="E384" s="56"/>
      <c r="F384" s="54"/>
      <c r="G384" s="54"/>
      <c r="H384" s="59"/>
      <c r="I384" s="59"/>
      <c r="J384" s="59"/>
      <c r="K384" s="54"/>
    </row>
    <row r="385">
      <c r="A385" s="57"/>
      <c r="B385" s="57" t="str">
        <f>IFERROR(__xludf.DUMMYFUNCTION("""COMPUTED_VALUE"""),"Fine Needle [OBI:0002827]    ")</f>
        <v>Fine Needle [OBI:0002827]    </v>
      </c>
      <c r="C385" s="57" t="str">
        <f>IFERROR(__xludf.DUMMYFUNCTION("""COMPUTED_VALUE"""),"OBI:0002827")</f>
        <v>OBI:0002827</v>
      </c>
      <c r="D385" s="58"/>
      <c r="E385" s="56"/>
      <c r="F385" s="54"/>
      <c r="G385" s="54"/>
      <c r="H385" s="59"/>
      <c r="I385" s="59"/>
      <c r="J385" s="59"/>
      <c r="K385" s="54"/>
    </row>
    <row r="386">
      <c r="A386" s="57"/>
      <c r="B386" s="57" t="str">
        <f>IFERROR(__xludf.DUMMYFUNCTION("""COMPUTED_VALUE"""),"Micropipette [OBI:0001128]    ")</f>
        <v>Micropipette [OBI:0001128]    </v>
      </c>
      <c r="C386" s="57" t="str">
        <f>IFERROR(__xludf.DUMMYFUNCTION("""COMPUTED_VALUE"""),"OBI:0001128")</f>
        <v>OBI:0001128</v>
      </c>
      <c r="D386" s="58"/>
      <c r="E386" s="56"/>
      <c r="F386" s="54"/>
      <c r="G386" s="54"/>
      <c r="H386" s="59"/>
      <c r="I386" s="59"/>
      <c r="J386" s="59"/>
      <c r="K386" s="54"/>
    </row>
    <row r="387">
      <c r="A387" s="57"/>
      <c r="B387" s="57" t="str">
        <f>IFERROR(__xludf.DUMMYFUNCTION("""COMPUTED_VALUE"""),"Needle [OBI:0000436]    ")</f>
        <v>Needle [OBI:0000436]    </v>
      </c>
      <c r="C387" s="57" t="str">
        <f>IFERROR(__xludf.DUMMYFUNCTION("""COMPUTED_VALUE"""),"OBI:0000436")</f>
        <v>OBI:0000436</v>
      </c>
      <c r="D387" s="58" t="str">
        <f>IFERROR(__xludf.DUMMYFUNCTION("""COMPUTED_VALUE"""),"A needle is a sharp, hollow device used to penetrate tissue or soft material. When attached to a syringe. it allows delivery of a specific volume of liquid or gaseous mixture.")</f>
        <v>A needle is a sharp, hollow device used to penetrate tissue or soft material. When attached to a syringe. it allows delivery of a specific volume of liquid or gaseous mixture.</v>
      </c>
      <c r="E387" s="56"/>
      <c r="F387" s="54"/>
      <c r="G387" s="54"/>
      <c r="H387" s="59"/>
      <c r="I387" s="59"/>
      <c r="J387" s="59"/>
      <c r="K387" s="54"/>
    </row>
    <row r="388">
      <c r="A388" s="57"/>
      <c r="B388" s="57" t="str">
        <f>IFERROR(__xludf.DUMMYFUNCTION("""COMPUTED_VALUE"""),"PONAR grab sampler [GENEPIO:0100929]    ")</f>
        <v>PONAR grab sampler [GENEPIO:0100929]    </v>
      </c>
      <c r="C388" s="57" t="str">
        <f>IFERROR(__xludf.DUMMYFUNCTION("""COMPUTED_VALUE"""),"GENEPIO:0100929")</f>
        <v>GENEPIO:0100929</v>
      </c>
      <c r="D388" s="58" t="str">
        <f>IFERROR(__xludf.DUMMYFUNCTION("""COMPUTED_VALUE"""),"A specimen collection device that is designed to collect sediment samples from the hard bottoms of a body of water i.e. sand, gravel, consolidated marl or clay.""")</f>
        <v>A specimen collection device that is designed to collect sediment samples from the hard bottoms of a body of water i.e. sand, gravel, consolidated marl or clay."</v>
      </c>
      <c r="E388" s="56"/>
      <c r="F388" s="54"/>
      <c r="G388" s="54"/>
      <c r="H388" s="59"/>
      <c r="I388" s="59"/>
      <c r="J388" s="59"/>
      <c r="K388" s="54"/>
    </row>
    <row r="389">
      <c r="A389" s="57"/>
      <c r="B389" s="57" t="str">
        <f>IFERROR(__xludf.DUMMYFUNCTION("""COMPUTED_VALUE"""),"Scoop [GENEPIO:0002125]    ")</f>
        <v>Scoop [GENEPIO:0002125]    </v>
      </c>
      <c r="C389" s="57" t="str">
        <f>IFERROR(__xludf.DUMMYFUNCTION("""COMPUTED_VALUE"""),"GENEPIO:0002125")</f>
        <v>GENEPIO:0002125</v>
      </c>
      <c r="D389" s="58" t="str">
        <f>IFERROR(__xludf.DUMMYFUNCTION("""COMPUTED_VALUE"""),"A shovel-like utensil that has a deep curved dish and a short handle and is used for digging into a soft substance for lifting out a portion.")</f>
        <v>A shovel-like utensil that has a deep curved dish and a short handle and is used for digging into a soft substance for lifting out a portion.</v>
      </c>
      <c r="E389" s="56"/>
      <c r="F389" s="54"/>
      <c r="G389" s="54"/>
      <c r="H389" s="59"/>
      <c r="I389" s="59"/>
      <c r="J389" s="59"/>
      <c r="K389" s="54"/>
    </row>
    <row r="390">
      <c r="A390" s="57"/>
      <c r="B390" s="57" t="str">
        <f>IFERROR(__xludf.DUMMYFUNCTION("""COMPUTED_VALUE"""),"Soil sample probe [GENEPIO:0100930]    ")</f>
        <v>Soil sample probe [GENEPIO:0100930]    </v>
      </c>
      <c r="C390" s="57" t="str">
        <f>IFERROR(__xludf.DUMMYFUNCTION("""COMPUTED_VALUE"""),"GENEPIO:0100930")</f>
        <v>GENEPIO:0100930</v>
      </c>
      <c r="D390" s="58" t="str">
        <f>IFERROR(__xludf.DUMMYFUNCTION("""COMPUTED_VALUE"""),"A specimen collection device designed to penetrate soil with a hollow tube to collect soil sample cores.")</f>
        <v>A specimen collection device designed to penetrate soil with a hollow tube to collect soil sample cores.</v>
      </c>
      <c r="E390" s="56"/>
      <c r="F390" s="54"/>
      <c r="G390" s="54"/>
      <c r="H390" s="59"/>
      <c r="I390" s="59"/>
      <c r="J390" s="59"/>
      <c r="K390" s="54"/>
    </row>
    <row r="391">
      <c r="A391" s="57"/>
      <c r="B391" s="57" t="str">
        <f>IFERROR(__xludf.DUMMYFUNCTION("""COMPUTED_VALUE"""),"Spatula [NCIT:C149941]    ")</f>
        <v>Spatula [NCIT:C149941]    </v>
      </c>
      <c r="C391" s="57" t="str">
        <f>IFERROR(__xludf.DUMMYFUNCTION("""COMPUTED_VALUE"""),"CIT:C149941")</f>
        <v>CIT:C149941</v>
      </c>
      <c r="D391" s="58"/>
      <c r="E391" s="56"/>
      <c r="F391" s="54"/>
      <c r="G391" s="54"/>
      <c r="H391" s="59"/>
      <c r="I391" s="59"/>
      <c r="J391" s="59"/>
      <c r="K391" s="54"/>
    </row>
    <row r="392">
      <c r="A392" s="57"/>
      <c r="B392" s="57" t="str">
        <f>IFERROR(__xludf.DUMMYFUNCTION("""COMPUTED_VALUE"""),"Sponge [OBI:0002819]    ")</f>
        <v>Sponge [OBI:0002819]    </v>
      </c>
      <c r="C392" s="57" t="str">
        <f>IFERROR(__xludf.DUMMYFUNCTION("""COMPUTED_VALUE"""),"OBI:0002819")</f>
        <v>OBI:0002819</v>
      </c>
      <c r="D392" s="58" t="str">
        <f>IFERROR(__xludf.DUMMYFUNCTION("""COMPUTED_VALUE"""),"A sample collection device consisting of a soft flexible, absorbent pad usually made from natural material such as gauze or cotton, used to absorb specimen fluid or particulate matter.")</f>
        <v>A sample collection device consisting of a soft flexible, absorbent pad usually made from natural material such as gauze or cotton, used to absorb specimen fluid or particulate matter.</v>
      </c>
      <c r="E392" s="56"/>
      <c r="F392" s="54"/>
      <c r="G392" s="54"/>
      <c r="H392" s="59"/>
      <c r="I392" s="59"/>
      <c r="J392" s="59"/>
      <c r="K392" s="54"/>
    </row>
    <row r="393">
      <c r="A393" s="57"/>
      <c r="B393" s="57" t="str">
        <f>IFERROR(__xludf.DUMMYFUNCTION("""COMPUTED_VALUE"""),"Suction Catheter [OBI:0002831]    ")</f>
        <v>Suction Catheter [OBI:0002831]    </v>
      </c>
      <c r="C393" s="57" t="str">
        <f>IFERROR(__xludf.DUMMYFUNCTION("""COMPUTED_VALUE"""),"OBI:0002831")</f>
        <v>OBI:0002831</v>
      </c>
      <c r="D393" s="58" t="str">
        <f>IFERROR(__xludf.DUMMYFUNCTION("""COMPUTED_VALUE"""),"A catheter which is used to remove mucus and other secretions from the body.")</f>
        <v>A catheter which is used to remove mucus and other secretions from the body.</v>
      </c>
      <c r="E393" s="56"/>
      <c r="F393" s="54"/>
      <c r="G393" s="54"/>
      <c r="H393" s="59"/>
      <c r="I393" s="59"/>
      <c r="J393" s="59"/>
      <c r="K393" s="54"/>
    </row>
    <row r="394">
      <c r="A394" s="57"/>
      <c r="B394" s="57" t="str">
        <f>IFERROR(__xludf.DUMMYFUNCTION("""COMPUTED_VALUE"""),"Swab [GENEPIO:0100027]    ")</f>
        <v>Swab [GENEPIO:0100027]    </v>
      </c>
      <c r="C394" s="57" t="str">
        <f>IFERROR(__xludf.DUMMYFUNCTION("""COMPUTED_VALUE"""),"GENEPIO:0100027")</f>
        <v>GENEPIO:0100027</v>
      </c>
      <c r="D394" s="58" t="str">
        <f>IFERROR(__xludf.DUMMYFUNCTION("""COMPUTED_VALUE"""),"A device which is a soft, absorbent material mounted on one or both ends of a stick.")</f>
        <v>A device which is a soft, absorbent material mounted on one or both ends of a stick.</v>
      </c>
      <c r="E394" s="56"/>
      <c r="F394" s="54"/>
      <c r="G394" s="54"/>
      <c r="H394" s="59"/>
      <c r="I394" s="59"/>
      <c r="J394" s="59"/>
      <c r="K394" s="54"/>
    </row>
    <row r="395">
      <c r="A395" s="57"/>
      <c r="B395" s="57" t="str">
        <f>IFERROR(__xludf.DUMMYFUNCTION("""COMPUTED_VALUE""")," Drag swab [OBI:0002822]   ")</f>
        <v> Drag swab [OBI:0002822]   </v>
      </c>
      <c r="C395" s="57" t="str">
        <f>IFERROR(__xludf.DUMMYFUNCTION("""COMPUTED_VALUE"""),"OBI:0002822")</f>
        <v>OBI:0002822</v>
      </c>
      <c r="D395" s="58" t="str">
        <f>IFERROR(__xludf.DUMMYFUNCTION("""COMPUTED_VALUE"""),"A specimen collection device consisting of a specimen pad made of sterile gauze which is aseptically attached to a pole by clips or to a string")</f>
        <v>A specimen collection device consisting of a specimen pad made of sterile gauze which is aseptically attached to a pole by clips or to a string</v>
      </c>
      <c r="E395" s="56"/>
      <c r="F395" s="54"/>
      <c r="G395" s="54"/>
      <c r="H395" s="59"/>
      <c r="I395" s="59"/>
      <c r="J395" s="59"/>
      <c r="K395" s="54"/>
    </row>
    <row r="396">
      <c r="A396" s="57"/>
      <c r="B396" s="57" t="str">
        <f>IFERROR(__xludf.DUMMYFUNCTION("""COMPUTED_VALUE""")," Surface wipe [OBI:0002824]   ")</f>
        <v> Surface wipe [OBI:0002824]   </v>
      </c>
      <c r="C396" s="57" t="str">
        <f>IFERROR(__xludf.DUMMYFUNCTION("""COMPUTED_VALUE"""),"OBI:0002824")</f>
        <v>OBI:0002824</v>
      </c>
      <c r="D396" s="58" t="str">
        <f>IFERROR(__xludf.DUMMYFUNCTION("""COMPUTED_VALUE"""),"A sample collection device consisting of a thin, less absorbent sheet, used to collect material from surfaces.")</f>
        <v>A sample collection device consisting of a thin, less absorbent sheet, used to collect material from surfaces.</v>
      </c>
      <c r="E396" s="56"/>
      <c r="F396" s="54"/>
      <c r="G396" s="54"/>
      <c r="H396" s="59"/>
      <c r="I396" s="59"/>
      <c r="J396" s="59"/>
      <c r="K396" s="54"/>
    </row>
    <row r="397">
      <c r="A397" s="57"/>
      <c r="B397" s="57" t="str">
        <f>IFERROR(__xludf.DUMMYFUNCTION("""COMPUTED_VALUE"""),"Tube [GENEPIO:0101196]    ")</f>
        <v>Tube [GENEPIO:0101196]    </v>
      </c>
      <c r="C397" s="57" t="str">
        <f>IFERROR(__xludf.DUMMYFUNCTION("""COMPUTED_VALUE"""),"GENEPIO:0101196")</f>
        <v>GENEPIO:0101196</v>
      </c>
      <c r="D397" s="58" t="str">
        <f>IFERROR(__xludf.DUMMYFUNCTION("""COMPUTED_VALUE"""),"A sample collection device which is cylindrical shape that is open at one end, used to collect material. ")</f>
        <v>A sample collection device which is cylindrical shape that is open at one end, used to collect material. </v>
      </c>
      <c r="E397" s="56"/>
      <c r="F397" s="54"/>
      <c r="G397" s="54"/>
      <c r="H397" s="59"/>
      <c r="I397" s="59"/>
      <c r="J397" s="59"/>
      <c r="K397" s="54"/>
    </row>
    <row r="398">
      <c r="A398" s="57"/>
      <c r="B398" s="57" t="str">
        <f>IFERROR(__xludf.DUMMYFUNCTION("""COMPUTED_VALUE""")," Blood Collection Tube [OBI:0002859]   ")</f>
        <v> Blood Collection Tube [OBI:0002859]   </v>
      </c>
      <c r="C398" s="57" t="str">
        <f>IFERROR(__xludf.DUMMYFUNCTION("""COMPUTED_VALUE"""),"OBI:0002859")</f>
        <v>OBI:0002859</v>
      </c>
      <c r="D398" s="58" t="str">
        <f>IFERROR(__xludf.DUMMYFUNCTION("""COMPUTED_VALUE"""),"A specimen collection tube which is designed for the collection of whole blood. See also: https://en.wikipedia.org/wiki/Blood_culture#Collection")</f>
        <v>A specimen collection tube which is designed for the collection of whole blood. See also: https://en.wikipedia.org/wiki/Blood_culture#Collection</v>
      </c>
      <c r="E398" s="56"/>
      <c r="F398" s="54"/>
      <c r="G398" s="54"/>
      <c r="H398" s="59"/>
      <c r="I398" s="59"/>
      <c r="J398" s="59"/>
      <c r="K398" s="54"/>
    </row>
    <row r="399">
      <c r="A399" s="57"/>
      <c r="B399" s="57" t="str">
        <f>IFERROR(__xludf.DUMMYFUNCTION("""COMPUTED_VALUE""")," Microcapillary tube [OBI:0002858]   ")</f>
        <v> Microcapillary tube [OBI:0002858]   </v>
      </c>
      <c r="C399" s="57" t="str">
        <f>IFERROR(__xludf.DUMMYFUNCTION("""COMPUTED_VALUE"""),"OBI:0002858")</f>
        <v>OBI:0002858</v>
      </c>
      <c r="D399" s="58"/>
      <c r="E399" s="56"/>
      <c r="F399" s="54"/>
      <c r="G399" s="54"/>
      <c r="H399" s="59"/>
      <c r="I399" s="59"/>
      <c r="J399" s="59"/>
      <c r="K399" s="54"/>
    </row>
    <row r="400">
      <c r="A400" s="57"/>
      <c r="B400" s="57" t="str">
        <f>IFERROR(__xludf.DUMMYFUNCTION("""COMPUTED_VALUE""")," Serum Collection Tube [OBI:0002860]   ")</f>
        <v> Serum Collection Tube [OBI:0002860]   </v>
      </c>
      <c r="C400" s="57" t="str">
        <f>IFERROR(__xludf.DUMMYFUNCTION("""COMPUTED_VALUE"""),"OBI:0002860")</f>
        <v>OBI:0002860</v>
      </c>
      <c r="D400" s="58" t="str">
        <f>IFERROR(__xludf.DUMMYFUNCTION("""COMPUTED_VALUE"""),"A specimen collection tube which is designed for collecting whole blood and enabling the separation of serum.")</f>
        <v>A specimen collection tube which is designed for collecting whole blood and enabling the separation of serum.</v>
      </c>
      <c r="E400" s="56"/>
      <c r="F400" s="54"/>
      <c r="G400" s="54"/>
      <c r="H400" s="59"/>
      <c r="I400" s="59"/>
      <c r="J400" s="59"/>
      <c r="K400" s="54"/>
    </row>
    <row r="401">
      <c r="A401" s="57"/>
      <c r="B401" s="57" t="str">
        <f>IFERROR(__xludf.DUMMYFUNCTION("""COMPUTED_VALUE""")," Sputum Collection Tube [OBI:0002861]   ")</f>
        <v> Sputum Collection Tube [OBI:0002861]   </v>
      </c>
      <c r="C401" s="57" t="str">
        <f>IFERROR(__xludf.DUMMYFUNCTION("""COMPUTED_VALUE"""),"OBI:0002861")</f>
        <v>OBI:0002861</v>
      </c>
      <c r="D401" s="58" t="str">
        <f>IFERROR(__xludf.DUMMYFUNCTION("""COMPUTED_VALUE"""),"A specimen collection tube which is designed for collecting sputum.")</f>
        <v>A specimen collection tube which is designed for collecting sputum.</v>
      </c>
      <c r="E401" s="56"/>
      <c r="F401" s="54"/>
      <c r="G401" s="54"/>
      <c r="H401" s="59"/>
      <c r="I401" s="59"/>
      <c r="J401" s="59"/>
      <c r="K401" s="54"/>
    </row>
    <row r="402">
      <c r="A402" s="57"/>
      <c r="B402" s="57" t="str">
        <f>IFERROR(__xludf.DUMMYFUNCTION("""COMPUTED_VALUE""")," Urine Collection Tube [OBI:0002862]   ")</f>
        <v> Urine Collection Tube [OBI:0002862]   </v>
      </c>
      <c r="C402" s="57" t="str">
        <f>IFERROR(__xludf.DUMMYFUNCTION("""COMPUTED_VALUE"""),"OBI:0002862")</f>
        <v>OBI:0002862</v>
      </c>
      <c r="D402" s="58" t="str">
        <f>IFERROR(__xludf.DUMMYFUNCTION("""COMPUTED_VALUE"""),"A specimen container which is designed for holding urine.")</f>
        <v>A specimen container which is designed for holding urine.</v>
      </c>
      <c r="E402" s="56"/>
      <c r="F402" s="54"/>
      <c r="G402" s="54"/>
      <c r="H402" s="59"/>
      <c r="I402" s="59"/>
      <c r="J402" s="59"/>
      <c r="K402" s="54"/>
    </row>
    <row r="403">
      <c r="A403" s="57"/>
      <c r="B403" s="57" t="str">
        <f>IFERROR(__xludf.DUMMYFUNCTION("""COMPUTED_VALUE"""),"Vacuum device [GENEPIO:0002127]    ")</f>
        <v>Vacuum device [GENEPIO:0002127]    </v>
      </c>
      <c r="C403" s="57" t="str">
        <f>IFERROR(__xludf.DUMMYFUNCTION("""COMPUTED_VALUE"""),"GENEPIO:0002127")</f>
        <v>GENEPIO:0002127</v>
      </c>
      <c r="D403" s="58" t="str">
        <f>IFERROR(__xludf.DUMMYFUNCTION("""COMPUTED_VALUE"""),"A device which generates a vacuum to provide suction of material.")</f>
        <v>A device which generates a vacuum to provide suction of material.</v>
      </c>
      <c r="E403" s="56"/>
      <c r="F403" s="54"/>
      <c r="G403" s="54"/>
      <c r="H403" s="59"/>
      <c r="I403" s="59"/>
      <c r="J403" s="59"/>
      <c r="K403" s="54"/>
    </row>
    <row r="404">
      <c r="A404" s="57"/>
      <c r="B404" s="57" t="str">
        <f>IFERROR(__xludf.DUMMYFUNCTION("""COMPUTED_VALUE""")," Vacutainer [OBIB:0000032]   ")</f>
        <v> Vacutainer [OBIB:0000032]   </v>
      </c>
      <c r="C404" s="57" t="str">
        <f>IFERROR(__xludf.DUMMYFUNCTION("""COMPUTED_VALUE"""),"OBIB:0000032")</f>
        <v>OBIB:0000032</v>
      </c>
      <c r="D404" s="58" t="str">
        <f>IFERROR(__xludf.DUMMYFUNCTION("""COMPUTED_VALUE"""),"A test tube which is either a sterile glass or plastic tube with a closure that is evacuated to create a vacuum inside the tube facilitating the draw of a predetermined volume of liquid. Most commonly used to draw a blood sample directly from the vein, th"&amp;"ese also are used to collect urine samples. Vacutainer tube may contain additives designed to stabilize and preserve the specimen prior to analytical testing.")</f>
        <v>A test tube which is either a sterile glass or plastic tube with a closure that is evacuated to create a vacuum inside the tube facilitating the draw of a predetermined volume of liquid. Most commonly used to draw a blood sample directly from the vein, these also are used to collect urine samples. Vacutainer tube may contain additives designed to stabilize and preserve the specimen prior to analytical testing.</v>
      </c>
      <c r="E404" s="56"/>
      <c r="F404" s="54"/>
      <c r="G404" s="54"/>
      <c r="H404" s="54"/>
      <c r="I404" s="54"/>
      <c r="J404" s="54"/>
      <c r="K404" s="54"/>
    </row>
    <row r="405">
      <c r="A405" s="57" t="str">
        <f>IFERROR(__xludf.DUMMYFUNCTION("""COMPUTED_VALUE"""),"collection_method menu")</f>
        <v>collection_method menu</v>
      </c>
      <c r="B405" s="57" t="str">
        <f>IFERROR(__xludf.DUMMYFUNCTION("""COMPUTED_VALUE"""),"    ")</f>
        <v>    </v>
      </c>
      <c r="C405" s="57" t="str">
        <f>IFERROR(__xludf.DUMMYFUNCTION("""COMPUTED_VALUE"""),"")</f>
        <v/>
      </c>
      <c r="D405" s="58"/>
      <c r="E405" s="56"/>
      <c r="F405" s="54"/>
      <c r="G405" s="54"/>
      <c r="H405" s="59"/>
      <c r="I405" s="59"/>
      <c r="J405" s="59"/>
      <c r="K405" s="54"/>
    </row>
    <row r="406">
      <c r="A406" s="57"/>
      <c r="B406" s="57" t="str">
        <f>IFERROR(__xludf.DUMMYFUNCTION("""COMPUTED_VALUE"""),"Aspiration [HP:0002835]    ")</f>
        <v>Aspiration [HP:0002835]    </v>
      </c>
      <c r="C406" s="57" t="str">
        <f>IFERROR(__xludf.DUMMYFUNCTION("""COMPUTED_VALUE"""),"HP:0002835")</f>
        <v>HP:0002835</v>
      </c>
      <c r="D406" s="58" t="str">
        <f>IFERROR(__xludf.DUMMYFUNCTION("""COMPUTED_VALUE"""),"Inspiration of a foreign object into the airway.")</f>
        <v>Inspiration of a foreign object into the airway.</v>
      </c>
      <c r="E406" s="56"/>
      <c r="F406" s="54"/>
      <c r="G406" s="54"/>
      <c r="H406" s="59"/>
      <c r="I406" s="59"/>
      <c r="J406" s="59"/>
      <c r="K406" s="54"/>
    </row>
    <row r="407">
      <c r="A407" s="57"/>
      <c r="B407" s="57" t="str">
        <f>IFERROR(__xludf.DUMMYFUNCTION("""COMPUTED_VALUE"""),"Biopsy [OBI:0002650]    ")</f>
        <v>Biopsy [OBI:0002650]    </v>
      </c>
      <c r="C407" s="57" t="str">
        <f>IFERROR(__xludf.DUMMYFUNCTION("""COMPUTED_VALUE"""),"OBI:0002650")</f>
        <v>OBI:0002650</v>
      </c>
      <c r="D407" s="58" t="str">
        <f>IFERROR(__xludf.DUMMYFUNCTION("""COMPUTED_VALUE"""),"A specimen collection that obtains a sample of tissue or cell from a living multicellular organism body for diagnostic purposes by means intended to be minimally invasive.")</f>
        <v>A specimen collection that obtains a sample of tissue or cell from a living multicellular organism body for diagnostic purposes by means intended to be minimally invasive.</v>
      </c>
      <c r="E407" s="56"/>
      <c r="F407" s="54"/>
      <c r="G407" s="54"/>
      <c r="H407" s="59"/>
      <c r="I407" s="59"/>
      <c r="J407" s="59"/>
      <c r="K407" s="54"/>
    </row>
    <row r="408">
      <c r="A408" s="57"/>
      <c r="B408" s="57" t="str">
        <f>IFERROR(__xludf.DUMMYFUNCTION("""COMPUTED_VALUE"""),"Fecal grab [GENEPIO:0004326]    ")</f>
        <v>Fecal grab [GENEPIO:0004326]    </v>
      </c>
      <c r="C408" s="57" t="str">
        <f>IFERROR(__xludf.DUMMYFUNCTION("""COMPUTED_VALUE"""),"GENEPIO:0004326")</f>
        <v>GENEPIO:0004326</v>
      </c>
      <c r="D408" s="58" t="str">
        <f>IFERROR(__xludf.DUMMYFUNCTION("""COMPUTED_VALUE"""),"A fecal specimen collection method in which feces is obtained by inserting the collection device into the anus of the host, or the feces is captured as it is excreted.")</f>
        <v>A fecal specimen collection method in which feces is obtained by inserting the collection device into the anus of the host, or the feces is captured as it is excreted.</v>
      </c>
      <c r="E408" s="56"/>
      <c r="F408" s="54"/>
      <c r="G408" s="54"/>
      <c r="H408" s="59"/>
      <c r="I408" s="59"/>
      <c r="J408" s="59"/>
      <c r="K408" s="54"/>
    </row>
    <row r="409">
      <c r="A409" s="57"/>
      <c r="B409" s="57" t="str">
        <f>IFERROR(__xludf.DUMMYFUNCTION("""COMPUTED_VALUE"""),"Filtration [OBI:0302885]    ")</f>
        <v>Filtration [OBI:0302885]    </v>
      </c>
      <c r="C409" s="57" t="str">
        <f>IFERROR(__xludf.DUMMYFUNCTION("""COMPUTED_VALUE"""),"OBI:0302885")</f>
        <v>OBI:0302885</v>
      </c>
      <c r="D409" s="58" t="str">
        <f>IFERROR(__xludf.DUMMYFUNCTION("""COMPUTED_VALUE"""),"A process which separates components suspended in a fluid based on granularity properties relying on a filter device.")</f>
        <v>A process which separates components suspended in a fluid based on granularity properties relying on a filter device.</v>
      </c>
      <c r="E409" s="56"/>
      <c r="F409" s="54"/>
      <c r="G409" s="54"/>
      <c r="H409" s="59"/>
      <c r="I409" s="59"/>
      <c r="J409" s="59"/>
      <c r="K409" s="54"/>
    </row>
    <row r="410">
      <c r="A410" s="57"/>
      <c r="B410" s="57" t="str">
        <f>IFERROR(__xludf.DUMMYFUNCTION("""COMPUTED_VALUE""")," Air filtration [GENEPIO:0100031]   ")</f>
        <v> Air filtration [GENEPIO:0100031]   </v>
      </c>
      <c r="C410" s="57" t="str">
        <f>IFERROR(__xludf.DUMMYFUNCTION("""COMPUTED_VALUE"""),"GENEPIO:0100031")</f>
        <v>GENEPIO:0100031</v>
      </c>
      <c r="D410" s="58" t="str">
        <f>IFERROR(__xludf.DUMMYFUNCTION("""COMPUTED_VALUE"""),"A filtration process which removes solid particulates from the air via an air filtration device.")</f>
        <v>A filtration process which removes solid particulates from the air via an air filtration device.</v>
      </c>
      <c r="E410" s="56"/>
      <c r="F410" s="54"/>
      <c r="G410" s="54"/>
      <c r="H410" s="59"/>
      <c r="I410" s="59"/>
      <c r="J410" s="59"/>
      <c r="K410" s="54"/>
    </row>
    <row r="411">
      <c r="A411" s="57"/>
      <c r="B411" s="57" t="str">
        <f>IFERROR(__xludf.DUMMYFUNCTION("""COMPUTED_VALUE""")," Water filtration [GENEPIO:0100931]   ")</f>
        <v> Water filtration [GENEPIO:0100931]   </v>
      </c>
      <c r="C411" s="57" t="str">
        <f>IFERROR(__xludf.DUMMYFUNCTION("""COMPUTED_VALUE"""),"GENEPIO:0100931")</f>
        <v>GENEPIO:0100931</v>
      </c>
      <c r="D411" s="58" t="str">
        <f>IFERROR(__xludf.DUMMYFUNCTION("""COMPUTED_VALUE"""),"A filtration process which removes or reduces the concentration of particulate matter, including suspended particles, parasites, bacteria, algae, viruses, and fungi, as well as other undesirable chemical and biological contaminants from contaminated water"&amp;" using water filters to produce safe and clean water.")</f>
        <v>A filtration process which removes or reduces the concentration of particulate matter, including suspended particles, parasites, bacteria, algae, viruses, and fungi, as well as other undesirable chemical and biological contaminants from contaminated water using water filters to produce safe and clean water.</v>
      </c>
      <c r="E411" s="56"/>
      <c r="F411" s="54"/>
      <c r="G411" s="54"/>
      <c r="H411" s="59"/>
      <c r="I411" s="59"/>
      <c r="J411" s="59"/>
      <c r="K411" s="54"/>
    </row>
    <row r="412">
      <c r="A412" s="57"/>
      <c r="B412" s="57" t="str">
        <f>IFERROR(__xludf.DUMMYFUNCTION("""COMPUTED_VALUE"""),"Lavage [OBI:0600044]    ")</f>
        <v>Lavage [OBI:0600044]    </v>
      </c>
      <c r="C412" s="57" t="str">
        <f>IFERROR(__xludf.DUMMYFUNCTION("""COMPUTED_VALUE"""),"OBI:0600044")</f>
        <v>OBI:0600044</v>
      </c>
      <c r="D412" s="58" t="str">
        <f>IFERROR(__xludf.DUMMYFUNCTION("""COMPUTED_VALUE"""),"A protocol application to separate cells and/or cellular secretions from an anatomical space by the introduction and removal of fluid")</f>
        <v>A protocol application to separate cells and/or cellular secretions from an anatomical space by the introduction and removal of fluid</v>
      </c>
      <c r="E412" s="56"/>
      <c r="F412" s="54"/>
      <c r="G412" s="54"/>
      <c r="H412" s="59"/>
      <c r="I412" s="59"/>
      <c r="J412" s="59"/>
      <c r="K412" s="54"/>
    </row>
    <row r="413">
      <c r="A413" s="57"/>
      <c r="B413" s="57" t="str">
        <f>IFERROR(__xludf.DUMMYFUNCTION("""COMPUTED_VALUE""")," Bronchoalveolar lavage [GENEPIO:0100032]   ")</f>
        <v> Bronchoalveolar lavage [GENEPIO:0100032]   </v>
      </c>
      <c r="C413" s="57" t="str">
        <f>IFERROR(__xludf.DUMMYFUNCTION("""COMPUTED_VALUE"""),"GENEPIO:0100032")</f>
        <v>GENEPIO:0100032</v>
      </c>
      <c r="D413" s="58" t="str">
        <f>IFERROR(__xludf.DUMMYFUNCTION("""COMPUTED_VALUE"""),"The collection of bronchoalveolar lavage fluid (BAL) from the lungs.")</f>
        <v>The collection of bronchoalveolar lavage fluid (BAL) from the lungs.</v>
      </c>
      <c r="E413" s="56"/>
      <c r="F413" s="54"/>
      <c r="G413" s="54"/>
      <c r="H413" s="59"/>
      <c r="I413" s="59"/>
      <c r="J413" s="59"/>
      <c r="K413" s="54"/>
    </row>
    <row r="414">
      <c r="A414" s="57"/>
      <c r="B414" s="57" t="str">
        <f>IFERROR(__xludf.DUMMYFUNCTION("""COMPUTED_VALUE""")," Gastric lavage [GENEPIO:0100033]   ")</f>
        <v> Gastric lavage [GENEPIO:0100033]   </v>
      </c>
      <c r="C414" s="57" t="str">
        <f>IFERROR(__xludf.DUMMYFUNCTION("""COMPUTED_VALUE"""),"GENEPIO:0100033")</f>
        <v>GENEPIO:0100033</v>
      </c>
      <c r="D414" s="58" t="str">
        <f>IFERROR(__xludf.DUMMYFUNCTION("""COMPUTED_VALUE"""),"The administration and evacuation of small volumes of liquid through an orogastric tube to remove toxic substances within the stomach.")</f>
        <v>The administration and evacuation of small volumes of liquid through an orogastric tube to remove toxic substances within the stomach.</v>
      </c>
      <c r="E414" s="56"/>
      <c r="F414" s="54"/>
      <c r="G414" s="54"/>
      <c r="H414" s="59"/>
      <c r="I414" s="59"/>
      <c r="J414" s="59"/>
      <c r="K414" s="54"/>
    </row>
    <row r="415">
      <c r="A415" s="57"/>
      <c r="B415" s="57" t="str">
        <f>IFERROR(__xludf.DUMMYFUNCTION("""COMPUTED_VALUE"""),"Necropsy [MMO:0000344]    ")</f>
        <v>Necropsy [MMO:0000344]    </v>
      </c>
      <c r="C415" s="57" t="str">
        <f>IFERROR(__xludf.DUMMYFUNCTION("""COMPUTED_VALUE"""),"MMO:0000344")</f>
        <v>MMO:0000344</v>
      </c>
      <c r="D415" s="58" t="str">
        <f>IFERROR(__xludf.DUMMYFUNCTION("""COMPUTED_VALUE"""),"A postmortem examination of the body of an animal to determine the cause of death or the character and extent of changes produced by disease.")</f>
        <v>A postmortem examination of the body of an animal to determine the cause of death or the character and extent of changes produced by disease.</v>
      </c>
      <c r="E415" s="56"/>
      <c r="F415" s="54"/>
      <c r="G415" s="54"/>
      <c r="H415" s="59"/>
      <c r="I415" s="59"/>
      <c r="J415" s="59"/>
      <c r="K415" s="54"/>
    </row>
    <row r="416">
      <c r="A416" s="57"/>
      <c r="B416" s="57" t="str">
        <f>IFERROR(__xludf.DUMMYFUNCTION("""COMPUTED_VALUE"""),"Phlebotomy [NCIT:C28221]    ")</f>
        <v>Phlebotomy [NCIT:C28221]    </v>
      </c>
      <c r="C416" s="57" t="str">
        <f>IFERROR(__xludf.DUMMYFUNCTION("""COMPUTED_VALUE"""),"NCIT:C28221")</f>
        <v>NCIT:C28221</v>
      </c>
      <c r="D416" s="58" t="str">
        <f>IFERROR(__xludf.DUMMYFUNCTION("""COMPUTED_VALUE"""),"The collection of blood from a vein, most commonly via needle venipuncture.")</f>
        <v>The collection of blood from a vein, most commonly via needle venipuncture.</v>
      </c>
      <c r="E416" s="56"/>
      <c r="F416" s="54"/>
      <c r="G416" s="54"/>
      <c r="H416" s="59"/>
      <c r="I416" s="59"/>
      <c r="J416" s="59"/>
      <c r="K416" s="54"/>
    </row>
    <row r="417">
      <c r="A417" s="57"/>
      <c r="B417" s="57" t="str">
        <f>IFERROR(__xludf.DUMMYFUNCTION("""COMPUTED_VALUE"""),"Rinsing for specimen collection [GENEPIO_0002116]    ")</f>
        <v>Rinsing for specimen collection [GENEPIO_0002116]    </v>
      </c>
      <c r="C417" s="57" t="str">
        <f>IFERROR(__xludf.DUMMYFUNCTION("""COMPUTED_VALUE"""),"GENEPIO:0002116")</f>
        <v>GENEPIO:0002116</v>
      </c>
      <c r="D417" s="58" t="str">
        <f>IFERROR(__xludf.DUMMYFUNCTION("""COMPUTED_VALUE"""),"The process of removal and collection of specimen material from the surface of an entity by washing, or a similar application of fluids.")</f>
        <v>The process of removal and collection of specimen material from the surface of an entity by washing, or a similar application of fluids.</v>
      </c>
      <c r="E417" s="56"/>
      <c r="F417" s="54"/>
      <c r="G417" s="54"/>
      <c r="H417" s="59"/>
      <c r="I417" s="59"/>
      <c r="J417" s="59"/>
      <c r="K417" s="54"/>
    </row>
    <row r="418">
      <c r="A418" s="57"/>
      <c r="B418" s="57" t="str">
        <f>IFERROR(__xludf.DUMMYFUNCTION("""COMPUTED_VALUE"""),"Scooping [GENEPIO:0100932]    ")</f>
        <v>Scooping [GENEPIO:0100932]    </v>
      </c>
      <c r="C418" s="57" t="str">
        <f>IFERROR(__xludf.DUMMYFUNCTION("""COMPUTED_VALUE"""),"GENEPIO:0100932")</f>
        <v>GENEPIO:0100932</v>
      </c>
      <c r="D418" s="58" t="str">
        <f>IFERROR(__xludf.DUMMYFUNCTION("""COMPUTED_VALUE"""),"A specimen collection process that is used to dig out an amount of sample using a scoop.")</f>
        <v>A specimen collection process that is used to dig out an amount of sample using a scoop.</v>
      </c>
      <c r="E418" s="56"/>
      <c r="F418" s="54"/>
      <c r="G418" s="54"/>
      <c r="H418" s="59"/>
      <c r="I418" s="59"/>
      <c r="J418" s="59"/>
      <c r="K418" s="54"/>
    </row>
    <row r="419">
      <c r="A419" s="57"/>
      <c r="B419" s="57" t="str">
        <f>IFERROR(__xludf.DUMMYFUNCTION("""COMPUTED_VALUE"""),"Sediment collection [GENEPIO:0100933]    ")</f>
        <v>Sediment collection [GENEPIO:0100933]    </v>
      </c>
      <c r="C419" s="57" t="str">
        <f>IFERROR(__xludf.DUMMYFUNCTION("""COMPUTED_VALUE"""),"GENEPIO:0100933")</f>
        <v>GENEPIO:0100933</v>
      </c>
      <c r="D419" s="58" t="str">
        <f>IFERROR(__xludf.DUMMYFUNCTION("""COMPUTED_VALUE"""),"A specimen collection process that is used to collect a sediment sample.")</f>
        <v>A specimen collection process that is used to collect a sediment sample.</v>
      </c>
      <c r="E419" s="56"/>
      <c r="F419" s="54"/>
      <c r="G419" s="54"/>
      <c r="H419" s="59"/>
      <c r="I419" s="59"/>
      <c r="J419" s="59"/>
      <c r="K419" s="54"/>
    </row>
    <row r="420">
      <c r="A420" s="57"/>
      <c r="B420" s="57" t="str">
        <f>IFERROR(__xludf.DUMMYFUNCTION("""COMPUTED_VALUE"""),"Soil coring [GENEPIO:0100934]    ")</f>
        <v>Soil coring [GENEPIO:0100934]    </v>
      </c>
      <c r="C420" s="57" t="str">
        <f>IFERROR(__xludf.DUMMYFUNCTION("""COMPUTED_VALUE"""),"GENEPIO:0100934")</f>
        <v>GENEPIO:0100934</v>
      </c>
      <c r="D420" s="58" t="str">
        <f>IFERROR(__xludf.DUMMYFUNCTION("""COMPUTED_VALUE"""),"A specimen collection process that is used to collect soil sample cores.")</f>
        <v>A specimen collection process that is used to collect soil sample cores.</v>
      </c>
      <c r="E420" s="56"/>
      <c r="F420" s="54"/>
      <c r="G420" s="54"/>
      <c r="H420" s="59"/>
      <c r="I420" s="59"/>
      <c r="J420" s="59"/>
      <c r="K420" s="54"/>
    </row>
    <row r="421">
      <c r="A421" s="57"/>
      <c r="B421" s="57" t="str">
        <f>IFERROR(__xludf.DUMMYFUNCTION("""COMPUTED_VALUE"""),"Weep fluid collection (pouring) [GENEPIO:0101003]    ")</f>
        <v>Weep fluid collection (pouring) [GENEPIO:0101003]    </v>
      </c>
      <c r="C421" s="57" t="str">
        <f>IFERROR(__xludf.DUMMYFUNCTION("""COMPUTED_VALUE"""),"GENEPIO:0101003")</f>
        <v>GENEPIO:0101003</v>
      </c>
      <c r="D421" s="58" t="str">
        <f>IFERROR(__xludf.DUMMYFUNCTION("""COMPUTED_VALUE"""),"A specimen collection process that is used to collect weep fluid via pouring from the source container into the sample collection device. (e.g. bag or tube)")</f>
        <v>A specimen collection process that is used to collect weep fluid via pouring from the source container into the sample collection device. (e.g. bag or tube)</v>
      </c>
      <c r="E421" s="56"/>
      <c r="F421" s="54"/>
      <c r="G421" s="54"/>
      <c r="H421" s="54"/>
      <c r="I421" s="54"/>
      <c r="J421" s="54"/>
      <c r="K421" s="54"/>
    </row>
    <row r="422">
      <c r="A422" s="57" t="str">
        <f>IFERROR(__xludf.DUMMYFUNCTION("""COMPUTED_VALUE"""),"sample_volume_measurement_unit menu")</f>
        <v>sample_volume_measurement_unit menu</v>
      </c>
      <c r="B422" s="57" t="str">
        <f>IFERROR(__xludf.DUMMYFUNCTION("""COMPUTED_VALUE"""),"    ")</f>
        <v>    </v>
      </c>
      <c r="C422" s="57" t="str">
        <f>IFERROR(__xludf.DUMMYFUNCTION("""COMPUTED_VALUE"""),"")</f>
        <v/>
      </c>
      <c r="D422" s="58"/>
      <c r="E422" s="56"/>
      <c r="F422" s="54"/>
      <c r="G422" s="54"/>
      <c r="H422" s="59"/>
      <c r="I422" s="59"/>
      <c r="J422" s="59"/>
      <c r="K422" s="54"/>
    </row>
    <row r="423">
      <c r="A423" s="57"/>
      <c r="B423" s="57" t="str">
        <f>IFERROR(__xludf.DUMMYFUNCTION("""COMPUTED_VALUE"""),"microliter (uL) [UO:0000101]    ")</f>
        <v>microliter (uL) [UO:0000101]    </v>
      </c>
      <c r="C423" s="57" t="str">
        <f>IFERROR(__xludf.DUMMYFUNCTION("""COMPUTED_VALUE"""),"UO:0000101")</f>
        <v>UO:0000101</v>
      </c>
      <c r="D423" s="58" t="str">
        <f>IFERROR(__xludf.DUMMYFUNCTION("""COMPUTED_VALUE"""),"A metric unit of volume equivalent to one thousandth of a cubic centimeter or one millionth of a liter.")</f>
        <v>A metric unit of volume equivalent to one thousandth of a cubic centimeter or one millionth of a liter.</v>
      </c>
      <c r="E423" s="56"/>
      <c r="F423" s="54"/>
      <c r="G423" s="54"/>
      <c r="H423" s="59"/>
      <c r="I423" s="59"/>
      <c r="J423" s="59"/>
      <c r="K423" s="54"/>
    </row>
    <row r="424">
      <c r="A424" s="57"/>
      <c r="B424" s="57" t="str">
        <f>IFERROR(__xludf.DUMMYFUNCTION("""COMPUTED_VALUE"""),"milliliter (mL) [UO:0000098]    ")</f>
        <v>milliliter (mL) [UO:0000098]    </v>
      </c>
      <c r="C424" s="57" t="str">
        <f>IFERROR(__xludf.DUMMYFUNCTION("""COMPUTED_VALUE"""),"UO:0000098")</f>
        <v>UO:0000098</v>
      </c>
      <c r="D424" s="58" t="str">
        <f>IFERROR(__xludf.DUMMYFUNCTION("""COMPUTED_VALUE"""),"A metric unit of volume equivalent to one cubic centimeter or one thousandth of a liter.")</f>
        <v>A metric unit of volume equivalent to one cubic centimeter or one thousandth of a liter.</v>
      </c>
      <c r="E424" s="56"/>
      <c r="F424" s="54"/>
      <c r="G424" s="54"/>
      <c r="H424" s="59"/>
      <c r="I424" s="59"/>
      <c r="J424" s="59"/>
      <c r="K424" s="54"/>
    </row>
    <row r="425">
      <c r="A425" s="57"/>
      <c r="B425" s="57" t="str">
        <f>IFERROR(__xludf.DUMMYFUNCTION("""COMPUTED_VALUE"""),"liter (L) [UO:0000099]    ")</f>
        <v>liter (L) [UO:0000099]    </v>
      </c>
      <c r="C425" s="57" t="str">
        <f>IFERROR(__xludf.DUMMYFUNCTION("""COMPUTED_VALUE"""),"UO:0000099")</f>
        <v>UO:0000099</v>
      </c>
      <c r="D425" s="58" t="str">
        <f>IFERROR(__xludf.DUMMYFUNCTION("""COMPUTED_VALUE"""),"A metric unit of volume equivalent to 1000 cubic centimeters")</f>
        <v>A metric unit of volume equivalent to 1000 cubic centimeters</v>
      </c>
      <c r="E425" s="56"/>
      <c r="F425" s="54"/>
      <c r="G425" s="54"/>
      <c r="H425" s="54"/>
      <c r="I425" s="54"/>
      <c r="J425" s="54"/>
      <c r="K425" s="54"/>
    </row>
    <row r="426">
      <c r="A426" s="57" t="str">
        <f>IFERROR(__xludf.DUMMYFUNCTION("""COMPUTED_VALUE"""),"residual_sample_status menu")</f>
        <v>residual_sample_status menu</v>
      </c>
      <c r="B426" s="57" t="str">
        <f>IFERROR(__xludf.DUMMYFUNCTION("""COMPUTED_VALUE"""),"    ")</f>
        <v>    </v>
      </c>
      <c r="C426" s="57" t="str">
        <f>IFERROR(__xludf.DUMMYFUNCTION("""COMPUTED_VALUE"""),"")</f>
        <v/>
      </c>
      <c r="D426" s="58"/>
      <c r="E426" s="56"/>
      <c r="F426" s="54"/>
      <c r="G426" s="54"/>
      <c r="H426" s="59"/>
      <c r="I426" s="59"/>
      <c r="J426" s="59"/>
      <c r="K426" s="54"/>
    </row>
    <row r="427">
      <c r="A427" s="57"/>
      <c r="B427" s="57" t="str">
        <f>IFERROR(__xludf.DUMMYFUNCTION("""COMPUTED_VALUE"""),"Residual sample remaining (some sample left) [GENEPIO:0101087]    ")</f>
        <v>Residual sample remaining (some sample left) [GENEPIO:0101087]    </v>
      </c>
      <c r="C427" s="57" t="str">
        <f>IFERROR(__xludf.DUMMYFUNCTION("""COMPUTED_VALUE"""),"GENEPIO:0101087")</f>
        <v>GENEPIO:0101087</v>
      </c>
      <c r="D427" s="58"/>
      <c r="E427" s="56"/>
      <c r="F427" s="54"/>
      <c r="G427" s="54"/>
      <c r="H427" s="59"/>
      <c r="I427" s="59"/>
      <c r="J427" s="59"/>
      <c r="K427" s="54"/>
    </row>
    <row r="428">
      <c r="A428" s="57"/>
      <c r="B428" s="57" t="str">
        <f>IFERROR(__xludf.DUMMYFUNCTION("""COMPUTED_VALUE"""),"No residual sample (sample all used) [GENEPIO:0101088]    ")</f>
        <v>No residual sample (sample all used) [GENEPIO:0101088]    </v>
      </c>
      <c r="C428" s="57" t="str">
        <f>IFERROR(__xludf.DUMMYFUNCTION("""COMPUTED_VALUE"""),"GENEPIO:0101088")</f>
        <v>GENEPIO:0101088</v>
      </c>
      <c r="D428" s="58"/>
      <c r="E428" s="56"/>
      <c r="F428" s="54"/>
      <c r="G428" s="54"/>
      <c r="H428" s="59"/>
      <c r="I428" s="59"/>
      <c r="J428" s="59"/>
      <c r="K428" s="54"/>
    </row>
    <row r="429">
      <c r="A429" s="57"/>
      <c r="B429" s="57" t="str">
        <f>IFERROR(__xludf.DUMMYFUNCTION("""COMPUTED_VALUE"""),"Residual sample status unkown [GENEPIO:0101089]    ")</f>
        <v>Residual sample status unkown [GENEPIO:0101089]    </v>
      </c>
      <c r="C429" s="57" t="str">
        <f>IFERROR(__xludf.DUMMYFUNCTION("""COMPUTED_VALUE"""),"GENEPIO:0101089")</f>
        <v>GENEPIO:0101089</v>
      </c>
      <c r="D429" s="58"/>
      <c r="E429" s="56"/>
      <c r="F429" s="54"/>
      <c r="G429" s="54"/>
      <c r="H429" s="54"/>
      <c r="I429" s="54"/>
      <c r="J429" s="54"/>
      <c r="K429" s="54"/>
    </row>
    <row r="430">
      <c r="A430" s="57"/>
      <c r="B430" s="57" t="str">
        <f>IFERROR(__xludf.DUMMYFUNCTION("""COMPUTED_VALUE"""),"    ")</f>
        <v>    </v>
      </c>
      <c r="C430" s="57" t="str">
        <f>IFERROR(__xludf.DUMMYFUNCTION("""COMPUTED_VALUE"""),"")</f>
        <v/>
      </c>
      <c r="D430" s="58"/>
      <c r="E430" s="56"/>
      <c r="F430" s="54"/>
      <c r="G430" s="54"/>
      <c r="H430" s="54"/>
      <c r="I430" s="54"/>
      <c r="J430" s="54"/>
      <c r="K430" s="54"/>
    </row>
    <row r="431">
      <c r="A431" s="57" t="str">
        <f>IFERROR(__xludf.DUMMYFUNCTION("""COMPUTED_VALUE"""),"purpose of sampling")</f>
        <v>purpose of sampling</v>
      </c>
      <c r="B431" s="57" t="str">
        <f>IFERROR(__xludf.DUMMYFUNCTION("""COMPUTED_VALUE"""),"    ")</f>
        <v>    </v>
      </c>
      <c r="C431" s="57" t="str">
        <f>IFERROR(__xludf.DUMMYFUNCTION("""COMPUTED_VALUE"""),"")</f>
        <v/>
      </c>
      <c r="D431" s="58"/>
      <c r="E431" s="56"/>
      <c r="F431" s="54"/>
      <c r="G431" s="54"/>
      <c r="H431" s="59"/>
      <c r="I431" s="59"/>
      <c r="J431" s="59"/>
      <c r="K431" s="54"/>
    </row>
    <row r="432">
      <c r="A432" s="57"/>
      <c r="B432" s="57" t="str">
        <f>IFERROR(__xludf.DUMMYFUNCTION("""COMPUTED_VALUE"""),"Cluster/Outbreak investigation [GENEPIO:0100001]    ")</f>
        <v>Cluster/Outbreak investigation [GENEPIO:0100001]    </v>
      </c>
      <c r="C432" s="57" t="str">
        <f>IFERROR(__xludf.DUMMYFUNCTION("""COMPUTED_VALUE"""),"GENEPIO:0100001")</f>
        <v>GENEPIO:0100001</v>
      </c>
      <c r="D432" s="58" t="str">
        <f>IFERROR(__xludf.DUMMYFUNCTION("""COMPUTED_VALUE"""),"A sampling strategy in which individuals are chosen for investigation into a disease cluster or outbreak.")</f>
        <v>A sampling strategy in which individuals are chosen for investigation into a disease cluster or outbreak.</v>
      </c>
      <c r="E432" s="56"/>
      <c r="F432" s="54"/>
      <c r="G432" s="54"/>
      <c r="H432" s="59"/>
      <c r="I432" s="59"/>
      <c r="J432" s="59"/>
      <c r="K432" s="54"/>
    </row>
    <row r="433">
      <c r="A433" s="57"/>
      <c r="B433" s="57" t="str">
        <f>IFERROR(__xludf.DUMMYFUNCTION("""COMPUTED_VALUE"""),"Diagnostic testing [GENEPIO:0100002]    ")</f>
        <v>Diagnostic testing [GENEPIO:0100002]    </v>
      </c>
      <c r="C433" s="57" t="str">
        <f>IFERROR(__xludf.DUMMYFUNCTION("""COMPUTED_VALUE"""),"GENEPIO:0100002")</f>
        <v>GENEPIO:0100002</v>
      </c>
      <c r="D433" s="58" t="str">
        <f>IFERROR(__xludf.DUMMYFUNCTION("""COMPUTED_VALUE"""),"A sampling strategy in which individuals are sampled in the context of diagnostic testing.")</f>
        <v>A sampling strategy in which individuals are sampled in the context of diagnostic testing.</v>
      </c>
      <c r="E433" s="56"/>
      <c r="F433" s="54"/>
      <c r="G433" s="54"/>
      <c r="H433" s="59"/>
      <c r="I433" s="59"/>
      <c r="J433" s="59"/>
      <c r="K433" s="54"/>
    </row>
    <row r="434">
      <c r="A434" s="57"/>
      <c r="B434" s="57" t="str">
        <f>IFERROR(__xludf.DUMMYFUNCTION("""COMPUTED_VALUE"""),"Environmental testing [GENEPIO:0100548]    ")</f>
        <v>Environmental testing [GENEPIO:0100548]    </v>
      </c>
      <c r="C434" s="57" t="str">
        <f>IFERROR(__xludf.DUMMYFUNCTION("""COMPUTED_VALUE"""),"GENEPIO:0100548")</f>
        <v>GENEPIO:0100548</v>
      </c>
      <c r="D434" s="58" t="str">
        <f>IFERROR(__xludf.DUMMYFUNCTION("""COMPUTED_VALUE"""),"A sampling strategy in which environments are sampled in the context of testing for the presence of, or change in the levels of, chemicals, pathogens or other phenomena.")</f>
        <v>A sampling strategy in which environments are sampled in the context of testing for the presence of, or change in the levels of, chemicals, pathogens or other phenomena.</v>
      </c>
      <c r="E434" s="56"/>
      <c r="F434" s="54"/>
      <c r="G434" s="54"/>
      <c r="H434" s="59"/>
      <c r="I434" s="59"/>
      <c r="J434" s="59"/>
      <c r="K434" s="54"/>
    </row>
    <row r="435">
      <c r="A435" s="57"/>
      <c r="B435" s="57" t="str">
        <f>IFERROR(__xludf.DUMMYFUNCTION("""COMPUTED_VALUE"""),"Research [GENEPIO:0100003]    ")</f>
        <v>Research [GENEPIO:0100003]    </v>
      </c>
      <c r="C435" s="57" t="str">
        <f>IFERROR(__xludf.DUMMYFUNCTION("""COMPUTED_VALUE"""),"GENEPIO:0100003")</f>
        <v>GENEPIO:0100003</v>
      </c>
      <c r="D435" s="58" t="str">
        <f>IFERROR(__xludf.DUMMYFUNCTION("""COMPUTED_VALUE"""),"A sampling strategy in which samples are collected in order to perform research.")</f>
        <v>A sampling strategy in which samples are collected in order to perform research.</v>
      </c>
      <c r="E435" s="56"/>
      <c r="F435" s="54"/>
      <c r="G435" s="54"/>
      <c r="H435" s="59"/>
      <c r="I435" s="59"/>
      <c r="J435" s="59"/>
      <c r="K435" s="54"/>
    </row>
    <row r="436">
      <c r="A436" s="57"/>
      <c r="B436" s="57" t="str">
        <f>IFERROR(__xludf.DUMMYFUNCTION("""COMPUTED_VALUE""")," Clinical trial [GENEPIO:0100549]   ")</f>
        <v> Clinical trial [GENEPIO:0100549]   </v>
      </c>
      <c r="C436" s="57" t="str">
        <f>IFERROR(__xludf.DUMMYFUNCTION("""COMPUTED_VALUE"""),"GENEPIO:0100549")</f>
        <v>GENEPIO:0100549</v>
      </c>
      <c r="D436" s="58" t="str">
        <f>IFERROR(__xludf.DUMMYFUNCTION("""COMPUTED_VALUE"""),"A sampling strategy in which individuals are sampled in the context of experiments or observations performed as part of clinical research. ")</f>
        <v>A sampling strategy in which individuals are sampled in the context of experiments or observations performed as part of clinical research. </v>
      </c>
      <c r="E436" s="56"/>
      <c r="F436" s="54"/>
      <c r="G436" s="54"/>
      <c r="H436" s="59"/>
      <c r="I436" s="59"/>
      <c r="J436" s="59"/>
      <c r="K436" s="54"/>
    </row>
    <row r="437">
      <c r="A437" s="57"/>
      <c r="B437" s="57" t="str">
        <f>IFERROR(__xludf.DUMMYFUNCTION("""COMPUTED_VALUE""")," Field experiment [GENEPIO:0100550]   ")</f>
        <v> Field experiment [GENEPIO:0100550]   </v>
      </c>
      <c r="C437" s="57" t="str">
        <f>IFERROR(__xludf.DUMMYFUNCTION("""COMPUTED_VALUE"""),"GENEPIO:0100550")</f>
        <v>GENEPIO:0100550</v>
      </c>
      <c r="D437" s="58" t="str">
        <f>IFERROR(__xludf.DUMMYFUNCTION("""COMPUTED_VALUE"""),"A sampling strategy in which samples are taken during real-life experiments which test directly whether proposed interventions actually work. ")</f>
        <v>A sampling strategy in which samples are taken during real-life experiments which test directly whether proposed interventions actually work. </v>
      </c>
      <c r="E437" s="56"/>
      <c r="F437" s="54"/>
      <c r="G437" s="54"/>
      <c r="H437" s="59"/>
      <c r="I437" s="59"/>
      <c r="J437" s="59"/>
      <c r="K437" s="54"/>
    </row>
    <row r="438">
      <c r="A438" s="57"/>
      <c r="B438" s="57" t="str">
        <f>IFERROR(__xludf.DUMMYFUNCTION("""COMPUTED_VALUE""")," Survey study [GENEPIO:0100582]   ")</f>
        <v> Survey study [GENEPIO:0100582]   </v>
      </c>
      <c r="C438" s="57" t="str">
        <f>IFERROR(__xludf.DUMMYFUNCTION("""COMPUTED_VALUE"""),"GENEPIO:0100582")</f>
        <v>GENEPIO:0100582</v>
      </c>
      <c r="D438" s="58" t="str">
        <f>IFERROR(__xludf.DUMMYFUNCTION("""COMPUTED_VALUE"""),"A sampling strategy in which individuals and/or materials are sampled for surveillance performed for research purposes.")</f>
        <v>A sampling strategy in which individuals and/or materials are sampled for surveillance performed for research purposes.</v>
      </c>
      <c r="E438" s="56"/>
      <c r="F438" s="54"/>
      <c r="G438" s="54"/>
      <c r="H438" s="59"/>
      <c r="I438" s="59"/>
      <c r="J438" s="59"/>
      <c r="K438" s="54"/>
    </row>
    <row r="439">
      <c r="A439" s="57"/>
      <c r="B439" s="57" t="str">
        <f>IFERROR(__xludf.DUMMYFUNCTION("""COMPUTED_VALUE"""),"Surveillance [GENEPIO:0100004]    ")</f>
        <v>Surveillance [GENEPIO:0100004]    </v>
      </c>
      <c r="C439" s="57" t="str">
        <f>IFERROR(__xludf.DUMMYFUNCTION("""COMPUTED_VALUE"""),"GENEPIO:0100004")</f>
        <v>GENEPIO:0100004</v>
      </c>
      <c r="D439" s="58" t="str">
        <f>IFERROR(__xludf.DUMMYFUNCTION("""COMPUTED_VALUE"""),"A sampling strategy in which individuals are sampled for surveillance investigations.")</f>
        <v>A sampling strategy in which individuals are sampled for surveillance investigations.</v>
      </c>
      <c r="E439" s="56"/>
      <c r="F439" s="54"/>
      <c r="G439" s="54"/>
      <c r="H439" s="54"/>
      <c r="I439" s="54"/>
      <c r="J439" s="54"/>
      <c r="K439" s="54"/>
    </row>
    <row r="440">
      <c r="A440" s="57" t="str">
        <f>IFERROR(__xludf.DUMMYFUNCTION("""COMPUTED_VALUE"""),"presampling activity")</f>
        <v>presampling activity</v>
      </c>
      <c r="B440" s="57" t="str">
        <f>IFERROR(__xludf.DUMMYFUNCTION("""COMPUTED_VALUE"""),"    ")</f>
        <v>    </v>
      </c>
      <c r="C440" s="57" t="str">
        <f>IFERROR(__xludf.DUMMYFUNCTION("""COMPUTED_VALUE"""),"")</f>
        <v/>
      </c>
      <c r="D440" s="58"/>
      <c r="E440" s="56"/>
      <c r="F440" s="54"/>
      <c r="G440" s="54"/>
      <c r="H440" s="59"/>
      <c r="I440" s="59"/>
      <c r="J440" s="59"/>
      <c r="K440" s="54"/>
    </row>
    <row r="441">
      <c r="A441" s="57"/>
      <c r="B441" s="57" t="str">
        <f>IFERROR(__xludf.DUMMYFUNCTION("""COMPUTED_VALUE"""),"Addition of substances to food/water [GENEPIO:0100536]    ")</f>
        <v>Addition of substances to food/water [GENEPIO:0100536]    </v>
      </c>
      <c r="C441" s="57" t="str">
        <f>IFERROR(__xludf.DUMMYFUNCTION("""COMPUTED_VALUE"""),"GENEPIO:0100536")</f>
        <v>GENEPIO:0100536</v>
      </c>
      <c r="D441" s="58" t="str">
        <f>IFERROR(__xludf.DUMMYFUNCTION("""COMPUTED_VALUE"""),"The addition of substances to food or water administered to an individual or group of individuals.")</f>
        <v>The addition of substances to food or water administered to an individual or group of individuals.</v>
      </c>
      <c r="E441" s="56"/>
      <c r="F441" s="54"/>
      <c r="G441" s="54"/>
      <c r="H441" s="59"/>
      <c r="I441" s="59"/>
      <c r="J441" s="59"/>
      <c r="K441" s="54"/>
    </row>
    <row r="442">
      <c r="A442" s="57"/>
      <c r="B442" s="57" t="str">
        <f>IFERROR(__xludf.DUMMYFUNCTION("""COMPUTED_VALUE"""),"Antimicrobial pre-treatment [GENEPIO:0100537]    ")</f>
        <v>Antimicrobial pre-treatment [GENEPIO:0100537]    </v>
      </c>
      <c r="C442" s="57" t="str">
        <f>IFERROR(__xludf.DUMMYFUNCTION("""COMPUTED_VALUE"""),"GENEPIO:0100537")</f>
        <v>GENEPIO:0100537</v>
      </c>
      <c r="D442" s="58" t="str">
        <f>IFERROR(__xludf.DUMMYFUNCTION("""COMPUTED_VALUE"""),"The administration of an antimicrobial agent to an individual or its addition to a substance prior to some other event or activity.")</f>
        <v>The administration of an antimicrobial agent to an individual or its addition to a substance prior to some other event or activity.</v>
      </c>
      <c r="E442" s="56"/>
      <c r="F442" s="54"/>
      <c r="G442" s="54"/>
      <c r="H442" s="59"/>
      <c r="I442" s="59"/>
      <c r="J442" s="59"/>
      <c r="K442" s="54"/>
    </row>
    <row r="443">
      <c r="A443" s="57"/>
      <c r="B443" s="57" t="str">
        <f>IFERROR(__xludf.DUMMYFUNCTION("""COMPUTED_VALUE"""),"Certified animal husbandry practices [GENEPIO:0100538]    ")</f>
        <v>Certified animal husbandry practices [GENEPIO:0100538]    </v>
      </c>
      <c r="C443" s="57" t="str">
        <f>IFERROR(__xludf.DUMMYFUNCTION("""COMPUTED_VALUE"""),"GENEPIO:0100538")</f>
        <v>GENEPIO:0100538</v>
      </c>
      <c r="D443" s="58" t="str">
        <f>IFERROR(__xludf.DUMMYFUNCTION("""COMPUTED_VALUE"""),"The implementation of animal husbandy practices that have been certified by an authorized organization.")</f>
        <v>The implementation of animal husbandy practices that have been certified by an authorized organization.</v>
      </c>
      <c r="E443" s="56"/>
      <c r="F443" s="54"/>
      <c r="G443" s="54"/>
      <c r="H443" s="59"/>
      <c r="I443" s="59"/>
      <c r="J443" s="59"/>
      <c r="K443" s="54"/>
    </row>
    <row r="444">
      <c r="A444" s="57"/>
      <c r="B444" s="57" t="str">
        <f>IFERROR(__xludf.DUMMYFUNCTION("""COMPUTED_VALUE""")," Certified humane animal husbandry practices [GENEPIO:0100894]   ")</f>
        <v> Certified humane animal husbandry practices [GENEPIO:0100894]   </v>
      </c>
      <c r="C444" s="57" t="str">
        <f>IFERROR(__xludf.DUMMYFUNCTION("""COMPUTED_VALUE"""),"GENEPIO:0100894")</f>
        <v>GENEPIO:0100894</v>
      </c>
      <c r="D444" s="58" t="str">
        <f>IFERROR(__xludf.DUMMYFUNCTION("""COMPUTED_VALUE"""),"A certification organization in Washington DC that is dedicated to improving the lives of farm animals in food production from birth through slaughter.")</f>
        <v>A certification organization in Washington DC that is dedicated to improving the lives of farm animals in food production from birth through slaughter.</v>
      </c>
      <c r="E444" s="56"/>
      <c r="F444" s="54"/>
      <c r="G444" s="54"/>
      <c r="H444" s="59"/>
      <c r="I444" s="59"/>
      <c r="J444" s="59"/>
      <c r="K444" s="54"/>
    </row>
    <row r="445">
      <c r="A445" s="57"/>
      <c r="B445" s="57" t="str">
        <f>IFERROR(__xludf.DUMMYFUNCTION("""COMPUTED_VALUE"""),"Certified organic farming practices [GENEPIO:0100539]    ")</f>
        <v>Certified organic farming practices [GENEPIO:0100539]    </v>
      </c>
      <c r="C445" s="57" t="str">
        <f>IFERROR(__xludf.DUMMYFUNCTION("""COMPUTED_VALUE"""),"GENEPIO:0100539")</f>
        <v>GENEPIO:0100539</v>
      </c>
      <c r="D445" s="58" t="str">
        <f>IFERROR(__xludf.DUMMYFUNCTION("""COMPUTED_VALUE"""),"The implementation of organic farming practices that have been certified by an authorized organization.")</f>
        <v>The implementation of organic farming practices that have been certified by an authorized organization.</v>
      </c>
      <c r="E445" s="56"/>
      <c r="F445" s="54"/>
      <c r="G445" s="54"/>
      <c r="H445" s="59"/>
      <c r="I445" s="59"/>
      <c r="J445" s="59"/>
      <c r="K445" s="54"/>
    </row>
    <row r="446">
      <c r="A446" s="57"/>
      <c r="B446" s="57" t="str">
        <f>IFERROR(__xludf.DUMMYFUNCTION("""COMPUTED_VALUE"""),"Conventional farming practices [GENEPIO:0100895]    ")</f>
        <v>Conventional farming practices [GENEPIO:0100895]    </v>
      </c>
      <c r="C446" s="57" t="str">
        <f>IFERROR(__xludf.DUMMYFUNCTION("""COMPUTED_VALUE"""),"GENEPIO:0100895")</f>
        <v>GENEPIO:0100895</v>
      </c>
      <c r="D446" s="58" t="str">
        <f>IFERROR(__xludf.DUMMYFUNCTION("""COMPUTED_VALUE"""),"The implementation of farming practices that include man-made inputs such as chemical fertilizers and genetically-modified seeds.")</f>
        <v>The implementation of farming practices that include man-made inputs such as chemical fertilizers and genetically-modified seeds.</v>
      </c>
      <c r="E446" s="56"/>
      <c r="F446" s="54"/>
      <c r="G446" s="54"/>
      <c r="H446" s="59"/>
      <c r="I446" s="59"/>
      <c r="J446" s="59"/>
      <c r="K446" s="54"/>
    </row>
    <row r="447">
      <c r="A447" s="57"/>
      <c r="B447" s="57" t="str">
        <f>IFERROR(__xludf.DUMMYFUNCTION("""COMPUTED_VALUE"""),"Change in storage conditions [GENEPIO:0100540]    ")</f>
        <v>Change in storage conditions [GENEPIO:0100540]    </v>
      </c>
      <c r="C447" s="57" t="str">
        <f>IFERROR(__xludf.DUMMYFUNCTION("""COMPUTED_VALUE"""),"GENEPIO:0100540")</f>
        <v>GENEPIO:0100540</v>
      </c>
      <c r="D447" s="58" t="str">
        <f>IFERROR(__xludf.DUMMYFUNCTION("""COMPUTED_VALUE"""),"A change in the storage conditions of a material or a substance.")</f>
        <v>A change in the storage conditions of a material or a substance.</v>
      </c>
      <c r="E447" s="56"/>
      <c r="F447" s="54"/>
      <c r="G447" s="54"/>
      <c r="H447" s="59"/>
      <c r="I447" s="59"/>
      <c r="J447" s="59"/>
      <c r="K447" s="54"/>
    </row>
    <row r="448">
      <c r="A448" s="57"/>
      <c r="B448" s="57" t="str">
        <f>IFERROR(__xludf.DUMMYFUNCTION("""COMPUTED_VALUE"""),"Cleaning/disinfection [GENEPIO:0100541]    ")</f>
        <v>Cleaning/disinfection [GENEPIO:0100541]    </v>
      </c>
      <c r="C448" s="57" t="str">
        <f>IFERROR(__xludf.DUMMYFUNCTION("""COMPUTED_VALUE"""),"GENEPIO:0100541")</f>
        <v>GENEPIO:0100541</v>
      </c>
      <c r="D448" s="58" t="str">
        <f>IFERROR(__xludf.DUMMYFUNCTION("""COMPUTED_VALUE"""),"A process of removing unwanted substances, such as dirt, infectious agents, and other impurities, from an object or environment.")</f>
        <v>A process of removing unwanted substances, such as dirt, infectious agents, and other impurities, from an object or environment.</v>
      </c>
      <c r="E448" s="56"/>
      <c r="F448" s="54"/>
      <c r="G448" s="54"/>
      <c r="H448" s="59"/>
      <c r="I448" s="59"/>
      <c r="J448" s="59"/>
      <c r="K448" s="54"/>
    </row>
    <row r="449">
      <c r="A449" s="57"/>
      <c r="B449" s="57" t="str">
        <f>IFERROR(__xludf.DUMMYFUNCTION("""COMPUTED_VALUE"""),"Extended downtime between activities [GENEPIO:0100542]    ")</f>
        <v>Extended downtime between activities [GENEPIO:0100542]    </v>
      </c>
      <c r="C449" s="57" t="str">
        <f>IFERROR(__xludf.DUMMYFUNCTION("""COMPUTED_VALUE"""),"GENEPIO:0100542")</f>
        <v>GENEPIO:0100542</v>
      </c>
      <c r="D449" s="58" t="str">
        <f>IFERROR(__xludf.DUMMYFUNCTION("""COMPUTED_VALUE"""),"A prolonged period of inactivity between processes or events.")</f>
        <v>A prolonged period of inactivity between processes or events.</v>
      </c>
      <c r="E449" s="56"/>
      <c r="F449" s="54"/>
      <c r="G449" s="54"/>
      <c r="H449" s="59"/>
      <c r="I449" s="59"/>
      <c r="J449" s="59"/>
      <c r="K449" s="54"/>
    </row>
    <row r="450">
      <c r="A450" s="57"/>
      <c r="B450" s="57" t="str">
        <f>IFERROR(__xludf.DUMMYFUNCTION("""COMPUTED_VALUE"""),"Microbial pre-treatment [GENEPIO:0100546]    ")</f>
        <v>Microbial pre-treatment [GENEPIO:0100546]    </v>
      </c>
      <c r="C450" s="57" t="str">
        <f>IFERROR(__xludf.DUMMYFUNCTION("""COMPUTED_VALUE"""),"GENEPIO:0100546")</f>
        <v>GENEPIO:0100546</v>
      </c>
      <c r="D450" s="58" t="str">
        <f>IFERROR(__xludf.DUMMYFUNCTION("""COMPUTED_VALUE"""),"The deliberate addition of microbes or a mixture of microbes to an individual or substance prior to some other event or activity.")</f>
        <v>The deliberate addition of microbes or a mixture of microbes to an individual or substance prior to some other event or activity.</v>
      </c>
      <c r="E450" s="56"/>
      <c r="F450" s="54"/>
      <c r="G450" s="54"/>
      <c r="H450" s="59"/>
      <c r="I450" s="59"/>
      <c r="J450" s="59"/>
      <c r="K450" s="54"/>
    </row>
    <row r="451">
      <c r="A451" s="57"/>
      <c r="B451" s="57" t="str">
        <f>IFERROR(__xludf.DUMMYFUNCTION("""COMPUTED_VALUE"""),"Probiotic pre-treatment [GENEPIO:0100547]    ")</f>
        <v>Probiotic pre-treatment [GENEPIO:0100547]    </v>
      </c>
      <c r="C451" s="57" t="str">
        <f>IFERROR(__xludf.DUMMYFUNCTION("""COMPUTED_VALUE"""),"GENEPIO:0100547")</f>
        <v>GENEPIO:0100547</v>
      </c>
      <c r="D451" s="58" t="str">
        <f>IFERROR(__xludf.DUMMYFUNCTION("""COMPUTED_VALUE"""),"The addition of a probiotic substance to an individual or material prior to some other event or activity.")</f>
        <v>The addition of a probiotic substance to an individual or material prior to some other event or activity.</v>
      </c>
      <c r="E451" s="56"/>
      <c r="F451" s="54"/>
      <c r="G451" s="54"/>
      <c r="H451" s="59"/>
      <c r="I451" s="59"/>
      <c r="J451" s="59"/>
      <c r="K451" s="54"/>
    </row>
    <row r="452">
      <c r="A452" s="57"/>
      <c r="B452" s="57" t="str">
        <f>IFERROR(__xludf.DUMMYFUNCTION("""COMPUTED_VALUE"""),"Vaccination [NCIT:C15346]    ")</f>
        <v>Vaccination [NCIT:C15346]    </v>
      </c>
      <c r="C452" s="57" t="str">
        <f>IFERROR(__xludf.DUMMYFUNCTION("""COMPUTED_VALUE"""),"NCIT:C15346")</f>
        <v>NCIT:C15346</v>
      </c>
      <c r="D452" s="58" t="str">
        <f>IFERROR(__xludf.DUMMYFUNCTION("""COMPUTED_VALUE"""),"Administration of vaccines to stimulate the host's immune response. This includes any preparation intended for active immunological prophylaxis or treatment.")</f>
        <v>Administration of vaccines to stimulate the host's immune response. This includes any preparation intended for active immunological prophylaxis or treatment.</v>
      </c>
      <c r="E452" s="56"/>
      <c r="F452" s="54"/>
      <c r="G452" s="54"/>
      <c r="H452" s="54"/>
      <c r="I452" s="54"/>
      <c r="J452" s="54"/>
      <c r="K452" s="54"/>
    </row>
    <row r="453">
      <c r="A453" s="57" t="str">
        <f>IFERROR(__xludf.DUMMYFUNCTION("""COMPUTED_VALUE"""),"sample storage duration unit")</f>
        <v>sample storage duration unit</v>
      </c>
      <c r="B453" s="57" t="str">
        <f>IFERROR(__xludf.DUMMYFUNCTION("""COMPUTED_VALUE"""),"    ")</f>
        <v>    </v>
      </c>
      <c r="C453" s="57" t="str">
        <f>IFERROR(__xludf.DUMMYFUNCTION("""COMPUTED_VALUE"""),"")</f>
        <v/>
      </c>
      <c r="D453" s="58"/>
      <c r="E453" s="56"/>
      <c r="F453" s="54"/>
      <c r="G453" s="54"/>
      <c r="H453" s="59"/>
      <c r="I453" s="59"/>
      <c r="J453" s="59"/>
      <c r="K453" s="54"/>
    </row>
    <row r="454">
      <c r="A454" s="57"/>
      <c r="B454" s="57" t="str">
        <f>IFERROR(__xludf.DUMMYFUNCTION("""COMPUTED_VALUE"""),"Second [UO:0000010]    ")</f>
        <v>Second [UO:0000010]    </v>
      </c>
      <c r="C454" s="57" t="str">
        <f>IFERROR(__xludf.DUMMYFUNCTION("""COMPUTED_VALUE"""),"UO:0000010")</f>
        <v>UO:0000010</v>
      </c>
      <c r="D454" s="58" t="str">
        <f>IFERROR(__xludf.DUMMYFUNCTION("""COMPUTED_VALUE"""),"A time unit which is equal to the duration of 9 192 631 770 periods of the radiation corresponding to the transition between the two hyperfine levels of the ground state of the caesium 133 atom.")</f>
        <v>A time unit which is equal to the duration of 9 192 631 770 periods of the radiation corresponding to the transition between the two hyperfine levels of the ground state of the caesium 133 atom.</v>
      </c>
      <c r="E454" s="56"/>
      <c r="F454" s="54"/>
      <c r="G454" s="54"/>
      <c r="H454" s="59"/>
      <c r="I454" s="59"/>
      <c r="J454" s="59"/>
      <c r="K454" s="54"/>
    </row>
    <row r="455">
      <c r="A455" s="57"/>
      <c r="B455" s="57" t="str">
        <f>IFERROR(__xludf.DUMMYFUNCTION("""COMPUTED_VALUE"""),"Minute [UO:0000031]    ")</f>
        <v>Minute [UO:0000031]    </v>
      </c>
      <c r="C455" s="57" t="str">
        <f>IFERROR(__xludf.DUMMYFUNCTION("""COMPUTED_VALUE"""),"UO:0000031")</f>
        <v>UO:0000031</v>
      </c>
      <c r="D455" s="58" t="str">
        <f>IFERROR(__xludf.DUMMYFUNCTION("""COMPUTED_VALUE"""),"A time unit which is equal to 60 seconds.")</f>
        <v>A time unit which is equal to 60 seconds.</v>
      </c>
      <c r="E455" s="56"/>
      <c r="F455" s="54"/>
      <c r="G455" s="54"/>
      <c r="H455" s="59"/>
      <c r="I455" s="59"/>
      <c r="J455" s="59"/>
      <c r="K455" s="54"/>
    </row>
    <row r="456">
      <c r="A456" s="57"/>
      <c r="B456" s="57" t="str">
        <f>IFERROR(__xludf.DUMMYFUNCTION("""COMPUTED_VALUE"""),"Hour [UO:0000032]    ")</f>
        <v>Hour [UO:0000032]    </v>
      </c>
      <c r="C456" s="57" t="str">
        <f>IFERROR(__xludf.DUMMYFUNCTION("""COMPUTED_VALUE"""),"UO:0000032")</f>
        <v>UO:0000032</v>
      </c>
      <c r="D456" s="58" t="str">
        <f>IFERROR(__xludf.DUMMYFUNCTION("""COMPUTED_VALUE"""),"A time unit which is equal to 60 minutes.")</f>
        <v>A time unit which is equal to 60 minutes.</v>
      </c>
      <c r="E456" s="56"/>
      <c r="F456" s="54"/>
      <c r="G456" s="54"/>
      <c r="H456" s="59"/>
      <c r="I456" s="59"/>
      <c r="J456" s="59"/>
      <c r="K456" s="54"/>
    </row>
    <row r="457">
      <c r="A457" s="57"/>
      <c r="B457" s="57" t="str">
        <f>IFERROR(__xludf.DUMMYFUNCTION("""COMPUTED_VALUE"""),"Day [UO:0000033]    ")</f>
        <v>Day [UO:0000033]    </v>
      </c>
      <c r="C457" s="57" t="str">
        <f>IFERROR(__xludf.DUMMYFUNCTION("""COMPUTED_VALUE"""),"UO:0000033")</f>
        <v>UO:0000033</v>
      </c>
      <c r="D457" s="58" t="str">
        <f>IFERROR(__xludf.DUMMYFUNCTION("""COMPUTED_VALUE"""),"A time unit which is equal to 24 hours.")</f>
        <v>A time unit which is equal to 24 hours.</v>
      </c>
      <c r="E457" s="56"/>
      <c r="F457" s="54"/>
      <c r="G457" s="54"/>
      <c r="H457" s="59"/>
      <c r="I457" s="59"/>
      <c r="J457" s="59"/>
      <c r="K457" s="54"/>
    </row>
    <row r="458">
      <c r="A458" s="57"/>
      <c r="B458" s="57" t="str">
        <f>IFERROR(__xludf.DUMMYFUNCTION("""COMPUTED_VALUE"""),"Week [UO:0000034]    ")</f>
        <v>Week [UO:0000034]    </v>
      </c>
      <c r="C458" s="57" t="str">
        <f>IFERROR(__xludf.DUMMYFUNCTION("""COMPUTED_VALUE"""),"UO:0000034")</f>
        <v>UO:0000034</v>
      </c>
      <c r="D458" s="58" t="str">
        <f>IFERROR(__xludf.DUMMYFUNCTION("""COMPUTED_VALUE"""),"A time unit which is equal to 7 days.")</f>
        <v>A time unit which is equal to 7 days.</v>
      </c>
      <c r="E458" s="56"/>
      <c r="F458" s="54"/>
      <c r="G458" s="54"/>
      <c r="H458" s="59"/>
      <c r="I458" s="59"/>
      <c r="J458" s="59"/>
      <c r="K458" s="54"/>
    </row>
    <row r="459">
      <c r="A459" s="57"/>
      <c r="B459" s="57" t="str">
        <f>IFERROR(__xludf.DUMMYFUNCTION("""COMPUTED_VALUE"""),"Month [UO:0000035]    ")</f>
        <v>Month [UO:0000035]    </v>
      </c>
      <c r="C459" s="57" t="str">
        <f>IFERROR(__xludf.DUMMYFUNCTION("""COMPUTED_VALUE"""),"UO:0000035")</f>
        <v>UO:0000035</v>
      </c>
      <c r="D459" s="58" t="str">
        <f>IFERROR(__xludf.DUMMYFUNCTION("""COMPUTED_VALUE"""),"A time unit which is equal to approximately 4-4.5 weeks or 28-31 days.")</f>
        <v>A time unit which is equal to approximately 4-4.5 weeks or 28-31 days.</v>
      </c>
      <c r="E459" s="56"/>
      <c r="F459" s="54"/>
      <c r="G459" s="54"/>
      <c r="H459" s="59"/>
      <c r="I459" s="59"/>
      <c r="J459" s="59"/>
      <c r="K459" s="54"/>
    </row>
    <row r="460">
      <c r="A460" s="57"/>
      <c r="B460" s="57" t="str">
        <f>IFERROR(__xludf.DUMMYFUNCTION("""COMPUTED_VALUE"""),"Year [UO:0000036]    ")</f>
        <v>Year [UO:0000036]    </v>
      </c>
      <c r="C460" s="57" t="str">
        <f>IFERROR(__xludf.DUMMYFUNCTION("""COMPUTED_VALUE"""),"UO:0000036")</f>
        <v>UO:0000036</v>
      </c>
      <c r="D460" s="58" t="str">
        <f>IFERROR(__xludf.DUMMYFUNCTION("""COMPUTED_VALUE"""),"A time unit which is equal to 365 days, or 366 days during a leap year.")</f>
        <v>A time unit which is equal to 365 days, or 366 days during a leap year.</v>
      </c>
      <c r="E460" s="56"/>
      <c r="F460" s="54"/>
      <c r="G460" s="54"/>
      <c r="H460" s="54"/>
      <c r="I460" s="54"/>
      <c r="J460" s="54"/>
      <c r="K460" s="54"/>
    </row>
    <row r="461">
      <c r="A461" s="57" t="str">
        <f>IFERROR(__xludf.DUMMYFUNCTION("""COMPUTED_VALUE"""),"specimen processing")</f>
        <v>specimen processing</v>
      </c>
      <c r="B461" s="57" t="str">
        <f>IFERROR(__xludf.DUMMYFUNCTION("""COMPUTED_VALUE"""),"    ")</f>
        <v>    </v>
      </c>
      <c r="C461" s="57" t="str">
        <f>IFERROR(__xludf.DUMMYFUNCTION("""COMPUTED_VALUE"""),"")</f>
        <v/>
      </c>
      <c r="D461" s="58"/>
      <c r="E461" s="56"/>
      <c r="F461" s="54"/>
      <c r="G461" s="54"/>
      <c r="H461" s="59"/>
      <c r="I461" s="59"/>
      <c r="J461" s="59"/>
      <c r="K461" s="54"/>
    </row>
    <row r="462">
      <c r="A462" s="57"/>
      <c r="B462" s="57" t="str">
        <f>IFERROR(__xludf.DUMMYFUNCTION("""COMPUTED_VALUE"""),"Concentration [OBI:0600041]    ")</f>
        <v>Concentration [OBI:0600041]    </v>
      </c>
      <c r="C462" s="57" t="str">
        <f>IFERROR(__xludf.DUMMYFUNCTION("""COMPUTED_VALUE"""),"OBI:0600041")</f>
        <v>OBI:0600041</v>
      </c>
      <c r="D462" s="58" t="str">
        <f>IFERROR(__xludf.DUMMYFUNCTION("""COMPUTED_VALUE"""),"A process used to increase the density of a material of interest by removing other materials in the entity containing the material of interest.")</f>
        <v>A process used to increase the density of a material of interest by removing other materials in the entity containing the material of interest.</v>
      </c>
      <c r="E462" s="56"/>
      <c r="F462" s="54"/>
      <c r="G462" s="54"/>
      <c r="H462" s="59"/>
      <c r="I462" s="59"/>
      <c r="J462" s="59"/>
      <c r="K462" s="54"/>
    </row>
    <row r="463">
      <c r="A463" s="57"/>
      <c r="B463" s="57" t="str">
        <f>IFERROR(__xludf.DUMMYFUNCTION("""COMPUTED_VALUE"""),"Centrifugation [OBI:0302886]    ")</f>
        <v>Centrifugation [OBI:0302886]    </v>
      </c>
      <c r="C463" s="57" t="str">
        <f>IFERROR(__xludf.DUMMYFUNCTION("""COMPUTED_VALUE"""),"OBI:0302886")</f>
        <v>OBI:0302886</v>
      </c>
      <c r="D463" s="58" t="str">
        <f>IFERROR(__xludf.DUMMYFUNCTION("""COMPUTED_VALUE"""),"A process separating molecules by size or density using centrifugal forces generated by a spinning rotor.")</f>
        <v>A process separating molecules by size or density using centrifugal forces generated by a spinning rotor.</v>
      </c>
      <c r="E463" s="56"/>
      <c r="F463" s="54"/>
      <c r="G463" s="54"/>
      <c r="H463" s="59"/>
      <c r="I463" s="59"/>
      <c r="J463" s="59"/>
      <c r="K463" s="54"/>
    </row>
    <row r="464">
      <c r="A464" s="57"/>
      <c r="B464" s="57" t="str">
        <f>IFERROR(__xludf.DUMMYFUNCTION("""COMPUTED_VALUE"""),"Filtration [OBI:0302885]    ")</f>
        <v>Filtration [OBI:0302885]    </v>
      </c>
      <c r="C464" s="57" t="str">
        <f>IFERROR(__xludf.DUMMYFUNCTION("""COMPUTED_VALUE"""),"OBI:0302885")</f>
        <v>OBI:0302885</v>
      </c>
      <c r="D464" s="58" t="str">
        <f>IFERROR(__xludf.DUMMYFUNCTION("""COMPUTED_VALUE"""),"A process which separates components suspended in a fluid based on granularity properties relying on a filter device.")</f>
        <v>A process which separates components suspended in a fluid based on granularity properties relying on a filter device.</v>
      </c>
      <c r="E464" s="56"/>
      <c r="F464" s="54"/>
      <c r="G464" s="54"/>
      <c r="H464" s="59"/>
      <c r="I464" s="59"/>
      <c r="J464" s="59"/>
      <c r="K464" s="54"/>
    </row>
    <row r="465">
      <c r="A465" s="57"/>
      <c r="B465" s="57" t="str">
        <f>IFERROR(__xludf.DUMMYFUNCTION("""COMPUTED_VALUE"""),"Pooling specimens [OBI:0600016]    ")</f>
        <v>Pooling specimens [OBI:0600016]    </v>
      </c>
      <c r="C465" s="57" t="str">
        <f>IFERROR(__xludf.DUMMYFUNCTION("""COMPUTED_VALUE"""),"OBI:0600016")</f>
        <v>OBI:0600016</v>
      </c>
      <c r="D465" s="58" t="str">
        <f>IFERROR(__xludf.DUMMYFUNCTION("""COMPUTED_VALUE"""),"Physical combination of several instances of like material.")</f>
        <v>Physical combination of several instances of like material.</v>
      </c>
      <c r="E465" s="56"/>
      <c r="F465" s="54"/>
      <c r="G465" s="54"/>
      <c r="H465" s="54"/>
      <c r="I465" s="54"/>
      <c r="J465" s="54"/>
      <c r="K465" s="54"/>
    </row>
    <row r="466">
      <c r="A466" s="57" t="str">
        <f>IFERROR(__xludf.DUMMYFUNCTION("""COMPUTED_VALUE"""),"experimental specimen role type")</f>
        <v>experimental specimen role type</v>
      </c>
      <c r="B466" s="57" t="str">
        <f>IFERROR(__xludf.DUMMYFUNCTION("""COMPUTED_VALUE"""),"    ")</f>
        <v>    </v>
      </c>
      <c r="C466" s="57" t="str">
        <f>IFERROR(__xludf.DUMMYFUNCTION("""COMPUTED_VALUE"""),"")</f>
        <v/>
      </c>
      <c r="D466" s="58"/>
      <c r="E466" s="56"/>
      <c r="F466" s="54"/>
      <c r="G466" s="54"/>
      <c r="H466" s="59"/>
      <c r="I466" s="59"/>
      <c r="J466" s="59"/>
      <c r="K466" s="54"/>
    </row>
    <row r="467">
      <c r="A467" s="57"/>
      <c r="B467" s="57" t="str">
        <f>IFERROR(__xludf.DUMMYFUNCTION("""COMPUTED_VALUE"""),"Positive experimental control [GENEPIO:0101018]    ")</f>
        <v>Positive experimental control [GENEPIO:0101018]    </v>
      </c>
      <c r="C467" s="57" t="str">
        <f>IFERROR(__xludf.DUMMYFUNCTION("""COMPUTED_VALUE"""),"GENEPIO:0101018")</f>
        <v>GENEPIO:0101018</v>
      </c>
      <c r="D467" s="58" t="str">
        <f>IFERROR(__xludf.DUMMYFUNCTION("""COMPUTED_VALUE"""),"A control specimen that is expected to yield a positive result, to establish a reference baseline for an experiment.")</f>
        <v>A control specimen that is expected to yield a positive result, to establish a reference baseline for an experiment.</v>
      </c>
      <c r="E467" s="56"/>
      <c r="F467" s="54"/>
      <c r="G467" s="54"/>
      <c r="H467" s="59"/>
      <c r="I467" s="59"/>
      <c r="J467" s="59"/>
      <c r="K467" s="54"/>
    </row>
    <row r="468">
      <c r="A468" s="57"/>
      <c r="B468" s="57" t="str">
        <f>IFERROR(__xludf.DUMMYFUNCTION("""COMPUTED_VALUE""")," Validation strain [GENEPIO:0101123]   ")</f>
        <v> Validation strain [GENEPIO:0101123]   </v>
      </c>
      <c r="C468" s="57" t="str">
        <f>IFERROR(__xludf.DUMMYFUNCTION("""COMPUTED_VALUE"""),"GENEPIO:0101123")</f>
        <v>GENEPIO:0101123</v>
      </c>
      <c r="D468" s="58"/>
      <c r="E468" s="56"/>
      <c r="F468" s="54"/>
      <c r="G468" s="54"/>
      <c r="H468" s="59"/>
      <c r="I468" s="59"/>
      <c r="J468" s="59"/>
      <c r="K468" s="54"/>
    </row>
    <row r="469">
      <c r="A469" s="57"/>
      <c r="B469" s="57" t="str">
        <f>IFERROR(__xludf.DUMMYFUNCTION("""COMPUTED_VALUE""")," Proficiency test isolate [GENEPIO:0101124]   ")</f>
        <v> Proficiency test isolate [GENEPIO:0101124]   </v>
      </c>
      <c r="C469" s="57" t="str">
        <f>IFERROR(__xludf.DUMMYFUNCTION("""COMPUTED_VALUE"""),"GENEPIO:0101124")</f>
        <v>GENEPIO:0101124</v>
      </c>
      <c r="D469" s="58"/>
      <c r="E469" s="56"/>
      <c r="F469" s="54"/>
      <c r="G469" s="54"/>
      <c r="H469" s="59"/>
      <c r="I469" s="59"/>
      <c r="J469" s="59"/>
      <c r="K469" s="54"/>
    </row>
    <row r="470">
      <c r="A470" s="57"/>
      <c r="B470" s="57" t="str">
        <f>IFERROR(__xludf.DUMMYFUNCTION("""COMPUTED_VALUE"""),"Negative experimental control [GENEPIO:0101019]    ")</f>
        <v>Negative experimental control [GENEPIO:0101019]    </v>
      </c>
      <c r="C470" s="57" t="str">
        <f>IFERROR(__xludf.DUMMYFUNCTION("""COMPUTED_VALUE"""),"GENEPIO:0101019")</f>
        <v>GENEPIO:0101019</v>
      </c>
      <c r="D470" s="58" t="str">
        <f>IFERROR(__xludf.DUMMYFUNCTION("""COMPUTED_VALUE"""),"A control specimen that is expected to yield a negative result, to establish a reference baseline for an experiment")</f>
        <v>A control specimen that is expected to yield a negative result, to establish a reference baseline for an experiment</v>
      </c>
      <c r="E470" s="56"/>
      <c r="F470" s="54"/>
      <c r="G470" s="54"/>
      <c r="H470" s="59"/>
      <c r="I470" s="59"/>
      <c r="J470" s="59"/>
      <c r="K470" s="54"/>
    </row>
    <row r="471">
      <c r="A471" s="57"/>
      <c r="B471" s="57" t="str">
        <f>IFERROR(__xludf.DUMMYFUNCTION("""COMPUTED_VALUE"""),"Technical replicate [EFO:0002090]    ")</f>
        <v>Technical replicate [EFO:0002090]    </v>
      </c>
      <c r="C471" s="57" t="str">
        <f>IFERROR(__xludf.DUMMYFUNCTION("""COMPUTED_VALUE"""),"EFO:0002090")</f>
        <v>EFO:0002090</v>
      </c>
      <c r="D471" s="58" t="str">
        <f>IFERROR(__xludf.DUMMYFUNCTION("""COMPUTED_VALUE"""),"A technical replicate is a replicate role where the same BioSample is use e.g. the same pool of RNA used to assess technical (as opposed to biological) variation within an experiment.")</f>
        <v>A technical replicate is a replicate role where the same BioSample is use e.g. the same pool of RNA used to assess technical (as opposed to biological) variation within an experiment.</v>
      </c>
      <c r="E471" s="56"/>
      <c r="F471" s="54"/>
      <c r="G471" s="54"/>
      <c r="H471" s="59"/>
      <c r="I471" s="59"/>
      <c r="J471" s="59"/>
      <c r="K471" s="54"/>
    </row>
    <row r="472">
      <c r="A472" s="57"/>
      <c r="B472" s="57" t="str">
        <f>IFERROR(__xludf.DUMMYFUNCTION("""COMPUTED_VALUE"""),"Biological replicate [EFO:0002091]    ")</f>
        <v>Biological replicate [EFO:0002091]    </v>
      </c>
      <c r="C472" s="57" t="str">
        <f>IFERROR(__xludf.DUMMYFUNCTION("""COMPUTED_VALUE"""),"EFO:0002091")</f>
        <v>EFO:0002091</v>
      </c>
      <c r="D472" s="58" t="str">
        <f>IFERROR(__xludf.DUMMYFUNCTION("""COMPUTED_VALUE"""),"A biological replicate is a replicate role that consists of independent biological replicates made from different individual biosamples.")</f>
        <v>A biological replicate is a replicate role that consists of independent biological replicates made from different individual biosamples.</v>
      </c>
      <c r="E472" s="56"/>
      <c r="F472" s="54"/>
      <c r="G472" s="54"/>
      <c r="H472" s="59"/>
      <c r="I472" s="59"/>
      <c r="J472" s="59"/>
      <c r="K472" s="54"/>
    </row>
    <row r="473">
      <c r="A473" s="57"/>
      <c r="B473" s="57" t="str">
        <f>IFERROR(__xludf.DUMMYFUNCTION("""COMPUTED_VALUE"""),"Synthetic lab construct [GENEPIO:0101039]    ")</f>
        <v>Synthetic lab construct [GENEPIO:0101039]    </v>
      </c>
      <c r="C473" s="57" t="str">
        <f>IFERROR(__xludf.DUMMYFUNCTION("""COMPUTED_VALUE"""),"GENEPIO:0101039")</f>
        <v>GENEPIO:0101039</v>
      </c>
      <c r="D473" s="58"/>
      <c r="E473" s="56"/>
      <c r="F473" s="54"/>
      <c r="G473" s="54"/>
      <c r="H473" s="59"/>
      <c r="I473" s="59"/>
      <c r="J473" s="59"/>
      <c r="K473" s="54"/>
    </row>
    <row r="474">
      <c r="A474" s="57"/>
      <c r="B474" s="57" t="str">
        <f>IFERROR(__xludf.DUMMYFUNCTION("""COMPUTED_VALUE"""),"Negative sample [GENEPIO:0101120]    ")</f>
        <v>Negative sample [GENEPIO:0101120]    </v>
      </c>
      <c r="C474" s="57" t="str">
        <f>IFERROR(__xludf.DUMMYFUNCTION("""COMPUTED_VALUE"""),"GENEPIO:0101120")</f>
        <v>GENEPIO:0101120</v>
      </c>
      <c r="D474" s="58"/>
      <c r="E474" s="56"/>
      <c r="F474" s="54"/>
      <c r="G474" s="54"/>
      <c r="K474" s="54"/>
    </row>
    <row r="475">
      <c r="A475" s="57" t="str">
        <f>IFERROR(__xludf.DUMMYFUNCTION("""COMPUTED_VALUE"""),"available_data_types menu")</f>
        <v>available_data_types menu</v>
      </c>
      <c r="B475" s="57" t="str">
        <f>IFERROR(__xludf.DUMMYFUNCTION("""COMPUTED_VALUE"""),"    ")</f>
        <v>    </v>
      </c>
      <c r="C475" s="57" t="str">
        <f>IFERROR(__xludf.DUMMYFUNCTION("""COMPUTED_VALUE"""),"")</f>
        <v/>
      </c>
      <c r="D475" s="58"/>
      <c r="E475" s="56"/>
      <c r="F475" s="54"/>
      <c r="G475" s="54"/>
      <c r="H475" s="59"/>
      <c r="I475" s="59"/>
      <c r="J475" s="59"/>
      <c r="K475" s="54"/>
    </row>
    <row r="476">
      <c r="A476" s="57"/>
      <c r="B476" s="57" t="str">
        <f>IFERROR(__xludf.DUMMYFUNCTION("""COMPUTED_VALUE"""),"Documentation [GENEPIO:0100702]    ")</f>
        <v>Documentation [GENEPIO:0100702]    </v>
      </c>
      <c r="C476" s="57" t="str">
        <f>IFERROR(__xludf.DUMMYFUNCTION("""COMPUTED_VALUE"""),"GENEPIO:0100702")</f>
        <v>GENEPIO:0100702</v>
      </c>
      <c r="D476" s="58" t="str">
        <f>IFERROR(__xludf.DUMMYFUNCTION("""COMPUTED_VALUE"""),"A dataset attribute bundle which indicates the presence of documentation data.")</f>
        <v>A dataset attribute bundle which indicates the presence of documentation data.</v>
      </c>
      <c r="E476" s="56"/>
      <c r="F476" s="54"/>
      <c r="G476" s="54"/>
      <c r="H476" s="59"/>
      <c r="I476" s="59"/>
      <c r="J476" s="59"/>
      <c r="K476" s="54"/>
    </row>
    <row r="477">
      <c r="A477" s="57"/>
      <c r="B477" s="57" t="str">
        <f>IFERROR(__xludf.DUMMYFUNCTION("""COMPUTED_VALUE""")," Experimental parameters documentation [GENEPIO:0100703]   ")</f>
        <v> Experimental parameters documentation [GENEPIO:0100703]   </v>
      </c>
      <c r="C477" s="57" t="str">
        <f>IFERROR(__xludf.DUMMYFUNCTION("""COMPUTED_VALUE"""),"GENEPIO:0100703")</f>
        <v>GENEPIO:0100703</v>
      </c>
      <c r="D477" s="58" t="str">
        <f>IFERROR(__xludf.DUMMYFUNCTION("""COMPUTED_VALUE"""),"A documentation data tag which indicates the presence of data that describes experimental parameters.")</f>
        <v>A documentation data tag which indicates the presence of data that describes experimental parameters.</v>
      </c>
      <c r="E477" s="56"/>
      <c r="F477" s="54"/>
      <c r="G477" s="54"/>
      <c r="H477" s="59"/>
      <c r="I477" s="59"/>
      <c r="J477" s="59"/>
      <c r="K477" s="54"/>
    </row>
    <row r="478">
      <c r="A478" s="57"/>
      <c r="B478" s="57" t="str">
        <f>IFERROR(__xludf.DUMMYFUNCTION("""COMPUTED_VALUE""")," Feed history [GENEPIO:0100704]   ")</f>
        <v> Feed history [GENEPIO:0100704]   </v>
      </c>
      <c r="C478" s="57" t="str">
        <f>IFERROR(__xludf.DUMMYFUNCTION("""COMPUTED_VALUE"""),"GENEPIO:0100704")</f>
        <v>GENEPIO:0100704</v>
      </c>
      <c r="D478" s="58" t="str">
        <f>IFERROR(__xludf.DUMMYFUNCTION("""COMPUTED_VALUE"""),"A documentation data tag which indicates the presence of data that describes feed history.")</f>
        <v>A documentation data tag which indicates the presence of data that describes feed history.</v>
      </c>
      <c r="E478" s="56"/>
      <c r="F478" s="54"/>
      <c r="G478" s="54"/>
      <c r="H478" s="59"/>
      <c r="I478" s="59"/>
      <c r="J478" s="59"/>
      <c r="K478" s="54"/>
    </row>
    <row r="479">
      <c r="A479" s="57"/>
      <c r="B479" s="57" t="str">
        <f>IFERROR(__xludf.DUMMYFUNCTION("""COMPUTED_VALUE""")," Land use information [GENEPIO:0100705]   ")</f>
        <v> Land use information [GENEPIO:0100705]   </v>
      </c>
      <c r="C479" s="57" t="str">
        <f>IFERROR(__xludf.DUMMYFUNCTION("""COMPUTED_VALUE"""),"GENEPIO:0100705")</f>
        <v>GENEPIO:0100705</v>
      </c>
      <c r="D479" s="58" t="str">
        <f>IFERROR(__xludf.DUMMYFUNCTION("""COMPUTED_VALUE"""),"A documentation data tag which indicates the presence of data that describes land use information.")</f>
        <v>A documentation data tag which indicates the presence of data that describes land use information.</v>
      </c>
      <c r="E479" s="56"/>
      <c r="F479" s="54"/>
      <c r="G479" s="54"/>
      <c r="H479" s="59"/>
      <c r="I479" s="59"/>
      <c r="J479" s="59"/>
      <c r="K479" s="54"/>
    </row>
    <row r="480">
      <c r="A480" s="57"/>
      <c r="B480" s="57" t="str">
        <f>IFERROR(__xludf.DUMMYFUNCTION("""COMPUTED_VALUE""")," Therapeutic administration history  [GENEPIO:0100706]   ")</f>
        <v> Therapeutic administration history  [GENEPIO:0100706]   </v>
      </c>
      <c r="C480" s="57" t="str">
        <f>IFERROR(__xludf.DUMMYFUNCTION("""COMPUTED_VALUE"""),"GENEPIO:0100706")</f>
        <v>GENEPIO:0100706</v>
      </c>
      <c r="D480" s="58" t="str">
        <f>IFERROR(__xludf.DUMMYFUNCTION("""COMPUTED_VALUE"""),"A documentation data tag which indicates the presence of data that describes a history of therapeutic administration.")</f>
        <v>A documentation data tag which indicates the presence of data that describes a history of therapeutic administration.</v>
      </c>
      <c r="E480" s="56"/>
      <c r="F480" s="54"/>
      <c r="G480" s="54"/>
      <c r="H480" s="59"/>
      <c r="I480" s="59"/>
      <c r="J480" s="59"/>
      <c r="K480" s="54"/>
    </row>
    <row r="481">
      <c r="A481" s="57"/>
      <c r="B481" s="57" t="str">
        <f>IFERROR(__xludf.DUMMYFUNCTION("""COMPUTED_VALUE"""),"Chemical characterization [GENEPIO:0100707]    ")</f>
        <v>Chemical characterization [GENEPIO:0100707]    </v>
      </c>
      <c r="C481" s="57" t="str">
        <f>IFERROR(__xludf.DUMMYFUNCTION("""COMPUTED_VALUE"""),"GENEPIO:0100707")</f>
        <v>GENEPIO:0100707</v>
      </c>
      <c r="D481" s="58" t="str">
        <f>IFERROR(__xludf.DUMMYFUNCTION("""COMPUTED_VALUE"""),"A dataset attribute bundle which indicates the presence of chemical characterization data.")</f>
        <v>A dataset attribute bundle which indicates the presence of chemical characterization data.</v>
      </c>
      <c r="E481" s="56"/>
      <c r="F481" s="54"/>
      <c r="G481" s="54"/>
      <c r="H481" s="59"/>
      <c r="I481" s="59"/>
      <c r="J481" s="59"/>
      <c r="K481" s="54"/>
    </row>
    <row r="482">
      <c r="A482" s="57"/>
      <c r="B482" s="57" t="str">
        <f>IFERROR(__xludf.DUMMYFUNCTION("""COMPUTED_VALUE"""),"Microbiological characterization [GENEPIO:0100714]    ")</f>
        <v>Microbiological characterization [GENEPIO:0100714]    </v>
      </c>
      <c r="C482" s="57" t="str">
        <f>IFERROR(__xludf.DUMMYFUNCTION("""COMPUTED_VALUE"""),"GENEPIO:0100714")</f>
        <v>GENEPIO:0100714</v>
      </c>
      <c r="D482" s="58" t="str">
        <f>IFERROR(__xludf.DUMMYFUNCTION("""COMPUTED_VALUE"""),"A dataset attribute bundle which indicates the presence of microbiological characterization data.")</f>
        <v>A dataset attribute bundle which indicates the presence of microbiological characterization data.</v>
      </c>
      <c r="E482" s="56"/>
      <c r="F482" s="54"/>
      <c r="G482" s="54"/>
      <c r="H482" s="59"/>
      <c r="I482" s="59"/>
      <c r="J482" s="59"/>
      <c r="K482" s="54"/>
    </row>
    <row r="483">
      <c r="A483" s="57"/>
      <c r="B483" s="57" t="str">
        <f>IFERROR(__xludf.DUMMYFUNCTION("""COMPUTED_VALUE""")," Microbiological identification [GENEPIO:0100715]   ")</f>
        <v> Microbiological identification [GENEPIO:0100715]   </v>
      </c>
      <c r="C483" s="57" t="str">
        <f>IFERROR(__xludf.DUMMYFUNCTION("""COMPUTED_VALUE"""),"GENEPIO:0100715")</f>
        <v>GENEPIO:0100715</v>
      </c>
      <c r="D483" s="58" t="str">
        <f>IFERROR(__xludf.DUMMYFUNCTION("""COMPUTED_VALUE"""),"A microbiological characterization data tag which indicates the presence of microbiological identification data.")</f>
        <v>A microbiological characterization data tag which indicates the presence of microbiological identification data.</v>
      </c>
      <c r="E483" s="56"/>
      <c r="F483" s="54"/>
      <c r="G483" s="54"/>
      <c r="H483" s="59"/>
      <c r="I483" s="59"/>
      <c r="J483" s="59"/>
      <c r="K483" s="54"/>
    </row>
    <row r="484">
      <c r="A484" s="57"/>
      <c r="B484" s="57" t="str">
        <f>IFERROR(__xludf.DUMMYFUNCTION("""COMPUTED_VALUE"""),"  Microbiological identification (Beckson Dickson BBL Crystal) [GENEPIO:0100716]  ")</f>
        <v>  Microbiological identification (Beckson Dickson BBL Crystal) [GENEPIO:0100716]  </v>
      </c>
      <c r="C484" s="57" t="str">
        <f>IFERROR(__xludf.DUMMYFUNCTION("""COMPUTED_VALUE"""),"GENEPIO:0100716")</f>
        <v>GENEPIO:0100716</v>
      </c>
      <c r="D484" s="58" t="str">
        <f>IFERROR(__xludf.DUMMYFUNCTION("""COMPUTED_VALUE"""),"A microbiological characterization data tag which indicates the presence of microbiological identification data derived using the Beckson Dickson BBL Crystal identification system.")</f>
        <v>A microbiological characterization data tag which indicates the presence of microbiological identification data derived using the Beckson Dickson BBL Crystal identification system.</v>
      </c>
      <c r="E484" s="56"/>
      <c r="F484" s="54"/>
      <c r="G484" s="54"/>
      <c r="H484" s="59"/>
      <c r="I484" s="59"/>
      <c r="J484" s="59"/>
      <c r="K484" s="54"/>
    </row>
    <row r="485">
      <c r="A485" s="57"/>
      <c r="B485" s="57" t="str">
        <f>IFERROR(__xludf.DUMMYFUNCTION("""COMPUTED_VALUE"""),"  Microbiological identification (bioMérieux API) [GENEPIO:0100717]  ")</f>
        <v>  Microbiological identification (bioMérieux API) [GENEPIO:0100717]  </v>
      </c>
      <c r="C485" s="57" t="str">
        <f>IFERROR(__xludf.DUMMYFUNCTION("""COMPUTED_VALUE"""),"GENEPIO:0100717")</f>
        <v>GENEPIO:0100717</v>
      </c>
      <c r="D485" s="58" t="str">
        <f>IFERROR(__xludf.DUMMYFUNCTION("""COMPUTED_VALUE"""),"A microbiological characterization data tag which indicates the presence of microbiological identification data dervied using the bioMérieux API identification system.")</f>
        <v>A microbiological characterization data tag which indicates the presence of microbiological identification data dervied using the bioMérieux API identification system.</v>
      </c>
      <c r="E485" s="56"/>
      <c r="F485" s="54"/>
      <c r="G485" s="54"/>
      <c r="H485" s="59"/>
      <c r="I485" s="59"/>
      <c r="J485" s="59"/>
      <c r="K485" s="54"/>
    </row>
    <row r="486">
      <c r="A486" s="57"/>
      <c r="B486" s="57" t="str">
        <f>IFERROR(__xludf.DUMMYFUNCTION("""COMPUTED_VALUE"""),"  Microbiological identification (Biolog) [GENEPIO:0100718]  ")</f>
        <v>  Microbiological identification (Biolog) [GENEPIO:0100718]  </v>
      </c>
      <c r="C486" s="57" t="str">
        <f>IFERROR(__xludf.DUMMYFUNCTION("""COMPUTED_VALUE"""),"GENEPIO:0100718")</f>
        <v>GENEPIO:0100718</v>
      </c>
      <c r="D486" s="58" t="str">
        <f>IFERROR(__xludf.DUMMYFUNCTION("""COMPUTED_VALUE"""),"A microbiological characterization data tag which indicates the presence of microbiological identification data derived using the Biolog identification system.")</f>
        <v>A microbiological characterization data tag which indicates the presence of microbiological identification data derived using the Biolog identification system.</v>
      </c>
      <c r="E486" s="56"/>
      <c r="F486" s="54"/>
      <c r="G486" s="54"/>
      <c r="H486" s="59"/>
      <c r="I486" s="59"/>
      <c r="J486" s="59"/>
      <c r="K486" s="54"/>
    </row>
    <row r="487">
      <c r="A487" s="57"/>
      <c r="B487" s="57" t="str">
        <f>IFERROR(__xludf.DUMMYFUNCTION("""COMPUTED_VALUE"""),"  Microbiological identification (FAME) [GENEPIO:0100719]  ")</f>
        <v>  Microbiological identification (FAME) [GENEPIO:0100719]  </v>
      </c>
      <c r="C487" s="57" t="str">
        <f>IFERROR(__xludf.DUMMYFUNCTION("""COMPUTED_VALUE"""),"GENEPIO:0100719")</f>
        <v>GENEPIO:0100719</v>
      </c>
      <c r="D487" s="58" t="str">
        <f>IFERROR(__xludf.DUMMYFUNCTION("""COMPUTED_VALUE"""),"A microbiological characterization data tag which indicates the presence of microbiological identification data derived using the Fatty acid methyl esters (FAME) identification system.")</f>
        <v>A microbiological characterization data tag which indicates the presence of microbiological identification data derived using the Fatty acid methyl esters (FAME) identification system.</v>
      </c>
      <c r="E487" s="56"/>
      <c r="F487" s="54"/>
      <c r="G487" s="54"/>
      <c r="H487" s="59"/>
      <c r="I487" s="59"/>
      <c r="J487" s="59"/>
      <c r="K487" s="54"/>
    </row>
    <row r="488">
      <c r="A488" s="57"/>
      <c r="B488" s="57" t="str">
        <f>IFERROR(__xludf.DUMMYFUNCTION("""COMPUTED_VALUE"""),"  Microbiological identification (Sensititre) [GENEPIO:0100720]  ")</f>
        <v>  Microbiological identification (Sensititre) [GENEPIO:0100720]  </v>
      </c>
      <c r="C488" s="57" t="str">
        <f>IFERROR(__xludf.DUMMYFUNCTION("""COMPUTED_VALUE"""),"GENEPIO:0100720")</f>
        <v>GENEPIO:0100720</v>
      </c>
      <c r="D488" s="58" t="str">
        <f>IFERROR(__xludf.DUMMYFUNCTION("""COMPUTED_VALUE"""),"A microbiological characterization data tag which indicates the presence of microbiological identification data derived using the Sensititre identification system.")</f>
        <v>A microbiological characterization data tag which indicates the presence of microbiological identification data derived using the Sensititre identification system.</v>
      </c>
      <c r="E488" s="56"/>
      <c r="F488" s="54"/>
      <c r="G488" s="54"/>
      <c r="H488" s="59"/>
      <c r="I488" s="59"/>
      <c r="J488" s="59"/>
      <c r="K488" s="54"/>
    </row>
    <row r="489">
      <c r="A489" s="57"/>
      <c r="B489" s="57" t="str">
        <f>IFERROR(__xludf.DUMMYFUNCTION("""COMPUTED_VALUE"""),"  Microbiological identification (ViTek) [GENEPIO:0100721]  ")</f>
        <v>  Microbiological identification (ViTek) [GENEPIO:0100721]  </v>
      </c>
      <c r="C489" s="57" t="str">
        <f>IFERROR(__xludf.DUMMYFUNCTION("""COMPUTED_VALUE"""),"GENEPIO:0100721")</f>
        <v>GENEPIO:0100721</v>
      </c>
      <c r="D489" s="58" t="str">
        <f>IFERROR(__xludf.DUMMYFUNCTION("""COMPUTED_VALUE"""),"A microbiological characterization data tag which indicates the presence of microbiological identification data derived using the ViTek identification system.")</f>
        <v>A microbiological characterization data tag which indicates the presence of microbiological identification data derived using the ViTek identification system.</v>
      </c>
      <c r="E489" s="56"/>
      <c r="F489" s="54"/>
      <c r="G489" s="54"/>
      <c r="H489" s="59"/>
      <c r="I489" s="59"/>
      <c r="J489" s="59"/>
      <c r="K489" s="54"/>
    </row>
    <row r="490">
      <c r="A490" s="57"/>
      <c r="B490" s="57" t="str">
        <f>IFERROR(__xludf.DUMMYFUNCTION("""COMPUTED_VALUE"""),"  Phage type [GENEPIO:0100722]  ")</f>
        <v>  Phage type [GENEPIO:0100722]  </v>
      </c>
      <c r="C490" s="57" t="str">
        <f>IFERROR(__xludf.DUMMYFUNCTION("""COMPUTED_VALUE"""),"GENEPIO:0100722")</f>
        <v>GENEPIO:0100722</v>
      </c>
      <c r="D490" s="58" t="str">
        <f>IFERROR(__xludf.DUMMYFUNCTION("""COMPUTED_VALUE"""),"A microbiological characterization data tag which indicates the presence of microbiological identification data derived using phage type identification.")</f>
        <v>A microbiological characterization data tag which indicates the presence of microbiological identification data derived using phage type identification.</v>
      </c>
      <c r="E490" s="56"/>
      <c r="F490" s="54"/>
      <c r="G490" s="54"/>
      <c r="H490" s="59"/>
      <c r="I490" s="59"/>
      <c r="J490" s="59"/>
      <c r="K490" s="54"/>
    </row>
    <row r="491">
      <c r="A491" s="57"/>
      <c r="B491" s="57" t="str">
        <f>IFERROR(__xludf.DUMMYFUNCTION("""COMPUTED_VALUE"""),"  Serotype [GENEPIO:0100723]  ")</f>
        <v>  Serotype [GENEPIO:0100723]  </v>
      </c>
      <c r="C491" s="57" t="str">
        <f>IFERROR(__xludf.DUMMYFUNCTION("""COMPUTED_VALUE"""),"GENEPIO:0100723")</f>
        <v>GENEPIO:0100723</v>
      </c>
      <c r="D491" s="58" t="str">
        <f>IFERROR(__xludf.DUMMYFUNCTION("""COMPUTED_VALUE"""),"A microbiological characterization data tag which indicates the presence of microbiological identification data derived using serotype identification.")</f>
        <v>A microbiological characterization data tag which indicates the presence of microbiological identification data derived using serotype identification.</v>
      </c>
      <c r="E491" s="56"/>
      <c r="F491" s="54"/>
      <c r="G491" s="54"/>
      <c r="H491" s="59"/>
      <c r="I491" s="59"/>
      <c r="J491" s="59"/>
      <c r="K491" s="54"/>
    </row>
    <row r="492">
      <c r="A492" s="57"/>
      <c r="B492" s="57" t="str">
        <f>IFERROR(__xludf.DUMMYFUNCTION("""COMPUTED_VALUE""")," Phenotypic microbiological characterization [GENEPIO:0100724]   ")</f>
        <v> Phenotypic microbiological characterization [GENEPIO:0100724]   </v>
      </c>
      <c r="C492" s="57" t="str">
        <f>IFERROR(__xludf.DUMMYFUNCTION("""COMPUTED_VALUE"""),"GENEPIO:0100724")</f>
        <v>GENEPIO:0100724</v>
      </c>
      <c r="D492" s="58" t="str">
        <f>IFERROR(__xludf.DUMMYFUNCTION("""COMPUTED_VALUE"""),"A microbiological characterization data tag which indicates the presence of phenotypic microbiological characterization data.")</f>
        <v>A microbiological characterization data tag which indicates the presence of phenotypic microbiological characterization data.</v>
      </c>
      <c r="E492" s="56"/>
      <c r="F492" s="54"/>
      <c r="G492" s="54"/>
      <c r="H492" s="59"/>
      <c r="I492" s="59"/>
      <c r="J492" s="59"/>
      <c r="K492" s="54"/>
    </row>
    <row r="493">
      <c r="A493" s="57"/>
      <c r="B493" s="57" t="str">
        <f>IFERROR(__xludf.DUMMYFUNCTION("""COMPUTED_VALUE"""),"  AMR phenotypic testing [GENEPIO:0100725]  ")</f>
        <v>  AMR phenotypic testing [GENEPIO:0100725]  </v>
      </c>
      <c r="C493" s="57" t="str">
        <f>IFERROR(__xludf.DUMMYFUNCTION("""COMPUTED_VALUE"""),"GENEPIO:0100725")</f>
        <v>GENEPIO:0100725</v>
      </c>
      <c r="D493" s="58" t="str">
        <f>IFERROR(__xludf.DUMMYFUNCTION("""COMPUTED_VALUE"""),"A phenotypic microbiological characterization data tag which indicates the presence of antimicrobial resistance (AMR) phenotypic testing characterization data.")</f>
        <v>A phenotypic microbiological characterization data tag which indicates the presence of antimicrobial resistance (AMR) phenotypic testing characterization data.</v>
      </c>
      <c r="E493" s="56"/>
      <c r="F493" s="54"/>
      <c r="G493" s="54"/>
      <c r="H493" s="59"/>
      <c r="I493" s="59"/>
      <c r="J493" s="59"/>
      <c r="K493" s="54"/>
    </row>
    <row r="494">
      <c r="A494" s="57"/>
      <c r="B494" s="57" t="str">
        <f>IFERROR(__xludf.DUMMYFUNCTION("""COMPUTED_VALUE"""),"  Biolog phenotype microarray [GENEPIO:0100726]  ")</f>
        <v>  Biolog phenotype microarray [GENEPIO:0100726]  </v>
      </c>
      <c r="C494" s="57" t="str">
        <f>IFERROR(__xludf.DUMMYFUNCTION("""COMPUTED_VALUE"""),"GENEPIO:0100726")</f>
        <v>GENEPIO:0100726</v>
      </c>
      <c r="D494" s="58" t="str">
        <f>IFERROR(__xludf.DUMMYFUNCTION("""COMPUTED_VALUE"""),"A phenotypic microbiological characterization data tag which indicates the presence of biolog phenotype microarray characterization data.")</f>
        <v>A phenotypic microbiological characterization data tag which indicates the presence of biolog phenotype microarray characterization data.</v>
      </c>
      <c r="E494" s="56"/>
      <c r="F494" s="54"/>
      <c r="G494" s="54"/>
      <c r="H494" s="59"/>
      <c r="I494" s="59"/>
      <c r="J494" s="59"/>
      <c r="K494" s="54"/>
    </row>
    <row r="495">
      <c r="A495" s="57"/>
      <c r="B495" s="57" t="str">
        <f>IFERROR(__xludf.DUMMYFUNCTION("""COMPUTED_VALUE"""),"Microbiological quantification [GENEPIO:0100727]    ")</f>
        <v>Microbiological quantification [GENEPIO:0100727]    </v>
      </c>
      <c r="C495" s="57" t="str">
        <f>IFERROR(__xludf.DUMMYFUNCTION("""COMPUTED_VALUE"""),"GENEPIO:0100727")</f>
        <v>GENEPIO:0100727</v>
      </c>
      <c r="D495" s="58" t="str">
        <f>IFERROR(__xludf.DUMMYFUNCTION("""COMPUTED_VALUE"""),"A dataset attribute bundle which indicates the presence of microbiological quantification data.")</f>
        <v>A dataset attribute bundle which indicates the presence of microbiological quantification data.</v>
      </c>
      <c r="E495" s="56"/>
      <c r="F495" s="54"/>
      <c r="G495" s="54"/>
      <c r="H495" s="59"/>
      <c r="I495" s="59"/>
      <c r="J495" s="59"/>
      <c r="K495" s="54"/>
    </row>
    <row r="496">
      <c r="A496" s="57"/>
      <c r="B496" s="57" t="str">
        <f>IFERROR(__xludf.DUMMYFUNCTION("""COMPUTED_VALUE""")," Colony count [GENEPIO:0100728]   ")</f>
        <v> Colony count [GENEPIO:0100728]   </v>
      </c>
      <c r="C496" s="57" t="str">
        <f>IFERROR(__xludf.DUMMYFUNCTION("""COMPUTED_VALUE"""),"GENEPIO:0100728")</f>
        <v>GENEPIO:0100728</v>
      </c>
      <c r="D496" s="58" t="str">
        <f>IFERROR(__xludf.DUMMYFUNCTION("""COMPUTED_VALUE"""),"A microbiological quantification data tag which indicates the presence of colony count data.")</f>
        <v>A microbiological quantification data tag which indicates the presence of colony count data.</v>
      </c>
      <c r="E496" s="56"/>
      <c r="F496" s="54"/>
      <c r="G496" s="54"/>
      <c r="H496" s="59"/>
      <c r="I496" s="59"/>
      <c r="J496" s="59"/>
      <c r="K496" s="54"/>
    </row>
    <row r="497">
      <c r="A497" s="57"/>
      <c r="B497" s="57" t="str">
        <f>IFERROR(__xludf.DUMMYFUNCTION("""COMPUTED_VALUE"""),"  Total coliform count [GENEPIO:0100729]  ")</f>
        <v>  Total coliform count [GENEPIO:0100729]  </v>
      </c>
      <c r="C497" s="57" t="str">
        <f>IFERROR(__xludf.DUMMYFUNCTION("""COMPUTED_VALUE"""),"GENEPIO:0100729")</f>
        <v>GENEPIO:0100729</v>
      </c>
      <c r="D497" s="58" t="str">
        <f>IFERROR(__xludf.DUMMYFUNCTION("""COMPUTED_VALUE"""),"A colony count microbiological quantification data tag which indicates the presence of data that describes total colony count of coliforms.")</f>
        <v>A colony count microbiological quantification data tag which indicates the presence of data that describes total colony count of coliforms.</v>
      </c>
      <c r="E497" s="56"/>
      <c r="F497" s="54"/>
      <c r="G497" s="54"/>
      <c r="H497" s="59"/>
      <c r="I497" s="59"/>
      <c r="J497" s="59"/>
      <c r="K497" s="54"/>
    </row>
    <row r="498">
      <c r="A498" s="57"/>
      <c r="B498" s="57" t="str">
        <f>IFERROR(__xludf.DUMMYFUNCTION("""COMPUTED_VALUE"""),"  Total fecal coliform count [GENEPIO:0100730]  ")</f>
        <v>  Total fecal coliform count [GENEPIO:0100730]  </v>
      </c>
      <c r="C498" s="57" t="str">
        <f>IFERROR(__xludf.DUMMYFUNCTION("""COMPUTED_VALUE"""),"GENEPIO:0100730")</f>
        <v>GENEPIO:0100730</v>
      </c>
      <c r="D498" s="58" t="str">
        <f>IFERROR(__xludf.DUMMYFUNCTION("""COMPUTED_VALUE"""),"A colony count microbiological quantification data tag that indicates the presence of data which describes total colony count of fecal coliforms.")</f>
        <v>A colony count microbiological quantification data tag that indicates the presence of data which describes total colony count of fecal coliforms.</v>
      </c>
      <c r="E498" s="56"/>
      <c r="F498" s="54"/>
      <c r="G498" s="54"/>
      <c r="H498" s="59"/>
      <c r="I498" s="59"/>
      <c r="J498" s="59"/>
      <c r="K498" s="54"/>
    </row>
    <row r="499">
      <c r="A499" s="57"/>
      <c r="B499" s="57" t="str">
        <f>IFERROR(__xludf.DUMMYFUNCTION("""COMPUTED_VALUE""")," Infectivity assay [GENEPIO:0100731]   ")</f>
        <v> Infectivity assay [GENEPIO:0100731]   </v>
      </c>
      <c r="C499" s="57" t="str">
        <f>IFERROR(__xludf.DUMMYFUNCTION("""COMPUTED_VALUE"""),"GENEPIO:0100731")</f>
        <v>GENEPIO:0100731</v>
      </c>
      <c r="D499" s="58" t="str">
        <f>IFERROR(__xludf.DUMMYFUNCTION("""COMPUTED_VALUE"""),"A microbiological quantification data tag which indicates the presence of infectivity assay data.")</f>
        <v>A microbiological quantification data tag which indicates the presence of infectivity assay data.</v>
      </c>
      <c r="E499" s="56"/>
      <c r="F499" s="54"/>
      <c r="G499" s="54"/>
      <c r="H499" s="59"/>
      <c r="I499" s="59"/>
      <c r="J499" s="59"/>
      <c r="K499" s="54"/>
    </row>
    <row r="500">
      <c r="A500" s="57"/>
      <c r="B500" s="57" t="str">
        <f>IFERROR(__xludf.DUMMYFUNCTION("""COMPUTED_VALUE""")," ELISA toxin binding [GENEPIO:0100732]   ")</f>
        <v> ELISA toxin binding [GENEPIO:0100732]   </v>
      </c>
      <c r="C500" s="57" t="str">
        <f>IFERROR(__xludf.DUMMYFUNCTION("""COMPUTED_VALUE"""),"GENEPIO:0100732")</f>
        <v>GENEPIO:0100732</v>
      </c>
      <c r="D500" s="58" t="str">
        <f>IFERROR(__xludf.DUMMYFUNCTION("""COMPUTED_VALUE"""),"A microbiological quantification data tag which indicates the presence of data which describes enzyme-linked immunosorbent assay (ELISA) toxin binding.")</f>
        <v>A microbiological quantification data tag which indicates the presence of data which describes enzyme-linked immunosorbent assay (ELISA) toxin binding.</v>
      </c>
      <c r="E500" s="56"/>
      <c r="F500" s="54"/>
      <c r="G500" s="54"/>
      <c r="H500" s="59"/>
      <c r="I500" s="59"/>
      <c r="J500" s="59"/>
      <c r="K500" s="54"/>
    </row>
    <row r="501">
      <c r="A501" s="57"/>
      <c r="B501" s="57" t="str">
        <f>IFERROR(__xludf.DUMMYFUNCTION("""COMPUTED_VALUE"""),"Molecular characterization [GENEPIO:0100733]    ")</f>
        <v>Molecular characterization [GENEPIO:0100733]    </v>
      </c>
      <c r="C501" s="57" t="str">
        <f>IFERROR(__xludf.DUMMYFUNCTION("""COMPUTED_VALUE"""),"GENEPIO:0100733")</f>
        <v>GENEPIO:0100733</v>
      </c>
      <c r="D501" s="58" t="str">
        <f>IFERROR(__xludf.DUMMYFUNCTION("""COMPUTED_VALUE"""),"A dataset attribute bundle which indicates the presence of molecular characterization data.")</f>
        <v>A dataset attribute bundle which indicates the presence of molecular characterization data.</v>
      </c>
      <c r="E501" s="56"/>
      <c r="F501" s="54"/>
      <c r="G501" s="54"/>
      <c r="H501" s="59"/>
      <c r="I501" s="59"/>
      <c r="J501" s="59"/>
      <c r="K501" s="54"/>
    </row>
    <row r="502">
      <c r="A502" s="57"/>
      <c r="B502" s="57" t="str">
        <f>IFERROR(__xludf.DUMMYFUNCTION("""COMPUTED_VALUE""")," 16S rRNA Sanger sequencing [GENEPIO:0100734]   ")</f>
        <v> 16S rRNA Sanger sequencing [GENEPIO:0100734]   </v>
      </c>
      <c r="C502" s="57" t="str">
        <f>IFERROR(__xludf.DUMMYFUNCTION("""COMPUTED_VALUE"""),"GENEPIO:0100734")</f>
        <v>GENEPIO:0100734</v>
      </c>
      <c r="D502" s="58" t="str">
        <f>IFERROR(__xludf.DUMMYFUNCTION("""COMPUTED_VALUE"""),"A molecular characterization data tag which indicates the presence of 16S rRNA Sanger sequencing characterization data.")</f>
        <v>A molecular characterization data tag which indicates the presence of 16S rRNA Sanger sequencing characterization data.</v>
      </c>
      <c r="E502" s="56"/>
      <c r="F502" s="54"/>
      <c r="G502" s="54"/>
      <c r="H502" s="59"/>
      <c r="I502" s="59"/>
      <c r="J502" s="59"/>
      <c r="K502" s="54"/>
    </row>
    <row r="503">
      <c r="A503" s="57"/>
      <c r="B503" s="57" t="str">
        <f>IFERROR(__xludf.DUMMYFUNCTION("""COMPUTED_VALUE""")," Metagenomic sequencing [GENEPIO:0101024]   ")</f>
        <v> Metagenomic sequencing [GENEPIO:0101024]   </v>
      </c>
      <c r="C503" s="57" t="str">
        <f>IFERROR(__xludf.DUMMYFUNCTION("""COMPUTED_VALUE"""),"GENEPIO:0101024")</f>
        <v>GENEPIO:0101024</v>
      </c>
      <c r="D503" s="58" t="str">
        <f>IFERROR(__xludf.DUMMYFUNCTION("""COMPUTED_VALUE"""),"A molecular characterization data tag which indicates the presence of metagenomic sequencing characterization data.")</f>
        <v>A molecular characterization data tag which indicates the presence of metagenomic sequencing characterization data.</v>
      </c>
      <c r="E503" s="56"/>
      <c r="F503" s="54"/>
      <c r="G503" s="54"/>
      <c r="H503" s="59"/>
      <c r="I503" s="59"/>
      <c r="J503" s="59"/>
      <c r="K503" s="54"/>
    </row>
    <row r="504">
      <c r="A504" s="57"/>
      <c r="B504" s="57" t="str">
        <f>IFERROR(__xludf.DUMMYFUNCTION("""COMPUTED_VALUE""")," PCR marker detection [GENEPIO:0100735]   ")</f>
        <v> PCR marker detection [GENEPIO:0100735]   </v>
      </c>
      <c r="C504" s="57" t="str">
        <f>IFERROR(__xludf.DUMMYFUNCTION("""COMPUTED_VALUE"""),"GENEPIO:0100735")</f>
        <v>GENEPIO:0100735</v>
      </c>
      <c r="D504" s="58" t="str">
        <f>IFERROR(__xludf.DUMMYFUNCTION("""COMPUTED_VALUE"""),"A molecular characterization data tag which indicates the presence of polymerase chain reaction (PCR) marker detection characterization data.")</f>
        <v>A molecular characterization data tag which indicates the presence of polymerase chain reaction (PCR) marker detection characterization data.</v>
      </c>
      <c r="E504" s="56"/>
      <c r="F504" s="54"/>
      <c r="G504" s="54"/>
      <c r="H504" s="59"/>
      <c r="I504" s="59"/>
      <c r="J504" s="59"/>
      <c r="K504" s="54"/>
    </row>
    <row r="505">
      <c r="A505" s="57"/>
      <c r="B505" s="57" t="str">
        <f>IFERROR(__xludf.DUMMYFUNCTION("""COMPUTED_VALUE"""),"  BOX PCR fingerprint [GENEPIO:0100736]  ")</f>
        <v>  BOX PCR fingerprint [GENEPIO:0100736]  </v>
      </c>
      <c r="C505" s="57" t="str">
        <f>IFERROR(__xludf.DUMMYFUNCTION("""COMPUTED_VALUE"""),"GENEPIO:0100736")</f>
        <v>GENEPIO:0100736</v>
      </c>
      <c r="D505" s="58" t="str">
        <f>IFERROR(__xludf.DUMMYFUNCTION("""COMPUTED_VALUE"""),"A PCR marker detection characterization data tag which indicates the presence of BOX-A1R-based repetitive extragenic palindromic (BOX) PCR fingerprint data.")</f>
        <v>A PCR marker detection characterization data tag which indicates the presence of BOX-A1R-based repetitive extragenic palindromic (BOX) PCR fingerprint data.</v>
      </c>
      <c r="E505" s="56"/>
      <c r="F505" s="54"/>
      <c r="G505" s="54"/>
      <c r="H505" s="59"/>
      <c r="I505" s="59"/>
      <c r="J505" s="59"/>
      <c r="K505" s="54"/>
    </row>
    <row r="506">
      <c r="A506" s="57"/>
      <c r="B506" s="57" t="str">
        <f>IFERROR(__xludf.DUMMYFUNCTION("""COMPUTED_VALUE"""),"  ERIC PCR fingerprint [GENEPIO:0100737]  ")</f>
        <v>  ERIC PCR fingerprint [GENEPIO:0100737]  </v>
      </c>
      <c r="C506" s="57" t="str">
        <f>IFERROR(__xludf.DUMMYFUNCTION("""COMPUTED_VALUE"""),"GENEPIO:0100737")</f>
        <v>GENEPIO:0100737</v>
      </c>
      <c r="D506" s="58" t="str">
        <f>IFERROR(__xludf.DUMMYFUNCTION("""COMPUTED_VALUE"""),"A PCR marker detection characterization data tag which indicates the presence of enterobacterial repetitive intergenic consensus (ERIC) PCR fingerprint data.")</f>
        <v>A PCR marker detection characterization data tag which indicates the presence of enterobacterial repetitive intergenic consensus (ERIC) PCR fingerprint data.</v>
      </c>
      <c r="E506" s="56"/>
      <c r="F506" s="54"/>
      <c r="G506" s="54"/>
      <c r="H506" s="59"/>
      <c r="I506" s="59"/>
      <c r="J506" s="59"/>
      <c r="K506" s="54"/>
    </row>
    <row r="507">
      <c r="A507" s="57"/>
      <c r="B507" s="57" t="str">
        <f>IFERROR(__xludf.DUMMYFUNCTION("""COMPUTED_VALUE""")," Plasmid type [GENEPIO:0100738]   ")</f>
        <v> Plasmid type [GENEPIO:0100738]   </v>
      </c>
      <c r="C507" s="57" t="str">
        <f>IFERROR(__xludf.DUMMYFUNCTION("""COMPUTED_VALUE"""),"GENEPIO:0100738")</f>
        <v>GENEPIO:0100738</v>
      </c>
      <c r="D507" s="58" t="str">
        <f>IFERROR(__xludf.DUMMYFUNCTION("""COMPUTED_VALUE"""),"A molecular characterization data tag which indicates the presence of plasmid type characterization data.")</f>
        <v>A molecular characterization data tag which indicates the presence of plasmid type characterization data.</v>
      </c>
      <c r="E507" s="56"/>
      <c r="F507" s="54"/>
      <c r="G507" s="54"/>
      <c r="H507" s="59"/>
      <c r="I507" s="59"/>
      <c r="J507" s="59"/>
      <c r="K507" s="54"/>
    </row>
    <row r="508">
      <c r="A508" s="57"/>
      <c r="B508" s="57" t="str">
        <f>IFERROR(__xludf.DUMMYFUNCTION("""COMPUTED_VALUE""")," Ribotype [GENEPIO:0100739]   ")</f>
        <v> Ribotype [GENEPIO:0100739]   </v>
      </c>
      <c r="C508" s="57" t="str">
        <f>IFERROR(__xludf.DUMMYFUNCTION("""COMPUTED_VALUE"""),"GENEPIO:0100739")</f>
        <v>GENEPIO:0100739</v>
      </c>
      <c r="D508" s="58" t="str">
        <f>IFERROR(__xludf.DUMMYFUNCTION("""COMPUTED_VALUE"""),"A molecular characterization data tag which indicates the presence of ribotype characterization data.")</f>
        <v>A molecular characterization data tag which indicates the presence of ribotype characterization data.</v>
      </c>
      <c r="E508" s="56"/>
      <c r="F508" s="54"/>
      <c r="G508" s="54"/>
      <c r="H508" s="59"/>
      <c r="I508" s="59"/>
      <c r="J508" s="59"/>
      <c r="K508" s="54"/>
    </row>
    <row r="509">
      <c r="A509" s="57"/>
      <c r="B509" s="57" t="str">
        <f>IFERROR(__xludf.DUMMYFUNCTION("""COMPUTED_VALUE"""),"Molecular quantification [GENEPIO:0100740]    ")</f>
        <v>Molecular quantification [GENEPIO:0100740]    </v>
      </c>
      <c r="C509" s="57" t="str">
        <f>IFERROR(__xludf.DUMMYFUNCTION("""COMPUTED_VALUE"""),"GENEPIO:0100740")</f>
        <v>GENEPIO:0100740</v>
      </c>
      <c r="D509" s="58" t="str">
        <f>IFERROR(__xludf.DUMMYFUNCTION("""COMPUTED_VALUE"""),"A dataset attribute bundle which indicates the presence of molecular quantification data.")</f>
        <v>A dataset attribute bundle which indicates the presence of molecular quantification data.</v>
      </c>
      <c r="E509" s="56"/>
      <c r="F509" s="54"/>
      <c r="G509" s="54"/>
      <c r="H509" s="59"/>
      <c r="I509" s="59"/>
      <c r="J509" s="59"/>
      <c r="K509" s="54"/>
    </row>
    <row r="510">
      <c r="A510" s="57"/>
      <c r="B510" s="57" t="str">
        <f>IFERROR(__xludf.DUMMYFUNCTION("""COMPUTED_VALUE""")," qPCR marker organism quantification [GENEPIO:0100741]   ")</f>
        <v> qPCR marker organism quantification [GENEPIO:0100741]   </v>
      </c>
      <c r="C510" s="57" t="str">
        <f>IFERROR(__xludf.DUMMYFUNCTION("""COMPUTED_VALUE"""),"GENEPIO:0100741")</f>
        <v>GENEPIO:0100741</v>
      </c>
      <c r="D510" s="58" t="str">
        <f>IFERROR(__xludf.DUMMYFUNCTION("""COMPUTED_VALUE"""),"A molecular quantification data tag which indicates the presence of quantitative polymerase chain reaction (qPCR) marker organism quantification data.")</f>
        <v>A molecular quantification data tag which indicates the presence of quantitative polymerase chain reaction (qPCR) marker organism quantification data.</v>
      </c>
      <c r="E510" s="56"/>
      <c r="F510" s="54"/>
      <c r="G510" s="54"/>
      <c r="H510" s="59"/>
      <c r="I510" s="59"/>
      <c r="J510" s="59"/>
      <c r="K510" s="54"/>
    </row>
    <row r="511">
      <c r="A511" s="57"/>
      <c r="B511" s="57" t="str">
        <f>IFERROR(__xludf.DUMMYFUNCTION("""COMPUTED_VALUE"""),"Physical characterization [GENEPIO:0100742]    ")</f>
        <v>Physical characterization [GENEPIO:0100742]    </v>
      </c>
      <c r="C511" s="57" t="str">
        <f>IFERROR(__xludf.DUMMYFUNCTION("""COMPUTED_VALUE"""),"GENEPIO:0100742")</f>
        <v>GENEPIO:0100742</v>
      </c>
      <c r="D511" s="58" t="str">
        <f>IFERROR(__xludf.DUMMYFUNCTION("""COMPUTED_VALUE"""),"A dataset attribute bundle which indicates the presence of physical characterization data.")</f>
        <v>A dataset attribute bundle which indicates the presence of physical characterization data.</v>
      </c>
      <c r="E511" s="56"/>
      <c r="F511" s="54"/>
      <c r="G511" s="54"/>
      <c r="H511" s="59"/>
      <c r="I511" s="59"/>
      <c r="J511" s="59"/>
      <c r="K511" s="54"/>
    </row>
    <row r="512">
      <c r="A512" s="57"/>
      <c r="B512" s="57" t="str">
        <f>IFERROR(__xludf.DUMMYFUNCTION("""COMPUTED_VALUE""")," Conductivity measurement [GENEPIO:0100743]   ")</f>
        <v> Conductivity measurement [GENEPIO:0100743]   </v>
      </c>
      <c r="C512" s="57" t="str">
        <f>IFERROR(__xludf.DUMMYFUNCTION("""COMPUTED_VALUE"""),"GENEPIO:0100743")</f>
        <v>GENEPIO:0100743</v>
      </c>
      <c r="D512" s="58" t="str">
        <f>IFERROR(__xludf.DUMMYFUNCTION("""COMPUTED_VALUE"""),"A physical characterization data tag which indicates the presence of data that describes conductivity measurement characterization.")</f>
        <v>A physical characterization data tag which indicates the presence of data that describes conductivity measurement characterization.</v>
      </c>
      <c r="E512" s="56"/>
      <c r="F512" s="54"/>
      <c r="G512" s="54"/>
      <c r="H512" s="59"/>
      <c r="I512" s="59"/>
      <c r="J512" s="59"/>
      <c r="K512" s="54"/>
    </row>
    <row r="513">
      <c r="A513" s="57"/>
      <c r="B513" s="57" t="str">
        <f>IFERROR(__xludf.DUMMYFUNCTION("""COMPUTED_VALUE""")," Mollusc shell measurement [GENEPIO:0100744]   ")</f>
        <v> Mollusc shell measurement [GENEPIO:0100744]   </v>
      </c>
      <c r="C513" s="57" t="str">
        <f>IFERROR(__xludf.DUMMYFUNCTION("""COMPUTED_VALUE"""),"GENEPIO:0100744")</f>
        <v>GENEPIO:0100744</v>
      </c>
      <c r="D513" s="58" t="str">
        <f>IFERROR(__xludf.DUMMYFUNCTION("""COMPUTED_VALUE"""),"A physical characterization data tag which indicates the presence of data that describes a measurement of a mollusc shell.")</f>
        <v>A physical characterization data tag which indicates the presence of data that describes a measurement of a mollusc shell.</v>
      </c>
      <c r="E513" s="56"/>
      <c r="F513" s="54"/>
      <c r="G513" s="54"/>
      <c r="H513" s="59"/>
      <c r="I513" s="59"/>
      <c r="J513" s="59"/>
      <c r="K513" s="54"/>
    </row>
    <row r="514">
      <c r="A514" s="57"/>
      <c r="B514" s="57" t="str">
        <f>IFERROR(__xludf.DUMMYFUNCTION("""COMPUTED_VALUE""")," Matter compostion [GENEPIO:0100746]   ")</f>
        <v> Matter compostion [GENEPIO:0100746]   </v>
      </c>
      <c r="C514" s="57" t="str">
        <f>IFERROR(__xludf.DUMMYFUNCTION("""COMPUTED_VALUE"""),"GENEPIO:0100746")</f>
        <v>GENEPIO:0100746</v>
      </c>
      <c r="D514" s="58" t="str">
        <f>IFERROR(__xludf.DUMMYFUNCTION("""COMPUTED_VALUE"""),"A physical characterization data tag which indicates the presence of matter compostion characterization data.")</f>
        <v>A physical characterization data tag which indicates the presence of matter compostion characterization data.</v>
      </c>
      <c r="E514" s="56"/>
      <c r="F514" s="54"/>
      <c r="G514" s="54"/>
      <c r="H514" s="59"/>
      <c r="I514" s="59"/>
      <c r="J514" s="59"/>
      <c r="K514" s="54"/>
    </row>
    <row r="515">
      <c r="A515" s="57"/>
      <c r="B515" s="57" t="str">
        <f>IFERROR(__xludf.DUMMYFUNCTION("""COMPUTED_VALUE"""),"  Dry matter composition [GENEPIO:0100747]  ")</f>
        <v>  Dry matter composition [GENEPIO:0100747]  </v>
      </c>
      <c r="C515" s="57" t="str">
        <f>IFERROR(__xludf.DUMMYFUNCTION("""COMPUTED_VALUE"""),"GENEPIO:0100747")</f>
        <v>GENEPIO:0100747</v>
      </c>
      <c r="D515" s="58" t="str">
        <f>IFERROR(__xludf.DUMMYFUNCTION("""COMPUTED_VALUE"""),"A matter composition characterization data tag which indicates the presence of data that describes dry matter composition.")</f>
        <v>A matter composition characterization data tag which indicates the presence of data that describes dry matter composition.</v>
      </c>
      <c r="E515" s="56"/>
      <c r="F515" s="54"/>
      <c r="G515" s="54"/>
      <c r="H515" s="59"/>
      <c r="I515" s="59"/>
      <c r="J515" s="59"/>
      <c r="K515" s="54"/>
    </row>
    <row r="516">
      <c r="A516" s="57"/>
      <c r="B516" s="57" t="str">
        <f>IFERROR(__xludf.DUMMYFUNCTION("""COMPUTED_VALUE"""),"  Organic matter composition [GENEPIO:0100748]  ")</f>
        <v>  Organic matter composition [GENEPIO:0100748]  </v>
      </c>
      <c r="C516" s="57" t="str">
        <f>IFERROR(__xludf.DUMMYFUNCTION("""COMPUTED_VALUE"""),"GENEPIO:0100748")</f>
        <v>GENEPIO:0100748</v>
      </c>
      <c r="D516" s="58" t="str">
        <f>IFERROR(__xludf.DUMMYFUNCTION("""COMPUTED_VALUE"""),"A matter composition characterization data tag which indicates the presence of data that describes organic matter composition.")</f>
        <v>A matter composition characterization data tag which indicates the presence of data that describes organic matter composition.</v>
      </c>
      <c r="E516" s="56"/>
      <c r="F516" s="54"/>
      <c r="G516" s="54"/>
      <c r="H516" s="59"/>
      <c r="I516" s="59"/>
      <c r="J516" s="59"/>
      <c r="K516" s="54"/>
    </row>
    <row r="517">
      <c r="A517" s="57" t="str">
        <f>IFERROR(__xludf.DUMMYFUNCTION("""COMPUTED_VALUE"""),"host (common name) menu")</f>
        <v>host (common name) menu</v>
      </c>
      <c r="B517" s="57" t="str">
        <f>IFERROR(__xludf.DUMMYFUNCTION("""COMPUTED_VALUE"""),"    ")</f>
        <v>    </v>
      </c>
      <c r="C517" s="57" t="str">
        <f>IFERROR(__xludf.DUMMYFUNCTION("""COMPUTED_VALUE"""),"")</f>
        <v/>
      </c>
      <c r="D517" s="58"/>
      <c r="E517" s="56"/>
      <c r="F517" s="54"/>
      <c r="G517" s="54"/>
      <c r="H517" s="59"/>
      <c r="I517" s="59"/>
      <c r="J517" s="59"/>
      <c r="K517" s="54"/>
    </row>
    <row r="518">
      <c r="A518" s="57"/>
      <c r="B518" s="57" t="str">
        <f>IFERROR(__xludf.DUMMYFUNCTION("""COMPUTED_VALUE"""),"Bird [NCBITaxon:8782]    ")</f>
        <v>Bird [NCBITaxon:8782]    </v>
      </c>
      <c r="C518" s="57" t="str">
        <f>IFERROR(__xludf.DUMMYFUNCTION("""COMPUTED_VALUE"""),"NCBITaxon:8782")</f>
        <v>NCBITaxon:8782</v>
      </c>
      <c r="D518" s="58" t="str">
        <f>IFERROR(__xludf.DUMMYFUNCTION("""COMPUTED_VALUE"""),"A group of warm-blooded vertebrates in class Aves, that are characterized by feathers, wings, toothless beaked jaws and the laying of hard-shelled eggs and are usually able to fly.")</f>
        <v>A group of warm-blooded vertebrates in class Aves, that are characterized by feathers, wings, toothless beaked jaws and the laying of hard-shelled eggs and are usually able to fly.</v>
      </c>
      <c r="E518" s="56"/>
      <c r="F518" s="54"/>
      <c r="G518" s="54"/>
      <c r="H518" s="59"/>
      <c r="I518" s="59"/>
      <c r="J518" s="59"/>
      <c r="K518" s="54"/>
    </row>
    <row r="519">
      <c r="A519" s="57"/>
      <c r="B519" s="57" t="str">
        <f>IFERROR(__xludf.DUMMYFUNCTION("""COMPUTED_VALUE""")," Chicken [NCBITaxon:9031]   ")</f>
        <v> Chicken [NCBITaxon:9031]   </v>
      </c>
      <c r="C519" s="57" t="str">
        <f>IFERROR(__xludf.DUMMYFUNCTION("""COMPUTED_VALUE"""),"NCBITaxon:9031")</f>
        <v>NCBITaxon:9031</v>
      </c>
      <c r="D519" s="58" t="str">
        <f>IFERROR(__xludf.DUMMYFUNCTION("""COMPUTED_VALUE"""),"A domesticated junglefowl of the species Gallus gallus.	")</f>
        <v>A domesticated junglefowl of the species Gallus gallus.	</v>
      </c>
      <c r="E519" s="56"/>
      <c r="F519" s="54"/>
      <c r="G519" s="54"/>
      <c r="H519" s="59"/>
      <c r="I519" s="59"/>
      <c r="J519" s="59"/>
      <c r="K519" s="54"/>
    </row>
    <row r="520">
      <c r="A520" s="57"/>
      <c r="B520" s="57" t="str">
        <f>IFERROR(__xludf.DUMMYFUNCTION("""COMPUTED_VALUE""")," Seabird [FOODON:00004504]   ")</f>
        <v> Seabird [FOODON:00004504]   </v>
      </c>
      <c r="C520" s="57" t="str">
        <f>IFERROR(__xludf.DUMMYFUNCTION("""COMPUTED_VALUE"""),"FOODON:00004504")</f>
        <v>FOODON:00004504</v>
      </c>
      <c r="D520" s="58" t="str">
        <f>IFERROR(__xludf.DUMMYFUNCTION("""COMPUTED_VALUE"""),"A bird that is adapted to live within the marine environment. ")</f>
        <v>A bird that is adapted to live within the marine environment. </v>
      </c>
      <c r="E520" s="56"/>
      <c r="F520" s="54"/>
      <c r="G520" s="54"/>
      <c r="H520" s="59"/>
      <c r="I520" s="59"/>
      <c r="J520" s="59"/>
      <c r="K520" s="54"/>
    </row>
    <row r="521">
      <c r="A521" s="57"/>
      <c r="B521" s="57" t="str">
        <f>IFERROR(__xludf.DUMMYFUNCTION("""COMPUTED_VALUE"""),"  Cormorant [NCBITaxon:9206]  ")</f>
        <v>  Cormorant [NCBITaxon:9206]  </v>
      </c>
      <c r="C521" s="57" t="str">
        <f>IFERROR(__xludf.DUMMYFUNCTION("""COMPUTED_VALUE"""),"NCBITaxon:9206")</f>
        <v>NCBITaxon:9206</v>
      </c>
      <c r="D521" s="58" t="str">
        <f>IFERROR(__xludf.DUMMYFUNCTION("""COMPUTED_VALUE"""),"A family of aquatic birds (Phalacrocoracidae).")</f>
        <v>A family of aquatic birds (Phalacrocoracidae).</v>
      </c>
      <c r="E521" s="56"/>
      <c r="F521" s="54"/>
      <c r="G521" s="54"/>
      <c r="H521" s="59"/>
      <c r="I521" s="59"/>
      <c r="J521" s="59"/>
      <c r="K521" s="54"/>
    </row>
    <row r="522">
      <c r="A522" s="57"/>
      <c r="B522" s="57" t="str">
        <f>IFERROR(__xludf.DUMMYFUNCTION("""COMPUTED_VALUE"""),"   Double Crested Cormorant [NCBITaxon:56069] ")</f>
        <v>   Double Crested Cormorant [NCBITaxon:56069] </v>
      </c>
      <c r="C522" s="57" t="str">
        <f>IFERROR(__xludf.DUMMYFUNCTION("""COMPUTED_VALUE"""),"NCBITaxon:56069")</f>
        <v>NCBITaxon:56069</v>
      </c>
      <c r="D522" s="58" t="str">
        <f>IFERROR(__xludf.DUMMYFUNCTION("""COMPUTED_VALUE"""),"A species of the cormorant family of water birds (Phalacrocorax auritus).")</f>
        <v>A species of the cormorant family of water birds (Phalacrocorax auritus).</v>
      </c>
      <c r="E522" s="56"/>
      <c r="F522" s="54"/>
      <c r="G522" s="54"/>
      <c r="H522" s="59"/>
      <c r="I522" s="59"/>
      <c r="J522" s="59"/>
      <c r="K522" s="54"/>
    </row>
    <row r="523">
      <c r="A523" s="57"/>
      <c r="B523" s="57" t="str">
        <f>IFERROR(__xludf.DUMMYFUNCTION("""COMPUTED_VALUE"""),"  Crane [NCBITaxon:9109]  ")</f>
        <v>  Crane [NCBITaxon:9109]  </v>
      </c>
      <c r="C523" s="57" t="str">
        <f>IFERROR(__xludf.DUMMYFUNCTION("""COMPUTED_VALUE"""),"NCBITaxon:9109")</f>
        <v>NCBITaxon:9109</v>
      </c>
      <c r="D523" s="58" t="str">
        <f>IFERROR(__xludf.DUMMYFUNCTION("""COMPUTED_VALUE"""),"A family of large, long-legged, and long-necked birds (Gruidae).")</f>
        <v>A family of large, long-legged, and long-necked birds (Gruidae).</v>
      </c>
      <c r="E523" s="56"/>
      <c r="F523" s="54"/>
      <c r="G523" s="54"/>
      <c r="H523" s="59"/>
      <c r="I523" s="59"/>
      <c r="J523" s="59"/>
      <c r="K523" s="54"/>
    </row>
    <row r="524">
      <c r="A524" s="57"/>
      <c r="B524" s="57" t="str">
        <f>IFERROR(__xludf.DUMMYFUNCTION("""COMPUTED_VALUE"""),"   Whooping Crane [NCBITaxon:9117] ")</f>
        <v>   Whooping Crane [NCBITaxon:9117] </v>
      </c>
      <c r="C524" s="57" t="str">
        <f>IFERROR(__xludf.DUMMYFUNCTION("""COMPUTED_VALUE"""),"NCBITaxon:9117")</f>
        <v>NCBITaxon:9117</v>
      </c>
      <c r="D524" s="58" t="str">
        <f>IFERROR(__xludf.DUMMYFUNCTION("""COMPUTED_VALUE"""),"An endangered crane species that is native to North America and is named for its whooping sound.")</f>
        <v>An endangered crane species that is native to North America and is named for its whooping sound.</v>
      </c>
      <c r="E524" s="56"/>
      <c r="F524" s="54"/>
      <c r="G524" s="54"/>
      <c r="H524" s="59"/>
      <c r="I524" s="59"/>
      <c r="J524" s="59"/>
      <c r="K524" s="54"/>
    </row>
    <row r="525">
      <c r="A525" s="57"/>
      <c r="B525" s="57" t="str">
        <f>IFERROR(__xludf.DUMMYFUNCTION("""COMPUTED_VALUE"""),"  Gull (Seagull) [NCBITaxon:8911]  ")</f>
        <v>  Gull (Seagull) [NCBITaxon:8911]  </v>
      </c>
      <c r="C525" s="57" t="str">
        <f>IFERROR(__xludf.DUMMYFUNCTION("""COMPUTED_VALUE"""),"NCBITaxon:8911")</f>
        <v>NCBITaxon:8911</v>
      </c>
      <c r="D525" s="58" t="str">
        <f>IFERROR(__xludf.DUMMYFUNCTION("""COMPUTED_VALUE"""),"A large genus of gulls within the family Laridae.")</f>
        <v>A large genus of gulls within the family Laridae.</v>
      </c>
      <c r="E525" s="56"/>
      <c r="F525" s="54"/>
      <c r="G525" s="54"/>
      <c r="H525" s="59"/>
      <c r="I525" s="59"/>
      <c r="J525" s="59"/>
      <c r="K525" s="54"/>
    </row>
    <row r="526">
      <c r="A526" s="57"/>
      <c r="B526" s="57" t="str">
        <f>IFERROR(__xludf.DUMMYFUNCTION("""COMPUTED_VALUE"""),"   Glaucous-winged Gull [NCBITaxon:119606] ")</f>
        <v>   Glaucous-winged Gull [NCBITaxon:119606] </v>
      </c>
      <c r="C526" s="57" t="str">
        <f>IFERROR(__xludf.DUMMYFUNCTION("""COMPUTED_VALUE"""),"NCBITaxon:119606")</f>
        <v>NCBITaxon:119606</v>
      </c>
      <c r="D526" s="58" t="str">
        <f>IFERROR(__xludf.DUMMYFUNCTION("""COMPUTED_VALUE"""),"A species of large, white-headed gull (Larus glaucescens).")</f>
        <v>A species of large, white-headed gull (Larus glaucescens).</v>
      </c>
      <c r="E526" s="56"/>
      <c r="F526" s="54"/>
      <c r="G526" s="54"/>
      <c r="H526" s="59"/>
      <c r="I526" s="59"/>
      <c r="J526" s="59"/>
      <c r="K526" s="54"/>
    </row>
    <row r="527">
      <c r="A527" s="57"/>
      <c r="B527" s="57" t="str">
        <f>IFERROR(__xludf.DUMMYFUNCTION("""COMPUTED_VALUE"""),"   Great Black-backed Gull [NCBITaxon:8912] ")</f>
        <v>   Great Black-backed Gull [NCBITaxon:8912] </v>
      </c>
      <c r="C527" s="57" t="str">
        <f>IFERROR(__xludf.DUMMYFUNCTION("""COMPUTED_VALUE"""),"NCBITaxon:8912")</f>
        <v>NCBITaxon:8912</v>
      </c>
      <c r="D527" s="58" t="str">
        <f>IFERROR(__xludf.DUMMYFUNCTION("""COMPUTED_VALUE"""),"A species of white gull that has a black back and wings (Larus marinus).")</f>
        <v>A species of white gull that has a black back and wings (Larus marinus).</v>
      </c>
      <c r="E527" s="56"/>
      <c r="F527" s="54"/>
      <c r="G527" s="54"/>
      <c r="H527" s="59"/>
      <c r="I527" s="59"/>
      <c r="J527" s="59"/>
      <c r="K527" s="54"/>
    </row>
    <row r="528">
      <c r="A528" s="57"/>
      <c r="B528" s="57" t="str">
        <f>IFERROR(__xludf.DUMMYFUNCTION("""COMPUTED_VALUE"""),"   Herring Gull [NCBITaxon:35669] ")</f>
        <v>   Herring Gull [NCBITaxon:35669] </v>
      </c>
      <c r="C528" s="57" t="str">
        <f>IFERROR(__xludf.DUMMYFUNCTION("""COMPUTED_VALUE"""),"NCBITaxon:35669")</f>
        <v>NCBITaxon:35669</v>
      </c>
      <c r="D528" s="58" t="str">
        <f>IFERROR(__xludf.DUMMYFUNCTION("""COMPUTED_VALUE"""),"A species of large gull, that is up to 66 cm (26 in) long (Larus argentatus).")</f>
        <v>A species of large gull, that is up to 66 cm (26 in) long (Larus argentatus).</v>
      </c>
      <c r="E528" s="56"/>
      <c r="F528" s="54"/>
      <c r="G528" s="54"/>
      <c r="H528" s="59"/>
      <c r="I528" s="59"/>
      <c r="J528" s="59"/>
      <c r="K528" s="54"/>
    </row>
    <row r="529">
      <c r="A529" s="57"/>
      <c r="B529" s="57" t="str">
        <f>IFERROR(__xludf.DUMMYFUNCTION("""COMPUTED_VALUE"""),"   Ring-billed Gull [NCBITaxon:126683] ")</f>
        <v>   Ring-billed Gull [NCBITaxon:126683] </v>
      </c>
      <c r="C529" s="57" t="str">
        <f>IFERROR(__xludf.DUMMYFUNCTION("""COMPUTED_VALUE"""),"NCBITaxon:126683")</f>
        <v>NCBITaxon:126683</v>
      </c>
      <c r="D529" s="58" t="str">
        <f>IFERROR(__xludf.DUMMYFUNCTION("""COMPUTED_VALUE"""),"A species of ring-billed gull that has a black ring around its bill (Larus delawarensis).")</f>
        <v>A species of ring-billed gull that has a black ring around its bill (Larus delawarensis).</v>
      </c>
      <c r="E529" s="56"/>
      <c r="F529" s="54"/>
      <c r="G529" s="54"/>
      <c r="H529" s="59"/>
      <c r="I529" s="59"/>
      <c r="J529" s="59"/>
      <c r="K529" s="54"/>
    </row>
    <row r="530">
      <c r="A530" s="57"/>
      <c r="B530" s="57" t="str">
        <f>IFERROR(__xludf.DUMMYFUNCTION("""COMPUTED_VALUE"""),"  Eider [NCBITaxon:50366]  ")</f>
        <v>  Eider [NCBITaxon:50366]  </v>
      </c>
      <c r="C530" s="57" t="str">
        <f>IFERROR(__xludf.DUMMYFUNCTION("""COMPUTED_VALUE"""),"NCBITaxon:50366")</f>
        <v>NCBITaxon:50366</v>
      </c>
      <c r="D530" s="58" t="str">
        <f>IFERROR(__xludf.DUMMYFUNCTION("""COMPUTED_VALUE"""),"A genus of large seaducks (Somateria).")</f>
        <v>A genus of large seaducks (Somateria).</v>
      </c>
      <c r="E530" s="56"/>
      <c r="F530" s="54"/>
      <c r="G530" s="54"/>
      <c r="H530" s="59"/>
      <c r="I530" s="59"/>
      <c r="J530" s="59"/>
      <c r="K530" s="54"/>
    </row>
    <row r="531">
      <c r="A531" s="57"/>
      <c r="B531" s="57" t="str">
        <f>IFERROR(__xludf.DUMMYFUNCTION("""COMPUTED_VALUE"""),"   Common Eider [NCBITaxon:76058] ")</f>
        <v>   Common Eider [NCBITaxon:76058] </v>
      </c>
      <c r="C531" s="57" t="str">
        <f>IFERROR(__xludf.DUMMYFUNCTION("""COMPUTED_VALUE"""),"NCBITaxon:76058")</f>
        <v>NCBITaxon:76058</v>
      </c>
      <c r="D531" s="58" t="str">
        <f>IFERROR(__xludf.DUMMYFUNCTION("""COMPUTED_VALUE"""),"A species of a large sea-duck that is distributed over the northern coasts of Europe, North America and eastern Siberia (Somateria mollissima).")</f>
        <v>A species of a large sea-duck that is distributed over the northern coasts of Europe, North America and eastern Siberia (Somateria mollissima).</v>
      </c>
      <c r="E531" s="56"/>
      <c r="F531" s="54"/>
      <c r="G531" s="54"/>
      <c r="H531" s="59"/>
      <c r="I531" s="59"/>
      <c r="J531" s="59"/>
      <c r="K531" s="54"/>
    </row>
    <row r="532">
      <c r="A532" s="57"/>
      <c r="B532" s="57" t="str">
        <f>IFERROR(__xludf.DUMMYFUNCTION("""COMPUTED_VALUE""")," Turkey [NCBITaxon:9103]   ")</f>
        <v> Turkey [NCBITaxon:9103]   </v>
      </c>
      <c r="C532" s="57" t="str">
        <f>IFERROR(__xludf.DUMMYFUNCTION("""COMPUTED_VALUE"""),"NCBITaxon:9103")</f>
        <v>NCBITaxon:9103</v>
      </c>
      <c r="D532" s="58" t="str">
        <f>IFERROR(__xludf.DUMMYFUNCTION("""COMPUTED_VALUE"""),"A large, mainly domesticated game bird characterized by a bald head and wattles (in the male) of the species Meleagris gallopavo.")</f>
        <v>A large, mainly domesticated game bird characterized by a bald head and wattles (in the male) of the species Meleagris gallopavo.</v>
      </c>
      <c r="E532" s="56"/>
      <c r="F532" s="54"/>
      <c r="G532" s="54"/>
      <c r="H532" s="59"/>
      <c r="I532" s="59"/>
      <c r="J532" s="59"/>
      <c r="K532" s="54"/>
    </row>
    <row r="533">
      <c r="A533" s="57"/>
      <c r="B533" s="57" t="str">
        <f>IFERROR(__xludf.DUMMYFUNCTION("""COMPUTED_VALUE"""),"Fish [FOODON:03411222]    ")</f>
        <v>Fish [FOODON:03411222]    </v>
      </c>
      <c r="C533" s="57" t="str">
        <f>IFERROR(__xludf.DUMMYFUNCTION("""COMPUTED_VALUE"""),"FOODON:03411222")</f>
        <v>FOODON:03411222</v>
      </c>
      <c r="D533" s="58" t="str">
        <f>IFERROR(__xludf.DUMMYFUNCTION("""COMPUTED_VALUE"""),"Fish are the gill-bearing aquatic craniate animals that lack limbs with digits. Most fish are ectothermic (""cold-blooded""), allowing their body temperatures to vary as ambient temperatures change, though some of the large active swimmers like white shar"&amp;"k and tuna can hold a higher core temperature.")</f>
        <v>Fish are the gill-bearing aquatic craniate animals that lack limbs with digits. Most fish are ectothermic ("cold-blooded"), allowing their body temperatures to vary as ambient temperatures change, though some of the large active swimmers like white shark and tuna can hold a higher core temperature.</v>
      </c>
      <c r="E533" s="56"/>
      <c r="F533" s="54"/>
      <c r="G533" s="54"/>
      <c r="H533" s="59"/>
      <c r="I533" s="59"/>
      <c r="J533" s="59"/>
      <c r="K533" s="54"/>
    </row>
    <row r="534">
      <c r="A534" s="57"/>
      <c r="B534" s="57" t="str">
        <f>IFERROR(__xludf.DUMMYFUNCTION("""COMPUTED_VALUE"""),"Mammal [FOODON:03411134]    ")</f>
        <v>Mammal [FOODON:03411134]    </v>
      </c>
      <c r="C534" s="57" t="str">
        <f>IFERROR(__xludf.DUMMYFUNCTION("""COMPUTED_VALUE"""),"FOODON:03411134")</f>
        <v>FOODON:03411134</v>
      </c>
      <c r="D534" s="58" t="str">
        <f>IFERROR(__xludf.DUMMYFUNCTION("""COMPUTED_VALUE"""),"Mammals (from Latin mamma ""breast"") are vertebrate animals constituting the class Mammalia, and characterized by the presence of mammary glands which in females produce milk for feeding (nursing) their young, a neocortex (a region of the brain), fur or "&amp;"hair, and three middle ear bones.")</f>
        <v>Mammals (from Latin mamma "breast") are vertebrate animals constituting the class Mammalia, and characterized by the presence of mammary glands which in females produce milk for feeding (nursing) their young, a neocortex (a region of the brain), fur or hair, and three middle ear bones.</v>
      </c>
      <c r="E534" s="56"/>
      <c r="F534" s="54"/>
      <c r="G534" s="54"/>
      <c r="H534" s="59"/>
      <c r="I534" s="59"/>
      <c r="J534" s="59"/>
      <c r="K534" s="54"/>
    </row>
    <row r="535">
      <c r="A535" s="57"/>
      <c r="B535" s="57" t="str">
        <f>IFERROR(__xludf.DUMMYFUNCTION("""COMPUTED_VALUE""")," Companion animal [FOODON:03000300]   ")</f>
        <v> Companion animal [FOODON:03000300]   </v>
      </c>
      <c r="C535" s="57" t="str">
        <f>IFERROR(__xludf.DUMMYFUNCTION("""COMPUTED_VALUE"""),"FOODON:03000300")</f>
        <v>FOODON:03000300</v>
      </c>
      <c r="D535" s="58" t="str">
        <f>IFERROR(__xludf.DUMMYFUNCTION("""COMPUTED_VALUE"""),"An animal that is kept as a companion. ")</f>
        <v>An animal that is kept as a companion. </v>
      </c>
      <c r="E535" s="56"/>
      <c r="F535" s="54"/>
      <c r="G535" s="54"/>
      <c r="H535" s="59"/>
      <c r="I535" s="59"/>
      <c r="J535" s="59"/>
      <c r="K535" s="54"/>
    </row>
    <row r="536">
      <c r="A536" s="57"/>
      <c r="B536" s="57" t="str">
        <f>IFERROR(__xludf.DUMMYFUNCTION("""COMPUTED_VALUE""")," Cow [NCBITaxon:9913]   ")</f>
        <v> Cow [NCBITaxon:9913]   </v>
      </c>
      <c r="C536" s="57" t="str">
        <f>IFERROR(__xludf.DUMMYFUNCTION("""COMPUTED_VALUE"""),"NCBITaxon:9913")</f>
        <v>NCBITaxon:9913</v>
      </c>
      <c r="D536" s="58" t="str">
        <f>IFERROR(__xludf.DUMMYFUNCTION("""COMPUTED_VALUE"""),"A group of large, domesticated, cloven-hooved herbivores.")</f>
        <v>A group of large, domesticated, cloven-hooved herbivores.</v>
      </c>
      <c r="E536" s="56"/>
      <c r="F536" s="54"/>
      <c r="G536" s="54"/>
      <c r="H536" s="59"/>
      <c r="I536" s="59"/>
      <c r="J536" s="59"/>
      <c r="K536" s="54"/>
    </row>
    <row r="537">
      <c r="A537" s="57"/>
      <c r="B537" s="57" t="str">
        <f>IFERROR(__xludf.DUMMYFUNCTION("""COMPUTED_VALUE""")," Deer [NCBITaxon:9850]   ")</f>
        <v> Deer [NCBITaxon:9850]   </v>
      </c>
      <c r="C537" s="57" t="str">
        <f>IFERROR(__xludf.DUMMYFUNCTION("""COMPUTED_VALUE"""),"NCBITaxon:9850")</f>
        <v>NCBITaxon:9850</v>
      </c>
      <c r="D537" s="58"/>
      <c r="E537" s="56"/>
      <c r="F537" s="54"/>
      <c r="G537" s="54"/>
      <c r="H537" s="59"/>
      <c r="I537" s="59"/>
      <c r="J537" s="59"/>
      <c r="K537" s="54"/>
    </row>
    <row r="538">
      <c r="A538" s="57"/>
      <c r="B538" s="57" t="str">
        <f>IFERROR(__xludf.DUMMYFUNCTION("""COMPUTED_VALUE""")," Human [NCBITaxon:9606]   ")</f>
        <v> Human [NCBITaxon:9606]   </v>
      </c>
      <c r="C538" s="57" t="str">
        <f>IFERROR(__xludf.DUMMYFUNCTION("""COMPUTED_VALUE"""),"NCBITaxon:9606")</f>
        <v>NCBITaxon:9606</v>
      </c>
      <c r="D538" s="58" t="str">
        <f>IFERROR(__xludf.DUMMYFUNCTION("""COMPUTED_VALUE"""),"A bipedal primate mammal of the species Homo sapiens.")</f>
        <v>A bipedal primate mammal of the species Homo sapiens.</v>
      </c>
      <c r="E538" s="56"/>
      <c r="F538" s="54"/>
      <c r="G538" s="54"/>
      <c r="H538" s="59"/>
      <c r="I538" s="59"/>
      <c r="J538" s="59"/>
      <c r="K538" s="54"/>
    </row>
    <row r="539">
      <c r="A539" s="57"/>
      <c r="B539" s="57" t="str">
        <f>IFERROR(__xludf.DUMMYFUNCTION("""COMPUTED_VALUE""")," Pig [NCBITaxon:9823]   ")</f>
        <v> Pig [NCBITaxon:9823]   </v>
      </c>
      <c r="C539" s="57" t="str">
        <f>IFERROR(__xludf.DUMMYFUNCTION("""COMPUTED_VALUE"""),"NCBITaxon:9823")</f>
        <v>NCBITaxon:9823</v>
      </c>
      <c r="D539" s="58" t="str">
        <f>IFERROR(__xludf.DUMMYFUNCTION("""COMPUTED_VALUE"""),"A stout-bodied, hooved and short-legged, omnivorous mammal from the species Sus scofus, with thick skin usually sparsely coated with short bristles.")</f>
        <v>A stout-bodied, hooved and short-legged, omnivorous mammal from the species Sus scofus, with thick skin usually sparsely coated with short bristles.</v>
      </c>
      <c r="E539" s="56"/>
      <c r="F539" s="54"/>
      <c r="G539" s="54"/>
      <c r="H539" s="59"/>
      <c r="I539" s="59"/>
      <c r="J539" s="59"/>
      <c r="K539" s="54"/>
    </row>
    <row r="540">
      <c r="A540" s="57"/>
      <c r="B540" s="57" t="str">
        <f>IFERROR(__xludf.DUMMYFUNCTION("""COMPUTED_VALUE""")," Sheep [NCBITaxon:9940]   ")</f>
        <v> Sheep [NCBITaxon:9940]   </v>
      </c>
      <c r="C540" s="57" t="str">
        <f>IFERROR(__xludf.DUMMYFUNCTION("""COMPUTED_VALUE"""),"NCBITaxon:9940")</f>
        <v>NCBITaxon:9940</v>
      </c>
      <c r="D540" s="58" t="str">
        <f>IFERROR(__xludf.DUMMYFUNCTION("""COMPUTED_VALUE"""),"A domesticated, even-toed, ungluate, ruminant mammal typically kept as livestock for its wool and meat, usually of the species Ovis aries.")</f>
        <v>A domesticated, even-toed, ungluate, ruminant mammal typically kept as livestock for its wool and meat, usually of the species Ovis aries.</v>
      </c>
      <c r="E540" s="56"/>
      <c r="F540" s="54"/>
      <c r="G540" s="54"/>
      <c r="K540" s="54"/>
    </row>
    <row r="541">
      <c r="A541" s="57"/>
      <c r="B541" s="57" t="str">
        <f>IFERROR(__xludf.DUMMYFUNCTION("""COMPUTED_VALUE"""),"Shellfish [FOODON:03411433]    ")</f>
        <v>Shellfish [FOODON:03411433]    </v>
      </c>
      <c r="C541" s="57" t="str">
        <f>IFERROR(__xludf.DUMMYFUNCTION("""COMPUTED_VALUE"""),"FOODON:03411433")</f>
        <v>FOODON:03411433</v>
      </c>
      <c r="D541" s="58" t="str">
        <f>IFERROR(__xludf.DUMMYFUNCTION("""COMPUTED_VALUE"""),"The term shellfish is used both broadly and specifically. For regulatory purposes it is often narrowly defined as filter-feeding molluscs such as clams, mussels, and oyster to the exclusion of crustaceans and all else. Although their shells may differ, al"&amp;"l shellfish are invertebrates.")</f>
        <v>The term shellfish is used both broadly and specifically. For regulatory purposes it is often narrowly defined as filter-feeding molluscs such as clams, mussels, and oyster to the exclusion of crustaceans and all else. Although their shells may differ, all shellfish are invertebrates.</v>
      </c>
      <c r="E541" s="56"/>
      <c r="F541" s="54"/>
      <c r="G541" s="54"/>
      <c r="H541" s="54"/>
      <c r="I541" s="54"/>
      <c r="J541" s="54"/>
      <c r="K541" s="54"/>
    </row>
    <row r="542">
      <c r="A542" s="57"/>
      <c r="B542" s="57" t="str">
        <f>IFERROR(__xludf.DUMMYFUNCTION("""COMPUTED_VALUE"""),"    ")</f>
        <v>    </v>
      </c>
      <c r="C542" s="57" t="str">
        <f>IFERROR(__xludf.DUMMYFUNCTION("""COMPUTED_VALUE"""),"")</f>
        <v/>
      </c>
      <c r="D542" s="58"/>
      <c r="E542" s="56"/>
      <c r="F542" s="54"/>
      <c r="G542" s="54"/>
      <c r="H542" s="59"/>
      <c r="I542" s="59"/>
      <c r="J542" s="59"/>
      <c r="K542" s="54"/>
    </row>
    <row r="543">
      <c r="A543" s="57" t="str">
        <f>IFERROR(__xludf.DUMMYFUNCTION("""COMPUTED_VALUE"""),"host (scientific name) menu")</f>
        <v>host (scientific name) menu</v>
      </c>
      <c r="B543" s="57" t="str">
        <f>IFERROR(__xludf.DUMMYFUNCTION("""COMPUTED_VALUE"""),"    ")</f>
        <v>    </v>
      </c>
      <c r="C543" s="57" t="str">
        <f>IFERROR(__xludf.DUMMYFUNCTION("""COMPUTED_VALUE"""),"")</f>
        <v/>
      </c>
      <c r="D543" s="58"/>
      <c r="E543" s="56"/>
      <c r="F543" s="54"/>
      <c r="G543" s="54"/>
      <c r="H543" s="59"/>
      <c r="I543" s="59"/>
      <c r="J543" s="59"/>
      <c r="K543" s="54"/>
    </row>
    <row r="544">
      <c r="A544" s="57"/>
      <c r="B544" s="57" t="str">
        <f>IFERROR(__xludf.DUMMYFUNCTION("""COMPUTED_VALUE"""),"Anoplopoma fimbria [NCBITaxon:229290]    ")</f>
        <v>Anoplopoma fimbria [NCBITaxon:229290]    </v>
      </c>
      <c r="C544" s="57" t="str">
        <f>IFERROR(__xludf.DUMMYFUNCTION("""COMPUTED_VALUE"""),"NCBITaxon:229290")</f>
        <v>NCBITaxon:229290</v>
      </c>
      <c r="D544" s="58" t="str">
        <f>IFERROR(__xludf.DUMMYFUNCTION("""COMPUTED_VALUE"""),"One of two members of the fish family Anoplopomatidae and the only species in the genus Anoplopoma.")</f>
        <v>One of two members of the fish family Anoplopomatidae and the only species in the genus Anoplopoma.</v>
      </c>
      <c r="E544" s="56"/>
      <c r="F544" s="54"/>
      <c r="G544" s="54"/>
      <c r="H544" s="59"/>
      <c r="I544" s="59"/>
      <c r="J544" s="59"/>
      <c r="K544" s="54"/>
    </row>
    <row r="545">
      <c r="A545" s="57"/>
      <c r="B545" s="57" t="str">
        <f>IFERROR(__xludf.DUMMYFUNCTION("""COMPUTED_VALUE"""),"Bos taurus [NCBITaxon:9913]    ")</f>
        <v>Bos taurus [NCBITaxon:9913]    </v>
      </c>
      <c r="C545" s="57" t="str">
        <f>IFERROR(__xludf.DUMMYFUNCTION("""COMPUTED_VALUE"""),"NCBITaxon:9913")</f>
        <v>NCBITaxon:9913</v>
      </c>
      <c r="D545" s="58" t="str">
        <f>IFERROR(__xludf.DUMMYFUNCTION("""COMPUTED_VALUE"""),"A group of large, domesticated, cloven-hooved herbivores.")</f>
        <v>A group of large, domesticated, cloven-hooved herbivores.</v>
      </c>
      <c r="E545" s="56"/>
      <c r="F545" s="54"/>
      <c r="G545" s="54"/>
      <c r="H545" s="59"/>
      <c r="I545" s="59"/>
      <c r="J545" s="59"/>
      <c r="K545" s="54"/>
    </row>
    <row r="546">
      <c r="A546" s="57"/>
      <c r="B546" s="57" t="str">
        <f>IFERROR(__xludf.DUMMYFUNCTION("""COMPUTED_VALUE"""),"Crassostrea virginica [NCBITaxon:6565]    ")</f>
        <v>Crassostrea virginica [NCBITaxon:6565]    </v>
      </c>
      <c r="C546" s="57" t="str">
        <f>IFERROR(__xludf.DUMMYFUNCTION("""COMPUTED_VALUE"""),"NCBITaxon:6565")</f>
        <v>NCBITaxon:6565</v>
      </c>
      <c r="D546" s="58" t="str">
        <f>IFERROR(__xludf.DUMMYFUNCTION("""COMPUTED_VALUE"""),"A species of true oyster (Crassostrea virginica).")</f>
        <v>A species of true oyster (Crassostrea virginica).</v>
      </c>
      <c r="E546" s="56"/>
      <c r="F546" s="54"/>
      <c r="G546" s="54"/>
      <c r="H546" s="59"/>
      <c r="I546" s="59"/>
      <c r="J546" s="59"/>
      <c r="K546" s="54"/>
    </row>
    <row r="547">
      <c r="A547" s="57"/>
      <c r="B547" s="57" t="str">
        <f>IFERROR(__xludf.DUMMYFUNCTION("""COMPUTED_VALUE"""),"Gallus gallus [NCBITaxon:9031]    ")</f>
        <v>Gallus gallus [NCBITaxon:9031]    </v>
      </c>
      <c r="C547" s="57" t="str">
        <f>IFERROR(__xludf.DUMMYFUNCTION("""COMPUTED_VALUE"""),"NCBITaxon:9031")</f>
        <v>NCBITaxon:9031</v>
      </c>
      <c r="D547" s="58" t="str">
        <f>IFERROR(__xludf.DUMMYFUNCTION("""COMPUTED_VALUE"""),"A domesticated junglefowl of the species Gallus gallus.	")</f>
        <v>A domesticated junglefowl of the species Gallus gallus.	</v>
      </c>
      <c r="E547" s="56"/>
      <c r="F547" s="54"/>
      <c r="G547" s="54"/>
      <c r="H547" s="59"/>
      <c r="I547" s="59"/>
      <c r="J547" s="59"/>
      <c r="K547" s="54"/>
    </row>
    <row r="548">
      <c r="A548" s="57"/>
      <c r="B548" s="57" t="str">
        <f>IFERROR(__xludf.DUMMYFUNCTION("""COMPUTED_VALUE"""),"Grus americana [NCBITaxon:9117]    ")</f>
        <v>Grus americana [NCBITaxon:9117]    </v>
      </c>
      <c r="C548" s="57" t="str">
        <f>IFERROR(__xludf.DUMMYFUNCTION("""COMPUTED_VALUE"""),"NCBITaxon:9117")</f>
        <v>NCBITaxon:9117</v>
      </c>
      <c r="D548" s="58" t="str">
        <f>IFERROR(__xludf.DUMMYFUNCTION("""COMPUTED_VALUE"""),"An endangered crane species that is native to North America and is named for its whooping sound.")</f>
        <v>An endangered crane species that is native to North America and is named for its whooping sound.</v>
      </c>
      <c r="E548" s="56"/>
      <c r="F548" s="54"/>
      <c r="G548" s="54"/>
      <c r="H548" s="59"/>
      <c r="I548" s="59"/>
      <c r="J548" s="59"/>
      <c r="K548" s="54"/>
    </row>
    <row r="549">
      <c r="A549" s="57"/>
      <c r="B549" s="57" t="str">
        <f>IFERROR(__xludf.DUMMYFUNCTION("""COMPUTED_VALUE"""),"Homarus americanus [NCBITaxon:6706]    ")</f>
        <v>Homarus americanus [NCBITaxon:6706]    </v>
      </c>
      <c r="C549" s="57" t="str">
        <f>IFERROR(__xludf.DUMMYFUNCTION("""COMPUTED_VALUE"""),"NCBITaxon:6706")</f>
        <v>NCBITaxon:6706</v>
      </c>
      <c r="D549" s="58" t="str">
        <f>IFERROR(__xludf.DUMMYFUNCTION("""COMPUTED_VALUE"""),"A species of lobster that is found on the Atlantic coast of North America (Homarus americanus).")</f>
        <v>A species of lobster that is found on the Atlantic coast of North America (Homarus americanus).</v>
      </c>
      <c r="E549" s="56"/>
      <c r="F549" s="54"/>
      <c r="G549" s="54"/>
      <c r="H549" s="59"/>
      <c r="I549" s="59"/>
      <c r="J549" s="59"/>
      <c r="K549" s="54"/>
    </row>
    <row r="550">
      <c r="A550" s="57"/>
      <c r="B550" s="57" t="str">
        <f>IFERROR(__xludf.DUMMYFUNCTION("""COMPUTED_VALUE"""),"Homo sapiens [NCBITaxon:9606]    ")</f>
        <v>Homo sapiens [NCBITaxon:9606]    </v>
      </c>
      <c r="C550" s="57" t="str">
        <f>IFERROR(__xludf.DUMMYFUNCTION("""COMPUTED_VALUE"""),"NCBITaxon:9606")</f>
        <v>NCBITaxon:9606</v>
      </c>
      <c r="D550" s="58" t="str">
        <f>IFERROR(__xludf.DUMMYFUNCTION("""COMPUTED_VALUE"""),"A bipedal primate mammal of the species Homo sapiens.")</f>
        <v>A bipedal primate mammal of the species Homo sapiens.</v>
      </c>
      <c r="E550" s="56"/>
      <c r="F550" s="54"/>
      <c r="G550" s="54"/>
      <c r="H550" s="59"/>
      <c r="I550" s="59"/>
      <c r="J550" s="59"/>
      <c r="K550" s="54"/>
    </row>
    <row r="551">
      <c r="A551" s="57"/>
      <c r="B551" s="57" t="str">
        <f>IFERROR(__xludf.DUMMYFUNCTION("""COMPUTED_VALUE"""),"Larus argentatus [NCBITaxon:35669]    ")</f>
        <v>Larus argentatus [NCBITaxon:35669]    </v>
      </c>
      <c r="C551" s="57" t="str">
        <f>IFERROR(__xludf.DUMMYFUNCTION("""COMPUTED_VALUE"""),"NCBITaxon:35669")</f>
        <v>NCBITaxon:35669</v>
      </c>
      <c r="D551" s="58" t="str">
        <f>IFERROR(__xludf.DUMMYFUNCTION("""COMPUTED_VALUE"""),"A species of large gull, that is up to 66 cm (26 in) long (Larus argentatus).")</f>
        <v>A species of large gull, that is up to 66 cm (26 in) long (Larus argentatus).</v>
      </c>
      <c r="E551" s="56"/>
      <c r="F551" s="54"/>
      <c r="G551" s="54"/>
      <c r="H551" s="59"/>
      <c r="I551" s="59"/>
      <c r="J551" s="59"/>
      <c r="K551" s="54"/>
    </row>
    <row r="552">
      <c r="A552" s="57"/>
      <c r="B552" s="57" t="str">
        <f>IFERROR(__xludf.DUMMYFUNCTION("""COMPUTED_VALUE"""),"Larus delawarensis [NCBITaxon:126683]    ")</f>
        <v>Larus delawarensis [NCBITaxon:126683]    </v>
      </c>
      <c r="C552" s="57" t="str">
        <f>IFERROR(__xludf.DUMMYFUNCTION("""COMPUTED_VALUE"""),"NCBITaxon:126683")</f>
        <v>NCBITaxon:126683</v>
      </c>
      <c r="D552" s="58" t="str">
        <f>IFERROR(__xludf.DUMMYFUNCTION("""COMPUTED_VALUE"""),"A species of ring-billed gull that has a black ring around its bill (Larus delawarensis).")</f>
        <v>A species of ring-billed gull that has a black ring around its bill (Larus delawarensis).</v>
      </c>
      <c r="E552" s="56"/>
      <c r="F552" s="54"/>
      <c r="G552" s="54"/>
      <c r="H552" s="59"/>
      <c r="I552" s="59"/>
      <c r="J552" s="59"/>
      <c r="K552" s="54"/>
    </row>
    <row r="553">
      <c r="A553" s="57"/>
      <c r="B553" s="57" t="str">
        <f>IFERROR(__xludf.DUMMYFUNCTION("""COMPUTED_VALUE"""),"Larus glaucescens [NCBITaxon:119606]    ")</f>
        <v>Larus glaucescens [NCBITaxon:119606]    </v>
      </c>
      <c r="C553" s="57" t="str">
        <f>IFERROR(__xludf.DUMMYFUNCTION("""COMPUTED_VALUE"""),"NCBITaxon:119606")</f>
        <v>NCBITaxon:119606</v>
      </c>
      <c r="D553" s="58" t="str">
        <f>IFERROR(__xludf.DUMMYFUNCTION("""COMPUTED_VALUE"""),"A species of large, white-headed gull (Larus glaucescens).")</f>
        <v>A species of large, white-headed gull (Larus glaucescens).</v>
      </c>
      <c r="E553" s="56"/>
      <c r="F553" s="54"/>
      <c r="G553" s="54"/>
      <c r="H553" s="59"/>
      <c r="I553" s="59"/>
      <c r="J553" s="59"/>
      <c r="K553" s="54"/>
    </row>
    <row r="554">
      <c r="A554" s="57"/>
      <c r="B554" s="57" t="str">
        <f>IFERROR(__xludf.DUMMYFUNCTION("""COMPUTED_VALUE"""),"Larus marinus [NCBITaxon:8912]    ")</f>
        <v>Larus marinus [NCBITaxon:8912]    </v>
      </c>
      <c r="C554" s="57" t="str">
        <f>IFERROR(__xludf.DUMMYFUNCTION("""COMPUTED_VALUE"""),"NCBITaxon:8912")</f>
        <v>NCBITaxon:8912</v>
      </c>
      <c r="D554" s="58" t="str">
        <f>IFERROR(__xludf.DUMMYFUNCTION("""COMPUTED_VALUE"""),"A species of white gull that has a black back and wings (Larus marinus).")</f>
        <v>A species of white gull that has a black back and wings (Larus marinus).</v>
      </c>
      <c r="E554" s="56"/>
      <c r="F554" s="54"/>
      <c r="G554" s="54"/>
      <c r="H554" s="59"/>
      <c r="I554" s="59"/>
      <c r="J554" s="59"/>
      <c r="K554" s="54"/>
    </row>
    <row r="555">
      <c r="A555" s="57"/>
      <c r="B555" s="57" t="str">
        <f>IFERROR(__xludf.DUMMYFUNCTION("""COMPUTED_VALUE"""),"Meleagris gallopavo [NCBITaxon:9103]    ")</f>
        <v>Meleagris gallopavo [NCBITaxon:9103]    </v>
      </c>
      <c r="C555" s="57" t="str">
        <f>IFERROR(__xludf.DUMMYFUNCTION("""COMPUTED_VALUE"""),"NCBITaxon:9103")</f>
        <v>NCBITaxon:9103</v>
      </c>
      <c r="D555" s="58" t="str">
        <f>IFERROR(__xludf.DUMMYFUNCTION("""COMPUTED_VALUE"""),"A large, mainly domesticated game bird characterized by a bald head and wattles (in the male) of the species Meleagris gallopavo.")</f>
        <v>A large, mainly domesticated game bird characterized by a bald head and wattles (in the male) of the species Meleagris gallopavo.</v>
      </c>
      <c r="E555" s="56"/>
      <c r="F555" s="54"/>
      <c r="G555" s="54"/>
      <c r="H555" s="59"/>
      <c r="I555" s="59"/>
      <c r="J555" s="59"/>
      <c r="K555" s="54"/>
    </row>
    <row r="556">
      <c r="A556" s="57"/>
      <c r="B556" s="57" t="str">
        <f>IFERROR(__xludf.DUMMYFUNCTION("""COMPUTED_VALUE"""),"Mytilus edulis [NCBITaxon:6550]    ")</f>
        <v>Mytilus edulis [NCBITaxon:6550]    </v>
      </c>
      <c r="C556" s="57" t="str">
        <f>IFERROR(__xludf.DUMMYFUNCTION("""COMPUTED_VALUE"""),"NCBITaxon:6550")</f>
        <v>NCBITaxon:6550</v>
      </c>
      <c r="D556" s="58" t="str">
        <f>IFERROR(__xludf.DUMMYFUNCTION("""COMPUTED_VALUE"""),"A medium-sized edible marine bivalve mollusc in the family Mytilidae, the mussels.")</f>
        <v>A medium-sized edible marine bivalve mollusc in the family Mytilidae, the mussels.</v>
      </c>
      <c r="E556" s="56"/>
      <c r="F556" s="54"/>
      <c r="G556" s="54"/>
      <c r="H556" s="59"/>
      <c r="I556" s="59"/>
      <c r="J556" s="59"/>
      <c r="K556" s="54"/>
    </row>
    <row r="557">
      <c r="A557" s="57"/>
      <c r="B557" s="57" t="str">
        <f>IFERROR(__xludf.DUMMYFUNCTION("""COMPUTED_VALUE"""),"Oncorhynchus kisutch [NCBITaxon:8019]    ")</f>
        <v>Oncorhynchus kisutch [NCBITaxon:8019]    </v>
      </c>
      <c r="C557" s="57" t="str">
        <f>IFERROR(__xludf.DUMMYFUNCTION("""COMPUTED_VALUE"""),"NCBITaxon:8019")</f>
        <v>NCBITaxon:8019</v>
      </c>
      <c r="D557" s="58" t="str">
        <f>IFERROR(__xludf.DUMMYFUNCTION("""COMPUTED_VALUE"""),"A species of pacific salmon in North America, that is commonly called as coho salmon.")</f>
        <v>A species of pacific salmon in North America, that is commonly called as coho salmon.</v>
      </c>
      <c r="E557" s="56"/>
      <c r="F557" s="54"/>
      <c r="G557" s="54"/>
      <c r="H557" s="59"/>
      <c r="I557" s="59"/>
      <c r="J557" s="59"/>
      <c r="K557" s="54"/>
    </row>
    <row r="558">
      <c r="A558" s="57"/>
      <c r="B558" s="57" t="str">
        <f>IFERROR(__xludf.DUMMYFUNCTION("""COMPUTED_VALUE"""),"Oncorhynchus mykiss [NCBITaxon:8022]    ")</f>
        <v>Oncorhynchus mykiss [NCBITaxon:8022]    </v>
      </c>
      <c r="C558" s="57" t="str">
        <f>IFERROR(__xludf.DUMMYFUNCTION("""COMPUTED_VALUE"""),"NCBITaxon:8022")</f>
        <v>NCBITaxon:8022</v>
      </c>
      <c r="D558" s="58" t="str">
        <f>IFERROR(__xludf.DUMMYFUNCTION("""COMPUTED_VALUE"""),"A species of trout native to cold-water tributaries of the Pacific Ocean in Asia and North America (Oncorhynchus mykiss).")</f>
        <v>A species of trout native to cold-water tributaries of the Pacific Ocean in Asia and North America (Oncorhynchus mykiss).</v>
      </c>
      <c r="E558" s="56"/>
      <c r="F558" s="54"/>
      <c r="G558" s="54"/>
      <c r="H558" s="59"/>
      <c r="I558" s="59"/>
      <c r="J558" s="59"/>
      <c r="K558" s="54"/>
    </row>
    <row r="559">
      <c r="A559" s="57"/>
      <c r="B559" s="57" t="str">
        <f>IFERROR(__xludf.DUMMYFUNCTION("""COMPUTED_VALUE"""),"Oncorhynchus tshawytscha [NCBITaxon:74940]    ")</f>
        <v>Oncorhynchus tshawytscha [NCBITaxon:74940]    </v>
      </c>
      <c r="C559" s="57" t="str">
        <f>IFERROR(__xludf.DUMMYFUNCTION("""COMPUTED_VALUE"""),"NCBITaxon:74940")</f>
        <v>NCBITaxon:74940</v>
      </c>
      <c r="D559" s="58" t="str">
        <f>IFERROR(__xludf.DUMMYFUNCTION("""COMPUTED_VALUE""")," The largest species of pacific salmon in North America (Oncorhynchus tshawytscha).")</f>
        <v> The largest species of pacific salmon in North America (Oncorhynchus tshawytscha).</v>
      </c>
      <c r="E559" s="56"/>
      <c r="F559" s="54"/>
      <c r="G559" s="54"/>
      <c r="H559" s="59"/>
      <c r="I559" s="59"/>
      <c r="J559" s="59"/>
      <c r="K559" s="54"/>
    </row>
    <row r="560">
      <c r="A560" s="57"/>
      <c r="B560" s="57" t="str">
        <f>IFERROR(__xludf.DUMMYFUNCTION("""COMPUTED_VALUE"""),"Ovis aries [NCBITaxon:9940]    ")</f>
        <v>Ovis aries [NCBITaxon:9940]    </v>
      </c>
      <c r="C560" s="57" t="str">
        <f>IFERROR(__xludf.DUMMYFUNCTION("""COMPUTED_VALUE"""),"NCBITaxon:9940")</f>
        <v>NCBITaxon:9940</v>
      </c>
      <c r="D560" s="58" t="str">
        <f>IFERROR(__xludf.DUMMYFUNCTION("""COMPUTED_VALUE"""),"A domesticated, even-toed, ungluate, ruminant mammal typically kept as livestock for its wool and meat, usually of the species Ovis aries.")</f>
        <v>A domesticated, even-toed, ungluate, ruminant mammal typically kept as livestock for its wool and meat, usually of the species Ovis aries.</v>
      </c>
      <c r="E560" s="56"/>
      <c r="F560" s="54"/>
      <c r="G560" s="54"/>
      <c r="H560" s="59"/>
      <c r="I560" s="59"/>
      <c r="J560" s="59"/>
      <c r="K560" s="54"/>
    </row>
    <row r="561">
      <c r="A561" s="57"/>
      <c r="B561" s="57" t="str">
        <f>IFERROR(__xludf.DUMMYFUNCTION("""COMPUTED_VALUE"""),"Phalacrocorax auritus [NCBITaxon:56069]    ")</f>
        <v>Phalacrocorax auritus [NCBITaxon:56069]    </v>
      </c>
      <c r="C561" s="57" t="str">
        <f>IFERROR(__xludf.DUMMYFUNCTION("""COMPUTED_VALUE"""),"NCBITaxon:56069")</f>
        <v>NCBITaxon:56069</v>
      </c>
      <c r="D561" s="58" t="str">
        <f>IFERROR(__xludf.DUMMYFUNCTION("""COMPUTED_VALUE"""),"A species of the cormorant family of water birds (Phalacrocorax auritus).")</f>
        <v>A species of the cormorant family of water birds (Phalacrocorax auritus).</v>
      </c>
      <c r="E561" s="56"/>
      <c r="F561" s="54"/>
      <c r="G561" s="54"/>
      <c r="H561" s="59"/>
      <c r="I561" s="59"/>
      <c r="J561" s="59"/>
      <c r="K561" s="54"/>
    </row>
    <row r="562">
      <c r="A562" s="57"/>
      <c r="B562" s="57" t="str">
        <f>IFERROR(__xludf.DUMMYFUNCTION("""COMPUTED_VALUE"""),"Salmo salar [NCBITaxon:8030]    ")</f>
        <v>Salmo salar [NCBITaxon:8030]    </v>
      </c>
      <c r="C562" s="57" t="str">
        <f>IFERROR(__xludf.DUMMYFUNCTION("""COMPUTED_VALUE"""),"NCBITaxon:8030")</f>
        <v>NCBITaxon:8030</v>
      </c>
      <c r="D562" s="58" t="str">
        <f>IFERROR(__xludf.DUMMYFUNCTION("""COMPUTED_VALUE"""),"A species of ray-finned fish in the family Salmonidae (Salmo salar).")</f>
        <v>A species of ray-finned fish in the family Salmonidae (Salmo salar).</v>
      </c>
      <c r="E562" s="56"/>
      <c r="F562" s="54"/>
      <c r="G562" s="54"/>
      <c r="H562" s="59"/>
      <c r="I562" s="59"/>
      <c r="J562" s="59"/>
      <c r="K562" s="54"/>
    </row>
    <row r="563">
      <c r="A563" s="57"/>
      <c r="B563" s="57" t="str">
        <f>IFERROR(__xludf.DUMMYFUNCTION("""COMPUTED_VALUE"""),"Somateria mollissima [NCBITaxon:76058]    ")</f>
        <v>Somateria mollissima [NCBITaxon:76058]    </v>
      </c>
      <c r="C563" s="57" t="str">
        <f>IFERROR(__xludf.DUMMYFUNCTION("""COMPUTED_VALUE"""),"NCBITaxon:76058")</f>
        <v>NCBITaxon:76058</v>
      </c>
      <c r="D563" s="58" t="str">
        <f>IFERROR(__xludf.DUMMYFUNCTION("""COMPUTED_VALUE"""),"A species of a large sea-duck that is distributed over the northern coasts of Europe, North America and eastern Siberia (Somateria mollissima).")</f>
        <v>A species of a large sea-duck that is distributed over the northern coasts of Europe, North America and eastern Siberia (Somateria mollissima).</v>
      </c>
      <c r="E563" s="56"/>
      <c r="F563" s="54"/>
      <c r="G563" s="54"/>
      <c r="H563" s="59"/>
      <c r="I563" s="59"/>
      <c r="J563" s="59"/>
      <c r="K563" s="54"/>
    </row>
    <row r="564">
      <c r="A564" s="57"/>
      <c r="B564" s="57" t="str">
        <f>IFERROR(__xludf.DUMMYFUNCTION("""COMPUTED_VALUE"""),"Sus scrofa domesticus [NCBITaxon:9825]    ")</f>
        <v>Sus scrofa domesticus [NCBITaxon:9825]    </v>
      </c>
      <c r="C564" s="57" t="str">
        <f>IFERROR(__xludf.DUMMYFUNCTION("""COMPUTED_VALUE"""),"NCBITaxon:9825")</f>
        <v>NCBITaxon:9825</v>
      </c>
      <c r="D564" s="58" t="str">
        <f>IFERROR(__xludf.DUMMYFUNCTION("""COMPUTED_VALUE"""),"A stout-bodied, hooved and short-legged, omnivorous mammal, with thick skin usually sparsely coated with short bristles raised for its meat.")</f>
        <v>A stout-bodied, hooved and short-legged, omnivorous mammal, with thick skin usually sparsely coated with short bristles raised for its meat.</v>
      </c>
      <c r="E564" s="56"/>
      <c r="F564" s="54"/>
      <c r="G564" s="54"/>
      <c r="H564" s="54"/>
      <c r="I564" s="54"/>
      <c r="J564" s="54"/>
      <c r="K564" s="54"/>
    </row>
    <row r="565">
      <c r="A565" s="57"/>
      <c r="B565" s="57" t="str">
        <f>IFERROR(__xludf.DUMMYFUNCTION("""COMPUTED_VALUE"""),"    ")</f>
        <v>    </v>
      </c>
      <c r="C565" s="57" t="str">
        <f>IFERROR(__xludf.DUMMYFUNCTION("""COMPUTED_VALUE"""),"")</f>
        <v/>
      </c>
      <c r="D565" s="58"/>
      <c r="E565" s="56"/>
      <c r="F565" s="54"/>
      <c r="G565" s="54"/>
      <c r="H565" s="59"/>
      <c r="I565" s="59"/>
      <c r="J565" s="59"/>
      <c r="K565" s="54"/>
    </row>
    <row r="566">
      <c r="A566" s="57" t="str">
        <f>IFERROR(__xludf.DUMMYFUNCTION("""COMPUTED_VALUE"""),"host (food production name) menu")</f>
        <v>host (food production name) menu</v>
      </c>
      <c r="B566" s="57" t="str">
        <f>IFERROR(__xludf.DUMMYFUNCTION("""COMPUTED_VALUE"""),"    ")</f>
        <v>    </v>
      </c>
      <c r="C566" s="57" t="str">
        <f>IFERROR(__xludf.DUMMYFUNCTION("""COMPUTED_VALUE"""),"")</f>
        <v/>
      </c>
      <c r="D566" s="58"/>
      <c r="E566" s="56"/>
      <c r="F566" s="54"/>
      <c r="G566" s="54"/>
      <c r="H566" s="59"/>
      <c r="I566" s="59"/>
      <c r="J566" s="59"/>
      <c r="K566" s="54"/>
    </row>
    <row r="567">
      <c r="A567" s="57"/>
      <c r="B567" s="57" t="str">
        <f>IFERROR(__xludf.DUMMYFUNCTION("""COMPUTED_VALUE"""),"Cow (by age/production stage) (organizational term)    ")</f>
        <v>Cow (by age/production stage) (organizational term)    </v>
      </c>
      <c r="C567" s="57" t="str">
        <f>IFERROR(__xludf.DUMMYFUNCTION("""COMPUTED_VALUE"""),"")</f>
        <v/>
      </c>
      <c r="D567" s="58"/>
      <c r="E567" s="56"/>
      <c r="F567" s="54"/>
      <c r="G567" s="54"/>
      <c r="H567" s="59"/>
      <c r="I567" s="59"/>
      <c r="J567" s="59"/>
      <c r="K567" s="54"/>
    </row>
    <row r="568">
      <c r="A568" s="57"/>
      <c r="B568" s="57" t="str">
        <f>IFERROR(__xludf.DUMMYFUNCTION("""COMPUTED_VALUE""")," Calf [FOODON:03411349]   ")</f>
        <v> Calf [FOODON:03411349]   </v>
      </c>
      <c r="C568" s="57" t="str">
        <f>IFERROR(__xludf.DUMMYFUNCTION("""COMPUTED_VALUE"""),"FOODON:03411349")</f>
        <v>FOODON:03411349</v>
      </c>
      <c r="D568" s="58" t="str">
        <f>IFERROR(__xludf.DUMMYFUNCTION("""COMPUTED_VALUE"""),"Calves are the young of domestic cattle. Calves are reared to become adult cattle, or are slaughtered for their meat, called veal.")</f>
        <v>Calves are the young of domestic cattle. Calves are reared to become adult cattle, or are slaughtered for their meat, called veal.</v>
      </c>
      <c r="E568" s="56"/>
      <c r="F568" s="54"/>
      <c r="G568" s="54"/>
      <c r="H568" s="59"/>
      <c r="I568" s="59"/>
      <c r="J568" s="59"/>
      <c r="K568" s="54"/>
    </row>
    <row r="569">
      <c r="A569" s="57"/>
      <c r="B569" s="57" t="str">
        <f>IFERROR(__xludf.DUMMYFUNCTION("""COMPUTED_VALUE""")," Dry cow [FOODON:00004411]   ")</f>
        <v> Dry cow [FOODON:00004411]   </v>
      </c>
      <c r="C569" s="57" t="str">
        <f>IFERROR(__xludf.DUMMYFUNCTION("""COMPUTED_VALUE"""),"FOODON:00004411")</f>
        <v>FOODON:00004411</v>
      </c>
      <c r="D569" s="58" t="str">
        <f>IFERROR(__xludf.DUMMYFUNCTION("""COMPUTED_VALUE"""),"A cow that is in a stage of its lactation cycle where milk production ceases prior to calving.")</f>
        <v>A cow that is in a stage of its lactation cycle where milk production ceases prior to calving.</v>
      </c>
      <c r="E569" s="56"/>
      <c r="F569" s="54"/>
      <c r="G569" s="54"/>
      <c r="H569" s="59"/>
      <c r="I569" s="59"/>
      <c r="J569" s="59"/>
      <c r="K569" s="54"/>
    </row>
    <row r="570">
      <c r="A570" s="57"/>
      <c r="B570" s="57" t="str">
        <f>IFERROR(__xludf.DUMMYFUNCTION("""COMPUTED_VALUE""")," Feeder cow [FOODON:00004292]   ")</f>
        <v> Feeder cow [FOODON:00004292]   </v>
      </c>
      <c r="C570" s="57" t="str">
        <f>IFERROR(__xludf.DUMMYFUNCTION("""COMPUTED_VALUE"""),"FOODON:00004292")</f>
        <v>FOODON:00004292</v>
      </c>
      <c r="D570" s="58" t="str">
        <f>IFERROR(__xludf.DUMMYFUNCTION("""COMPUTED_VALUE"""),"A young cow mature enough either to undergo backgrounding or to be fattened in preparation for slaughter.")</f>
        <v>A young cow mature enough either to undergo backgrounding or to be fattened in preparation for slaughter.</v>
      </c>
      <c r="E570" s="56"/>
      <c r="F570" s="54"/>
      <c r="G570" s="54"/>
      <c r="H570" s="59"/>
      <c r="I570" s="59"/>
      <c r="J570" s="59"/>
      <c r="K570" s="54"/>
    </row>
    <row r="571">
      <c r="A571" s="57"/>
      <c r="B571" s="57" t="str">
        <f>IFERROR(__xludf.DUMMYFUNCTION("""COMPUTED_VALUE""")," Finisher cow [FOODON:00004293]   ")</f>
        <v> Finisher cow [FOODON:00004293]   </v>
      </c>
      <c r="C571" s="57" t="str">
        <f>IFERROR(__xludf.DUMMYFUNCTION("""COMPUTED_VALUE"""),"FOODON:00004293")</f>
        <v>FOODON:00004293</v>
      </c>
      <c r="D571" s="58"/>
      <c r="E571" s="56"/>
      <c r="F571" s="54"/>
      <c r="G571" s="54"/>
      <c r="H571" s="59"/>
      <c r="I571" s="59"/>
      <c r="J571" s="59"/>
      <c r="K571" s="54"/>
    </row>
    <row r="572">
      <c r="A572" s="57"/>
      <c r="B572" s="57" t="str">
        <f>IFERROR(__xludf.DUMMYFUNCTION("""COMPUTED_VALUE""")," Milker cow [FOODON:03411201]   ")</f>
        <v> Milker cow [FOODON:03411201]   </v>
      </c>
      <c r="C572" s="57" t="str">
        <f>IFERROR(__xludf.DUMMYFUNCTION("""COMPUTED_VALUE"""),"FOODON:03411201")</f>
        <v>FOODON:03411201</v>
      </c>
      <c r="D572" s="58" t="str">
        <f>IFERROR(__xludf.DUMMYFUNCTION("""COMPUTED_VALUE"""),"A cow that is bred specifically for milk production.")</f>
        <v>A cow that is bred specifically for milk production.</v>
      </c>
      <c r="E572" s="56"/>
      <c r="F572" s="54"/>
      <c r="G572" s="54"/>
      <c r="H572" s="59"/>
      <c r="I572" s="59"/>
      <c r="J572" s="59"/>
      <c r="K572" s="54"/>
    </row>
    <row r="573">
      <c r="A573" s="57"/>
      <c r="B573" s="57" t="str">
        <f>IFERROR(__xludf.DUMMYFUNCTION("""COMPUTED_VALUE""")," Stocker cow [FOODON:00004294]   ")</f>
        <v> Stocker cow [FOODON:00004294]   </v>
      </c>
      <c r="C573" s="57" t="str">
        <f>IFERROR(__xludf.DUMMYFUNCTION("""COMPUTED_VALUE"""),"FOODON:00004294")</f>
        <v>FOODON:00004294</v>
      </c>
      <c r="D573" s="58" t="str">
        <f>IFERROR(__xludf.DUMMYFUNCTION("""COMPUTED_VALUE"""),"A type of cow that has been weaned and is being fed in a way to add physical bulk to its body.")</f>
        <v>A type of cow that has been weaned and is being fed in a way to add physical bulk to its body.</v>
      </c>
      <c r="E573" s="56"/>
      <c r="F573" s="54"/>
      <c r="G573" s="54"/>
      <c r="H573" s="59"/>
      <c r="I573" s="59"/>
      <c r="J573" s="59"/>
      <c r="K573" s="54"/>
    </row>
    <row r="574">
      <c r="A574" s="57"/>
      <c r="B574" s="57" t="str">
        <f>IFERROR(__xludf.DUMMYFUNCTION("""COMPUTED_VALUE""")," Weanling cow [FOODON:00004295]   ")</f>
        <v> Weanling cow [FOODON:00004295]   </v>
      </c>
      <c r="C574" s="57" t="str">
        <f>IFERROR(__xludf.DUMMYFUNCTION("""COMPUTED_VALUE"""),"FOODON:00004295")</f>
        <v>FOODON:00004295</v>
      </c>
      <c r="D574" s="58" t="str">
        <f>IFERROR(__xludf.DUMMYFUNCTION("""COMPUTED_VALUE"""),"A type of young cow that has been weaned and consumes solid food.")</f>
        <v>A type of young cow that has been weaned and consumes solid food.</v>
      </c>
      <c r="E574" s="56"/>
      <c r="F574" s="54"/>
      <c r="G574" s="54"/>
      <c r="H574" s="59"/>
      <c r="I574" s="59"/>
      <c r="J574" s="59"/>
      <c r="K574" s="54"/>
    </row>
    <row r="575">
      <c r="A575" s="57"/>
      <c r="B575" s="57" t="str">
        <f>IFERROR(__xludf.DUMMYFUNCTION("""COMPUTED_VALUE"""),"Cow (by sex/reproductive stage) (organizational term)    ")</f>
        <v>Cow (by sex/reproductive stage) (organizational term)    </v>
      </c>
      <c r="C575" s="57" t="str">
        <f>IFERROR(__xludf.DUMMYFUNCTION("""COMPUTED_VALUE"""),"")</f>
        <v/>
      </c>
      <c r="D575" s="58"/>
      <c r="E575" s="56"/>
      <c r="F575" s="54"/>
      <c r="G575" s="54"/>
      <c r="H575" s="59"/>
      <c r="I575" s="59"/>
      <c r="J575" s="59"/>
      <c r="K575" s="54"/>
    </row>
    <row r="576">
      <c r="A576" s="57"/>
      <c r="B576" s="57" t="str">
        <f>IFERROR(__xludf.DUMMYFUNCTION("""COMPUTED_VALUE""")," Bull [FOODON:00000015]   ")</f>
        <v> Bull [FOODON:00000015]   </v>
      </c>
      <c r="C576" s="57" t="str">
        <f>IFERROR(__xludf.DUMMYFUNCTION("""COMPUTED_VALUE"""),"FOODON:00000015")</f>
        <v>FOODON:00000015</v>
      </c>
      <c r="D576" s="58" t="str">
        <f>IFERROR(__xludf.DUMMYFUNCTION("""COMPUTED_VALUE"""),"A cattle bull is an adult ""intact"" (i.e. not castrated) male of a cattle species.")</f>
        <v>A cattle bull is an adult "intact" (i.e. not castrated) male of a cattle species.</v>
      </c>
      <c r="E576" s="56"/>
      <c r="F576" s="54"/>
      <c r="G576" s="54"/>
      <c r="H576" s="59"/>
      <c r="I576" s="59"/>
      <c r="J576" s="59"/>
      <c r="K576" s="54"/>
    </row>
    <row r="577">
      <c r="A577" s="57"/>
      <c r="B577" s="57" t="str">
        <f>IFERROR(__xludf.DUMMYFUNCTION("""COMPUTED_VALUE""")," Cow [NCBITaxon:9913]   ")</f>
        <v> Cow [NCBITaxon:9913]   </v>
      </c>
      <c r="C577" s="57" t="str">
        <f>IFERROR(__xludf.DUMMYFUNCTION("""COMPUTED_VALUE"""),"NCBITaxon:9913")</f>
        <v>NCBITaxon:9913</v>
      </c>
      <c r="D577" s="58" t="str">
        <f>IFERROR(__xludf.DUMMYFUNCTION("""COMPUTED_VALUE"""),"A group of large, domesticated, cloven-hooved herbivores.")</f>
        <v>A group of large, domesticated, cloven-hooved herbivores.</v>
      </c>
      <c r="E577" s="56"/>
      <c r="F577" s="54"/>
      <c r="G577" s="54"/>
      <c r="H577" s="59"/>
      <c r="I577" s="59"/>
      <c r="J577" s="59"/>
      <c r="K577" s="54"/>
    </row>
    <row r="578">
      <c r="A578" s="57"/>
      <c r="B578" s="57" t="str">
        <f>IFERROR(__xludf.DUMMYFUNCTION("""COMPUTED_VALUE""")," Freemartin [FOODON:00004296]   ")</f>
        <v> Freemartin [FOODON:00004296]   </v>
      </c>
      <c r="C578" s="57" t="str">
        <f>IFERROR(__xludf.DUMMYFUNCTION("""COMPUTED_VALUE"""),"FOODON:00004296")</f>
        <v>FOODON:00004296</v>
      </c>
      <c r="D578" s="58" t="str">
        <f>IFERROR(__xludf.DUMMYFUNCTION("""COMPUTED_VALUE"""),"A cow that is genetically female, but has many characteristics of a male and is usually infertile.")</f>
        <v>A cow that is genetically female, but has many characteristics of a male and is usually infertile.</v>
      </c>
      <c r="E578" s="56"/>
      <c r="F578" s="54"/>
      <c r="G578" s="54"/>
      <c r="H578" s="59"/>
      <c r="I578" s="59"/>
      <c r="J578" s="59"/>
      <c r="K578" s="54"/>
    </row>
    <row r="579">
      <c r="A579" s="57"/>
      <c r="B579" s="57" t="str">
        <f>IFERROR(__xludf.DUMMYFUNCTION("""COMPUTED_VALUE""")," Heifer [FOODON:00002518]   ")</f>
        <v> Heifer [FOODON:00002518]   </v>
      </c>
      <c r="C579" s="57" t="str">
        <f>IFERROR(__xludf.DUMMYFUNCTION("""COMPUTED_VALUE"""),"FOODON:00002518")</f>
        <v>FOODON:00002518</v>
      </c>
      <c r="D579" s="58" t="str">
        <f>IFERROR(__xludf.DUMMYFUNCTION("""COMPUTED_VALUE"""),"A heifer is a young female, under three years of age, of a cattle species before she has had a calf of her own.")</f>
        <v>A heifer is a young female, under three years of age, of a cattle species before she has had a calf of her own.</v>
      </c>
      <c r="E579" s="56"/>
      <c r="F579" s="54"/>
      <c r="G579" s="54"/>
      <c r="H579" s="59"/>
      <c r="I579" s="59"/>
      <c r="J579" s="59"/>
      <c r="K579" s="54"/>
    </row>
    <row r="580">
      <c r="A580" s="57"/>
      <c r="B580" s="57" t="str">
        <f>IFERROR(__xludf.DUMMYFUNCTION("""COMPUTED_VALUE""")," Steer [FOODON:00002531]   ")</f>
        <v> Steer [FOODON:00002531]   </v>
      </c>
      <c r="C580" s="57" t="str">
        <f>IFERROR(__xludf.DUMMYFUNCTION("""COMPUTED_VALUE"""),"FOODON:00002531")</f>
        <v>FOODON:00002531</v>
      </c>
      <c r="D580" s="58" t="str">
        <f>IFERROR(__xludf.DUMMYFUNCTION("""COMPUTED_VALUE"""),"A cattle steer is an adult castrated male of a cattle species.")</f>
        <v>A cattle steer is an adult castrated male of a cattle species.</v>
      </c>
      <c r="E580" s="56"/>
      <c r="F580" s="54"/>
      <c r="G580" s="54"/>
      <c r="H580" s="59"/>
      <c r="I580" s="59"/>
      <c r="J580" s="59"/>
      <c r="K580" s="54"/>
    </row>
    <row r="581">
      <c r="A581" s="57"/>
      <c r="B581" s="57" t="str">
        <f>IFERROR(__xludf.DUMMYFUNCTION("""COMPUTED_VALUE"""),"Pig (by age/production stage) (organizational term)    ")</f>
        <v>Pig (by age/production stage) (organizational term)    </v>
      </c>
      <c r="C581" s="57" t="str">
        <f>IFERROR(__xludf.DUMMYFUNCTION("""COMPUTED_VALUE"""),"")</f>
        <v/>
      </c>
      <c r="D581" s="58"/>
      <c r="E581" s="56"/>
      <c r="F581" s="54"/>
      <c r="G581" s="54"/>
      <c r="H581" s="59"/>
      <c r="I581" s="59"/>
      <c r="J581" s="59"/>
      <c r="K581" s="54"/>
    </row>
    <row r="582">
      <c r="A582" s="57"/>
      <c r="B582" s="57" t="str">
        <f>IFERROR(__xludf.DUMMYFUNCTION("""COMPUTED_VALUE""")," Finisher pig [FOODON:00003371]   ")</f>
        <v> Finisher pig [FOODON:00003371]   </v>
      </c>
      <c r="C582" s="57" t="str">
        <f>IFERROR(__xludf.DUMMYFUNCTION("""COMPUTED_VALUE"""),"FOODON:00003371")</f>
        <v>FOODON:00003371</v>
      </c>
      <c r="D582" s="58" t="str">
        <f>IFERROR(__xludf.DUMMYFUNCTION("""COMPUTED_VALUE"""),"A grower pig over 70 kg (150 lb) liveweight.")</f>
        <v>A grower pig over 70 kg (150 lb) liveweight.</v>
      </c>
      <c r="E582" s="56"/>
      <c r="F582" s="54"/>
      <c r="G582" s="54"/>
      <c r="H582" s="59"/>
      <c r="I582" s="59"/>
      <c r="J582" s="59"/>
      <c r="K582" s="54"/>
    </row>
    <row r="583">
      <c r="A583" s="57"/>
      <c r="B583" s="57" t="str">
        <f>IFERROR(__xludf.DUMMYFUNCTION("""COMPUTED_VALUE""")," Grower pig [FOODON:00003370]   ")</f>
        <v> Grower pig [FOODON:00003370]   </v>
      </c>
      <c r="C583" s="57" t="str">
        <f>IFERROR(__xludf.DUMMYFUNCTION("""COMPUTED_VALUE"""),"FOODON:00003370")</f>
        <v>FOODON:00003370</v>
      </c>
      <c r="D583" s="58" t="str">
        <f>IFERROR(__xludf.DUMMYFUNCTION("""COMPUTED_VALUE"""),"A pig between weaning and sale or transfer to the breeding herd, sold for slaughter or killed for rations.")</f>
        <v>A pig between weaning and sale or transfer to the breeding herd, sold for slaughter or killed for rations.</v>
      </c>
      <c r="E583" s="56"/>
      <c r="F583" s="54"/>
      <c r="G583" s="54"/>
      <c r="H583" s="59"/>
      <c r="I583" s="59"/>
      <c r="J583" s="59"/>
      <c r="K583" s="54"/>
    </row>
    <row r="584">
      <c r="A584" s="57"/>
      <c r="B584" s="57" t="str">
        <f>IFERROR(__xludf.DUMMYFUNCTION("""COMPUTED_VALUE""")," Nursing pig [FOODON:00004297 ]   ")</f>
        <v> Nursing pig [FOODON:00004297 ]   </v>
      </c>
      <c r="C584" s="57" t="str">
        <f>IFERROR(__xludf.DUMMYFUNCTION("""COMPUTED_VALUE"""),"OODON:00004297")</f>
        <v>OODON:00004297</v>
      </c>
      <c r="D584" s="58"/>
      <c r="E584" s="56"/>
      <c r="F584" s="54"/>
      <c r="G584" s="54"/>
      <c r="H584" s="59"/>
      <c r="I584" s="59"/>
      <c r="J584" s="59"/>
      <c r="K584" s="54"/>
    </row>
    <row r="585">
      <c r="A585" s="57"/>
      <c r="B585" s="57" t="str">
        <f>IFERROR(__xludf.DUMMYFUNCTION("""COMPUTED_VALUE""")," Pig [NCBITaxon:9823]   ")</f>
        <v> Pig [NCBITaxon:9823]   </v>
      </c>
      <c r="C585" s="57" t="str">
        <f>IFERROR(__xludf.DUMMYFUNCTION("""COMPUTED_VALUE"""),"NCBITaxon:9823")</f>
        <v>NCBITaxon:9823</v>
      </c>
      <c r="D585" s="58" t="str">
        <f>IFERROR(__xludf.DUMMYFUNCTION("""COMPUTED_VALUE"""),"A stout-bodied, hooved and short-legged, omnivorous mammal from the species Sus scofus, with thick skin usually sparsely coated with short bristles.")</f>
        <v>A stout-bodied, hooved and short-legged, omnivorous mammal from the species Sus scofus, with thick skin usually sparsely coated with short bristles.</v>
      </c>
      <c r="E585" s="56"/>
      <c r="F585" s="54"/>
      <c r="G585" s="54"/>
      <c r="H585" s="59"/>
      <c r="I585" s="59"/>
      <c r="J585" s="59"/>
      <c r="K585" s="54"/>
    </row>
    <row r="586">
      <c r="A586" s="57"/>
      <c r="B586" s="57" t="str">
        <f>IFERROR(__xludf.DUMMYFUNCTION("""COMPUTED_VALUE""")," Piglet [FOODON:00003952]   ")</f>
        <v> Piglet [FOODON:00003952]   </v>
      </c>
      <c r="C586" s="57" t="str">
        <f>IFERROR(__xludf.DUMMYFUNCTION("""COMPUTED_VALUE"""),"FOODON:00003952")</f>
        <v>FOODON:00003952</v>
      </c>
      <c r="D586" s="58" t="str">
        <f>IFERROR(__xludf.DUMMYFUNCTION("""COMPUTED_VALUE"""),"An unweaned or immature pig.")</f>
        <v>An unweaned or immature pig.</v>
      </c>
      <c r="E586" s="56"/>
      <c r="F586" s="54"/>
      <c r="G586" s="54"/>
      <c r="H586" s="59"/>
      <c r="I586" s="59"/>
      <c r="J586" s="59"/>
      <c r="K586" s="54"/>
    </row>
    <row r="587">
      <c r="A587" s="57"/>
      <c r="B587" s="57" t="str">
        <f>IFERROR(__xludf.DUMMYFUNCTION("""COMPUTED_VALUE""")," Weanling (weaner) pig [FOODON:00003373]   ")</f>
        <v> Weanling (weaner) pig [FOODON:00003373]   </v>
      </c>
      <c r="C587" s="57" t="str">
        <f>IFERROR(__xludf.DUMMYFUNCTION("""COMPUTED_VALUE"""),"FOODON:00003373")</f>
        <v>FOODON:00003373</v>
      </c>
      <c r="D587" s="58" t="str">
        <f>IFERROR(__xludf.DUMMYFUNCTION("""COMPUTED_VALUE"""),"A young pig recently separated from the sow")</f>
        <v>A young pig recently separated from the sow</v>
      </c>
      <c r="E587" s="56"/>
      <c r="F587" s="54"/>
      <c r="G587" s="54"/>
      <c r="H587" s="59"/>
      <c r="I587" s="59"/>
      <c r="J587" s="59"/>
      <c r="K587" s="54"/>
    </row>
    <row r="588">
      <c r="A588" s="57"/>
      <c r="B588" s="57" t="str">
        <f>IFERROR(__xludf.DUMMYFUNCTION("""COMPUTED_VALUE"""),"Pig (by sex/reproductive stage) (organizational term)    ")</f>
        <v>Pig (by sex/reproductive stage) (organizational term)    </v>
      </c>
      <c r="C588" s="57" t="str">
        <f>IFERROR(__xludf.DUMMYFUNCTION("""COMPUTED_VALUE"""),"")</f>
        <v/>
      </c>
      <c r="D588" s="58"/>
      <c r="E588" s="56"/>
      <c r="F588" s="54"/>
      <c r="G588" s="54"/>
      <c r="H588" s="59"/>
      <c r="I588" s="59"/>
      <c r="J588" s="59"/>
      <c r="K588" s="54"/>
    </row>
    <row r="589">
      <c r="A589" s="57"/>
      <c r="B589" s="57" t="str">
        <f>IFERROR(__xludf.DUMMYFUNCTION("""COMPUTED_VALUE""")," Barrow [FOODON:03411280]   ")</f>
        <v> Barrow [FOODON:03411280]   </v>
      </c>
      <c r="C589" s="57" t="str">
        <f>IFERROR(__xludf.DUMMYFUNCTION("""COMPUTED_VALUE"""),"FOODON:03411280")</f>
        <v>FOODON:03411280</v>
      </c>
      <c r="D589" s="58" t="str">
        <f>IFERROR(__xludf.DUMMYFUNCTION("""COMPUTED_VALUE"""),"A male swine castrated before sexual maturity.")</f>
        <v>A male swine castrated before sexual maturity.</v>
      </c>
      <c r="E589" s="56"/>
      <c r="F589" s="54"/>
      <c r="G589" s="54"/>
      <c r="H589" s="59"/>
      <c r="I589" s="59"/>
      <c r="J589" s="59"/>
      <c r="K589" s="54"/>
    </row>
    <row r="590">
      <c r="A590" s="57"/>
      <c r="B590" s="57" t="str">
        <f>IFERROR(__xludf.DUMMYFUNCTION("""COMPUTED_VALUE""")," Boar [FOODON:03412248]   ")</f>
        <v> Boar [FOODON:03412248]   </v>
      </c>
      <c r="C590" s="57" t="str">
        <f>IFERROR(__xludf.DUMMYFUNCTION("""COMPUTED_VALUE"""),"FOODON:03412248")</f>
        <v>FOODON:03412248</v>
      </c>
      <c r="D590" s="58" t="str">
        <f>IFERROR(__xludf.DUMMYFUNCTION("""COMPUTED_VALUE"""),"An adult male swine.")</f>
        <v>An adult male swine.</v>
      </c>
      <c r="E590" s="56"/>
      <c r="F590" s="54"/>
      <c r="G590" s="54"/>
      <c r="H590" s="59"/>
      <c r="I590" s="59"/>
      <c r="J590" s="59"/>
      <c r="K590" s="54"/>
    </row>
    <row r="591">
      <c r="A591" s="57"/>
      <c r="B591" s="57" t="str">
        <f>IFERROR(__xludf.DUMMYFUNCTION("""COMPUTED_VALUE""")," Gilt [FOODON:00003369]   ")</f>
        <v> Gilt [FOODON:00003369]   </v>
      </c>
      <c r="C591" s="57" t="str">
        <f>IFERROR(__xludf.DUMMYFUNCTION("""COMPUTED_VALUE"""),"FOODON:00003369")</f>
        <v>FOODON:00003369</v>
      </c>
      <c r="D591" s="58" t="str">
        <f>IFERROR(__xludf.DUMMYFUNCTION("""COMPUTED_VALUE"""),"A female pig under the age of 1 year. The term is also often used to refer to a pig who has not farrowed, or given birth to a litter.")</f>
        <v>A female pig under the age of 1 year. The term is also often used to refer to a pig who has not farrowed, or given birth to a litter.</v>
      </c>
      <c r="E591" s="56"/>
      <c r="F591" s="54"/>
      <c r="G591" s="54"/>
      <c r="H591" s="59"/>
      <c r="I591" s="59"/>
      <c r="J591" s="59"/>
      <c r="K591" s="54"/>
    </row>
    <row r="592">
      <c r="A592" s="57"/>
      <c r="B592" s="57" t="str">
        <f>IFERROR(__xludf.DUMMYFUNCTION("""COMPUTED_VALUE""")," Sow [FOODON:00003333]   ")</f>
        <v> Sow [FOODON:00003333]   </v>
      </c>
      <c r="C592" s="57" t="str">
        <f>IFERROR(__xludf.DUMMYFUNCTION("""COMPUTED_VALUE"""),"FOODON:00003333")</f>
        <v>FOODON:00003333</v>
      </c>
      <c r="D592" s="58" t="str">
        <f>IFERROR(__xludf.DUMMYFUNCTION("""COMPUTED_VALUE"""),"An adult female swine.")</f>
        <v>An adult female swine.</v>
      </c>
      <c r="E592" s="56"/>
      <c r="F592" s="54"/>
      <c r="G592" s="54"/>
      <c r="H592" s="59"/>
      <c r="I592" s="59"/>
      <c r="J592" s="59"/>
      <c r="K592" s="54"/>
    </row>
    <row r="593">
      <c r="A593" s="57"/>
      <c r="B593" s="57" t="str">
        <f>IFERROR(__xludf.DUMMYFUNCTION("""COMPUTED_VALUE"""),"Poultry or game bird [FOODON:03411563]    ")</f>
        <v>Poultry or game bird [FOODON:03411563]    </v>
      </c>
      <c r="C593" s="57" t="str">
        <f>IFERROR(__xludf.DUMMYFUNCTION("""COMPUTED_VALUE"""),"FOODON:03411563")</f>
        <v>FOODON:03411563</v>
      </c>
      <c r="D593" s="58" t="str">
        <f>IFERROR(__xludf.DUMMYFUNCTION("""COMPUTED_VALUE"""),"Domesticated birds kept by humans for their eggs, their meat or their feathers. ")</f>
        <v>Domesticated birds kept by humans for their eggs, their meat or their feathers. </v>
      </c>
      <c r="E593" s="56"/>
      <c r="F593" s="54"/>
      <c r="G593" s="54"/>
      <c r="H593" s="59"/>
      <c r="I593" s="59"/>
      <c r="J593" s="59"/>
      <c r="K593" s="54"/>
    </row>
    <row r="594">
      <c r="A594" s="57"/>
      <c r="B594" s="57" t="str">
        <f>IFERROR(__xludf.DUMMYFUNCTION("""COMPUTED_VALUE""")," Broiler or fryer chicken [FOODON:03411198]   ")</f>
        <v> Broiler or fryer chicken [FOODON:03411198]   </v>
      </c>
      <c r="C594" s="57" t="str">
        <f>IFERROR(__xludf.DUMMYFUNCTION("""COMPUTED_VALUE"""),"FOODON:03411198")</f>
        <v>FOODON:03411198</v>
      </c>
      <c r="D594" s="58" t="str">
        <f>IFERROR(__xludf.DUMMYFUNCTION("""COMPUTED_VALUE"""),"A chicken younger than 10 weeks old (previously younger than 13 weeks), of either sex, that is tender-meated with soft, pliable, smooth-textured skin and flexible breastbone cartilage.")</f>
        <v>A chicken younger than 10 weeks old (previously younger than 13 weeks), of either sex, that is tender-meated with soft, pliable, smooth-textured skin and flexible breastbone cartilage.</v>
      </c>
      <c r="E594" s="56"/>
      <c r="F594" s="54"/>
      <c r="G594" s="54"/>
      <c r="H594" s="59"/>
      <c r="I594" s="59"/>
      <c r="J594" s="59"/>
      <c r="K594" s="54"/>
    </row>
    <row r="595">
      <c r="A595" s="57"/>
      <c r="B595" s="57" t="str">
        <f>IFERROR(__xludf.DUMMYFUNCTION("""COMPUTED_VALUE""")," Capon [FOODON:03411711]   ")</f>
        <v> Capon [FOODON:03411711]   </v>
      </c>
      <c r="C595" s="57" t="str">
        <f>IFERROR(__xludf.DUMMYFUNCTION("""COMPUTED_VALUE"""),"FOODON:03411711")</f>
        <v>FOODON:03411711</v>
      </c>
      <c r="D595" s="58" t="str">
        <f>IFERROR(__xludf.DUMMYFUNCTION("""COMPUTED_VALUE"""),"A surgically neutered male chicken younger than four months old (previously younger than eight months) that is tender-meated with soft, pliable, smooth-textured skin.")</f>
        <v>A surgically neutered male chicken younger than four months old (previously younger than eight months) that is tender-meated with soft, pliable, smooth-textured skin.</v>
      </c>
      <c r="E595" s="56"/>
      <c r="F595" s="54"/>
      <c r="G595" s="54"/>
      <c r="H595" s="59"/>
      <c r="I595" s="59"/>
      <c r="J595" s="59"/>
      <c r="K595" s="54"/>
    </row>
    <row r="596">
      <c r="A596" s="57"/>
      <c r="B596" s="57" t="str">
        <f>IFERROR(__xludf.DUMMYFUNCTION("""COMPUTED_VALUE""")," Chick [FOODON:00004299]   ")</f>
        <v> Chick [FOODON:00004299]   </v>
      </c>
      <c r="C596" s="57" t="str">
        <f>IFERROR(__xludf.DUMMYFUNCTION("""COMPUTED_VALUE"""),"FOODON:00004299")</f>
        <v>FOODON:00004299</v>
      </c>
      <c r="D596" s="58" t="str">
        <f>IFERROR(__xludf.DUMMYFUNCTION("""COMPUTED_VALUE"""),"A young offspring of any bird.")</f>
        <v>A young offspring of any bird.</v>
      </c>
      <c r="E596" s="56"/>
      <c r="F596" s="54"/>
      <c r="G596" s="54"/>
      <c r="H596" s="59"/>
      <c r="I596" s="59"/>
      <c r="J596" s="59"/>
      <c r="K596" s="54"/>
    </row>
    <row r="597">
      <c r="A597" s="57"/>
      <c r="B597" s="57" t="str">
        <f>IFERROR(__xludf.DUMMYFUNCTION("""COMPUTED_VALUE""")," Chicken [NCBITaxon:9031]   ")</f>
        <v> Chicken [NCBITaxon:9031]   </v>
      </c>
      <c r="C597" s="57" t="str">
        <f>IFERROR(__xludf.DUMMYFUNCTION("""COMPUTED_VALUE"""),"NCBITaxon:9031")</f>
        <v>NCBITaxon:9031</v>
      </c>
      <c r="D597" s="58" t="str">
        <f>IFERROR(__xludf.DUMMYFUNCTION("""COMPUTED_VALUE"""),"A domesticated junglefowl of the species Gallus gallus.	")</f>
        <v>A domesticated junglefowl of the species Gallus gallus.	</v>
      </c>
      <c r="E597" s="56"/>
      <c r="F597" s="54"/>
      <c r="G597" s="54"/>
      <c r="H597" s="59"/>
      <c r="I597" s="59"/>
      <c r="J597" s="59"/>
      <c r="K597" s="54"/>
    </row>
    <row r="598">
      <c r="A598" s="57"/>
      <c r="B598" s="57" t="str">
        <f>IFERROR(__xludf.DUMMYFUNCTION("""COMPUTED_VALUE""")," Egg [UBERON:0007379]   ")</f>
        <v> Egg [UBERON:0007379]   </v>
      </c>
      <c r="C598" s="57" t="str">
        <f>IFERROR(__xludf.DUMMYFUNCTION("""COMPUTED_VALUE"""),"UBERON:0007379")</f>
        <v>UBERON:0007379</v>
      </c>
      <c r="D598" s="58" t="str">
        <f>IFERROR(__xludf.DUMMYFUNCTION("""COMPUTED_VALUE"""),"The hard-shelled reproductive body produced by a bird (especially by the common domestic chicken) or a reptile; also: its contents used as food.")</f>
        <v>The hard-shelled reproductive body produced by a bird (especially by the common domestic chicken) or a reptile; also: its contents used as food.</v>
      </c>
      <c r="E598" s="56"/>
      <c r="F598" s="54"/>
      <c r="G598" s="54"/>
      <c r="H598" s="59"/>
      <c r="I598" s="59"/>
      <c r="J598" s="59"/>
      <c r="K598" s="54"/>
    </row>
    <row r="599">
      <c r="A599" s="57"/>
      <c r="B599" s="57" t="str">
        <f>IFERROR(__xludf.DUMMYFUNCTION("""COMPUTED_VALUE""")," Hatchling [FOODON:00004300]   ")</f>
        <v> Hatchling [FOODON:00004300]   </v>
      </c>
      <c r="C599" s="57" t="str">
        <f>IFERROR(__xludf.DUMMYFUNCTION("""COMPUTED_VALUE"""),"FOODON:00004300")</f>
        <v>FOODON:00004300</v>
      </c>
      <c r="D599" s="58" t="str">
        <f>IFERROR(__xludf.DUMMYFUNCTION("""COMPUTED_VALUE"""),"A young animal that has recently emerged from its egg.")</f>
        <v>A young animal that has recently emerged from its egg.</v>
      </c>
      <c r="E599" s="56"/>
      <c r="F599" s="54"/>
      <c r="G599" s="54"/>
      <c r="H599" s="59"/>
      <c r="I599" s="59"/>
      <c r="J599" s="59"/>
      <c r="K599" s="54"/>
    </row>
    <row r="600">
      <c r="A600" s="57"/>
      <c r="B600" s="57" t="str">
        <f>IFERROR(__xludf.DUMMYFUNCTION("""COMPUTED_VALUE""")," Hen [FOODON:00003282]   ")</f>
        <v> Hen [FOODON:00003282]   </v>
      </c>
      <c r="C600" s="57" t="str">
        <f>IFERROR(__xludf.DUMMYFUNCTION("""COMPUTED_VALUE"""),"FOODON:00003282")</f>
        <v>FOODON:00003282</v>
      </c>
      <c r="D600" s="58" t="str">
        <f>IFERROR(__xludf.DUMMYFUNCTION("""COMPUTED_VALUE"""),"An adult female chicken.")</f>
        <v>An adult female chicken.</v>
      </c>
      <c r="E600" s="56"/>
      <c r="F600" s="54"/>
      <c r="G600" s="54"/>
      <c r="H600" s="59"/>
      <c r="I600" s="59"/>
      <c r="J600" s="59"/>
      <c r="K600" s="54"/>
    </row>
    <row r="601">
      <c r="A601" s="57"/>
      <c r="B601" s="57" t="str">
        <f>IFERROR(__xludf.DUMMYFUNCTION("""COMPUTED_VALUE""")," Layer chicken [FOODON:00004301]   ")</f>
        <v> Layer chicken [FOODON:00004301]   </v>
      </c>
      <c r="C601" s="57" t="str">
        <f>IFERROR(__xludf.DUMMYFUNCTION("""COMPUTED_VALUE"""),"FOODON:00004301")</f>
        <v>FOODON:00004301</v>
      </c>
      <c r="D601" s="58" t="str">
        <f>IFERROR(__xludf.DUMMYFUNCTION("""COMPUTED_VALUE"""),"A type of chicken kept for laying eggs.")</f>
        <v>A type of chicken kept for laying eggs.</v>
      </c>
      <c r="E601" s="56"/>
      <c r="F601" s="54"/>
      <c r="G601" s="54"/>
      <c r="H601" s="59"/>
      <c r="I601" s="59"/>
      <c r="J601" s="59"/>
      <c r="K601" s="54"/>
    </row>
    <row r="602">
      <c r="A602" s="57"/>
      <c r="B602" s="57" t="str">
        <f>IFERROR(__xludf.DUMMYFUNCTION("""COMPUTED_VALUE""")," Layer turkey [FOODON:00004302]   ")</f>
        <v> Layer turkey [FOODON:00004302]   </v>
      </c>
      <c r="C602" s="57" t="str">
        <f>IFERROR(__xludf.DUMMYFUNCTION("""COMPUTED_VALUE"""),"FOODON:00004302")</f>
        <v>FOODON:00004302</v>
      </c>
      <c r="D602" s="58" t="str">
        <f>IFERROR(__xludf.DUMMYFUNCTION("""COMPUTED_VALUE"""),"A type of turkey kept for laying eggs.")</f>
        <v>A type of turkey kept for laying eggs.</v>
      </c>
      <c r="E602" s="56"/>
      <c r="F602" s="54"/>
      <c r="G602" s="54"/>
      <c r="H602" s="59"/>
      <c r="I602" s="59"/>
      <c r="J602" s="59"/>
      <c r="K602" s="54"/>
    </row>
    <row r="603">
      <c r="A603" s="57"/>
      <c r="B603" s="57" t="str">
        <f>IFERROR(__xludf.DUMMYFUNCTION("""COMPUTED_VALUE""")," Poult [FOODON:00002962]   ")</f>
        <v> Poult [FOODON:00002962]   </v>
      </c>
      <c r="C603" s="57" t="str">
        <f>IFERROR(__xludf.DUMMYFUNCTION("""COMPUTED_VALUE"""),"FOODON:00002962")</f>
        <v>FOODON:00002962</v>
      </c>
      <c r="D603" s="58" t="str">
        <f>IFERROR(__xludf.DUMMYFUNCTION("""COMPUTED_VALUE"""),"A poult is a young domestic chicken, turkey, pheasant, or other fowl being raised for food.")</f>
        <v>A poult is a young domestic chicken, turkey, pheasant, or other fowl being raised for food.</v>
      </c>
      <c r="E603" s="56"/>
      <c r="F603" s="54"/>
      <c r="G603" s="54"/>
      <c r="H603" s="59"/>
      <c r="I603" s="59"/>
      <c r="J603" s="59"/>
      <c r="K603" s="54"/>
    </row>
    <row r="604">
      <c r="A604" s="57"/>
      <c r="B604" s="57" t="str">
        <f>IFERROR(__xludf.DUMMYFUNCTION("""COMPUTED_VALUE""")," Pullet [FOODON:00004303]   ")</f>
        <v> Pullet [FOODON:00004303]   </v>
      </c>
      <c r="C604" s="57" t="str">
        <f>IFERROR(__xludf.DUMMYFUNCTION("""COMPUTED_VALUE"""),"FOODON:00004303")</f>
        <v>FOODON:00004303</v>
      </c>
      <c r="D604" s="58" t="str">
        <f>IFERROR(__xludf.DUMMYFUNCTION("""COMPUTED_VALUE"""),"A young hen, especially one less than one year old.")</f>
        <v>A young hen, especially one less than one year old.</v>
      </c>
      <c r="E604" s="56"/>
      <c r="F604" s="54"/>
      <c r="G604" s="54"/>
      <c r="H604" s="59"/>
      <c r="I604" s="59"/>
      <c r="J604" s="59"/>
      <c r="K604" s="54"/>
    </row>
    <row r="605">
      <c r="A605" s="57"/>
      <c r="B605" s="57" t="str">
        <f>IFERROR(__xludf.DUMMYFUNCTION("""COMPUTED_VALUE""")," Rooster [FOODON:03411714]   ")</f>
        <v> Rooster [FOODON:03411714]   </v>
      </c>
      <c r="C605" s="57" t="str">
        <f>IFERROR(__xludf.DUMMYFUNCTION("""COMPUTED_VALUE"""),"FOODON:03411714")</f>
        <v>FOODON:03411714</v>
      </c>
      <c r="D605" s="58" t="str">
        <f>IFERROR(__xludf.DUMMYFUNCTION("""COMPUTED_VALUE"""),"A mature male chicken with coarse skin, toughened and darkened meat, and hardened breastbone tip.")</f>
        <v>A mature male chicken with coarse skin, toughened and darkened meat, and hardened breastbone tip.</v>
      </c>
      <c r="E605" s="56"/>
      <c r="F605" s="54"/>
      <c r="G605" s="54"/>
      <c r="H605" s="59"/>
      <c r="I605" s="59"/>
      <c r="J605" s="59"/>
      <c r="K605" s="54"/>
    </row>
    <row r="606">
      <c r="A606" s="57"/>
      <c r="B606" s="57" t="str">
        <f>IFERROR(__xludf.DUMMYFUNCTION("""COMPUTED_VALUE""")," Tom (Gobbler) [FOODON:00004304 ]   ")</f>
        <v> Tom (Gobbler) [FOODON:00004304 ]   </v>
      </c>
      <c r="C606" s="57" t="str">
        <f>IFERROR(__xludf.DUMMYFUNCTION("""COMPUTED_VALUE"""),"OODON:00004304")</f>
        <v>OODON:00004304</v>
      </c>
      <c r="D606" s="58"/>
      <c r="E606" s="56"/>
      <c r="F606" s="54"/>
      <c r="G606" s="54"/>
      <c r="H606" s="59"/>
      <c r="I606" s="59"/>
      <c r="J606" s="59"/>
      <c r="K606" s="54"/>
    </row>
    <row r="607">
      <c r="A607" s="57"/>
      <c r="B607" s="57" t="str">
        <f>IFERROR(__xludf.DUMMYFUNCTION("""COMPUTED_VALUE""")," Turkey [NCBITaxon:9103]   ")</f>
        <v> Turkey [NCBITaxon:9103]   </v>
      </c>
      <c r="C607" s="57" t="str">
        <f>IFERROR(__xludf.DUMMYFUNCTION("""COMPUTED_VALUE"""),"NCBITaxon:9103")</f>
        <v>NCBITaxon:9103</v>
      </c>
      <c r="D607" s="58" t="str">
        <f>IFERROR(__xludf.DUMMYFUNCTION("""COMPUTED_VALUE"""),"A large, mainly domesticated game bird characterized by a bald head and wattles (in the male) of the species Meleagris gallopavo.")</f>
        <v>A large, mainly domesticated game bird characterized by a bald head and wattles (in the male) of the species Meleagris gallopavo.</v>
      </c>
      <c r="E607" s="56"/>
      <c r="F607" s="54"/>
      <c r="G607" s="54"/>
      <c r="H607" s="59"/>
      <c r="I607" s="59"/>
      <c r="J607" s="59"/>
      <c r="K607" s="54"/>
    </row>
    <row r="608">
      <c r="A608" s="57"/>
      <c r="B608" s="57" t="str">
        <f>IFERROR(__xludf.DUMMYFUNCTION("""COMPUTED_VALUE"""),"Sheep [NCBITaxon:9940]    ")</f>
        <v>Sheep [NCBITaxon:9940]    </v>
      </c>
      <c r="C608" s="57" t="str">
        <f>IFERROR(__xludf.DUMMYFUNCTION("""COMPUTED_VALUE"""),"NCBITaxon:9940")</f>
        <v>NCBITaxon:9940</v>
      </c>
      <c r="D608" s="58" t="str">
        <f>IFERROR(__xludf.DUMMYFUNCTION("""COMPUTED_VALUE"""),"A domesticated, even-toed, ungluate, ruminant mammal typically kept as livestock for its wool and meat, usually of the species Ovis aries.")</f>
        <v>A domesticated, even-toed, ungluate, ruminant mammal typically kept as livestock for its wool and meat, usually of the species Ovis aries.</v>
      </c>
      <c r="E608" s="56"/>
      <c r="F608" s="54"/>
      <c r="G608" s="54"/>
      <c r="H608" s="59"/>
      <c r="I608" s="59"/>
      <c r="J608" s="59"/>
      <c r="K608" s="54"/>
    </row>
    <row r="609">
      <c r="A609" s="57"/>
      <c r="B609" s="57" t="str">
        <f>IFERROR(__xludf.DUMMYFUNCTION("""COMPUTED_VALUE""")," Ram [FOODON:00004305]   ")</f>
        <v> Ram [FOODON:00004305]   </v>
      </c>
      <c r="C609" s="57" t="str">
        <f>IFERROR(__xludf.DUMMYFUNCTION("""COMPUTED_VALUE"""),"FOODON:00004305")</f>
        <v>FOODON:00004305</v>
      </c>
      <c r="D609" s="58" t="str">
        <f>IFERROR(__xludf.DUMMYFUNCTION("""COMPUTED_VALUE"""),"An adult male sheep kept for breeding and for wool production.")</f>
        <v>An adult male sheep kept for breeding and for wool production.</v>
      </c>
      <c r="E609" s="56"/>
      <c r="F609" s="54"/>
      <c r="G609" s="54"/>
      <c r="H609" s="59"/>
      <c r="I609" s="59"/>
      <c r="J609" s="59"/>
      <c r="K609" s="54"/>
    </row>
    <row r="610">
      <c r="A610" s="57"/>
      <c r="B610" s="57" t="str">
        <f>IFERROR(__xludf.DUMMYFUNCTION("""COMPUTED_VALUE""")," Wether sheep [FOODON:00004306]   ")</f>
        <v> Wether sheep [FOODON:00004306]   </v>
      </c>
      <c r="C610" s="57" t="str">
        <f>IFERROR(__xludf.DUMMYFUNCTION("""COMPUTED_VALUE"""),"FOODON:00004306")</f>
        <v>FOODON:00004306</v>
      </c>
      <c r="D610" s="58" t="str">
        <f>IFERROR(__xludf.DUMMYFUNCTION("""COMPUTED_VALUE"""),"A castrated male sheep.")</f>
        <v>A castrated male sheep.</v>
      </c>
      <c r="E610" s="56"/>
      <c r="F610" s="54"/>
      <c r="G610" s="54"/>
      <c r="H610" s="59"/>
      <c r="I610" s="59"/>
      <c r="J610" s="59"/>
      <c r="K610" s="54"/>
    </row>
    <row r="611">
      <c r="A611" s="57"/>
      <c r="B611" s="57" t="str">
        <f>IFERROR(__xludf.DUMMYFUNCTION("""COMPUTED_VALUE""")," Ewe [FOODON:03412610]   ")</f>
        <v> Ewe [FOODON:03412610]   </v>
      </c>
      <c r="C611" s="57" t="str">
        <f>IFERROR(__xludf.DUMMYFUNCTION("""COMPUTED_VALUE"""),"FOODON:03412610")</f>
        <v>FOODON:03412610</v>
      </c>
      <c r="D611" s="58" t="str">
        <f>IFERROR(__xludf.DUMMYFUNCTION("""COMPUTED_VALUE"""),"A ewe is a female sheep.")</f>
        <v>A ewe is a female sheep.</v>
      </c>
      <c r="E611" s="56"/>
      <c r="F611" s="54"/>
      <c r="G611" s="54"/>
      <c r="H611" s="59"/>
      <c r="I611" s="59"/>
      <c r="J611" s="59"/>
      <c r="K611" s="54"/>
    </row>
    <row r="612">
      <c r="A612" s="57"/>
      <c r="B612" s="57" t="str">
        <f>IFERROR(__xludf.DUMMYFUNCTION("""COMPUTED_VALUE""")," Lamb [FOODON:03411669]   ")</f>
        <v> Lamb [FOODON:03411669]   </v>
      </c>
      <c r="C612" s="57" t="str">
        <f>IFERROR(__xludf.DUMMYFUNCTION("""COMPUTED_VALUE"""),"FOODON:03411669")</f>
        <v>FOODON:03411669</v>
      </c>
      <c r="D612" s="58" t="str">
        <f>IFERROR(__xludf.DUMMYFUNCTION("""COMPUTED_VALUE"""),"A whole lamb or some material processed from a lamb.")</f>
        <v>A whole lamb or some material processed from a lamb.</v>
      </c>
      <c r="E612" s="56"/>
      <c r="F612" s="54"/>
      <c r="G612" s="54"/>
      <c r="H612" s="59"/>
      <c r="I612" s="59"/>
      <c r="J612" s="59"/>
      <c r="K612" s="54"/>
    </row>
    <row r="613">
      <c r="A613" s="57"/>
      <c r="B613" s="57" t="str">
        <f>IFERROR(__xludf.DUMMYFUNCTION("""COMPUTED_VALUE"""),"Fish [FOODON:03411222]    ")</f>
        <v>Fish [FOODON:03411222]    </v>
      </c>
      <c r="C613" s="57" t="str">
        <f>IFERROR(__xludf.DUMMYFUNCTION("""COMPUTED_VALUE"""),"FOODON:03411222")</f>
        <v>FOODON:03411222</v>
      </c>
      <c r="D613" s="58" t="str">
        <f>IFERROR(__xludf.DUMMYFUNCTION("""COMPUTED_VALUE"""),"Fish are the gill-bearing aquatic craniate animals that lack limbs with digits. Most fish are ectothermic (""cold-blooded""), allowing their body temperatures to vary as ambient temperatures change, though some of the large active swimmers like white shar"&amp;"k and tuna can hold a higher core temperature.")</f>
        <v>Fish are the gill-bearing aquatic craniate animals that lack limbs with digits. Most fish are ectothermic ("cold-blooded"), allowing their body temperatures to vary as ambient temperatures change, though some of the large active swimmers like white shark and tuna can hold a higher core temperature.</v>
      </c>
      <c r="E613" s="56"/>
      <c r="F613" s="54"/>
      <c r="G613" s="54"/>
      <c r="H613" s="59"/>
      <c r="I613" s="59"/>
      <c r="J613" s="59"/>
      <c r="K613" s="54"/>
    </row>
    <row r="614">
      <c r="A614" s="57"/>
      <c r="B614" s="57" t="str">
        <f>IFERROR(__xludf.DUMMYFUNCTION("""COMPUTED_VALUE""")," Fish egg [FOODON_00004319]   ")</f>
        <v> Fish egg [FOODON_00004319]   </v>
      </c>
      <c r="C614" s="57" t="str">
        <f>IFERROR(__xludf.DUMMYFUNCTION("""COMPUTED_VALUE"""),"FOODON:00004319")</f>
        <v>FOODON:00004319</v>
      </c>
      <c r="D614" s="58" t="str">
        <f>IFERROR(__xludf.DUMMYFUNCTION("""COMPUTED_VALUE"""),"An egg or spawn of a fish that is contained within or separated from the ovary.")</f>
        <v>An egg or spawn of a fish that is contained within or separated from the ovary.</v>
      </c>
      <c r="E614" s="56"/>
      <c r="F614" s="54"/>
      <c r="G614" s="54"/>
      <c r="H614" s="59"/>
      <c r="I614" s="59"/>
      <c r="J614" s="59"/>
      <c r="K614" s="54"/>
    </row>
    <row r="615">
      <c r="A615" s="57"/>
      <c r="B615" s="57" t="str">
        <f>IFERROR(__xludf.DUMMYFUNCTION("""COMPUTED_VALUE""")," Fry (fish) [FOODON_00004318]   ")</f>
        <v> Fry (fish) [FOODON_00004318]   </v>
      </c>
      <c r="C615" s="57" t="str">
        <f>IFERROR(__xludf.DUMMYFUNCTION("""COMPUTED_VALUE"""),"FOODON:00004318")</f>
        <v>FOODON:00004318</v>
      </c>
      <c r="D615" s="58" t="str">
        <f>IFERROR(__xludf.DUMMYFUNCTION("""COMPUTED_VALUE"""),"A fish that is recently hatched and has reached the stage where its yolk-sac has almost disappeared and its swim bladder is operational to the point where the fish can actively feed for itself.")</f>
        <v>A fish that is recently hatched and has reached the stage where its yolk-sac has almost disappeared and its swim bladder is operational to the point where the fish can actively feed for itself.</v>
      </c>
      <c r="E615" s="56"/>
      <c r="F615" s="54"/>
      <c r="G615" s="54"/>
      <c r="H615" s="54"/>
      <c r="I615" s="54"/>
      <c r="J615" s="54"/>
      <c r="K615" s="54"/>
    </row>
    <row r="616">
      <c r="A616" s="57"/>
      <c r="B616" s="57" t="str">
        <f>IFERROR(__xludf.DUMMYFUNCTION("""COMPUTED_VALUE""")," Juvenile fish [FOODON_00004317]   ")</f>
        <v> Juvenile fish [FOODON_00004317]   </v>
      </c>
      <c r="C616" s="57" t="str">
        <f>IFERROR(__xludf.DUMMYFUNCTION("""COMPUTED_VALUE"""),"FOODON:00004317")</f>
        <v>FOODON:00004317</v>
      </c>
      <c r="D616" s="58" t="str">
        <f>IFERROR(__xludf.DUMMYFUNCTION("""COMPUTED_VALUE"""),"A fish that has not reached to sexual maturity.")</f>
        <v>A fish that has not reached to sexual maturity.</v>
      </c>
      <c r="E616" s="56"/>
      <c r="F616" s="54"/>
      <c r="G616" s="54"/>
      <c r="H616" s="59"/>
      <c r="I616" s="59"/>
      <c r="J616" s="59"/>
      <c r="K616" s="54"/>
    </row>
    <row r="617">
      <c r="A617" s="57" t="str">
        <f>IFERROR(__xludf.DUMMYFUNCTION("""COMPUTED_VALUE"""),"host_age_unit menu")</f>
        <v>host_age_unit menu</v>
      </c>
      <c r="B617" s="57" t="str">
        <f>IFERROR(__xludf.DUMMYFUNCTION("""COMPUTED_VALUE"""),"    ")</f>
        <v>    </v>
      </c>
      <c r="C617" s="57" t="str">
        <f>IFERROR(__xludf.DUMMYFUNCTION("""COMPUTED_VALUE"""),"")</f>
        <v/>
      </c>
      <c r="D617" s="58"/>
      <c r="E617" s="56"/>
      <c r="F617" s="54"/>
      <c r="G617" s="54"/>
      <c r="H617" s="59"/>
      <c r="I617" s="59"/>
      <c r="J617" s="59"/>
      <c r="K617" s="54"/>
    </row>
    <row r="618">
      <c r="A618" s="57"/>
      <c r="B618" s="57" t="str">
        <f>IFERROR(__xludf.DUMMYFUNCTION("""COMPUTED_VALUE"""),"month [UO:0000035]    ")</f>
        <v>month [UO:0000035]    </v>
      </c>
      <c r="C618" s="57" t="str">
        <f>IFERROR(__xludf.DUMMYFUNCTION("""COMPUTED_VALUE"""),"UO:0000035")</f>
        <v>UO:0000035</v>
      </c>
      <c r="D618" s="58" t="str">
        <f>IFERROR(__xludf.DUMMYFUNCTION("""COMPUTED_VALUE"""),"A time unit which is equal to approximately 4-4.5 weeks or 28-31 days.")</f>
        <v>A time unit which is equal to approximately 4-4.5 weeks or 28-31 days.</v>
      </c>
      <c r="E618" s="56"/>
      <c r="F618" s="54"/>
      <c r="G618" s="54"/>
      <c r="H618" s="54"/>
      <c r="I618" s="54"/>
      <c r="J618" s="54"/>
      <c r="K618" s="54"/>
    </row>
    <row r="619">
      <c r="A619" s="57"/>
      <c r="B619" s="57" t="str">
        <f>IFERROR(__xludf.DUMMYFUNCTION("""COMPUTED_VALUE"""),"year [UO:0000036]    ")</f>
        <v>year [UO:0000036]    </v>
      </c>
      <c r="C619" s="57" t="str">
        <f>IFERROR(__xludf.DUMMYFUNCTION("""COMPUTED_VALUE"""),"UO:0000036")</f>
        <v>UO:0000036</v>
      </c>
      <c r="D619" s="58" t="str">
        <f>IFERROR(__xludf.DUMMYFUNCTION("""COMPUTED_VALUE"""),"A time unit which is equal to 365 days, or 366 days during a leap year.")</f>
        <v>A time unit which is equal to 365 days, or 366 days during a leap year.</v>
      </c>
      <c r="E619" s="56"/>
      <c r="F619" s="54"/>
      <c r="G619" s="54"/>
      <c r="H619" s="54"/>
      <c r="I619" s="54"/>
      <c r="J619" s="54"/>
      <c r="K619" s="54"/>
    </row>
    <row r="620">
      <c r="A620" s="57"/>
      <c r="B620" s="57" t="str">
        <f>IFERROR(__xludf.DUMMYFUNCTION("""COMPUTED_VALUE"""),"    ")</f>
        <v>    </v>
      </c>
      <c r="C620" s="57" t="str">
        <f>IFERROR(__xludf.DUMMYFUNCTION("""COMPUTED_VALUE"""),"")</f>
        <v/>
      </c>
      <c r="D620" s="58"/>
      <c r="E620" s="56"/>
      <c r="F620" s="54"/>
      <c r="G620" s="54"/>
      <c r="H620" s="59"/>
      <c r="I620" s="59"/>
      <c r="J620" s="59"/>
      <c r="K620" s="54"/>
    </row>
    <row r="621">
      <c r="A621" s="57" t="str">
        <f>IFERROR(__xludf.DUMMYFUNCTION("""COMPUTED_VALUE"""),"host_age_bin menu")</f>
        <v>host_age_bin menu</v>
      </c>
      <c r="B621" s="57" t="str">
        <f>IFERROR(__xludf.DUMMYFUNCTION("""COMPUTED_VALUE"""),"    ")</f>
        <v>    </v>
      </c>
      <c r="C621" s="57" t="str">
        <f>IFERROR(__xludf.DUMMYFUNCTION("""COMPUTED_VALUE"""),"")</f>
        <v/>
      </c>
      <c r="D621" s="58"/>
      <c r="E621" s="56"/>
      <c r="F621" s="54"/>
      <c r="G621" s="54"/>
      <c r="H621" s="59"/>
      <c r="I621" s="59"/>
      <c r="J621" s="59"/>
      <c r="K621" s="54"/>
    </row>
    <row r="622">
      <c r="A622" s="57"/>
      <c r="B622" s="57" t="str">
        <f>IFERROR(__xludf.DUMMYFUNCTION("""COMPUTED_VALUE"""),"First winter [GENEPIO:0100684]    ")</f>
        <v>First winter [GENEPIO:0100684]    </v>
      </c>
      <c r="C622" s="57" t="str">
        <f>IFERROR(__xludf.DUMMYFUNCTION("""COMPUTED_VALUE"""),"GENEPIO:0100684")</f>
        <v>GENEPIO:0100684</v>
      </c>
      <c r="D622" s="58" t="str">
        <f>IFERROR(__xludf.DUMMYFUNCTION("""COMPUTED_VALUE"""),"An age group used to classify birds identified by their first winter nonbreeding plumage, generally indicating a juvenile bird.")</f>
        <v>An age group used to classify birds identified by their first winter nonbreeding plumage, generally indicating a juvenile bird.</v>
      </c>
      <c r="E622" s="56"/>
      <c r="F622" s="54"/>
      <c r="G622" s="54"/>
      <c r="H622" s="59"/>
      <c r="I622" s="59"/>
      <c r="J622" s="59"/>
      <c r="K622" s="54"/>
    </row>
    <row r="623">
      <c r="A623" s="57"/>
      <c r="B623" s="57" t="str">
        <f>IFERROR(__xludf.DUMMYFUNCTION("""COMPUTED_VALUE"""),"First summer [GENEPIO:0100685]    ")</f>
        <v>First summer [GENEPIO:0100685]    </v>
      </c>
      <c r="C623" s="57" t="str">
        <f>IFERROR(__xludf.DUMMYFUNCTION("""COMPUTED_VALUE"""),"GENEPIO:0100685")</f>
        <v>GENEPIO:0100685</v>
      </c>
      <c r="D623" s="58" t="str">
        <f>IFERROR(__xludf.DUMMYFUNCTION("""COMPUTED_VALUE"""),"An age group used to classify birds identified by their first summer nonbreeding plumage, generally indicating a juvenile bird.")</f>
        <v>An age group used to classify birds identified by their first summer nonbreeding plumage, generally indicating a juvenile bird.</v>
      </c>
      <c r="E623" s="56"/>
      <c r="F623" s="54"/>
      <c r="G623" s="54"/>
      <c r="H623" s="59"/>
      <c r="I623" s="59"/>
      <c r="J623" s="59"/>
      <c r="K623" s="54"/>
    </row>
    <row r="624">
      <c r="A624" s="57"/>
      <c r="B624" s="57" t="str">
        <f>IFERROR(__xludf.DUMMYFUNCTION("""COMPUTED_VALUE"""),"Second winter [GENEPIO:0100686]    ")</f>
        <v>Second winter [GENEPIO:0100686]    </v>
      </c>
      <c r="C624" s="57" t="str">
        <f>IFERROR(__xludf.DUMMYFUNCTION("""COMPUTED_VALUE"""),"GENEPIO:0100686")</f>
        <v>GENEPIO:0100686</v>
      </c>
      <c r="D624" s="58" t="str">
        <f>IFERROR(__xludf.DUMMYFUNCTION("""COMPUTED_VALUE"""),"An age group used to classify birds identified by their second winter plumage (many types of birds molt several times during the same season).")</f>
        <v>An age group used to classify birds identified by their second winter plumage (many types of birds molt several times during the same season).</v>
      </c>
      <c r="E624" s="56"/>
      <c r="F624" s="54"/>
      <c r="G624" s="54"/>
      <c r="H624" s="59"/>
      <c r="I624" s="59"/>
      <c r="J624" s="59"/>
      <c r="K624" s="54"/>
    </row>
    <row r="625">
      <c r="A625" s="57"/>
      <c r="B625" s="57" t="str">
        <f>IFERROR(__xludf.DUMMYFUNCTION("""COMPUTED_VALUE"""),"Second summer [GENEPIO:0100687]    ")</f>
        <v>Second summer [GENEPIO:0100687]    </v>
      </c>
      <c r="C625" s="57" t="str">
        <f>IFERROR(__xludf.DUMMYFUNCTION("""COMPUTED_VALUE"""),"GENEPIO:0100687")</f>
        <v>GENEPIO:0100687</v>
      </c>
      <c r="D625" s="58" t="str">
        <f>IFERROR(__xludf.DUMMYFUNCTION("""COMPUTED_VALUE"""),"An age group used to classify birds identified by their second summer plumage (many types of birds molt several times during the same season).")</f>
        <v>An age group used to classify birds identified by their second summer plumage (many types of birds molt several times during the same season).</v>
      </c>
      <c r="E625" s="56"/>
      <c r="F625" s="54"/>
      <c r="G625" s="54"/>
      <c r="H625" s="59"/>
      <c r="I625" s="59"/>
      <c r="J625" s="59"/>
      <c r="K625" s="54"/>
    </row>
    <row r="626">
      <c r="A626" s="57"/>
      <c r="B626" s="57" t="str">
        <f>IFERROR(__xludf.DUMMYFUNCTION("""COMPUTED_VALUE"""),"Third winter [GENEPIO:0100688]    ")</f>
        <v>Third winter [GENEPIO:0100688]    </v>
      </c>
      <c r="C626" s="57" t="str">
        <f>IFERROR(__xludf.DUMMYFUNCTION("""COMPUTED_VALUE"""),"GENEPIO:0100688")</f>
        <v>GENEPIO:0100688</v>
      </c>
      <c r="D626" s="58" t="str">
        <f>IFERROR(__xludf.DUMMYFUNCTION("""COMPUTED_VALUE"""),"An age group used to classify birds identified by their third winter plumage (many types of birds molt several times during the same season).")</f>
        <v>An age group used to classify birds identified by their third winter plumage (many types of birds molt several times during the same season).</v>
      </c>
      <c r="E626" s="56"/>
      <c r="F626" s="54"/>
      <c r="G626" s="54"/>
      <c r="H626" s="59"/>
      <c r="I626" s="59"/>
      <c r="J626" s="59"/>
      <c r="K626" s="54"/>
    </row>
    <row r="627">
      <c r="A627" s="57"/>
      <c r="B627" s="57" t="str">
        <f>IFERROR(__xludf.DUMMYFUNCTION("""COMPUTED_VALUE"""),"Third summer [GENEPIO:0100689]    ")</f>
        <v>Third summer [GENEPIO:0100689]    </v>
      </c>
      <c r="C627" s="57" t="str">
        <f>IFERROR(__xludf.DUMMYFUNCTION("""COMPUTED_VALUE"""),"GENEPIO:0100689")</f>
        <v>GENEPIO:0100689</v>
      </c>
      <c r="D627" s="58" t="str">
        <f>IFERROR(__xludf.DUMMYFUNCTION("""COMPUTED_VALUE"""),"An age group used to classify birds identified by their third summer plumage (many types of birds molt several times during the same season).")</f>
        <v>An age group used to classify birds identified by their third summer plumage (many types of birds molt several times during the same season).</v>
      </c>
      <c r="E627" s="56"/>
      <c r="F627" s="54"/>
      <c r="G627" s="54"/>
      <c r="H627" s="59"/>
      <c r="I627" s="59"/>
      <c r="J627" s="59"/>
      <c r="K627" s="54"/>
    </row>
    <row r="628">
      <c r="A628" s="57"/>
      <c r="B628" s="57" t="str">
        <f>IFERROR(__xludf.DUMMYFUNCTION("""COMPUTED_VALUE"""),"0 - 9 [GENEPIO:0100049]]    ")</f>
        <v>0 - 9 [GENEPIO:0100049]]    </v>
      </c>
      <c r="C628" s="57" t="str">
        <f>IFERROR(__xludf.DUMMYFUNCTION("""COMPUTED_VALUE"""),"ENEPIO:0100049")</f>
        <v>ENEPIO:0100049</v>
      </c>
      <c r="D628" s="58"/>
      <c r="E628" s="56"/>
      <c r="F628" s="54"/>
      <c r="G628" s="54"/>
      <c r="H628" s="59"/>
      <c r="I628" s="59"/>
      <c r="J628" s="59"/>
      <c r="K628" s="54"/>
    </row>
    <row r="629">
      <c r="A629" s="57"/>
      <c r="B629" s="57" t="str">
        <f>IFERROR(__xludf.DUMMYFUNCTION("""COMPUTED_VALUE"""),"10 - 19 [GENEPIO:0100050]    ")</f>
        <v>10 - 19 [GENEPIO:0100050]    </v>
      </c>
      <c r="C629" s="57" t="str">
        <f>IFERROR(__xludf.DUMMYFUNCTION("""COMPUTED_VALUE"""),"GENEPIO:0100050")</f>
        <v>GENEPIO:0100050</v>
      </c>
      <c r="D629" s="58" t="str">
        <f>IFERROR(__xludf.DUMMYFUNCTION("""COMPUTED_VALUE"""),"An age group that stratifies the age of a case to be between 10 to 19 years old (inclusive).")</f>
        <v>An age group that stratifies the age of a case to be between 10 to 19 years old (inclusive).</v>
      </c>
      <c r="E629" s="56"/>
      <c r="F629" s="54"/>
      <c r="G629" s="54"/>
      <c r="H629" s="59"/>
      <c r="I629" s="59"/>
      <c r="J629" s="59"/>
      <c r="K629" s="54"/>
    </row>
    <row r="630">
      <c r="A630" s="57"/>
      <c r="B630" s="57" t="str">
        <f>IFERROR(__xludf.DUMMYFUNCTION("""COMPUTED_VALUE"""),"20 - 29 [GENEPIO:0100051]    ")</f>
        <v>20 - 29 [GENEPIO:0100051]    </v>
      </c>
      <c r="C630" s="57" t="str">
        <f>IFERROR(__xludf.DUMMYFUNCTION("""COMPUTED_VALUE"""),"GENEPIO:0100051")</f>
        <v>GENEPIO:0100051</v>
      </c>
      <c r="D630" s="58" t="str">
        <f>IFERROR(__xludf.DUMMYFUNCTION("""COMPUTED_VALUE"""),"An age group that stratifies the age of a case to be between 20 to 29 years old (inclusive).")</f>
        <v>An age group that stratifies the age of a case to be between 20 to 29 years old (inclusive).</v>
      </c>
      <c r="E630" s="56"/>
      <c r="F630" s="54"/>
      <c r="G630" s="54"/>
      <c r="H630" s="59"/>
      <c r="I630" s="59"/>
      <c r="J630" s="59"/>
      <c r="K630" s="54"/>
    </row>
    <row r="631">
      <c r="A631" s="57"/>
      <c r="B631" s="57" t="str">
        <f>IFERROR(__xludf.DUMMYFUNCTION("""COMPUTED_VALUE"""),"30 - 39 [GENEPIO:0100052]    ")</f>
        <v>30 - 39 [GENEPIO:0100052]    </v>
      </c>
      <c r="C631" s="57" t="str">
        <f>IFERROR(__xludf.DUMMYFUNCTION("""COMPUTED_VALUE"""),"GENEPIO:0100052")</f>
        <v>GENEPIO:0100052</v>
      </c>
      <c r="D631" s="58" t="str">
        <f>IFERROR(__xludf.DUMMYFUNCTION("""COMPUTED_VALUE"""),"An age group that stratifies the age of a case to be between 30 to 39 years old (inclusive).")</f>
        <v>An age group that stratifies the age of a case to be between 30 to 39 years old (inclusive).</v>
      </c>
      <c r="E631" s="56"/>
      <c r="F631" s="54"/>
      <c r="G631" s="54"/>
      <c r="H631" s="59"/>
      <c r="I631" s="59"/>
      <c r="J631" s="59"/>
      <c r="K631" s="54"/>
    </row>
    <row r="632">
      <c r="A632" s="57"/>
      <c r="B632" s="57" t="str">
        <f>IFERROR(__xludf.DUMMYFUNCTION("""COMPUTED_VALUE"""),"40 - 49 [GENEPIO:0100053]    ")</f>
        <v>40 - 49 [GENEPIO:0100053]    </v>
      </c>
      <c r="C632" s="57" t="str">
        <f>IFERROR(__xludf.DUMMYFUNCTION("""COMPUTED_VALUE"""),"GENEPIO:0100053")</f>
        <v>GENEPIO:0100053</v>
      </c>
      <c r="D632" s="58" t="str">
        <f>IFERROR(__xludf.DUMMYFUNCTION("""COMPUTED_VALUE"""),"An age group that stratifies the age of a case to be between 40 to 49 years old (inclusive).")</f>
        <v>An age group that stratifies the age of a case to be between 40 to 49 years old (inclusive).</v>
      </c>
      <c r="E632" s="56"/>
      <c r="F632" s="54"/>
      <c r="G632" s="54"/>
      <c r="H632" s="59"/>
      <c r="I632" s="59"/>
      <c r="J632" s="59"/>
      <c r="K632" s="54"/>
    </row>
    <row r="633">
      <c r="A633" s="57"/>
      <c r="B633" s="57" t="str">
        <f>IFERROR(__xludf.DUMMYFUNCTION("""COMPUTED_VALUE"""),"50 - 59 [GENEPIO:0100054]    ")</f>
        <v>50 - 59 [GENEPIO:0100054]    </v>
      </c>
      <c r="C633" s="57" t="str">
        <f>IFERROR(__xludf.DUMMYFUNCTION("""COMPUTED_VALUE"""),"GENEPIO:0100054")</f>
        <v>GENEPIO:0100054</v>
      </c>
      <c r="D633" s="58" t="str">
        <f>IFERROR(__xludf.DUMMYFUNCTION("""COMPUTED_VALUE"""),"An age group that stratifies the age of a case to be between 50 to 59 years old (inclusive).")</f>
        <v>An age group that stratifies the age of a case to be between 50 to 59 years old (inclusive).</v>
      </c>
      <c r="E633" s="56"/>
      <c r="F633" s="54"/>
      <c r="G633" s="54"/>
      <c r="H633" s="59"/>
      <c r="I633" s="59"/>
      <c r="J633" s="59"/>
      <c r="K633" s="54"/>
    </row>
    <row r="634">
      <c r="A634" s="57"/>
      <c r="B634" s="57" t="str">
        <f>IFERROR(__xludf.DUMMYFUNCTION("""COMPUTED_VALUE"""),"60 - 69 [GENEPIO:0100055]    ")</f>
        <v>60 - 69 [GENEPIO:0100055]    </v>
      </c>
      <c r="C634" s="57" t="str">
        <f>IFERROR(__xludf.DUMMYFUNCTION("""COMPUTED_VALUE"""),"GENEPIO:0100055")</f>
        <v>GENEPIO:0100055</v>
      </c>
      <c r="D634" s="58" t="str">
        <f>IFERROR(__xludf.DUMMYFUNCTION("""COMPUTED_VALUE"""),"An age group that stratifies the age of a case to be between 60 to 69 years old (inclusive).")</f>
        <v>An age group that stratifies the age of a case to be between 60 to 69 years old (inclusive).</v>
      </c>
      <c r="E634" s="56"/>
      <c r="F634" s="54"/>
      <c r="G634" s="54"/>
      <c r="H634" s="59"/>
      <c r="I634" s="59"/>
      <c r="J634" s="59"/>
      <c r="K634" s="54"/>
    </row>
    <row r="635">
      <c r="A635" s="57"/>
      <c r="B635" s="57" t="str">
        <f>IFERROR(__xludf.DUMMYFUNCTION("""COMPUTED_VALUE"""),"70 - 79 [GENEPIO:0100056]    ")</f>
        <v>70 - 79 [GENEPIO:0100056]    </v>
      </c>
      <c r="C635" s="57" t="str">
        <f>IFERROR(__xludf.DUMMYFUNCTION("""COMPUTED_VALUE"""),"GENEPIO:0100056")</f>
        <v>GENEPIO:0100056</v>
      </c>
      <c r="D635" s="58" t="str">
        <f>IFERROR(__xludf.DUMMYFUNCTION("""COMPUTED_VALUE"""),"An age group that stratifies the age of a case to be between 70 to 79 years old (inclusive).")</f>
        <v>An age group that stratifies the age of a case to be between 70 to 79 years old (inclusive).</v>
      </c>
      <c r="E635" s="56"/>
      <c r="F635" s="54"/>
      <c r="G635" s="54"/>
      <c r="H635" s="59"/>
      <c r="I635" s="59"/>
      <c r="J635" s="59"/>
      <c r="K635" s="54"/>
    </row>
    <row r="636">
      <c r="A636" s="57"/>
      <c r="B636" s="57" t="str">
        <f>IFERROR(__xludf.DUMMYFUNCTION("""COMPUTED_VALUE"""),"80 - 89 [GENEPIO:0100057]    ")</f>
        <v>80 - 89 [GENEPIO:0100057]    </v>
      </c>
      <c r="C636" s="57" t="str">
        <f>IFERROR(__xludf.DUMMYFUNCTION("""COMPUTED_VALUE"""),"GENEPIO:0100057")</f>
        <v>GENEPIO:0100057</v>
      </c>
      <c r="D636" s="58" t="str">
        <f>IFERROR(__xludf.DUMMYFUNCTION("""COMPUTED_VALUE"""),"An age group that stratifies the age of a case to be between 80 to 89 years old (inclusive).")</f>
        <v>An age group that stratifies the age of a case to be between 80 to 89 years old (inclusive).</v>
      </c>
      <c r="E636" s="56"/>
      <c r="F636" s="54"/>
      <c r="G636" s="54"/>
      <c r="H636" s="59"/>
      <c r="I636" s="59"/>
      <c r="J636" s="59"/>
      <c r="K636" s="54"/>
    </row>
    <row r="637">
      <c r="A637" s="57"/>
      <c r="B637" s="57" t="str">
        <f>IFERROR(__xludf.DUMMYFUNCTION("""COMPUTED_VALUE"""),"90 - 99 [GENEPIO:0100058]    ")</f>
        <v>90 - 99 [GENEPIO:0100058]    </v>
      </c>
      <c r="C637" s="57" t="str">
        <f>IFERROR(__xludf.DUMMYFUNCTION("""COMPUTED_VALUE"""),"GENEPIO:0100058")</f>
        <v>GENEPIO:0100058</v>
      </c>
      <c r="D637" s="58" t="str">
        <f>IFERROR(__xludf.DUMMYFUNCTION("""COMPUTED_VALUE"""),"An age group that stratifies the age of a case to be between 90 to 99 years old (inclusive).")</f>
        <v>An age group that stratifies the age of a case to be between 90 to 99 years old (inclusive).</v>
      </c>
      <c r="E637" s="56"/>
      <c r="F637" s="54"/>
      <c r="G637" s="54"/>
      <c r="K637" s="54"/>
    </row>
    <row r="638">
      <c r="A638" s="57"/>
      <c r="B638" s="57" t="str">
        <f>IFERROR(__xludf.DUMMYFUNCTION("""COMPUTED_VALUE"""),"100+ [GENEPIO:0100059]    ")</f>
        <v>100+ [GENEPIO:0100059]    </v>
      </c>
      <c r="C638" s="57" t="str">
        <f>IFERROR(__xludf.DUMMYFUNCTION("""COMPUTED_VALUE"""),"GENEPIO:0100059")</f>
        <v>GENEPIO:0100059</v>
      </c>
      <c r="D638" s="58" t="str">
        <f>IFERROR(__xludf.DUMMYFUNCTION("""COMPUTED_VALUE"""),"An age group that stratifies the age of a case to be greater than or equal to 100 years old.")</f>
        <v>An age group that stratifies the age of a case to be greater than or equal to 100 years old.</v>
      </c>
      <c r="E638" s="56"/>
      <c r="F638" s="54"/>
      <c r="G638" s="54"/>
      <c r="H638" s="59"/>
      <c r="I638" s="59"/>
      <c r="J638" s="59"/>
      <c r="K638" s="54"/>
    </row>
    <row r="639">
      <c r="A639" s="57" t="str">
        <f>IFERROR(__xludf.DUMMYFUNCTION("""COMPUTED_VALUE"""),"host_gender")</f>
        <v>host_gender</v>
      </c>
      <c r="B639" s="57" t="str">
        <f>IFERROR(__xludf.DUMMYFUNCTION("""COMPUTED_VALUE"""),"    ")</f>
        <v>    </v>
      </c>
      <c r="C639" s="57" t="str">
        <f>IFERROR(__xludf.DUMMYFUNCTION("""COMPUTED_VALUE"""),"")</f>
        <v/>
      </c>
      <c r="D639" s="58"/>
      <c r="E639" s="56"/>
      <c r="F639" s="54"/>
      <c r="G639" s="54"/>
      <c r="H639" s="59"/>
      <c r="I639" s="59"/>
      <c r="J639" s="59"/>
      <c r="K639" s="54"/>
    </row>
    <row r="640">
      <c r="A640" s="57"/>
      <c r="B640" s="57" t="str">
        <f>IFERROR(__xludf.DUMMYFUNCTION("""COMPUTED_VALUE"""),"Female [NCIT:C46110]    ")</f>
        <v>Female [NCIT:C46110]    </v>
      </c>
      <c r="C640" s="57" t="str">
        <f>IFERROR(__xludf.DUMMYFUNCTION("""COMPUTED_VALUE"""),"NCIT:C46110")</f>
        <v>NCIT:C46110</v>
      </c>
      <c r="D640" s="58" t="str">
        <f>IFERROR(__xludf.DUMMYFUNCTION("""COMPUTED_VALUE"""),"An individual who reports belonging to the cultural gender role distinction of female.")</f>
        <v>An individual who reports belonging to the cultural gender role distinction of female.</v>
      </c>
      <c r="E640" s="56"/>
      <c r="F640" s="54"/>
      <c r="G640" s="54"/>
      <c r="H640" s="59"/>
      <c r="I640" s="59"/>
      <c r="J640" s="59"/>
      <c r="K640" s="54"/>
    </row>
    <row r="641">
      <c r="A641" s="57"/>
      <c r="B641" s="57" t="str">
        <f>IFERROR(__xludf.DUMMYFUNCTION("""COMPUTED_VALUE"""),"Male [NCIT:C46109]    ")</f>
        <v>Male [NCIT:C46109]    </v>
      </c>
      <c r="C641" s="57" t="str">
        <f>IFERROR(__xludf.DUMMYFUNCTION("""COMPUTED_VALUE"""),"NCIT:C46109")</f>
        <v>NCIT:C46109</v>
      </c>
      <c r="D641" s="58" t="str">
        <f>IFERROR(__xludf.DUMMYFUNCTION("""COMPUTED_VALUE"""),"An individual who reports belonging to the cultural gender role distinction of male.")</f>
        <v>An individual who reports belonging to the cultural gender role distinction of male.</v>
      </c>
      <c r="E641" s="56"/>
      <c r="F641" s="54"/>
      <c r="G641" s="54"/>
      <c r="H641" s="59"/>
      <c r="I641" s="59"/>
      <c r="J641" s="59"/>
      <c r="K641" s="54"/>
    </row>
    <row r="642">
      <c r="A642" s="57"/>
      <c r="B642" s="57" t="str">
        <f>IFERROR(__xludf.DUMMYFUNCTION("""COMPUTED_VALUE"""),"Non-binary gender [GSSO:000132]    ")</f>
        <v>Non-binary gender [GSSO:000132]    </v>
      </c>
      <c r="C642" s="57" t="str">
        <f>IFERROR(__xludf.DUMMYFUNCTION("""COMPUTED_VALUE"""),"GSSO:000132")</f>
        <v>GSSO:000132</v>
      </c>
      <c r="D642" s="58" t="str">
        <f>IFERROR(__xludf.DUMMYFUNCTION("""COMPUTED_VALUE"""),"Either, a specific gender identity which is not male or female; or, more broadly, an umbrella term for gender identities not considered male or female.")</f>
        <v>Either, a specific gender identity which is not male or female; or, more broadly, an umbrella term for gender identities not considered male or female.</v>
      </c>
      <c r="E642" s="56"/>
      <c r="F642" s="54"/>
      <c r="G642" s="54"/>
      <c r="H642" s="59"/>
      <c r="I642" s="59"/>
      <c r="J642" s="59"/>
      <c r="K642" s="54"/>
    </row>
    <row r="643">
      <c r="A643" s="57"/>
      <c r="B643" s="57" t="str">
        <f>IFERROR(__xludf.DUMMYFUNCTION("""COMPUTED_VALUE"""),"Transgender (assigned male at birth) [GSSO:004004]    ")</f>
        <v>Transgender (assigned male at birth) [GSSO:004004]    </v>
      </c>
      <c r="C643" s="57" t="str">
        <f>IFERROR(__xludf.DUMMYFUNCTION("""COMPUTED_VALUE"""),"GSSO:004004")</f>
        <v>GSSO:004004</v>
      </c>
      <c r="D643" s="58" t="str">
        <f>IFERROR(__xludf.DUMMYFUNCTION("""COMPUTED_VALUE"""),"Having a feminine gender (identity) which is different from the sex one was assigned at birth.")</f>
        <v>Having a feminine gender (identity) which is different from the sex one was assigned at birth.</v>
      </c>
      <c r="E643" s="56"/>
      <c r="F643" s="54"/>
      <c r="G643" s="54"/>
      <c r="H643" s="59"/>
      <c r="I643" s="59"/>
      <c r="J643" s="59"/>
      <c r="K643" s="54"/>
    </row>
    <row r="644">
      <c r="A644" s="57"/>
      <c r="B644" s="57" t="str">
        <f>IFERROR(__xludf.DUMMYFUNCTION("""COMPUTED_VALUE"""),"Transgender (assigned female at birth) [GSSO:004005]    ")</f>
        <v>Transgender (assigned female at birth) [GSSO:004005]    </v>
      </c>
      <c r="C644" s="57" t="str">
        <f>IFERROR(__xludf.DUMMYFUNCTION("""COMPUTED_VALUE"""),"GSSO:004005")</f>
        <v>GSSO:004005</v>
      </c>
      <c r="D644" s="58" t="str">
        <f>IFERROR(__xludf.DUMMYFUNCTION("""COMPUTED_VALUE"""),"Having a masculine gender (identity) which is different from the sex one was assigned at birth.")</f>
        <v>Having a masculine gender (identity) which is different from the sex one was assigned at birth.</v>
      </c>
      <c r="E644" s="56"/>
      <c r="F644" s="54"/>
      <c r="G644" s="54"/>
      <c r="H644" s="59"/>
      <c r="I644" s="59"/>
      <c r="J644" s="59"/>
      <c r="K644" s="54"/>
    </row>
    <row r="645">
      <c r="A645" s="57"/>
      <c r="B645" s="57" t="str">
        <f>IFERROR(__xludf.DUMMYFUNCTION("""COMPUTED_VALUE"""),"Undeclared [NCIT:C110959]    ")</f>
        <v>Undeclared [NCIT:C110959]    </v>
      </c>
      <c r="C645" s="57" t="str">
        <f>IFERROR(__xludf.DUMMYFUNCTION("""COMPUTED_VALUE"""),"CIT:C110959")</f>
        <v>CIT:C110959</v>
      </c>
      <c r="D645" s="58"/>
      <c r="E645" s="56"/>
      <c r="F645" s="54"/>
      <c r="G645" s="54"/>
      <c r="H645" s="59"/>
      <c r="I645" s="59"/>
      <c r="J645" s="59"/>
      <c r="K645" s="54"/>
    </row>
    <row r="646">
      <c r="A646" s="57"/>
      <c r="B646" s="57" t="str">
        <f>IFERROR(__xludf.DUMMYFUNCTION("""COMPUTED_VALUE"""),"    ")</f>
        <v>    </v>
      </c>
      <c r="C646" s="57" t="str">
        <f>IFERROR(__xludf.DUMMYFUNCTION("""COMPUTED_VALUE"""),"")</f>
        <v/>
      </c>
      <c r="D646" s="58"/>
      <c r="E646" s="56"/>
      <c r="F646" s="54"/>
      <c r="G646" s="54"/>
      <c r="H646" s="59"/>
      <c r="I646" s="59"/>
      <c r="J646" s="59"/>
      <c r="K646" s="54"/>
    </row>
    <row r="647">
      <c r="A647" s="57"/>
      <c r="B647" s="57" t="str">
        <f>IFERROR(__xludf.DUMMYFUNCTION("""COMPUTED_VALUE"""),"    ")</f>
        <v>    </v>
      </c>
      <c r="C647" s="57" t="str">
        <f>IFERROR(__xludf.DUMMYFUNCTION("""COMPUTED_VALUE"""),"")</f>
        <v/>
      </c>
      <c r="D647" s="58"/>
      <c r="E647" s="56"/>
      <c r="F647" s="54"/>
      <c r="G647" s="54"/>
      <c r="H647" s="59"/>
      <c r="I647" s="59"/>
      <c r="J647" s="59"/>
      <c r="K647" s="54"/>
    </row>
    <row r="648">
      <c r="A648" s="57" t="str">
        <f>IFERROR(__xludf.DUMMYFUNCTION("""COMPUTED_VALUE"""),"host_disease menu")</f>
        <v>host_disease menu</v>
      </c>
      <c r="B648" s="57" t="str">
        <f>IFERROR(__xludf.DUMMYFUNCTION("""COMPUTED_VALUE"""),"    ")</f>
        <v>    </v>
      </c>
      <c r="C648" s="57" t="str">
        <f>IFERROR(__xludf.DUMMYFUNCTION("""COMPUTED_VALUE"""),"")</f>
        <v/>
      </c>
      <c r="D648" s="58"/>
      <c r="E648" s="56"/>
      <c r="F648" s="54"/>
      <c r="G648" s="54"/>
      <c r="H648" s="59"/>
      <c r="I648" s="59"/>
      <c r="J648" s="59"/>
      <c r="K648" s="54"/>
    </row>
    <row r="649">
      <c r="A649" s="57"/>
      <c r="B649" s="57" t="str">
        <f>IFERROR(__xludf.DUMMYFUNCTION("""COMPUTED_VALUE"""),"Highly pathogenic avian influenza A (HPAI)    ")</f>
        <v>Highly pathogenic avian influenza A (HPAI)    </v>
      </c>
      <c r="C649" s="57" t="str">
        <f>IFERROR(__xludf.DUMMYFUNCTION("""COMPUTED_VALUE"""),"")</f>
        <v/>
      </c>
      <c r="D649" s="58"/>
      <c r="E649" s="56"/>
      <c r="F649" s="54"/>
      <c r="G649" s="54"/>
      <c r="H649" s="59"/>
      <c r="I649" s="59"/>
      <c r="J649" s="59"/>
      <c r="K649" s="54"/>
    </row>
    <row r="650">
      <c r="A650" s="57" t="str">
        <f>IFERROR(__xludf.DUMMYFUNCTION("""COMPUTED_VALUE"""),"host_health_state menu")</f>
        <v>host_health_state menu</v>
      </c>
      <c r="B650" s="57" t="str">
        <f>IFERROR(__xludf.DUMMYFUNCTION("""COMPUTED_VALUE"""),"    ")</f>
        <v>    </v>
      </c>
      <c r="C650" s="57" t="str">
        <f>IFERROR(__xludf.DUMMYFUNCTION("""COMPUTED_VALUE"""),"")</f>
        <v/>
      </c>
      <c r="D650" s="58"/>
      <c r="E650" s="56"/>
      <c r="F650" s="54"/>
      <c r="G650" s="54"/>
      <c r="H650" s="59"/>
      <c r="I650" s="59"/>
      <c r="J650" s="59"/>
      <c r="K650" s="54"/>
    </row>
    <row r="651">
      <c r="A651" s="57"/>
      <c r="B651" s="57" t="str">
        <f>IFERROR(__xludf.DUMMYFUNCTION("""COMPUTED_VALUE"""),"Asymptomatic [NCIT:C3833]    ")</f>
        <v>Asymptomatic [NCIT:C3833]    </v>
      </c>
      <c r="C651" s="57" t="str">
        <f>IFERROR(__xludf.DUMMYFUNCTION("""COMPUTED_VALUE"""),"NCIT:C3833")</f>
        <v>NCIT:C3833</v>
      </c>
      <c r="D651" s="58" t="str">
        <f>IFERROR(__xludf.DUMMYFUNCTION("""COMPUTED_VALUE"""),"Without clinical signs or indications that raise the possibility of a particular disorder or dysfunction.")</f>
        <v>Without clinical signs or indications that raise the possibility of a particular disorder or dysfunction.</v>
      </c>
      <c r="E651" s="56"/>
      <c r="F651" s="54"/>
      <c r="G651" s="54"/>
      <c r="H651" s="59"/>
      <c r="I651" s="59"/>
      <c r="J651" s="59"/>
      <c r="K651" s="54"/>
    </row>
    <row r="652">
      <c r="A652" s="57"/>
      <c r="B652" s="57" t="str">
        <f>IFERROR(__xludf.DUMMYFUNCTION("""COMPUTED_VALUE"""),"Deceased [NCIT:C28554]    ")</f>
        <v>Deceased [NCIT:C28554]    </v>
      </c>
      <c r="C652" s="57" t="str">
        <f>IFERROR(__xludf.DUMMYFUNCTION("""COMPUTED_VALUE"""),"NCIT:C28554")</f>
        <v>NCIT:C28554</v>
      </c>
      <c r="D652" s="58" t="str">
        <f>IFERROR(__xludf.DUMMYFUNCTION("""COMPUTED_VALUE"""),"The cessation of life.")</f>
        <v>The cessation of life.</v>
      </c>
      <c r="E652" s="56"/>
      <c r="F652" s="54"/>
      <c r="G652" s="54"/>
      <c r="H652" s="59"/>
      <c r="I652" s="59"/>
      <c r="J652" s="59"/>
      <c r="K652" s="54"/>
    </row>
    <row r="653">
      <c r="A653" s="57"/>
      <c r="B653" s="57" t="str">
        <f>IFERROR(__xludf.DUMMYFUNCTION("""COMPUTED_VALUE"""),"Healthy [NCIT:C115935]    ")</f>
        <v>Healthy [NCIT:C115935]    </v>
      </c>
      <c r="C653" s="57" t="str">
        <f>IFERROR(__xludf.DUMMYFUNCTION("""COMPUTED_VALUE"""),"CIT:C115935")</f>
        <v>CIT:C115935</v>
      </c>
      <c r="D653" s="58"/>
      <c r="E653" s="56"/>
      <c r="F653" s="54"/>
      <c r="G653" s="54"/>
      <c r="H653" s="59"/>
      <c r="I653" s="59"/>
      <c r="J653" s="59"/>
      <c r="K653" s="54"/>
    </row>
    <row r="654">
      <c r="A654" s="57"/>
      <c r="B654" s="57" t="str">
        <f>IFERROR(__xludf.DUMMYFUNCTION("""COMPUTED_VALUE"""),"Recovered [NCIT:C49498]    ")</f>
        <v>Recovered [NCIT:C49498]    </v>
      </c>
      <c r="C654" s="57" t="str">
        <f>IFERROR(__xludf.DUMMYFUNCTION("""COMPUTED_VALUE"""),"NCIT:C49498")</f>
        <v>NCIT:C49498</v>
      </c>
      <c r="D654" s="58" t="str">
        <f>IFERROR(__xludf.DUMMYFUNCTION("""COMPUTED_VALUE"""),"One of the possible results of an adverse event outcome that indicates that the event has improved or recuperated.")</f>
        <v>One of the possible results of an adverse event outcome that indicates that the event has improved or recuperated.</v>
      </c>
      <c r="E654" s="56"/>
      <c r="F654" s="54"/>
      <c r="G654" s="54"/>
      <c r="H654" s="59"/>
      <c r="I654" s="59"/>
      <c r="J654" s="59"/>
      <c r="K654" s="54"/>
    </row>
    <row r="655">
      <c r="A655" s="57"/>
      <c r="B655" s="57" t="str">
        <f>IFERROR(__xludf.DUMMYFUNCTION("""COMPUTED_VALUE"""),"Symptomatic [NCIT:C25269]    ")</f>
        <v>Symptomatic [NCIT:C25269]    </v>
      </c>
      <c r="C655" s="57" t="str">
        <f>IFERROR(__xludf.DUMMYFUNCTION("""COMPUTED_VALUE"""),"NCIT:C25269")</f>
        <v>NCIT:C25269</v>
      </c>
      <c r="D655" s="58" t="str">
        <f>IFERROR(__xludf.DUMMYFUNCTION("""COMPUTED_VALUE"""),"Exhibiting the symptoms of a particular disease.")</f>
        <v>Exhibiting the symptoms of a particular disease.</v>
      </c>
      <c r="E655" s="56"/>
      <c r="F655" s="54"/>
      <c r="G655" s="54"/>
      <c r="H655" s="59"/>
      <c r="I655" s="59"/>
      <c r="J655" s="59"/>
      <c r="K655" s="54"/>
    </row>
    <row r="656">
      <c r="A656" s="57" t="str">
        <f>IFERROR(__xludf.DUMMYFUNCTION("""COMPUTED_VALUE"""),"host_health_status_details menu")</f>
        <v>host_health_status_details menu</v>
      </c>
      <c r="B656" s="57" t="str">
        <f>IFERROR(__xludf.DUMMYFUNCTION("""COMPUTED_VALUE"""),"    ")</f>
        <v>    </v>
      </c>
      <c r="C656" s="57" t="str">
        <f>IFERROR(__xludf.DUMMYFUNCTION("""COMPUTED_VALUE"""),"")</f>
        <v/>
      </c>
      <c r="D656" s="58"/>
      <c r="E656" s="56"/>
      <c r="F656" s="54"/>
      <c r="G656" s="54"/>
      <c r="H656" s="59"/>
      <c r="I656" s="59"/>
      <c r="J656" s="59"/>
      <c r="K656" s="54"/>
    </row>
    <row r="657">
      <c r="A657" s="57"/>
      <c r="B657" s="57" t="str">
        <f>IFERROR(__xludf.DUMMYFUNCTION("""COMPUTED_VALUE"""),"Hospitalized [NCIT:C25179]    ")</f>
        <v>Hospitalized [NCIT:C25179]    </v>
      </c>
      <c r="C657" s="57" t="str">
        <f>IFERROR(__xludf.DUMMYFUNCTION("""COMPUTED_VALUE"""),"NCIT:C25179")</f>
        <v>NCIT:C25179</v>
      </c>
      <c r="D657" s="58" t="str">
        <f>IFERROR(__xludf.DUMMYFUNCTION("""COMPUTED_VALUE"""),"The condition of being treated as a patient in a hospital.")</f>
        <v>The condition of being treated as a patient in a hospital.</v>
      </c>
      <c r="E657" s="56"/>
      <c r="F657" s="54"/>
      <c r="G657" s="54"/>
      <c r="H657" s="59"/>
      <c r="I657" s="59"/>
      <c r="J657" s="59"/>
      <c r="K657" s="54"/>
    </row>
    <row r="658">
      <c r="A658" s="57"/>
      <c r="B658" s="57" t="str">
        <f>IFERROR(__xludf.DUMMYFUNCTION("""COMPUTED_VALUE""")," Hospitalized (Non-ICU) [GENEPIO:0100045]   ")</f>
        <v> Hospitalized (Non-ICU) [GENEPIO:0100045]   </v>
      </c>
      <c r="C658" s="57" t="str">
        <f>IFERROR(__xludf.DUMMYFUNCTION("""COMPUTED_VALUE"""),"GENEPIO:0100045")</f>
        <v>GENEPIO:0100045</v>
      </c>
      <c r="D658" s="58" t="str">
        <f>IFERROR(__xludf.DUMMYFUNCTION("""COMPUTED_VALUE"""),"The condition of being treated as a patient in a hospital without admission to an intensive care unit (ICU).")</f>
        <v>The condition of being treated as a patient in a hospital without admission to an intensive care unit (ICU).</v>
      </c>
      <c r="E658" s="56"/>
      <c r="F658" s="54"/>
      <c r="G658" s="54"/>
      <c r="H658" s="59"/>
      <c r="I658" s="59"/>
      <c r="J658" s="59"/>
      <c r="K658" s="54"/>
    </row>
    <row r="659">
      <c r="A659" s="57"/>
      <c r="B659" s="57" t="str">
        <f>IFERROR(__xludf.DUMMYFUNCTION("""COMPUTED_VALUE""")," Hospitalized (ICU) [GENEPIO:0100046]   ")</f>
        <v> Hospitalized (ICU) [GENEPIO:0100046]   </v>
      </c>
      <c r="C659" s="57" t="str">
        <f>IFERROR(__xludf.DUMMYFUNCTION("""COMPUTED_VALUE"""),"GENEPIO:0100046")</f>
        <v>GENEPIO:0100046</v>
      </c>
      <c r="D659" s="58" t="str">
        <f>IFERROR(__xludf.DUMMYFUNCTION("""COMPUTED_VALUE"""),"The condition of being treated as a patient in a hospital intensive care unit (ICU).")</f>
        <v>The condition of being treated as a patient in a hospital intensive care unit (ICU).</v>
      </c>
      <c r="E659" s="56"/>
      <c r="F659" s="54"/>
      <c r="G659" s="54"/>
      <c r="H659" s="59"/>
      <c r="I659" s="59"/>
      <c r="J659" s="59"/>
      <c r="K659" s="54"/>
    </row>
    <row r="660">
      <c r="A660" s="57"/>
      <c r="B660" s="57" t="str">
        <f>IFERROR(__xludf.DUMMYFUNCTION("""COMPUTED_VALUE"""),"Mechanical Ventilation [NCIT:C70909]    ")</f>
        <v>Mechanical Ventilation [NCIT:C70909]    </v>
      </c>
      <c r="C660" s="57" t="str">
        <f>IFERROR(__xludf.DUMMYFUNCTION("""COMPUTED_VALUE"""),"NCIT:C70909")</f>
        <v>NCIT:C70909</v>
      </c>
      <c r="D660" s="58"/>
      <c r="E660" s="56"/>
      <c r="F660" s="54"/>
      <c r="G660" s="54"/>
      <c r="H660" s="59"/>
      <c r="I660" s="59"/>
      <c r="J660" s="59"/>
      <c r="K660" s="54"/>
    </row>
    <row r="661">
      <c r="A661" s="57"/>
      <c r="B661" s="57" t="str">
        <f>IFERROR(__xludf.DUMMYFUNCTION("""COMPUTED_VALUE"""),"Medically Isolated [GENEPIO:0100047]    ")</f>
        <v>Medically Isolated [GENEPIO:0100047]    </v>
      </c>
      <c r="C661" s="57" t="str">
        <f>IFERROR(__xludf.DUMMYFUNCTION("""COMPUTED_VALUE"""),"GENEPIO:0100047")</f>
        <v>GENEPIO:0100047</v>
      </c>
      <c r="D661" s="58" t="str">
        <f>IFERROR(__xludf.DUMMYFUNCTION("""COMPUTED_VALUE"""),"Separation of people with a contagious disease from population to reduce the spread of the disease.")</f>
        <v>Separation of people with a contagious disease from population to reduce the spread of the disease.</v>
      </c>
      <c r="E661" s="56"/>
      <c r="F661" s="54"/>
      <c r="G661" s="54"/>
      <c r="H661" s="59"/>
      <c r="I661" s="59"/>
      <c r="J661" s="59"/>
      <c r="K661" s="54"/>
    </row>
    <row r="662">
      <c r="A662" s="57"/>
      <c r="B662" s="57" t="str">
        <f>IFERROR(__xludf.DUMMYFUNCTION("""COMPUTED_VALUE""")," Medically Isolated (Negative Pressure) [GENEPIO:0100048]   ")</f>
        <v> Medically Isolated (Negative Pressure) [GENEPIO:0100048]   </v>
      </c>
      <c r="C662" s="57" t="str">
        <f>IFERROR(__xludf.DUMMYFUNCTION("""COMPUTED_VALUE"""),"GENEPIO:0100048")</f>
        <v>GENEPIO:0100048</v>
      </c>
      <c r="D662" s="58" t="str">
        <f>IFERROR(__xludf.DUMMYFUNCTION("""COMPUTED_VALUE"""),"Medical isolation in a negative pressure environment: 6 to 12 air exchanges per hour, and direct exhaust to the outside or through a high efficiency particulate air filter.")</f>
        <v>Medical isolation in a negative pressure environment: 6 to 12 air exchanges per hour, and direct exhaust to the outside or through a high efficiency particulate air filter.</v>
      </c>
      <c r="E662" s="56"/>
      <c r="F662" s="54"/>
      <c r="G662" s="54"/>
      <c r="H662" s="59"/>
      <c r="I662" s="59"/>
      <c r="J662" s="59"/>
      <c r="K662" s="54"/>
    </row>
    <row r="663">
      <c r="A663" s="57"/>
      <c r="B663" s="57" t="str">
        <f>IFERROR(__xludf.DUMMYFUNCTION("""COMPUTED_VALUE"""),"Self-quarantining [NCIT:C173768]    ")</f>
        <v>Self-quarantining [NCIT:C173768]    </v>
      </c>
      <c r="C663" s="57" t="str">
        <f>IFERROR(__xludf.DUMMYFUNCTION("""COMPUTED_VALUE"""),"CIT:C173768")</f>
        <v>CIT:C173768</v>
      </c>
      <c r="D663" s="58"/>
      <c r="E663" s="56"/>
      <c r="F663" s="54"/>
      <c r="G663" s="54"/>
      <c r="H663" s="59"/>
      <c r="I663" s="59"/>
      <c r="J663" s="59"/>
      <c r="K663" s="54"/>
    </row>
    <row r="664">
      <c r="A664" s="57" t="str">
        <f>IFERROR(__xludf.DUMMYFUNCTION("""COMPUTED_VALUE"""),"host_health_outcome menu")</f>
        <v>host_health_outcome menu</v>
      </c>
      <c r="B664" s="57" t="str">
        <f>IFERROR(__xludf.DUMMYFUNCTION("""COMPUTED_VALUE"""),"    ")</f>
        <v>    </v>
      </c>
      <c r="C664" s="57" t="str">
        <f>IFERROR(__xludf.DUMMYFUNCTION("""COMPUTED_VALUE"""),"")</f>
        <v/>
      </c>
      <c r="D664" s="58"/>
      <c r="E664" s="56"/>
      <c r="F664" s="54"/>
      <c r="G664" s="54"/>
      <c r="H664" s="59"/>
      <c r="I664" s="59"/>
      <c r="J664" s="59"/>
      <c r="K664" s="54"/>
    </row>
    <row r="665">
      <c r="A665" s="57"/>
      <c r="B665" s="57" t="str">
        <f>IFERROR(__xludf.DUMMYFUNCTION("""COMPUTED_VALUE"""),"Deceased [NCIT:C28554]    ")</f>
        <v>Deceased [NCIT:C28554]    </v>
      </c>
      <c r="C665" s="57" t="str">
        <f>IFERROR(__xludf.DUMMYFUNCTION("""COMPUTED_VALUE"""),"NCIT:C28554")</f>
        <v>NCIT:C28554</v>
      </c>
      <c r="D665" s="58" t="str">
        <f>IFERROR(__xludf.DUMMYFUNCTION("""COMPUTED_VALUE"""),"The cessation of life.")</f>
        <v>The cessation of life.</v>
      </c>
      <c r="E665" s="56"/>
      <c r="F665" s="54"/>
      <c r="G665" s="54"/>
      <c r="H665" s="59"/>
      <c r="I665" s="59"/>
      <c r="J665" s="59"/>
      <c r="K665" s="54"/>
    </row>
    <row r="666">
      <c r="A666" s="57"/>
      <c r="B666" s="57" t="str">
        <f>IFERROR(__xludf.DUMMYFUNCTION("""COMPUTED_VALUE"""),"Deteriorating [NCIT:C25254]    ")</f>
        <v>Deteriorating [NCIT:C25254]    </v>
      </c>
      <c r="C666" s="57" t="str">
        <f>IFERROR(__xludf.DUMMYFUNCTION("""COMPUTED_VALUE"""),"NCIT:C25254")</f>
        <v>NCIT:C25254</v>
      </c>
      <c r="D666" s="58" t="str">
        <f>IFERROR(__xludf.DUMMYFUNCTION("""COMPUTED_VALUE"""),"Advancing in extent or severity.")</f>
        <v>Advancing in extent or severity.</v>
      </c>
      <c r="E666" s="56"/>
      <c r="F666" s="54"/>
      <c r="G666" s="54"/>
      <c r="H666" s="59"/>
      <c r="I666" s="59"/>
      <c r="J666" s="59"/>
      <c r="K666" s="54"/>
    </row>
    <row r="667">
      <c r="A667" s="57"/>
      <c r="B667" s="57" t="str">
        <f>IFERROR(__xludf.DUMMYFUNCTION("""COMPUTED_VALUE"""),"Recovered [NCIT:C49498]    ")</f>
        <v>Recovered [NCIT:C49498]    </v>
      </c>
      <c r="C667" s="57" t="str">
        <f>IFERROR(__xludf.DUMMYFUNCTION("""COMPUTED_VALUE"""),"NCIT:C49498")</f>
        <v>NCIT:C49498</v>
      </c>
      <c r="D667" s="58" t="str">
        <f>IFERROR(__xludf.DUMMYFUNCTION("""COMPUTED_VALUE"""),"One of the possible results of an adverse event outcome that indicates that the event has improved or recuperated.")</f>
        <v>One of the possible results of an adverse event outcome that indicates that the event has improved or recuperated.</v>
      </c>
      <c r="E667" s="56"/>
      <c r="F667" s="54"/>
      <c r="G667" s="54"/>
      <c r="H667" s="59"/>
      <c r="I667" s="59"/>
      <c r="J667" s="59"/>
      <c r="K667" s="54"/>
    </row>
    <row r="668">
      <c r="A668" s="57"/>
      <c r="B668" s="57" t="str">
        <f>IFERROR(__xludf.DUMMYFUNCTION("""COMPUTED_VALUE"""),"Stable [NCIT:C30103]    ")</f>
        <v>Stable [NCIT:C30103]    </v>
      </c>
      <c r="C668" s="57" t="str">
        <f>IFERROR(__xludf.DUMMYFUNCTION("""COMPUTED_VALUE"""),"NCIT:C30103")</f>
        <v>NCIT:C30103</v>
      </c>
      <c r="D668" s="58" t="str">
        <f>IFERROR(__xludf.DUMMYFUNCTION("""COMPUTED_VALUE"""),"Subject to little fluctuation; showing little if any change.")</f>
        <v>Subject to little fluctuation; showing little if any change.</v>
      </c>
      <c r="E668" s="56"/>
      <c r="F668" s="54"/>
      <c r="G668" s="54"/>
      <c r="H668" s="59"/>
      <c r="I668" s="59"/>
      <c r="J668" s="59"/>
      <c r="K668" s="54"/>
    </row>
    <row r="669">
      <c r="A669" s="57" t="str">
        <f>IFERROR(__xludf.DUMMYFUNCTION("""COMPUTED_VALUE"""),"signs_and_symptoms menu")</f>
        <v>signs_and_symptoms menu</v>
      </c>
      <c r="B669" s="57" t="str">
        <f>IFERROR(__xludf.DUMMYFUNCTION("""COMPUTED_VALUE"""),"    ")</f>
        <v>    </v>
      </c>
      <c r="C669" s="57" t="str">
        <f>IFERROR(__xludf.DUMMYFUNCTION("""COMPUTED_VALUE"""),"")</f>
        <v/>
      </c>
      <c r="D669" s="58"/>
      <c r="E669" s="56"/>
      <c r="F669" s="54"/>
      <c r="G669" s="54"/>
      <c r="H669" s="59"/>
      <c r="I669" s="59"/>
      <c r="J669" s="59"/>
      <c r="K669" s="54"/>
    </row>
    <row r="670">
      <c r="A670" s="57"/>
      <c r="B670" s="57" t="str">
        <f>IFERROR(__xludf.DUMMYFUNCTION("""COMPUTED_VALUE"""),"Abnormal lung auscultation [HP:0030829]    ")</f>
        <v>Abnormal lung auscultation [HP:0030829]    </v>
      </c>
      <c r="C670" s="57" t="str">
        <f>IFERROR(__xludf.DUMMYFUNCTION("""COMPUTED_VALUE"""),"HP:0030829")</f>
        <v>HP:0030829</v>
      </c>
      <c r="D670" s="58"/>
      <c r="E670" s="56"/>
      <c r="F670" s="54"/>
      <c r="G670" s="54"/>
      <c r="H670" s="59"/>
      <c r="I670" s="59"/>
      <c r="J670" s="59"/>
      <c r="K670" s="54"/>
    </row>
    <row r="671">
      <c r="A671" s="57"/>
      <c r="B671" s="57" t="str">
        <f>IFERROR(__xludf.DUMMYFUNCTION("""COMPUTED_VALUE"""),"Acute Respiratory Distress Syndrome [HP:0033677]    ")</f>
        <v>Acute Respiratory Distress Syndrome [HP:0033677]    </v>
      </c>
      <c r="C671" s="57" t="str">
        <f>IFERROR(__xludf.DUMMYFUNCTION("""COMPUTED_VALUE"""),"HP:0033677")</f>
        <v>HP:0033677</v>
      </c>
      <c r="D671" s="58"/>
      <c r="E671" s="56"/>
      <c r="F671" s="54"/>
      <c r="G671" s="54"/>
      <c r="H671" s="59"/>
      <c r="I671" s="59"/>
      <c r="J671" s="59"/>
      <c r="K671" s="54"/>
    </row>
    <row r="672">
      <c r="A672" s="57"/>
      <c r="B672" s="57" t="str">
        <f>IFERROR(__xludf.DUMMYFUNCTION("""COMPUTED_VALUE"""),"Altered mental status [HP:0011446]    ")</f>
        <v>Altered mental status [HP:0011446]    </v>
      </c>
      <c r="C672" s="57" t="str">
        <f>IFERROR(__xludf.DUMMYFUNCTION("""COMPUTED_VALUE"""),"HP:0011446")</f>
        <v>HP:0011446</v>
      </c>
      <c r="D672" s="58"/>
      <c r="E672" s="56"/>
      <c r="F672" s="54"/>
      <c r="G672" s="54"/>
      <c r="H672" s="59"/>
      <c r="I672" s="59"/>
      <c r="J672" s="59"/>
      <c r="K672" s="54"/>
    </row>
    <row r="673">
      <c r="A673" s="57"/>
      <c r="B673" s="57" t="str">
        <f>IFERROR(__xludf.DUMMYFUNCTION("""COMPUTED_VALUE""")," Cognitive impairment [HP:0100543]   ")</f>
        <v> Cognitive impairment [HP:0100543]   </v>
      </c>
      <c r="C673" s="57" t="str">
        <f>IFERROR(__xludf.DUMMYFUNCTION("""COMPUTED_VALUE"""),"HP:0100543")</f>
        <v>HP:0100543</v>
      </c>
      <c r="D673" s="58"/>
      <c r="E673" s="56"/>
      <c r="F673" s="54"/>
      <c r="G673" s="54"/>
      <c r="H673" s="59"/>
      <c r="I673" s="59"/>
      <c r="J673" s="59"/>
      <c r="K673" s="54"/>
    </row>
    <row r="674">
      <c r="A674" s="57"/>
      <c r="B674" s="57" t="str">
        <f>IFERROR(__xludf.DUMMYFUNCTION("""COMPUTED_VALUE""")," Coma [HP:0001259]   ")</f>
        <v> Coma [HP:0001259]   </v>
      </c>
      <c r="C674" s="57" t="str">
        <f>IFERROR(__xludf.DUMMYFUNCTION("""COMPUTED_VALUE"""),"HP:0001259")</f>
        <v>HP:0001259</v>
      </c>
      <c r="D674" s="58"/>
      <c r="E674" s="56"/>
      <c r="F674" s="54"/>
      <c r="G674" s="54"/>
      <c r="H674" s="59"/>
      <c r="I674" s="59"/>
      <c r="J674" s="59"/>
      <c r="K674" s="54"/>
    </row>
    <row r="675">
      <c r="A675" s="57"/>
      <c r="B675" s="57" t="str">
        <f>IFERROR(__xludf.DUMMYFUNCTION("""COMPUTED_VALUE""")," Confusion [HP:0001289]   ")</f>
        <v> Confusion [HP:0001289]   </v>
      </c>
      <c r="C675" s="57" t="str">
        <f>IFERROR(__xludf.DUMMYFUNCTION("""COMPUTED_VALUE"""),"HP:0001289")</f>
        <v>HP:0001289</v>
      </c>
      <c r="D675" s="58"/>
      <c r="E675" s="56"/>
      <c r="F675" s="54"/>
      <c r="G675" s="54"/>
      <c r="H675" s="59"/>
      <c r="I675" s="59"/>
      <c r="J675" s="59"/>
      <c r="K675" s="54"/>
    </row>
    <row r="676">
      <c r="A676" s="57"/>
      <c r="B676" s="57" t="str">
        <f>IFERROR(__xludf.DUMMYFUNCTION("""COMPUTED_VALUE"""),"  Delirium (sudden severe confusion) [HP:0031258]  ")</f>
        <v>  Delirium (sudden severe confusion) [HP:0031258]  </v>
      </c>
      <c r="C676" s="57" t="str">
        <f>IFERROR(__xludf.DUMMYFUNCTION("""COMPUTED_VALUE"""),"HP:0031258")</f>
        <v>HP:0031258</v>
      </c>
      <c r="D676" s="58"/>
      <c r="E676" s="56"/>
      <c r="F676" s="54"/>
      <c r="G676" s="54"/>
      <c r="H676" s="59"/>
      <c r="I676" s="59"/>
      <c r="J676" s="59"/>
      <c r="K676" s="54"/>
    </row>
    <row r="677">
      <c r="A677" s="57"/>
      <c r="B677" s="57" t="str">
        <f>IFERROR(__xludf.DUMMYFUNCTION("""COMPUTED_VALUE"""),"Arrhythmia [HP:0011675]    ")</f>
        <v>Arrhythmia [HP:0011675]    </v>
      </c>
      <c r="C677" s="57" t="str">
        <f>IFERROR(__xludf.DUMMYFUNCTION("""COMPUTED_VALUE"""),"HP:0011675")</f>
        <v>HP:0011675</v>
      </c>
      <c r="D677" s="58"/>
      <c r="E677" s="56"/>
      <c r="F677" s="54"/>
      <c r="G677" s="54"/>
      <c r="H677" s="59"/>
      <c r="I677" s="59"/>
      <c r="J677" s="59"/>
      <c r="K677" s="54"/>
    </row>
    <row r="678">
      <c r="A678" s="57"/>
      <c r="B678" s="57" t="str">
        <f>IFERROR(__xludf.DUMMYFUNCTION("""COMPUTED_VALUE"""),"Asthenia (generalized weakness) [HP:0025406]    ")</f>
        <v>Asthenia (generalized weakness) [HP:0025406]    </v>
      </c>
      <c r="C678" s="57" t="str">
        <f>IFERROR(__xludf.DUMMYFUNCTION("""COMPUTED_VALUE"""),"HP:0025406")</f>
        <v>HP:0025406</v>
      </c>
      <c r="D678" s="58"/>
      <c r="E678" s="56"/>
      <c r="F678" s="54"/>
      <c r="G678" s="54"/>
      <c r="H678" s="59"/>
      <c r="I678" s="59"/>
      <c r="J678" s="59"/>
      <c r="K678" s="54"/>
    </row>
    <row r="679">
      <c r="A679" s="57"/>
      <c r="B679" s="57" t="str">
        <f>IFERROR(__xludf.DUMMYFUNCTION("""COMPUTED_VALUE"""),"Bleeding gums [GENEPIO:0101182]    ")</f>
        <v>Bleeding gums [GENEPIO:0101182]    </v>
      </c>
      <c r="C679" s="57" t="str">
        <f>IFERROR(__xludf.DUMMYFUNCTION("""COMPUTED_VALUE"""),"GENEPIO:0101182")</f>
        <v>GENEPIO:0101182</v>
      </c>
      <c r="D679" s="58"/>
      <c r="E679" s="56"/>
      <c r="F679" s="54"/>
      <c r="G679" s="54"/>
      <c r="H679" s="59"/>
      <c r="I679" s="59"/>
      <c r="J679" s="59"/>
      <c r="K679" s="54"/>
    </row>
    <row r="680">
      <c r="A680" s="57"/>
      <c r="B680" s="57" t="str">
        <f>IFERROR(__xludf.DUMMYFUNCTION("""COMPUTED_VALUE"""),"Chest tightness or pressure [HP:0031352]    ")</f>
        <v>Chest tightness or pressure [HP:0031352]    </v>
      </c>
      <c r="C680" s="57" t="str">
        <f>IFERROR(__xludf.DUMMYFUNCTION("""COMPUTED_VALUE"""),"HP:0031352")</f>
        <v>HP:0031352</v>
      </c>
      <c r="D680" s="58"/>
      <c r="E680" s="56"/>
      <c r="F680" s="54"/>
      <c r="G680" s="54"/>
      <c r="H680" s="59"/>
      <c r="I680" s="59"/>
      <c r="J680" s="59"/>
      <c r="K680" s="54"/>
    </row>
    <row r="681">
      <c r="A681" s="57"/>
      <c r="B681" s="57" t="str">
        <f>IFERROR(__xludf.DUMMYFUNCTION("""COMPUTED_VALUE""")," Rigors (fever shakes) [HP:0025145]   ")</f>
        <v> Rigors (fever shakes) [HP:0025145]   </v>
      </c>
      <c r="C681" s="57" t="str">
        <f>IFERROR(__xludf.DUMMYFUNCTION("""COMPUTED_VALUE"""),"HP:0025145")</f>
        <v>HP:0025145</v>
      </c>
      <c r="D681" s="58"/>
      <c r="E681" s="56"/>
      <c r="F681" s="54"/>
      <c r="G681" s="54"/>
      <c r="H681" s="59"/>
      <c r="I681" s="59"/>
      <c r="J681" s="59"/>
      <c r="K681" s="54"/>
    </row>
    <row r="682">
      <c r="A682" s="57"/>
      <c r="B682" s="57" t="str">
        <f>IFERROR(__xludf.DUMMYFUNCTION("""COMPUTED_VALUE"""),"Chills (sudden cold sensation) [HP:0025143]    ")</f>
        <v>Chills (sudden cold sensation) [HP:0025143]    </v>
      </c>
      <c r="C682" s="57" t="str">
        <f>IFERROR(__xludf.DUMMYFUNCTION("""COMPUTED_VALUE"""),"HP:0025143")</f>
        <v>HP:0025143</v>
      </c>
      <c r="D682" s="58" t="str">
        <f>IFERROR(__xludf.DUMMYFUNCTION("""COMPUTED_VALUE"""),"A sudden sensation of feeling cold.")</f>
        <v>A sudden sensation of feeling cold.</v>
      </c>
      <c r="E682" s="56"/>
      <c r="F682" s="54"/>
      <c r="G682" s="54"/>
      <c r="H682" s="59"/>
      <c r="I682" s="59"/>
      <c r="J682" s="59"/>
      <c r="K682" s="54"/>
    </row>
    <row r="683">
      <c r="A683" s="57"/>
      <c r="B683" s="57" t="str">
        <f>IFERROR(__xludf.DUMMYFUNCTION("""COMPUTED_VALUE"""),"Conjunctivitis (pink eye) [HP:0000509]    ")</f>
        <v>Conjunctivitis (pink eye) [HP:0000509]    </v>
      </c>
      <c r="C683" s="57" t="str">
        <f>IFERROR(__xludf.DUMMYFUNCTION("""COMPUTED_VALUE"""),"HP:0000509")</f>
        <v>HP:0000509</v>
      </c>
      <c r="D683" s="58" t="str">
        <f>IFERROR(__xludf.DUMMYFUNCTION("""COMPUTED_VALUE"""),"Inflammation of the conjunctiva.")</f>
        <v>Inflammation of the conjunctiva.</v>
      </c>
      <c r="E683" s="56"/>
      <c r="F683" s="54"/>
      <c r="G683" s="54"/>
      <c r="H683" s="59"/>
      <c r="I683" s="59"/>
      <c r="J683" s="59"/>
      <c r="K683" s="54"/>
    </row>
    <row r="684">
      <c r="A684" s="57"/>
      <c r="B684" s="57" t="str">
        <f>IFERROR(__xludf.DUMMYFUNCTION("""COMPUTED_VALUE"""),"Coryza (rhinitis) [MP:0001867]    ")</f>
        <v>Coryza (rhinitis) [MP:0001867]    </v>
      </c>
      <c r="C684" s="57" t="str">
        <f>IFERROR(__xludf.DUMMYFUNCTION("""COMPUTED_VALUE"""),"MP:0001867")</f>
        <v>MP:0001867</v>
      </c>
      <c r="D684" s="58"/>
      <c r="E684" s="56"/>
      <c r="F684" s="54"/>
      <c r="G684" s="54"/>
      <c r="H684" s="59"/>
      <c r="I684" s="59"/>
      <c r="J684" s="59"/>
      <c r="K684" s="54"/>
    </row>
    <row r="685">
      <c r="A685" s="57"/>
      <c r="B685" s="57" t="str">
        <f>IFERROR(__xludf.DUMMYFUNCTION("""COMPUTED_VALUE"""),"Cough [HP:0012735]    ")</f>
        <v>Cough [HP:0012735]    </v>
      </c>
      <c r="C685" s="57" t="str">
        <f>IFERROR(__xludf.DUMMYFUNCTION("""COMPUTED_VALUE"""),"HP:0012735")</f>
        <v>HP:0012735</v>
      </c>
      <c r="D685" s="58" t="str">
        <f>IFERROR(__xludf.DUMMYFUNCTION("""COMPUTED_VALUE"""),"A sudden, audible expulsion of air from the lungs through a partially closed glottis, preceded by inhalation.")</f>
        <v>A sudden, audible expulsion of air from the lungs through a partially closed glottis, preceded by inhalation.</v>
      </c>
      <c r="E685" s="56"/>
      <c r="F685" s="54"/>
      <c r="G685" s="54"/>
      <c r="H685" s="59"/>
      <c r="I685" s="59"/>
      <c r="J685" s="59"/>
      <c r="K685" s="54"/>
    </row>
    <row r="686">
      <c r="A686" s="57"/>
      <c r="B686" s="57" t="str">
        <f>IFERROR(__xludf.DUMMYFUNCTION("""COMPUTED_VALUE""")," Nonproductive cough (dry cough) [HP:0031246]   ")</f>
        <v> Nonproductive cough (dry cough) [HP:0031246]   </v>
      </c>
      <c r="C686" s="57" t="str">
        <f>IFERROR(__xludf.DUMMYFUNCTION("""COMPUTED_VALUE"""),"HP:0031246")</f>
        <v>HP:0031246</v>
      </c>
      <c r="D686" s="58"/>
      <c r="E686" s="56"/>
      <c r="F686" s="54"/>
      <c r="G686" s="54"/>
      <c r="H686" s="59"/>
      <c r="I686" s="59"/>
      <c r="J686" s="59"/>
      <c r="K686" s="54"/>
    </row>
    <row r="687">
      <c r="A687" s="57"/>
      <c r="B687" s="57" t="str">
        <f>IFERROR(__xludf.DUMMYFUNCTION("""COMPUTED_VALUE""")," Productive cough (wet cough) [HP:0031245]   ")</f>
        <v> Productive cough (wet cough) [HP:0031245]   </v>
      </c>
      <c r="C687" s="57" t="str">
        <f>IFERROR(__xludf.DUMMYFUNCTION("""COMPUTED_VALUE"""),"HP:0031245")</f>
        <v>HP:0031245</v>
      </c>
      <c r="D687" s="58"/>
      <c r="E687" s="56"/>
      <c r="F687" s="54"/>
      <c r="G687" s="54"/>
      <c r="H687" s="59"/>
      <c r="I687" s="59"/>
      <c r="J687" s="59"/>
      <c r="K687" s="54"/>
    </row>
    <row r="688">
      <c r="A688" s="57"/>
      <c r="B688" s="57" t="str">
        <f>IFERROR(__xludf.DUMMYFUNCTION("""COMPUTED_VALUE"""),"Diarrhea [DOID:13250]    ")</f>
        <v>Diarrhea [DOID:13250]    </v>
      </c>
      <c r="C688" s="57" t="str">
        <f>IFERROR(__xludf.DUMMYFUNCTION("""COMPUTED_VALUE"""),"DOID:13250")</f>
        <v>DOID:13250</v>
      </c>
      <c r="D688" s="58"/>
      <c r="E688" s="56"/>
      <c r="F688" s="54"/>
      <c r="G688" s="54"/>
      <c r="H688" s="59"/>
      <c r="I688" s="59"/>
      <c r="J688" s="59"/>
      <c r="K688" s="54"/>
    </row>
    <row r="689">
      <c r="A689" s="57"/>
      <c r="B689" s="57" t="str">
        <f>IFERROR(__xludf.DUMMYFUNCTION("""COMPUTED_VALUE"""),"Dyspnea (breathing difficulty) [HP:0002094]    ")</f>
        <v>Dyspnea (breathing difficulty) [HP:0002094]    </v>
      </c>
      <c r="C689" s="57" t="str">
        <f>IFERROR(__xludf.DUMMYFUNCTION("""COMPUTED_VALUE"""),"HP:0002094")</f>
        <v>HP:0002094</v>
      </c>
      <c r="D689" s="58"/>
      <c r="E689" s="56"/>
      <c r="F689" s="54"/>
      <c r="G689" s="54"/>
      <c r="H689" s="59"/>
      <c r="I689" s="59"/>
      <c r="J689" s="59"/>
      <c r="K689" s="54"/>
    </row>
    <row r="690">
      <c r="A690" s="57"/>
      <c r="B690" s="57" t="str">
        <f>IFERROR(__xludf.DUMMYFUNCTION("""COMPUTED_VALUE"""),"Fatigue (tiredness) [HP:0012378]    ")</f>
        <v>Fatigue (tiredness) [HP:0012378]    </v>
      </c>
      <c r="C690" s="57" t="str">
        <f>IFERROR(__xludf.DUMMYFUNCTION("""COMPUTED_VALUE"""),"HP:0012378")</f>
        <v>HP:0012378</v>
      </c>
      <c r="D690" s="58" t="str">
        <f>IFERROR(__xludf.DUMMYFUNCTION("""COMPUTED_VALUE"""),"A subjective feeling of tiredness characterized by a lack of energy and motivation.")</f>
        <v>A subjective feeling of tiredness characterized by a lack of energy and motivation.</v>
      </c>
      <c r="E690" s="56"/>
      <c r="F690" s="54"/>
      <c r="G690" s="54"/>
      <c r="H690" s="59"/>
      <c r="I690" s="59"/>
      <c r="J690" s="59"/>
      <c r="K690" s="54"/>
    </row>
    <row r="691">
      <c r="A691" s="57"/>
      <c r="B691" s="57" t="str">
        <f>IFERROR(__xludf.DUMMYFUNCTION("""COMPUTED_VALUE"""),"Fever [HP:0001945]    ")</f>
        <v>Fever [HP:0001945]    </v>
      </c>
      <c r="C691" s="57" t="str">
        <f>IFERROR(__xludf.DUMMYFUNCTION("""COMPUTED_VALUE"""),"HP:0001945")</f>
        <v>HP:0001945</v>
      </c>
      <c r="D691" s="58" t="str">
        <f>IFERROR(__xludf.DUMMYFUNCTION("""COMPUTED_VALUE"""),"Body temperature elevated above the normal range.")</f>
        <v>Body temperature elevated above the normal range.</v>
      </c>
      <c r="E691" s="56"/>
      <c r="F691" s="54"/>
      <c r="G691" s="54"/>
      <c r="H691" s="59"/>
      <c r="I691" s="59"/>
      <c r="J691" s="59"/>
      <c r="K691" s="54"/>
    </row>
    <row r="692">
      <c r="A692" s="57"/>
      <c r="B692" s="57" t="str">
        <f>IFERROR(__xludf.DUMMYFUNCTION("""COMPUTED_VALUE""")," Fever (&gt;=38°C) [GENEPIO:0100066]   ")</f>
        <v> Fever (&gt;=38°C) [GENEPIO:0100066]   </v>
      </c>
      <c r="C692" s="57" t="str">
        <f>IFERROR(__xludf.DUMMYFUNCTION("""COMPUTED_VALUE"""),"GENEPIO:0100066")</f>
        <v>GENEPIO:0100066</v>
      </c>
      <c r="D692" s="58"/>
      <c r="E692" s="56"/>
      <c r="F692" s="54"/>
      <c r="G692" s="54"/>
      <c r="H692" s="59"/>
      <c r="I692" s="59"/>
      <c r="J692" s="59"/>
      <c r="K692" s="54"/>
    </row>
    <row r="693">
      <c r="A693" s="57"/>
      <c r="B693" s="57" t="str">
        <f>IFERROR(__xludf.DUMMYFUNCTION("""COMPUTED_VALUE"""),"Headache [HP:0002315]    ")</f>
        <v>Headache [HP:0002315]    </v>
      </c>
      <c r="C693" s="57" t="str">
        <f>IFERROR(__xludf.DUMMYFUNCTION("""COMPUTED_VALUE"""),"HP:0002315")</f>
        <v>HP:0002315</v>
      </c>
      <c r="D693" s="58" t="str">
        <f>IFERROR(__xludf.DUMMYFUNCTION("""COMPUTED_VALUE"""),"Cephalgia, or pain sensed in various parts of the head, not confined to the area of distribution of any nerve.")</f>
        <v>Cephalgia, or pain sensed in various parts of the head, not confined to the area of distribution of any nerve.</v>
      </c>
      <c r="E693" s="56"/>
      <c r="F693" s="54"/>
      <c r="G693" s="54"/>
      <c r="H693" s="59"/>
      <c r="I693" s="59"/>
      <c r="J693" s="59"/>
      <c r="K693" s="54"/>
    </row>
    <row r="694">
      <c r="A694" s="57"/>
      <c r="B694" s="57" t="str">
        <f>IFERROR(__xludf.DUMMYFUNCTION("""COMPUTED_VALUE"""),"Hypoxemia (low blood oxygen) [HP:0012418]    ")</f>
        <v>Hypoxemia (low blood oxygen) [HP:0012418]    </v>
      </c>
      <c r="C694" s="57" t="str">
        <f>IFERROR(__xludf.DUMMYFUNCTION("""COMPUTED_VALUE"""),"HP:0012418")</f>
        <v>HP:0012418</v>
      </c>
      <c r="D694" s="58"/>
      <c r="E694" s="56"/>
      <c r="F694" s="54"/>
      <c r="G694" s="54"/>
      <c r="H694" s="59"/>
      <c r="I694" s="59"/>
      <c r="J694" s="59"/>
      <c r="K694" s="54"/>
    </row>
    <row r="695">
      <c r="A695" s="57"/>
      <c r="B695" s="57" t="str">
        <f>IFERROR(__xludf.DUMMYFUNCTION("""COMPUTED_VALUE""")," Silent hypoxemia [GENEPIO:0100068]   ")</f>
        <v> Silent hypoxemia [GENEPIO:0100068]   </v>
      </c>
      <c r="C695" s="57" t="str">
        <f>IFERROR(__xludf.DUMMYFUNCTION("""COMPUTED_VALUE"""),"GENEPIO:0100068")</f>
        <v>GENEPIO:0100068</v>
      </c>
      <c r="D695" s="58"/>
      <c r="E695" s="56"/>
      <c r="F695" s="54"/>
      <c r="G695" s="54"/>
      <c r="H695" s="59"/>
      <c r="I695" s="59"/>
      <c r="J695" s="59"/>
      <c r="K695" s="54"/>
    </row>
    <row r="696">
      <c r="A696" s="57"/>
      <c r="B696" s="57" t="str">
        <f>IFERROR(__xludf.DUMMYFUNCTION("""COMPUTED_VALUE"""),"Malaise (general discomfort/unease) [HP:0033834]    ")</f>
        <v>Malaise (general discomfort/unease) [HP:0033834]    </v>
      </c>
      <c r="C696" s="57" t="str">
        <f>IFERROR(__xludf.DUMMYFUNCTION("""COMPUTED_VALUE"""),"HP:0033834")</f>
        <v>HP:0033834</v>
      </c>
      <c r="D696" s="58"/>
      <c r="E696" s="56"/>
      <c r="F696" s="54"/>
      <c r="G696" s="54"/>
      <c r="H696" s="59"/>
      <c r="I696" s="59"/>
      <c r="J696" s="59"/>
      <c r="K696" s="54"/>
    </row>
    <row r="697">
      <c r="A697" s="57"/>
      <c r="B697" s="57" t="str">
        <f>IFERROR(__xludf.DUMMYFUNCTION("""COMPUTED_VALUE"""),"Muscle weakness [HP:0001324]    ")</f>
        <v>Muscle weakness [HP:0001324]    </v>
      </c>
      <c r="C697" s="57" t="str">
        <f>IFERROR(__xludf.DUMMYFUNCTION("""COMPUTED_VALUE"""),"HP:0001324")</f>
        <v>HP:0001324</v>
      </c>
      <c r="D697" s="58"/>
      <c r="E697" s="56"/>
      <c r="F697" s="54"/>
      <c r="G697" s="54"/>
      <c r="H697" s="59"/>
      <c r="I697" s="59"/>
      <c r="J697" s="59"/>
      <c r="K697" s="54"/>
    </row>
    <row r="698">
      <c r="A698" s="57"/>
      <c r="B698" s="57" t="str">
        <f>IFERROR(__xludf.DUMMYFUNCTION("""COMPUTED_VALUE"""),"Nasal obstruction (stuffy nose) [HP:0001742]    ")</f>
        <v>Nasal obstruction (stuffy nose) [HP:0001742]    </v>
      </c>
      <c r="C698" s="57" t="str">
        <f>IFERROR(__xludf.DUMMYFUNCTION("""COMPUTED_VALUE"""),"HP:0001742")</f>
        <v>HP:0001742</v>
      </c>
      <c r="D698" s="58"/>
      <c r="E698" s="56"/>
      <c r="F698" s="54"/>
      <c r="G698" s="54"/>
      <c r="H698" s="59"/>
      <c r="I698" s="59"/>
      <c r="J698" s="59"/>
      <c r="K698" s="54"/>
    </row>
    <row r="699">
      <c r="A699" s="57"/>
      <c r="B699" s="57" t="str">
        <f>IFERROR(__xludf.DUMMYFUNCTION("""COMPUTED_VALUE"""),"Nausea [HP:0002018]    ")</f>
        <v>Nausea [HP:0002018]    </v>
      </c>
      <c r="C699" s="57" t="str">
        <f>IFERROR(__xludf.DUMMYFUNCTION("""COMPUTED_VALUE"""),"HP:0002018")</f>
        <v>HP:0002018</v>
      </c>
      <c r="D699" s="58" t="str">
        <f>IFERROR(__xludf.DUMMYFUNCTION("""COMPUTED_VALUE"""),"A sensation of unease in the stomach together with an urge to vomit.")</f>
        <v>A sensation of unease in the stomach together with an urge to vomit.</v>
      </c>
      <c r="E699" s="56"/>
      <c r="F699" s="54"/>
      <c r="G699" s="54"/>
      <c r="H699" s="59"/>
      <c r="I699" s="59"/>
      <c r="J699" s="59"/>
      <c r="K699" s="54"/>
    </row>
    <row r="700">
      <c r="A700" s="57"/>
      <c r="B700" s="57" t="str">
        <f>IFERROR(__xludf.DUMMYFUNCTION("""COMPUTED_VALUE"""),"Pain [HP:0012531]    ")</f>
        <v>Pain [HP:0012531]    </v>
      </c>
      <c r="C700" s="57" t="str">
        <f>IFERROR(__xludf.DUMMYFUNCTION("""COMPUTED_VALUE"""),"HP:0012531")</f>
        <v>HP:0012531</v>
      </c>
      <c r="D700" s="58"/>
      <c r="E700" s="56"/>
      <c r="F700" s="54"/>
      <c r="G700" s="54"/>
      <c r="H700" s="59"/>
      <c r="I700" s="59"/>
      <c r="J700" s="59"/>
      <c r="K700" s="54"/>
    </row>
    <row r="701">
      <c r="A701" s="57"/>
      <c r="B701" s="57" t="str">
        <f>IFERROR(__xludf.DUMMYFUNCTION("""COMPUTED_VALUE""")," Arthralgia (painful joints) [HP:0002829]   ")</f>
        <v> Arthralgia (painful joints) [HP:0002829]   </v>
      </c>
      <c r="C701" s="57" t="str">
        <f>IFERROR(__xludf.DUMMYFUNCTION("""COMPUTED_VALUE"""),"HP:0002829")</f>
        <v>HP:0002829</v>
      </c>
      <c r="D701" s="58"/>
      <c r="E701" s="56"/>
      <c r="F701" s="54"/>
      <c r="G701" s="54"/>
      <c r="H701" s="59"/>
      <c r="I701" s="59"/>
      <c r="J701" s="59"/>
      <c r="K701" s="54"/>
    </row>
    <row r="702">
      <c r="A702" s="57"/>
      <c r="B702" s="57" t="str">
        <f>IFERROR(__xludf.DUMMYFUNCTION("""COMPUTED_VALUE""")," Myalgia (muscle pain) [HP:0003326]   ")</f>
        <v> Myalgia (muscle pain) [HP:0003326]   </v>
      </c>
      <c r="C702" s="57" t="str">
        <f>IFERROR(__xludf.DUMMYFUNCTION("""COMPUTED_VALUE"""),"HP:0003326")</f>
        <v>HP:0003326</v>
      </c>
      <c r="D702" s="58" t="str">
        <f>IFERROR(__xludf.DUMMYFUNCTION("""COMPUTED_VALUE"""),"Pain in muscle.")</f>
        <v>Pain in muscle.</v>
      </c>
      <c r="E702" s="56"/>
      <c r="F702" s="54"/>
      <c r="G702" s="54"/>
      <c r="H702" s="59"/>
      <c r="I702" s="59"/>
      <c r="J702" s="59"/>
      <c r="K702" s="54"/>
    </row>
    <row r="703">
      <c r="A703" s="57"/>
      <c r="B703" s="57" t="str">
        <f>IFERROR(__xludf.DUMMYFUNCTION("""COMPUTED_VALUE"""),"Pharyngitis (sore throat) [HP:0025439]    ")</f>
        <v>Pharyngitis (sore throat) [HP:0025439]    </v>
      </c>
      <c r="C703" s="57" t="str">
        <f>IFERROR(__xludf.DUMMYFUNCTION("""COMPUTED_VALUE"""),"HP:0025439")</f>
        <v>HP:0025439</v>
      </c>
      <c r="D703" s="58"/>
      <c r="E703" s="56"/>
      <c r="F703" s="54"/>
      <c r="G703" s="54"/>
      <c r="H703" s="59"/>
      <c r="I703" s="59"/>
      <c r="J703" s="59"/>
      <c r="K703" s="54"/>
    </row>
    <row r="704">
      <c r="A704" s="57"/>
      <c r="B704" s="57" t="str">
        <f>IFERROR(__xludf.DUMMYFUNCTION("""COMPUTED_VALUE"""),"Rhinorrhea (runny nose) [HP:0031417]    ")</f>
        <v>Rhinorrhea (runny nose) [HP:0031417]    </v>
      </c>
      <c r="C704" s="57" t="str">
        <f>IFERROR(__xludf.DUMMYFUNCTION("""COMPUTED_VALUE"""),"HP:0031417")</f>
        <v>HP:0031417</v>
      </c>
      <c r="D704" s="58"/>
      <c r="E704" s="56"/>
      <c r="F704" s="54"/>
      <c r="G704" s="54"/>
      <c r="H704" s="59"/>
      <c r="I704" s="59"/>
      <c r="J704" s="59"/>
      <c r="K704" s="54"/>
    </row>
    <row r="705">
      <c r="A705" s="57"/>
      <c r="B705" s="57" t="str">
        <f>IFERROR(__xludf.DUMMYFUNCTION("""COMPUTED_VALUE"""),"Shivering (involuntary muscle twitching) [HP:0025144]    ")</f>
        <v>Shivering (involuntary muscle twitching) [HP:0025144]    </v>
      </c>
      <c r="C705" s="57" t="str">
        <f>IFERROR(__xludf.DUMMYFUNCTION("""COMPUTED_VALUE"""),"HP:0025144")</f>
        <v>HP:0025144</v>
      </c>
      <c r="D705" s="58"/>
      <c r="E705" s="56"/>
      <c r="F705" s="54"/>
      <c r="G705" s="54"/>
      <c r="H705" s="59"/>
      <c r="I705" s="59"/>
      <c r="J705" s="59"/>
      <c r="K705" s="54"/>
    </row>
    <row r="706">
      <c r="A706" s="57"/>
      <c r="B706" s="57" t="str">
        <f>IFERROR(__xludf.DUMMYFUNCTION("""COMPUTED_VALUE"""),"Sneezing [HP:0025095]    ")</f>
        <v>Sneezing [HP:0025095]    </v>
      </c>
      <c r="C706" s="57" t="str">
        <f>IFERROR(__xludf.DUMMYFUNCTION("""COMPUTED_VALUE"""),"HP:0025095")</f>
        <v>HP:0025095</v>
      </c>
      <c r="D706" s="58"/>
      <c r="E706" s="56"/>
      <c r="F706" s="54"/>
      <c r="G706" s="54"/>
      <c r="H706" s="59"/>
      <c r="I706" s="59"/>
      <c r="J706" s="59"/>
      <c r="K706" s="54"/>
    </row>
    <row r="707">
      <c r="A707" s="57"/>
      <c r="B707" s="57" t="str">
        <f>IFERROR(__xludf.DUMMYFUNCTION("""COMPUTED_VALUE"""),"Sputum Production [HP:0033709]    ")</f>
        <v>Sputum Production [HP:0033709]    </v>
      </c>
      <c r="C707" s="57" t="str">
        <f>IFERROR(__xludf.DUMMYFUNCTION("""COMPUTED_VALUE"""),"HP:0033709")</f>
        <v>HP:0033709</v>
      </c>
      <c r="D707" s="58"/>
      <c r="E707" s="56"/>
      <c r="F707" s="54"/>
      <c r="G707" s="54"/>
      <c r="H707" s="59"/>
      <c r="I707" s="59"/>
      <c r="J707" s="59"/>
      <c r="K707" s="54"/>
    </row>
    <row r="708">
      <c r="A708" s="57"/>
      <c r="B708" s="57" t="str">
        <f>IFERROR(__xludf.DUMMYFUNCTION("""COMPUTED_VALUE"""),"Swollen Lymph Nodes [HP:0002716]    ")</f>
        <v>Swollen Lymph Nodes [HP:0002716]    </v>
      </c>
      <c r="C708" s="57" t="str">
        <f>IFERROR(__xludf.DUMMYFUNCTION("""COMPUTED_VALUE"""),"HP:0002716")</f>
        <v>HP:0002716</v>
      </c>
      <c r="D708" s="58" t="str">
        <f>IFERROR(__xludf.DUMMYFUNCTION("""COMPUTED_VALUE"""),"Enlargment (swelling) of a lymph node.")</f>
        <v>Enlargment (swelling) of a lymph node.</v>
      </c>
      <c r="E708" s="56"/>
      <c r="F708" s="54"/>
      <c r="G708" s="54"/>
      <c r="H708" s="59"/>
      <c r="I708" s="59"/>
      <c r="J708" s="59"/>
      <c r="K708" s="54"/>
    </row>
    <row r="709">
      <c r="A709" s="57"/>
      <c r="B709" s="57" t="str">
        <f>IFERROR(__xludf.DUMMYFUNCTION("""COMPUTED_VALUE"""),"Tachypnea (accelerated respiratory rate) [HP:0002789]    ")</f>
        <v>Tachypnea (accelerated respiratory rate) [HP:0002789]    </v>
      </c>
      <c r="C709" s="57" t="str">
        <f>IFERROR(__xludf.DUMMYFUNCTION("""COMPUTED_VALUE"""),"HP:0002789")</f>
        <v>HP:0002789</v>
      </c>
      <c r="D709" s="58"/>
      <c r="E709" s="56"/>
      <c r="F709" s="54"/>
      <c r="G709" s="54"/>
      <c r="H709" s="59"/>
      <c r="I709" s="59"/>
      <c r="J709" s="59"/>
      <c r="K709" s="54"/>
    </row>
    <row r="710">
      <c r="A710" s="57"/>
      <c r="B710" s="57" t="str">
        <f>IFERROR(__xludf.DUMMYFUNCTION("""COMPUTED_VALUE"""),"Vomiting (throwing up) [HP:0002013]    ")</f>
        <v>Vomiting (throwing up) [HP:0002013]    </v>
      </c>
      <c r="C710" s="57" t="str">
        <f>IFERROR(__xludf.DUMMYFUNCTION("""COMPUTED_VALUE"""),"HP:0002013")</f>
        <v>HP:0002013</v>
      </c>
      <c r="D710" s="58" t="str">
        <f>IFERROR(__xludf.DUMMYFUNCTION("""COMPUTED_VALUE"""),"Forceful ejection of the contents of the stomach through the mouth by means of a series of involuntary spasmic contractions.")</f>
        <v>Forceful ejection of the contents of the stomach through the mouth by means of a series of involuntary spasmic contractions.</v>
      </c>
      <c r="E710" s="56"/>
      <c r="F710" s="54"/>
      <c r="G710" s="54"/>
      <c r="H710" s="59"/>
      <c r="I710" s="59"/>
      <c r="J710" s="59"/>
      <c r="K710" s="54"/>
    </row>
    <row r="711">
      <c r="A711" s="57" t="str">
        <f>IFERROR(__xludf.DUMMYFUNCTION("""COMPUTED_VALUE"""),"pre-existing_conditions_and_risk_factors menu")</f>
        <v>pre-existing_conditions_and_risk_factors menu</v>
      </c>
      <c r="B711" s="57" t="str">
        <f>IFERROR(__xludf.DUMMYFUNCTION("""COMPUTED_VALUE"""),"    ")</f>
        <v>    </v>
      </c>
      <c r="C711" s="57" t="str">
        <f>IFERROR(__xludf.DUMMYFUNCTION("""COMPUTED_VALUE"""),"")</f>
        <v/>
      </c>
      <c r="D711" s="58"/>
      <c r="E711" s="56"/>
      <c r="F711" s="54"/>
      <c r="G711" s="54"/>
      <c r="H711" s="59"/>
      <c r="I711" s="59"/>
      <c r="J711" s="59"/>
      <c r="K711" s="54"/>
    </row>
    <row r="712">
      <c r="A712" s="57"/>
      <c r="B712" s="57" t="str">
        <f>IFERROR(__xludf.DUMMYFUNCTION("""COMPUTED_VALUE"""),"Age 60+ [VO:0004925]    ")</f>
        <v>Age 60+ [VO:0004925]    </v>
      </c>
      <c r="C712" s="57" t="str">
        <f>IFERROR(__xludf.DUMMYFUNCTION("""COMPUTED_VALUE"""),"VO:0004925")</f>
        <v>VO:0004925</v>
      </c>
      <c r="D712" s="58"/>
      <c r="E712" s="56"/>
      <c r="F712" s="54"/>
      <c r="G712" s="54"/>
      <c r="H712" s="59"/>
      <c r="I712" s="59"/>
      <c r="J712" s="59"/>
      <c r="K712" s="54"/>
    </row>
    <row r="713">
      <c r="A713" s="57"/>
      <c r="B713" s="57" t="str">
        <f>IFERROR(__xludf.DUMMYFUNCTION("""COMPUTED_VALUE"""),"Anemia [DOID:2355]    ")</f>
        <v>Anemia [DOID:2355]    </v>
      </c>
      <c r="C713" s="57" t="str">
        <f>IFERROR(__xludf.DUMMYFUNCTION("""COMPUTED_VALUE"""),"DOID:2355")</f>
        <v>DOID:2355</v>
      </c>
      <c r="D713" s="58"/>
      <c r="E713" s="56"/>
      <c r="F713" s="54"/>
      <c r="G713" s="54"/>
      <c r="H713" s="59"/>
      <c r="I713" s="59"/>
      <c r="J713" s="59"/>
      <c r="K713" s="54"/>
    </row>
    <row r="714">
      <c r="A714" s="57"/>
      <c r="B714" s="57" t="str">
        <f>IFERROR(__xludf.DUMMYFUNCTION("""COMPUTED_VALUE""")," Hemoglobinopathy [DOID:2860]   ")</f>
        <v> Hemoglobinopathy [DOID:2860]   </v>
      </c>
      <c r="C714" s="57" t="str">
        <f>IFERROR(__xludf.DUMMYFUNCTION("""COMPUTED_VALUE"""),"DOID:2860")</f>
        <v>DOID:2860</v>
      </c>
      <c r="D714" s="58"/>
      <c r="E714" s="56"/>
      <c r="F714" s="54"/>
      <c r="G714" s="54"/>
      <c r="H714" s="59"/>
      <c r="I714" s="59"/>
      <c r="J714" s="59"/>
      <c r="K714" s="54"/>
    </row>
    <row r="715">
      <c r="A715" s="57"/>
      <c r="B715" s="57" t="str">
        <f>IFERROR(__xludf.DUMMYFUNCTION("""COMPUTED_VALUE"""),"Anorexia [HP:0002039]    ")</f>
        <v>Anorexia [HP:0002039]    </v>
      </c>
      <c r="C715" s="57" t="str">
        <f>IFERROR(__xludf.DUMMYFUNCTION("""COMPUTED_VALUE"""),"HP:0002039")</f>
        <v>HP:0002039</v>
      </c>
      <c r="D715" s="58"/>
      <c r="E715" s="56"/>
      <c r="F715" s="54"/>
      <c r="G715" s="54"/>
      <c r="H715" s="59"/>
      <c r="I715" s="59"/>
      <c r="J715" s="59"/>
      <c r="K715" s="54"/>
    </row>
    <row r="716">
      <c r="A716" s="57"/>
      <c r="B716" s="57" t="str">
        <f>IFERROR(__xludf.DUMMYFUNCTION("""COMPUTED_VALUE"""),"Birthing labor [NCIT:C92743]    ")</f>
        <v>Birthing labor [NCIT:C92743]    </v>
      </c>
      <c r="C716" s="57" t="str">
        <f>IFERROR(__xludf.DUMMYFUNCTION("""COMPUTED_VALUE"""),"NCIT:C92743")</f>
        <v>NCIT:C92743</v>
      </c>
      <c r="D716" s="58"/>
      <c r="E716" s="56"/>
      <c r="F716" s="54"/>
      <c r="G716" s="54"/>
      <c r="H716" s="59"/>
      <c r="I716" s="59"/>
      <c r="J716" s="59"/>
      <c r="K716" s="54"/>
    </row>
    <row r="717">
      <c r="A717" s="57"/>
      <c r="B717" s="57" t="str">
        <f>IFERROR(__xludf.DUMMYFUNCTION("""COMPUTED_VALUE"""),"Bone marrow failure [NCIT:C80693]    ")</f>
        <v>Bone marrow failure [NCIT:C80693]    </v>
      </c>
      <c r="C717" s="57" t="str">
        <f>IFERROR(__xludf.DUMMYFUNCTION("""COMPUTED_VALUE"""),"NCIT:C80693")</f>
        <v>NCIT:C80693</v>
      </c>
      <c r="D717" s="58"/>
      <c r="E717" s="56"/>
      <c r="F717" s="54"/>
      <c r="G717" s="54"/>
      <c r="H717" s="59"/>
      <c r="I717" s="59"/>
      <c r="J717" s="59"/>
      <c r="K717" s="54"/>
    </row>
    <row r="718">
      <c r="A718" s="57"/>
      <c r="B718" s="57" t="str">
        <f>IFERROR(__xludf.DUMMYFUNCTION("""COMPUTED_VALUE"""),"Cancer [MONDO:0004992]    ")</f>
        <v>Cancer [MONDO:0004992]    </v>
      </c>
      <c r="C718" s="57" t="str">
        <f>IFERROR(__xludf.DUMMYFUNCTION("""COMPUTED_VALUE"""),"MONDO:0004992")</f>
        <v>MONDO:0004992</v>
      </c>
      <c r="D718" s="58" t="str">
        <f>IFERROR(__xludf.DUMMYFUNCTION("""COMPUTED_VALUE"""),"A tumor composed of atypical neoplastic, often pleomorphic cells that invade other tissues. Malignant neoplasms often metastasize to distant anatomic sites and may recur after excision. The most common malignant neoplasms are carcinomas (adenocarcinomas o"&amp;"r squamous cell carcinomas), Hodgkin and non-Hodgkin lymphomas, leukemias, melanomas, and sarcomas.")</f>
        <v>A tumor composed of atypical neoplastic, often pleomorphic cells that invade other tissues. Malignant neoplasms often metastasize to distant anatomic sites and may recur after excision. The most common malignant neoplasms are carcinomas (adenocarcinomas or squamous cell carcinomas), Hodgkin and non-Hodgkin lymphomas, leukemias, melanomas, and sarcomas.</v>
      </c>
      <c r="E718" s="56"/>
      <c r="F718" s="54"/>
      <c r="G718" s="54"/>
      <c r="H718" s="59"/>
      <c r="I718" s="59"/>
      <c r="J718" s="59"/>
      <c r="K718" s="54"/>
    </row>
    <row r="719">
      <c r="A719" s="57"/>
      <c r="B719" s="57" t="str">
        <f>IFERROR(__xludf.DUMMYFUNCTION("""COMPUTED_VALUE""")," Breast cancer [MONDO:0007254]   ")</f>
        <v> Breast cancer [MONDO:0007254]   </v>
      </c>
      <c r="C719" s="57" t="str">
        <f>IFERROR(__xludf.DUMMYFUNCTION("""COMPUTED_VALUE"""),"MONDO:0007254")</f>
        <v>MONDO:0007254</v>
      </c>
      <c r="D719" s="58"/>
      <c r="E719" s="56"/>
      <c r="F719" s="54"/>
      <c r="G719" s="54"/>
      <c r="H719" s="59"/>
      <c r="I719" s="59"/>
      <c r="J719" s="59"/>
      <c r="K719" s="54"/>
    </row>
    <row r="720">
      <c r="A720" s="57"/>
      <c r="B720" s="57" t="str">
        <f>IFERROR(__xludf.DUMMYFUNCTION("""COMPUTED_VALUE""")," Colorectal cancer [MONDO:0005575]   ")</f>
        <v> Colorectal cancer [MONDO:0005575]   </v>
      </c>
      <c r="C720" s="57" t="str">
        <f>IFERROR(__xludf.DUMMYFUNCTION("""COMPUTED_VALUE"""),"MONDO:0005575")</f>
        <v>MONDO:0005575</v>
      </c>
      <c r="D720" s="58"/>
      <c r="E720" s="56"/>
      <c r="F720" s="54"/>
      <c r="G720" s="54"/>
      <c r="H720" s="59"/>
      <c r="I720" s="59"/>
      <c r="J720" s="59"/>
      <c r="K720" s="54"/>
    </row>
    <row r="721">
      <c r="A721" s="57"/>
      <c r="B721" s="57" t="str">
        <f>IFERROR(__xludf.DUMMYFUNCTION("""COMPUTED_VALUE""")," Hematologic malignancy (cancer of the blood) [DOID:2531]   ")</f>
        <v> Hematologic malignancy (cancer of the blood) [DOID:2531]   </v>
      </c>
      <c r="C721" s="57" t="str">
        <f>IFERROR(__xludf.DUMMYFUNCTION("""COMPUTED_VALUE"""),"DOID:2531")</f>
        <v>DOID:2531</v>
      </c>
      <c r="D721" s="58"/>
      <c r="E721" s="56"/>
      <c r="F721" s="54"/>
      <c r="G721" s="54"/>
      <c r="H721" s="59"/>
      <c r="I721" s="59"/>
      <c r="J721" s="59"/>
      <c r="K721" s="54"/>
    </row>
    <row r="722">
      <c r="A722" s="57"/>
      <c r="B722" s="57" t="str">
        <f>IFERROR(__xludf.DUMMYFUNCTION("""COMPUTED_VALUE""")," Lung cancer [MONDO:0008903]   ")</f>
        <v> Lung cancer [MONDO:0008903]   </v>
      </c>
      <c r="C722" s="57" t="str">
        <f>IFERROR(__xludf.DUMMYFUNCTION("""COMPUTED_VALUE"""),"MONDO:0008903")</f>
        <v>MONDO:0008903</v>
      </c>
      <c r="D722" s="58"/>
      <c r="E722" s="56"/>
      <c r="F722" s="54"/>
      <c r="G722" s="54"/>
      <c r="H722" s="59"/>
      <c r="I722" s="59"/>
      <c r="J722" s="59"/>
      <c r="K722" s="54"/>
    </row>
    <row r="723">
      <c r="A723" s="57"/>
      <c r="B723" s="57" t="str">
        <f>IFERROR(__xludf.DUMMYFUNCTION("""COMPUTED_VALUE""")," Metastatic disease [MONDO:0024880]   ")</f>
        <v> Metastatic disease [MONDO:0024880]   </v>
      </c>
      <c r="C723" s="57" t="str">
        <f>IFERROR(__xludf.DUMMYFUNCTION("""COMPUTED_VALUE"""),"MONDO:0024880")</f>
        <v>MONDO:0024880</v>
      </c>
      <c r="D723" s="58"/>
      <c r="E723" s="56"/>
      <c r="F723" s="54"/>
      <c r="G723" s="54"/>
      <c r="H723" s="59"/>
      <c r="I723" s="59"/>
      <c r="J723" s="59"/>
      <c r="K723" s="54"/>
    </row>
    <row r="724">
      <c r="A724" s="57"/>
      <c r="B724" s="57" t="str">
        <f>IFERROR(__xludf.DUMMYFUNCTION("""COMPUTED_VALUE"""),"Cancer treatment [NCIT:C16212]    ")</f>
        <v>Cancer treatment [NCIT:C16212]    </v>
      </c>
      <c r="C724" s="57" t="str">
        <f>IFERROR(__xludf.DUMMYFUNCTION("""COMPUTED_VALUE"""),"NCIT:C16212")</f>
        <v>NCIT:C16212</v>
      </c>
      <c r="D724" s="58" t="str">
        <f>IFERROR(__xludf.DUMMYFUNCTION("""COMPUTED_VALUE"""),"Any intervention for management of a malignant neoplasm.")</f>
        <v>Any intervention for management of a malignant neoplasm.</v>
      </c>
      <c r="E724" s="56"/>
      <c r="F724" s="54"/>
      <c r="G724" s="54"/>
      <c r="H724" s="59"/>
      <c r="I724" s="59"/>
      <c r="J724" s="59"/>
      <c r="K724" s="54"/>
    </row>
    <row r="725">
      <c r="A725" s="57"/>
      <c r="B725" s="57" t="str">
        <f>IFERROR(__xludf.DUMMYFUNCTION("""COMPUTED_VALUE""")," Cancer surgery [NCIT:C157740]   ")</f>
        <v> Cancer surgery [NCIT:C157740]   </v>
      </c>
      <c r="C725" s="57" t="str">
        <f>IFERROR(__xludf.DUMMYFUNCTION("""COMPUTED_VALUE"""),"NCIT:C157740")</f>
        <v>NCIT:C157740</v>
      </c>
      <c r="D725" s="58"/>
      <c r="E725" s="56"/>
      <c r="F725" s="54"/>
      <c r="G725" s="54"/>
      <c r="H725" s="59"/>
      <c r="I725" s="59"/>
      <c r="J725" s="59"/>
      <c r="K725" s="54"/>
    </row>
    <row r="726">
      <c r="A726" s="57"/>
      <c r="B726" s="57" t="str">
        <f>IFERROR(__xludf.DUMMYFUNCTION("""COMPUTED_VALUE""")," Chemotherapy [NCIT:C15632]   ")</f>
        <v> Chemotherapy [NCIT:C15632]   </v>
      </c>
      <c r="C726" s="57" t="str">
        <f>IFERROR(__xludf.DUMMYFUNCTION("""COMPUTED_VALUE"""),"NCIT:C15632")</f>
        <v>NCIT:C15632</v>
      </c>
      <c r="D726" s="58" t="str">
        <f>IFERROR(__xludf.DUMMYFUNCTION("""COMPUTED_VALUE"""),"The use of synthetic or naturally-occurring chemicals for the treatment of diseases.")</f>
        <v>The use of synthetic or naturally-occurring chemicals for the treatment of diseases.</v>
      </c>
      <c r="E726" s="56"/>
      <c r="F726" s="54"/>
      <c r="G726" s="54"/>
      <c r="H726" s="59"/>
      <c r="I726" s="59"/>
      <c r="J726" s="59"/>
      <c r="K726" s="54"/>
    </row>
    <row r="727">
      <c r="A727" s="57"/>
      <c r="B727" s="57" t="str">
        <f>IFERROR(__xludf.DUMMYFUNCTION("""COMPUTED_VALUE"""),"  Adjuvant chemotherapy [NCIT:C15360]  ")</f>
        <v>  Adjuvant chemotherapy [NCIT:C15360]  </v>
      </c>
      <c r="C727" s="57" t="str">
        <f>IFERROR(__xludf.DUMMYFUNCTION("""COMPUTED_VALUE"""),"py NCIT:C15360")</f>
        <v>py NCIT:C15360</v>
      </c>
      <c r="D727" s="58"/>
      <c r="E727" s="56"/>
      <c r="F727" s="54"/>
      <c r="G727" s="54"/>
      <c r="H727" s="59"/>
      <c r="I727" s="59"/>
      <c r="J727" s="59"/>
      <c r="K727" s="54"/>
    </row>
    <row r="728">
      <c r="A728" s="57"/>
      <c r="B728" s="57" t="str">
        <f>IFERROR(__xludf.DUMMYFUNCTION("""COMPUTED_VALUE"""),"Cardiac disorder [NCIT:C3079]    ")</f>
        <v>Cardiac disorder [NCIT:C3079]    </v>
      </c>
      <c r="C728" s="57" t="str">
        <f>IFERROR(__xludf.DUMMYFUNCTION("""COMPUTED_VALUE"""),"NCIT:C3079")</f>
        <v>NCIT:C3079</v>
      </c>
      <c r="D728" s="58"/>
      <c r="E728" s="56"/>
      <c r="F728" s="54"/>
      <c r="G728" s="54"/>
      <c r="H728" s="59"/>
      <c r="I728" s="59"/>
      <c r="J728" s="59"/>
      <c r="K728" s="54"/>
    </row>
    <row r="729">
      <c r="A729" s="57"/>
      <c r="B729" s="57" t="str">
        <f>IFERROR(__xludf.DUMMYFUNCTION("""COMPUTED_VALUE""")," Arrhythmia [HP:0011675]   ")</f>
        <v> Arrhythmia [HP:0011675]   </v>
      </c>
      <c r="C729" s="57" t="str">
        <f>IFERROR(__xludf.DUMMYFUNCTION("""COMPUTED_VALUE"""),"HP:0011675")</f>
        <v>HP:0011675</v>
      </c>
      <c r="D729" s="58"/>
      <c r="E729" s="56"/>
      <c r="F729" s="54"/>
      <c r="G729" s="54"/>
      <c r="H729" s="59"/>
      <c r="I729" s="59"/>
      <c r="J729" s="59"/>
      <c r="K729" s="54"/>
    </row>
    <row r="730">
      <c r="A730" s="57"/>
      <c r="B730" s="57" t="str">
        <f>IFERROR(__xludf.DUMMYFUNCTION("""COMPUTED_VALUE""")," Cardiac disease [MONDO:0005267]   ")</f>
        <v> Cardiac disease [MONDO:0005267]   </v>
      </c>
      <c r="C730" s="57" t="str">
        <f>IFERROR(__xludf.DUMMYFUNCTION("""COMPUTED_VALUE"""),"MONDO:0005267")</f>
        <v>MONDO:0005267</v>
      </c>
      <c r="D730" s="58"/>
      <c r="E730" s="56"/>
      <c r="F730" s="54"/>
      <c r="G730" s="54"/>
      <c r="H730" s="59"/>
      <c r="I730" s="59"/>
      <c r="J730" s="59"/>
      <c r="K730" s="54"/>
    </row>
    <row r="731">
      <c r="A731" s="57"/>
      <c r="B731" s="57" t="str">
        <f>IFERROR(__xludf.DUMMYFUNCTION("""COMPUTED_VALUE""")," Cardiomyopathy [HP:0001638]   ")</f>
        <v> Cardiomyopathy [HP:0001638]   </v>
      </c>
      <c r="C731" s="57" t="str">
        <f>IFERROR(__xludf.DUMMYFUNCTION("""COMPUTED_VALUE"""),"HP:0001638")</f>
        <v>HP:0001638</v>
      </c>
      <c r="D731" s="58"/>
      <c r="E731" s="56"/>
      <c r="F731" s="54"/>
      <c r="G731" s="54"/>
      <c r="H731" s="59"/>
      <c r="I731" s="59"/>
      <c r="J731" s="59"/>
      <c r="K731" s="54"/>
    </row>
    <row r="732">
      <c r="A732" s="57"/>
      <c r="B732" s="57" t="str">
        <f>IFERROR(__xludf.DUMMYFUNCTION("""COMPUTED_VALUE""")," Cardiac injury [GENEPIO:0100074]   ")</f>
        <v> Cardiac injury [GENEPIO:0100074]   </v>
      </c>
      <c r="C732" s="57" t="str">
        <f>IFERROR(__xludf.DUMMYFUNCTION("""COMPUTED_VALUE"""),"GENEPIO:0100074")</f>
        <v>GENEPIO:0100074</v>
      </c>
      <c r="D732" s="58"/>
      <c r="E732" s="56"/>
      <c r="F732" s="54"/>
      <c r="G732" s="54"/>
      <c r="H732" s="59"/>
      <c r="I732" s="59"/>
      <c r="J732" s="59"/>
      <c r="K732" s="54"/>
    </row>
    <row r="733">
      <c r="A733" s="57"/>
      <c r="B733" s="57" t="str">
        <f>IFERROR(__xludf.DUMMYFUNCTION("""COMPUTED_VALUE""")," Hypertension (high blood pressure) [HP:0000822]   ")</f>
        <v> Hypertension (high blood pressure) [HP:0000822]   </v>
      </c>
      <c r="C733" s="57" t="str">
        <f>IFERROR(__xludf.DUMMYFUNCTION("""COMPUTED_VALUE"""),"HP:0000822")</f>
        <v>HP:0000822</v>
      </c>
      <c r="D733" s="58"/>
      <c r="E733" s="56"/>
      <c r="F733" s="54"/>
      <c r="G733" s="54"/>
      <c r="H733" s="59"/>
      <c r="I733" s="59"/>
      <c r="J733" s="59"/>
      <c r="K733" s="54"/>
    </row>
    <row r="734">
      <c r="A734" s="57"/>
      <c r="B734" s="57" t="str">
        <f>IFERROR(__xludf.DUMMYFUNCTION("""COMPUTED_VALUE""")," Hypotension (low blood pressure) [HP:0002615]   ")</f>
        <v> Hypotension (low blood pressure) [HP:0002615]   </v>
      </c>
      <c r="C734" s="57" t="str">
        <f>IFERROR(__xludf.DUMMYFUNCTION("""COMPUTED_VALUE"""),"HP:0002615")</f>
        <v>HP:0002615</v>
      </c>
      <c r="D734" s="58"/>
      <c r="E734" s="56"/>
      <c r="F734" s="54"/>
      <c r="G734" s="54"/>
      <c r="H734" s="59"/>
      <c r="I734" s="59"/>
      <c r="J734" s="59"/>
      <c r="K734" s="54"/>
    </row>
    <row r="735">
      <c r="A735" s="57"/>
      <c r="B735" s="57" t="str">
        <f>IFERROR(__xludf.DUMMYFUNCTION("""COMPUTED_VALUE"""),"Cesarean section [HP:0011410]    ")</f>
        <v>Cesarean section [HP:0011410]    </v>
      </c>
      <c r="C735" s="57" t="str">
        <f>IFERROR(__xludf.DUMMYFUNCTION("""COMPUTED_VALUE"""),"HP:0011410")</f>
        <v>HP:0011410</v>
      </c>
      <c r="D735" s="58"/>
      <c r="E735" s="56"/>
      <c r="F735" s="54"/>
      <c r="G735" s="54"/>
      <c r="H735" s="59"/>
      <c r="I735" s="59"/>
      <c r="J735" s="59"/>
      <c r="K735" s="54"/>
    </row>
    <row r="736">
      <c r="A736" s="57"/>
      <c r="B736" s="57" t="str">
        <f>IFERROR(__xludf.DUMMYFUNCTION("""COMPUTED_VALUE"""),"Chronic cough [GENEPIO:0100075]    ")</f>
        <v>Chronic cough [GENEPIO:0100075]    </v>
      </c>
      <c r="C736" s="57" t="str">
        <f>IFERROR(__xludf.DUMMYFUNCTION("""COMPUTED_VALUE"""),"GENEPIO:0100075")</f>
        <v>GENEPIO:0100075</v>
      </c>
      <c r="D736" s="58"/>
      <c r="E736" s="56"/>
      <c r="F736" s="54"/>
      <c r="G736" s="54"/>
      <c r="H736" s="59"/>
      <c r="I736" s="59"/>
      <c r="J736" s="59"/>
      <c r="K736" s="54"/>
    </row>
    <row r="737">
      <c r="A737" s="57"/>
      <c r="B737" s="57" t="str">
        <f>IFERROR(__xludf.DUMMYFUNCTION("""COMPUTED_VALUE"""),"Chronic gastrointestinal disease [GENEPIO:0100076]    ")</f>
        <v>Chronic gastrointestinal disease [GENEPIO:0100076]    </v>
      </c>
      <c r="C737" s="57" t="str">
        <f>IFERROR(__xludf.DUMMYFUNCTION("""COMPUTED_VALUE"""),"GENEPIO:0100076")</f>
        <v>GENEPIO:0100076</v>
      </c>
      <c r="D737" s="58"/>
      <c r="E737" s="56"/>
      <c r="F737" s="54"/>
      <c r="G737" s="54"/>
      <c r="H737" s="59"/>
      <c r="I737" s="59"/>
      <c r="J737" s="59"/>
      <c r="K737" s="54"/>
    </row>
    <row r="738">
      <c r="A738" s="57"/>
      <c r="B738" s="57" t="str">
        <f>IFERROR(__xludf.DUMMYFUNCTION("""COMPUTED_VALUE"""),"Corticosteroids [NCIT:C211]    ")</f>
        <v>Corticosteroids [NCIT:C211]    </v>
      </c>
      <c r="C738" s="57" t="str">
        <f>IFERROR(__xludf.DUMMYFUNCTION("""COMPUTED_VALUE"""),"NCIT:C211")</f>
        <v>NCIT:C211</v>
      </c>
      <c r="D738" s="58"/>
      <c r="E738" s="56"/>
      <c r="F738" s="54"/>
      <c r="G738" s="54"/>
      <c r="H738" s="59"/>
      <c r="I738" s="59"/>
      <c r="J738" s="59"/>
      <c r="K738" s="54"/>
    </row>
    <row r="739">
      <c r="A739" s="57"/>
      <c r="B739" s="57" t="str">
        <f>IFERROR(__xludf.DUMMYFUNCTION("""COMPUTED_VALUE"""),"Diabetes mellitus (diabetes) [HP:0000819]    ")</f>
        <v>Diabetes mellitus (diabetes) [HP:0000819]    </v>
      </c>
      <c r="C739" s="57" t="str">
        <f>IFERROR(__xludf.DUMMYFUNCTION("""COMPUTED_VALUE"""),"HP:0000819")</f>
        <v>HP:0000819</v>
      </c>
      <c r="D739" s="58" t="str">
        <f>IFERROR(__xludf.DUMMYFUNCTION("""COMPUTED_VALUE"""),"A group of abnormalities characterized by hyperglycemia and glucose intolerance.")</f>
        <v>A group of abnormalities characterized by hyperglycemia and glucose intolerance.</v>
      </c>
      <c r="E739" s="56"/>
      <c r="F739" s="54"/>
      <c r="G739" s="54"/>
      <c r="H739" s="59"/>
      <c r="I739" s="59"/>
      <c r="J739" s="59"/>
      <c r="K739" s="54"/>
    </row>
    <row r="740">
      <c r="A740" s="57"/>
      <c r="B740" s="57" t="str">
        <f>IFERROR(__xludf.DUMMYFUNCTION("""COMPUTED_VALUE""")," Type I diabetes mellitus (T1D) [HP:0100651]   ")</f>
        <v> Type I diabetes mellitus (T1D) [HP:0100651]   </v>
      </c>
      <c r="C740" s="57" t="str">
        <f>IFERROR(__xludf.DUMMYFUNCTION("""COMPUTED_VALUE"""),"HP:0100651")</f>
        <v>HP:0100651</v>
      </c>
      <c r="D740" s="58" t="str">
        <f>IFERROR(__xludf.DUMMYFUNCTION("""COMPUTED_VALUE"""),"A chronic condition in which the pancreas produces little or no insulin. Type I diabetes mellitus is manifested by the sudden onset of severe hyperglycemia with rapid progression to diabetic ketoacidosis unless treated with insulin.")</f>
        <v>A chronic condition in which the pancreas produces little or no insulin. Type I diabetes mellitus is manifested by the sudden onset of severe hyperglycemia with rapid progression to diabetic ketoacidosis unless treated with insulin.</v>
      </c>
      <c r="E740" s="56"/>
      <c r="F740" s="54"/>
      <c r="G740" s="54"/>
      <c r="H740" s="59"/>
      <c r="I740" s="59"/>
      <c r="J740" s="59"/>
      <c r="K740" s="54"/>
    </row>
    <row r="741">
      <c r="A741" s="57"/>
      <c r="B741" s="57" t="str">
        <f>IFERROR(__xludf.DUMMYFUNCTION("""COMPUTED_VALUE""")," Type II diabetes mellitus (T2D) [HP:0005978]   ")</f>
        <v> Type II diabetes mellitus (T2D) [HP:0005978]   </v>
      </c>
      <c r="C741" s="57" t="str">
        <f>IFERROR(__xludf.DUMMYFUNCTION("""COMPUTED_VALUE"""),"HP:0005978")</f>
        <v>HP:0005978</v>
      </c>
      <c r="D741" s="58" t="str">
        <f>IFERROR(__xludf.DUMMYFUNCTION("""COMPUTED_VALUE"""),"A type of diabetes mellitus initially characterized by insulin resistance and hyperinsulinemia and subsequently by glucose interolerance and hyperglycemia.")</f>
        <v>A type of diabetes mellitus initially characterized by insulin resistance and hyperinsulinemia and subsequently by glucose interolerance and hyperglycemia.</v>
      </c>
      <c r="E741" s="56"/>
      <c r="F741" s="54"/>
      <c r="G741" s="54"/>
      <c r="H741" s="59"/>
      <c r="I741" s="59"/>
      <c r="J741" s="59"/>
      <c r="K741" s="54"/>
    </row>
    <row r="742">
      <c r="A742" s="57"/>
      <c r="B742" s="57" t="str">
        <f>IFERROR(__xludf.DUMMYFUNCTION("""COMPUTED_VALUE"""),"Eczema [HP:0000964]    ")</f>
        <v>Eczema [HP:0000964]    </v>
      </c>
      <c r="C742" s="57" t="str">
        <f>IFERROR(__xludf.DUMMYFUNCTION("""COMPUTED_VALUE"""),"HP:0000964")</f>
        <v>HP:0000964</v>
      </c>
      <c r="D742" s="58"/>
      <c r="E742" s="56"/>
      <c r="F742" s="54"/>
      <c r="G742" s="54"/>
      <c r="H742" s="59"/>
      <c r="I742" s="59"/>
      <c r="J742" s="59"/>
      <c r="K742" s="54"/>
    </row>
    <row r="743">
      <c r="A743" s="57"/>
      <c r="B743" s="57" t="str">
        <f>IFERROR(__xludf.DUMMYFUNCTION("""COMPUTED_VALUE"""),"Electrolyte disturbance [HP:0003111]    ")</f>
        <v>Electrolyte disturbance [HP:0003111]    </v>
      </c>
      <c r="C743" s="57" t="str">
        <f>IFERROR(__xludf.DUMMYFUNCTION("""COMPUTED_VALUE"""),"HP:0003111")</f>
        <v>HP:0003111</v>
      </c>
      <c r="D743" s="58"/>
      <c r="E743" s="56"/>
      <c r="F743" s="54"/>
      <c r="G743" s="54"/>
      <c r="H743" s="59"/>
      <c r="I743" s="59"/>
      <c r="J743" s="59"/>
      <c r="K743" s="54"/>
    </row>
    <row r="744">
      <c r="A744" s="57"/>
      <c r="B744" s="57" t="str">
        <f>IFERROR(__xludf.DUMMYFUNCTION("""COMPUTED_VALUE""")," Hypocalcemia [HP:0002901]   ")</f>
        <v> Hypocalcemia [HP:0002901]   </v>
      </c>
      <c r="C744" s="57" t="str">
        <f>IFERROR(__xludf.DUMMYFUNCTION("""COMPUTED_VALUE"""),"HP:0002901")</f>
        <v>HP:0002901</v>
      </c>
      <c r="D744" s="58"/>
      <c r="E744" s="56"/>
      <c r="F744" s="54"/>
      <c r="G744" s="54"/>
      <c r="H744" s="59"/>
      <c r="I744" s="59"/>
      <c r="J744" s="59"/>
      <c r="K744" s="54"/>
    </row>
    <row r="745">
      <c r="A745" s="57"/>
      <c r="B745" s="57" t="str">
        <f>IFERROR(__xludf.DUMMYFUNCTION("""COMPUTED_VALUE""")," Hypokalemia [HP:0002900]   ")</f>
        <v> Hypokalemia [HP:0002900]   </v>
      </c>
      <c r="C745" s="57" t="str">
        <f>IFERROR(__xludf.DUMMYFUNCTION("""COMPUTED_VALUE"""),"HP:0002900")</f>
        <v>HP:0002900</v>
      </c>
      <c r="D745" s="58"/>
      <c r="E745" s="56"/>
      <c r="F745" s="54"/>
      <c r="G745" s="54"/>
      <c r="H745" s="59"/>
      <c r="I745" s="59"/>
      <c r="J745" s="59"/>
      <c r="K745" s="54"/>
    </row>
    <row r="746">
      <c r="A746" s="57"/>
      <c r="B746" s="57" t="str">
        <f>IFERROR(__xludf.DUMMYFUNCTION("""COMPUTED_VALUE""")," Hypomagnesemia [HP:0002917]   ")</f>
        <v> Hypomagnesemia [HP:0002917]   </v>
      </c>
      <c r="C746" s="57" t="str">
        <f>IFERROR(__xludf.DUMMYFUNCTION("""COMPUTED_VALUE"""),"HP:0002917")</f>
        <v>HP:0002917</v>
      </c>
      <c r="D746" s="58"/>
      <c r="E746" s="56"/>
      <c r="F746" s="54"/>
      <c r="G746" s="54"/>
      <c r="H746" s="59"/>
      <c r="I746" s="59"/>
      <c r="J746" s="59"/>
      <c r="K746" s="54"/>
    </row>
    <row r="747">
      <c r="A747" s="57"/>
      <c r="B747" s="57" t="str">
        <f>IFERROR(__xludf.DUMMYFUNCTION("""COMPUTED_VALUE"""),"Encephalitis (brain inflammation) [HP:0002383]    ")</f>
        <v>Encephalitis (brain inflammation) [HP:0002383]    </v>
      </c>
      <c r="C747" s="57" t="str">
        <f>IFERROR(__xludf.DUMMYFUNCTION("""COMPUTED_VALUE"""),"HP:0002383")</f>
        <v>HP:0002383</v>
      </c>
      <c r="D747" s="58"/>
      <c r="E747" s="56"/>
      <c r="F747" s="54"/>
      <c r="G747" s="54"/>
      <c r="H747" s="59"/>
      <c r="I747" s="59"/>
      <c r="J747" s="59"/>
      <c r="K747" s="54"/>
    </row>
    <row r="748">
      <c r="A748" s="57"/>
      <c r="B748" s="57" t="str">
        <f>IFERROR(__xludf.DUMMYFUNCTION("""COMPUTED_VALUE"""),"Epilepsy [MONDO:0005027]    ")</f>
        <v>Epilepsy [MONDO:0005027]    </v>
      </c>
      <c r="C748" s="57" t="str">
        <f>IFERROR(__xludf.DUMMYFUNCTION("""COMPUTED_VALUE"""),"MONDO:0005027")</f>
        <v>MONDO:0005027</v>
      </c>
      <c r="D748" s="58"/>
      <c r="E748" s="56"/>
      <c r="F748" s="54"/>
      <c r="G748" s="54"/>
      <c r="H748" s="59"/>
      <c r="I748" s="59"/>
      <c r="J748" s="59"/>
      <c r="K748" s="54"/>
    </row>
    <row r="749">
      <c r="A749" s="57"/>
      <c r="B749" s="57" t="str">
        <f>IFERROR(__xludf.DUMMYFUNCTION("""COMPUTED_VALUE"""),"Hemodialysis [NCIT:C15248]    ")</f>
        <v>Hemodialysis [NCIT:C15248]    </v>
      </c>
      <c r="C749" s="57" t="str">
        <f>IFERROR(__xludf.DUMMYFUNCTION("""COMPUTED_VALUE"""),"NCIT:C15248")</f>
        <v>NCIT:C15248</v>
      </c>
      <c r="D749" s="58"/>
      <c r="E749" s="56"/>
      <c r="F749" s="54"/>
      <c r="G749" s="54"/>
      <c r="H749" s="59"/>
      <c r="I749" s="59"/>
      <c r="J749" s="59"/>
      <c r="K749" s="54"/>
    </row>
    <row r="750">
      <c r="A750" s="57"/>
      <c r="B750" s="57" t="str">
        <f>IFERROR(__xludf.DUMMYFUNCTION("""COMPUTED_VALUE"""),"Hemoglobinopathy [MONDO:0044348]    ")</f>
        <v>Hemoglobinopathy [MONDO:0044348]    </v>
      </c>
      <c r="C750" s="57" t="str">
        <f>IFERROR(__xludf.DUMMYFUNCTION("""COMPUTED_VALUE"""),"MONDO:0044348")</f>
        <v>MONDO:0044348</v>
      </c>
      <c r="D750" s="58"/>
      <c r="E750" s="56"/>
      <c r="F750" s="54"/>
      <c r="G750" s="54"/>
      <c r="H750" s="59"/>
      <c r="I750" s="59"/>
      <c r="J750" s="59"/>
      <c r="K750" s="54"/>
    </row>
    <row r="751">
      <c r="A751" s="57"/>
      <c r="B751" s="57" t="str">
        <f>IFERROR(__xludf.DUMMYFUNCTION("""COMPUTED_VALUE"""),"Human immunodeficiency virus (HIV) [MONDO:0005109]    ")</f>
        <v>Human immunodeficiency virus (HIV) [MONDO:0005109]    </v>
      </c>
      <c r="C751" s="57" t="str">
        <f>IFERROR(__xludf.DUMMYFUNCTION("""COMPUTED_VALUE"""),"MONDO:0005109")</f>
        <v>MONDO:0005109</v>
      </c>
      <c r="D751" s="58" t="str">
        <f>IFERROR(__xludf.DUMMYFUNCTION("""COMPUTED_VALUE"""),"An infection caused by the human immunodeficiency virus.")</f>
        <v>An infection caused by the human immunodeficiency virus.</v>
      </c>
      <c r="E751" s="56"/>
      <c r="F751" s="54"/>
      <c r="G751" s="54"/>
      <c r="H751" s="59"/>
      <c r="I751" s="59"/>
      <c r="J751" s="59"/>
      <c r="K751" s="54"/>
    </row>
    <row r="752">
      <c r="A752" s="57"/>
      <c r="B752" s="57" t="str">
        <f>IFERROR(__xludf.DUMMYFUNCTION("""COMPUTED_VALUE""")," Acquired immunodeficiency syndrome (AIDS) [MONDO:0012268]   ")</f>
        <v> Acquired immunodeficiency syndrome (AIDS) [MONDO:0012268]   </v>
      </c>
      <c r="C752" s="57" t="str">
        <f>IFERROR(__xludf.DUMMYFUNCTION("""COMPUTED_VALUE"""),"MONDO:0012268")</f>
        <v>MONDO:0012268</v>
      </c>
      <c r="D752" s="58" t="str">
        <f>IFERROR(__xludf.DUMMYFUNCTION("""COMPUTED_VALUE"""),"A syndrome resulting from the acquired deficiency of cellular immunity caused by the human immunodeficiency virus (HIV). It is characterized by the reduction of the Helper T-lymphocytes in the peripheral blood and the lymph nodes.")</f>
        <v>A syndrome resulting from the acquired deficiency of cellular immunity caused by the human immunodeficiency virus (HIV). It is characterized by the reduction of the Helper T-lymphocytes in the peripheral blood and the lymph nodes.</v>
      </c>
      <c r="E752" s="56"/>
      <c r="F752" s="54"/>
      <c r="G752" s="54"/>
      <c r="H752" s="59"/>
      <c r="I752" s="59"/>
      <c r="J752" s="59"/>
      <c r="K752" s="54"/>
    </row>
    <row r="753">
      <c r="A753" s="57"/>
      <c r="B753" s="57" t="str">
        <f>IFERROR(__xludf.DUMMYFUNCTION("""COMPUTED_VALUE""")," HIV and antiretroviral therapy (ART) [NCIT:C16118]   ")</f>
        <v> HIV and antiretroviral therapy (ART) [NCIT:C16118]   </v>
      </c>
      <c r="C753" s="57" t="str">
        <f>IFERROR(__xludf.DUMMYFUNCTION("""COMPUTED_VALUE"""),"NCIT:C16118")</f>
        <v>NCIT:C16118</v>
      </c>
      <c r="D753" s="58" t="str">
        <f>IFERROR(__xludf.DUMMYFUNCTION("""COMPUTED_VALUE"""),"Treatment of human immunodeficiency virus (HIV) infections with medications that target the virus directly, limiting the ability of infected cells to produce new HIV particles.")</f>
        <v>Treatment of human immunodeficiency virus (HIV) infections with medications that target the virus directly, limiting the ability of infected cells to produce new HIV particles.</v>
      </c>
      <c r="E753" s="56"/>
      <c r="F753" s="54"/>
      <c r="G753" s="54"/>
      <c r="H753" s="59"/>
      <c r="I753" s="59"/>
      <c r="J753" s="59"/>
      <c r="K753" s="54"/>
    </row>
    <row r="754">
      <c r="A754" s="57"/>
      <c r="B754" s="57" t="str">
        <f>IFERROR(__xludf.DUMMYFUNCTION("""COMPUTED_VALUE"""),"Immunocompromised [NCIT:C14139]    ")</f>
        <v>Immunocompromised [NCIT:C14139]    </v>
      </c>
      <c r="C754" s="57" t="str">
        <f>IFERROR(__xludf.DUMMYFUNCTION("""COMPUTED_VALUE"""),"NCIT:C14139")</f>
        <v>NCIT:C14139</v>
      </c>
      <c r="D754" s="58" t="str">
        <f>IFERROR(__xludf.DUMMYFUNCTION("""COMPUTED_VALUE"""),"A loss of any arm of immune functions, resulting in potential or actual increase in infections. This state may be reached secondary to specific genetic lesions, syndromes with unidentified or polygenic causes, acquired deficits from other disease states, "&amp;"or as result of therapy for other diseases or conditions.")</f>
        <v>A loss of any arm of immune functions, resulting in potential or actual increase in infections. This state may be reached secondary to specific genetic lesions, syndromes with unidentified or polygenic causes, acquired deficits from other disease states, or as result of therapy for other diseases or conditions.</v>
      </c>
      <c r="E754" s="56"/>
      <c r="F754" s="54"/>
      <c r="G754" s="54"/>
      <c r="H754" s="59"/>
      <c r="I754" s="59"/>
      <c r="J754" s="59"/>
      <c r="K754" s="54"/>
    </row>
    <row r="755">
      <c r="A755" s="57"/>
      <c r="B755" s="57" t="str">
        <f>IFERROR(__xludf.DUMMYFUNCTION("""COMPUTED_VALUE""")," Lupus [MONDO:0004670]   ")</f>
        <v> Lupus [MONDO:0004670]   </v>
      </c>
      <c r="C755" s="57" t="str">
        <f>IFERROR(__xludf.DUMMYFUNCTION("""COMPUTED_VALUE"""),"MONDO:0004670")</f>
        <v>MONDO:0004670</v>
      </c>
      <c r="D755" s="58" t="str">
        <f>IFERROR(__xludf.DUMMYFUNCTION("""COMPUTED_VALUE"""),"An autoimmune, connective tissue chronic inflammatory disorder affecting the skin, joints, kidneys, lungs, heart, and the peripheral blood cells. It is more commonly seen in women than men. Variants include discoid and systemic lupus erythematosus.")</f>
        <v>An autoimmune, connective tissue chronic inflammatory disorder affecting the skin, joints, kidneys, lungs, heart, and the peripheral blood cells. It is more commonly seen in women than men. Variants include discoid and systemic lupus erythematosus.</v>
      </c>
      <c r="E755" s="56"/>
      <c r="F755" s="54"/>
      <c r="G755" s="54"/>
      <c r="H755" s="59"/>
      <c r="I755" s="59"/>
      <c r="J755" s="59"/>
      <c r="K755" s="54"/>
    </row>
    <row r="756">
      <c r="A756" s="57"/>
      <c r="B756" s="57" t="str">
        <f>IFERROR(__xludf.DUMMYFUNCTION("""COMPUTED_VALUE"""),"Inflammatory bowel disease (IBD) [MONDO:0005265]    ")</f>
        <v>Inflammatory bowel disease (IBD) [MONDO:0005265]    </v>
      </c>
      <c r="C756" s="57" t="str">
        <f>IFERROR(__xludf.DUMMYFUNCTION("""COMPUTED_VALUE"""),"MONDO:0005265")</f>
        <v>MONDO:0005265</v>
      </c>
      <c r="D756" s="58"/>
      <c r="E756" s="56"/>
      <c r="F756" s="54"/>
      <c r="G756" s="54"/>
      <c r="H756" s="59"/>
      <c r="I756" s="59"/>
      <c r="J756" s="59"/>
      <c r="K756" s="54"/>
    </row>
    <row r="757">
      <c r="A757" s="57"/>
      <c r="B757" s="57" t="str">
        <f>IFERROR(__xludf.DUMMYFUNCTION("""COMPUTED_VALUE""")," Colitis [HP:0002583]   ")</f>
        <v> Colitis [HP:0002583]   </v>
      </c>
      <c r="C757" s="57" t="str">
        <f>IFERROR(__xludf.DUMMYFUNCTION("""COMPUTED_VALUE"""),"HP:0002583")</f>
        <v>HP:0002583</v>
      </c>
      <c r="D757" s="58"/>
      <c r="E757" s="56"/>
      <c r="F757" s="54"/>
      <c r="G757" s="54"/>
      <c r="H757" s="59"/>
      <c r="I757" s="59"/>
      <c r="J757" s="59"/>
      <c r="K757" s="54"/>
    </row>
    <row r="758">
      <c r="A758" s="57"/>
      <c r="B758" s="57" t="str">
        <f>IFERROR(__xludf.DUMMYFUNCTION("""COMPUTED_VALUE"""),"  Ulcerative colitis [HP:0100279]  ")</f>
        <v>  Ulcerative colitis [HP:0100279]  </v>
      </c>
      <c r="C758" s="57" t="str">
        <f>IFERROR(__xludf.DUMMYFUNCTION("""COMPUTED_VALUE"""),"HP:0100279")</f>
        <v>HP:0100279</v>
      </c>
      <c r="D758" s="58"/>
      <c r="E758" s="56"/>
      <c r="F758" s="54"/>
      <c r="G758" s="54"/>
      <c r="H758" s="59"/>
      <c r="I758" s="59"/>
      <c r="J758" s="59"/>
      <c r="K758" s="54"/>
    </row>
    <row r="759">
      <c r="A759" s="57"/>
      <c r="B759" s="57" t="str">
        <f>IFERROR(__xludf.DUMMYFUNCTION("""COMPUTED_VALUE""")," Crohn's disease [HP:0100280]   ")</f>
        <v> Crohn's disease [HP:0100280]   </v>
      </c>
      <c r="C759" s="57" t="str">
        <f>IFERROR(__xludf.DUMMYFUNCTION("""COMPUTED_VALUE"""),"HP:0100280")</f>
        <v>HP:0100280</v>
      </c>
      <c r="D759" s="58"/>
      <c r="E759" s="56"/>
      <c r="F759" s="54"/>
      <c r="G759" s="54"/>
      <c r="H759" s="59"/>
      <c r="I759" s="59"/>
      <c r="J759" s="59"/>
      <c r="K759" s="54"/>
    </row>
    <row r="760">
      <c r="A760" s="57"/>
      <c r="B760" s="57" t="str">
        <f>IFERROR(__xludf.DUMMYFUNCTION("""COMPUTED_VALUE"""),"Renal disorder [NCIT:C3149]    ")</f>
        <v>Renal disorder [NCIT:C3149]    </v>
      </c>
      <c r="C760" s="57" t="str">
        <f>IFERROR(__xludf.DUMMYFUNCTION("""COMPUTED_VALUE"""),"NCIT:C3149")</f>
        <v>NCIT:C3149</v>
      </c>
      <c r="D760" s="58"/>
      <c r="E760" s="56"/>
      <c r="F760" s="54"/>
      <c r="G760" s="54"/>
      <c r="H760" s="59"/>
      <c r="I760" s="59"/>
      <c r="J760" s="59"/>
      <c r="K760" s="54"/>
    </row>
    <row r="761">
      <c r="A761" s="57"/>
      <c r="B761" s="57" t="str">
        <f>IFERROR(__xludf.DUMMYFUNCTION("""COMPUTED_VALUE""")," Renal disease [MONDO:0005240]   ")</f>
        <v> Renal disease [MONDO:0005240]   </v>
      </c>
      <c r="C761" s="57" t="str">
        <f>IFERROR(__xludf.DUMMYFUNCTION("""COMPUTED_VALUE"""),"MONDO:0005240")</f>
        <v>MONDO:0005240</v>
      </c>
      <c r="D761" s="58"/>
      <c r="E761" s="56"/>
      <c r="F761" s="54"/>
      <c r="G761" s="54"/>
      <c r="H761" s="59"/>
      <c r="I761" s="59"/>
      <c r="J761" s="59"/>
      <c r="K761" s="54"/>
    </row>
    <row r="762">
      <c r="A762" s="57"/>
      <c r="B762" s="57" t="str">
        <f>IFERROR(__xludf.DUMMYFUNCTION("""COMPUTED_VALUE"""),"  Chronic renal disease [HP:0012622]  ")</f>
        <v>  Chronic renal disease [HP:0012622]  </v>
      </c>
      <c r="C762" s="57" t="str">
        <f>IFERROR(__xludf.DUMMYFUNCTION("""COMPUTED_VALUE"""),"HP:0012622")</f>
        <v>HP:0012622</v>
      </c>
      <c r="D762" s="58"/>
      <c r="E762" s="56"/>
      <c r="F762" s="54"/>
      <c r="G762" s="54"/>
      <c r="H762" s="59"/>
      <c r="I762" s="59"/>
      <c r="J762" s="59"/>
      <c r="K762" s="54"/>
    </row>
    <row r="763">
      <c r="A763" s="57"/>
      <c r="B763" s="57" t="str">
        <f>IFERROR(__xludf.DUMMYFUNCTION("""COMPUTED_VALUE""")," Renal failure [HP:0000083]   ")</f>
        <v> Renal failure [HP:0000083]   </v>
      </c>
      <c r="C763" s="57" t="str">
        <f>IFERROR(__xludf.DUMMYFUNCTION("""COMPUTED_VALUE"""),"HP:0000083")</f>
        <v>HP:0000083</v>
      </c>
      <c r="D763" s="58"/>
      <c r="E763" s="56"/>
      <c r="F763" s="54"/>
      <c r="G763" s="54"/>
      <c r="H763" s="59"/>
      <c r="I763" s="59"/>
      <c r="J763" s="59"/>
      <c r="K763" s="54"/>
    </row>
    <row r="764">
      <c r="A764" s="57"/>
      <c r="B764" s="57" t="str">
        <f>IFERROR(__xludf.DUMMYFUNCTION("""COMPUTED_VALUE"""),"Liver disease [MONDO:0005154]    ")</f>
        <v>Liver disease [MONDO:0005154]    </v>
      </c>
      <c r="C764" s="57" t="str">
        <f>IFERROR(__xludf.DUMMYFUNCTION("""COMPUTED_VALUE"""),"MONDO:0005154")</f>
        <v>MONDO:0005154</v>
      </c>
      <c r="D764" s="58"/>
      <c r="E764" s="56"/>
      <c r="F764" s="54"/>
      <c r="G764" s="54"/>
      <c r="H764" s="59"/>
      <c r="I764" s="59"/>
      <c r="J764" s="59"/>
      <c r="K764" s="54"/>
    </row>
    <row r="765">
      <c r="A765" s="57"/>
      <c r="B765" s="57" t="str">
        <f>IFERROR(__xludf.DUMMYFUNCTION("""COMPUTED_VALUE""")," Chronic liver disease [NCIT:C113609]   ")</f>
        <v> Chronic liver disease [NCIT:C113609]   </v>
      </c>
      <c r="C765" s="57" t="str">
        <f>IFERROR(__xludf.DUMMYFUNCTION("""COMPUTED_VALUE"""),"NCIT:C113609")</f>
        <v>NCIT:C113609</v>
      </c>
      <c r="D765" s="58"/>
      <c r="E765" s="56"/>
      <c r="F765" s="54"/>
      <c r="G765" s="54"/>
      <c r="H765" s="59"/>
      <c r="I765" s="59"/>
      <c r="J765" s="59"/>
      <c r="K765" s="54"/>
    </row>
    <row r="766">
      <c r="A766" s="57"/>
      <c r="B766" s="57" t="str">
        <f>IFERROR(__xludf.DUMMYFUNCTION("""COMPUTED_VALUE"""),"  Fatty liver disease (FLD) [HP:0001397]  ")</f>
        <v>  Fatty liver disease (FLD) [HP:0001397]  </v>
      </c>
      <c r="C766" s="57" t="str">
        <f>IFERROR(__xludf.DUMMYFUNCTION("""COMPUTED_VALUE"""),"HP:0001397")</f>
        <v>HP:0001397</v>
      </c>
      <c r="D766" s="58"/>
      <c r="E766" s="56"/>
      <c r="F766" s="54"/>
      <c r="G766" s="54"/>
      <c r="H766" s="59"/>
      <c r="I766" s="59"/>
      <c r="J766" s="59"/>
      <c r="K766" s="54"/>
    </row>
    <row r="767">
      <c r="A767" s="57"/>
      <c r="B767" s="57" t="str">
        <f>IFERROR(__xludf.DUMMYFUNCTION("""COMPUTED_VALUE"""),"Myalgia (muscle pain)  [HP:0003326]    ")</f>
        <v>Myalgia (muscle pain)  [HP:0003326]    </v>
      </c>
      <c r="C767" s="57" t="str">
        <f>IFERROR(__xludf.DUMMYFUNCTION("""COMPUTED_VALUE"""),"HP:0003326")</f>
        <v>HP:0003326</v>
      </c>
      <c r="D767" s="58" t="str">
        <f>IFERROR(__xludf.DUMMYFUNCTION("""COMPUTED_VALUE"""),"Pain in muscle.")</f>
        <v>Pain in muscle.</v>
      </c>
      <c r="E767" s="56"/>
      <c r="F767" s="54"/>
      <c r="G767" s="54"/>
      <c r="H767" s="59"/>
      <c r="I767" s="59"/>
      <c r="J767" s="59"/>
      <c r="K767" s="54"/>
    </row>
    <row r="768">
      <c r="A768" s="57"/>
      <c r="B768" s="57" t="str">
        <f>IFERROR(__xludf.DUMMYFUNCTION("""COMPUTED_VALUE"""),"Myalgic encephalomyelitis (ME) [MONDO:0005404]    ")</f>
        <v>Myalgic encephalomyelitis (ME) [MONDO:0005404]    </v>
      </c>
      <c r="C768" s="57" t="str">
        <f>IFERROR(__xludf.DUMMYFUNCTION("""COMPUTED_VALUE"""),"MONDO:0005404")</f>
        <v>MONDO:0005404</v>
      </c>
      <c r="D768" s="58"/>
      <c r="E768" s="56"/>
      <c r="F768" s="54"/>
      <c r="G768" s="54"/>
      <c r="H768" s="59"/>
      <c r="I768" s="59"/>
      <c r="J768" s="59"/>
      <c r="K768" s="54"/>
    </row>
    <row r="769">
      <c r="A769" s="57"/>
      <c r="B769" s="57" t="str">
        <f>IFERROR(__xludf.DUMMYFUNCTION("""COMPUTED_VALUE"""),"Neurological disorder [MONDO:0005071]    ")</f>
        <v>Neurological disorder [MONDO:0005071]    </v>
      </c>
      <c r="C769" s="57" t="str">
        <f>IFERROR(__xludf.DUMMYFUNCTION("""COMPUTED_VALUE"""),"MONDO:0005071")</f>
        <v>MONDO:0005071</v>
      </c>
      <c r="D769" s="58"/>
      <c r="E769" s="56"/>
      <c r="F769" s="54"/>
      <c r="G769" s="54"/>
      <c r="H769" s="59"/>
      <c r="I769" s="59"/>
      <c r="J769" s="59"/>
      <c r="K769" s="54"/>
    </row>
    <row r="770">
      <c r="A770" s="57"/>
      <c r="B770" s="57" t="str">
        <f>IFERROR(__xludf.DUMMYFUNCTION("""COMPUTED_VALUE""")," Neuromuscular disorder [MONDO:0019056]   ")</f>
        <v> Neuromuscular disorder [MONDO:0019056]   </v>
      </c>
      <c r="C770" s="57" t="str">
        <f>IFERROR(__xludf.DUMMYFUNCTION("""COMPUTED_VALUE"""),"MONDO:0019056")</f>
        <v>MONDO:0019056</v>
      </c>
      <c r="D770" s="58"/>
      <c r="E770" s="56"/>
      <c r="F770" s="54"/>
      <c r="G770" s="54"/>
      <c r="H770" s="59"/>
      <c r="I770" s="59"/>
      <c r="J770" s="59"/>
      <c r="K770" s="54"/>
    </row>
    <row r="771">
      <c r="A771" s="57"/>
      <c r="B771" s="57" t="str">
        <f>IFERROR(__xludf.DUMMYFUNCTION("""COMPUTED_VALUE"""),"Obesity [HP:0001513]    ")</f>
        <v>Obesity [HP:0001513]    </v>
      </c>
      <c r="C771" s="57" t="str">
        <f>IFERROR(__xludf.DUMMYFUNCTION("""COMPUTED_VALUE"""),"HP:0001513")</f>
        <v>HP:0001513</v>
      </c>
      <c r="D771" s="58"/>
      <c r="E771" s="56"/>
      <c r="F771" s="54"/>
      <c r="G771" s="54"/>
      <c r="H771" s="59"/>
      <c r="I771" s="59"/>
      <c r="J771" s="59"/>
      <c r="K771" s="54"/>
    </row>
    <row r="772">
      <c r="A772" s="57"/>
      <c r="B772" s="57" t="str">
        <f>IFERROR(__xludf.DUMMYFUNCTION("""COMPUTED_VALUE""")," Severe obesity [MONDO:0005139]   ")</f>
        <v> Severe obesity [MONDO:0005139]   </v>
      </c>
      <c r="C772" s="57" t="str">
        <f>IFERROR(__xludf.DUMMYFUNCTION("""COMPUTED_VALUE"""),"MONDO:0005139")</f>
        <v>MONDO:0005139</v>
      </c>
      <c r="D772" s="58"/>
      <c r="E772" s="56"/>
      <c r="F772" s="54"/>
      <c r="G772" s="54"/>
      <c r="H772" s="59"/>
      <c r="I772" s="59"/>
      <c r="J772" s="59"/>
      <c r="K772" s="54"/>
    </row>
    <row r="773">
      <c r="A773" s="57"/>
      <c r="B773" s="57" t="str">
        <f>IFERROR(__xludf.DUMMYFUNCTION("""COMPUTED_VALUE"""),"Respiratory disorder [MONDO:0005087]    ")</f>
        <v>Respiratory disorder [MONDO:0005087]    </v>
      </c>
      <c r="C773" s="57" t="str">
        <f>IFERROR(__xludf.DUMMYFUNCTION("""COMPUTED_VALUE"""),"MONDO:0005087")</f>
        <v>MONDO:0005087</v>
      </c>
      <c r="D773" s="58"/>
      <c r="E773" s="56"/>
      <c r="F773" s="54"/>
      <c r="G773" s="54"/>
      <c r="H773" s="59"/>
      <c r="I773" s="59"/>
      <c r="J773" s="59"/>
      <c r="K773" s="54"/>
    </row>
    <row r="774">
      <c r="A774" s="57"/>
      <c r="B774" s="57" t="str">
        <f>IFERROR(__xludf.DUMMYFUNCTION("""COMPUTED_VALUE""")," Asthma [HP:0002099]   ")</f>
        <v> Asthma [HP:0002099]   </v>
      </c>
      <c r="C774" s="57" t="str">
        <f>IFERROR(__xludf.DUMMYFUNCTION("""COMPUTED_VALUE"""),"HP:0002099")</f>
        <v>HP:0002099</v>
      </c>
      <c r="D774" s="58"/>
      <c r="E774" s="56"/>
      <c r="F774" s="54"/>
      <c r="G774" s="54"/>
      <c r="H774" s="59"/>
      <c r="I774" s="59"/>
      <c r="J774" s="59"/>
      <c r="K774" s="54"/>
    </row>
    <row r="775">
      <c r="A775" s="57"/>
      <c r="B775" s="57" t="str">
        <f>IFERROR(__xludf.DUMMYFUNCTION("""COMPUTED_VALUE""")," Chronic bronchitis [HP:0004469]   ")</f>
        <v> Chronic bronchitis [HP:0004469]   </v>
      </c>
      <c r="C775" s="57" t="str">
        <f>IFERROR(__xludf.DUMMYFUNCTION("""COMPUTED_VALUE"""),"HP:0004469")</f>
        <v>HP:0004469</v>
      </c>
      <c r="D775" s="58"/>
      <c r="E775" s="56"/>
      <c r="F775" s="54"/>
      <c r="G775" s="54"/>
      <c r="H775" s="59"/>
      <c r="I775" s="59"/>
      <c r="J775" s="59"/>
      <c r="K775" s="54"/>
    </row>
    <row r="776">
      <c r="A776" s="57"/>
      <c r="B776" s="57" t="str">
        <f>IFERROR(__xludf.DUMMYFUNCTION("""COMPUTED_VALUE""")," Chronic obstructive pulmonary disease [HP:0006510]   ")</f>
        <v> Chronic obstructive pulmonary disease [HP:0006510]   </v>
      </c>
      <c r="C776" s="57" t="str">
        <f>IFERROR(__xludf.DUMMYFUNCTION("""COMPUTED_VALUE"""),"HP:0006510")</f>
        <v>HP:0006510</v>
      </c>
      <c r="D776" s="58"/>
      <c r="E776" s="56"/>
      <c r="F776" s="54"/>
      <c r="G776" s="54"/>
      <c r="H776" s="59"/>
      <c r="I776" s="59"/>
      <c r="J776" s="59"/>
      <c r="K776" s="54"/>
    </row>
    <row r="777">
      <c r="A777" s="57"/>
      <c r="B777" s="57" t="str">
        <f>IFERROR(__xludf.DUMMYFUNCTION("""COMPUTED_VALUE""")," Emphysema [HP:0002097]   ")</f>
        <v> Emphysema [HP:0002097]   </v>
      </c>
      <c r="C777" s="57" t="str">
        <f>IFERROR(__xludf.DUMMYFUNCTION("""COMPUTED_VALUE"""),"HP:0002097")</f>
        <v>HP:0002097</v>
      </c>
      <c r="D777" s="58"/>
      <c r="E777" s="56"/>
      <c r="F777" s="54"/>
      <c r="G777" s="54"/>
      <c r="H777" s="59"/>
      <c r="I777" s="59"/>
      <c r="J777" s="59"/>
      <c r="K777" s="54"/>
    </row>
    <row r="778">
      <c r="A778" s="57"/>
      <c r="B778" s="57" t="str">
        <f>IFERROR(__xludf.DUMMYFUNCTION("""COMPUTED_VALUE""")," Lung disease [MONDO:0005275]   ")</f>
        <v> Lung disease [MONDO:0005275]   </v>
      </c>
      <c r="C778" s="57" t="str">
        <f>IFERROR(__xludf.DUMMYFUNCTION("""COMPUTED_VALUE"""),"MONDO:0005275")</f>
        <v>MONDO:0005275</v>
      </c>
      <c r="D778" s="58"/>
      <c r="E778" s="56"/>
      <c r="F778" s="54"/>
      <c r="G778" s="54"/>
      <c r="H778" s="59"/>
      <c r="I778" s="59"/>
      <c r="J778" s="59"/>
      <c r="K778" s="54"/>
    </row>
    <row r="779">
      <c r="A779" s="57"/>
      <c r="B779" s="57" t="str">
        <f>IFERROR(__xludf.DUMMYFUNCTION("""COMPUTED_VALUE"""),"  Chronic lung disease [HP:0006528]  ")</f>
        <v>  Chronic lung disease [HP:0006528]  </v>
      </c>
      <c r="C779" s="57" t="str">
        <f>IFERROR(__xludf.DUMMYFUNCTION("""COMPUTED_VALUE"""),"HP:0006528")</f>
        <v>HP:0006528</v>
      </c>
      <c r="D779" s="58"/>
      <c r="E779" s="56"/>
      <c r="F779" s="54"/>
      <c r="G779" s="54"/>
      <c r="H779" s="59"/>
      <c r="I779" s="59"/>
      <c r="J779" s="59"/>
      <c r="K779" s="54"/>
    </row>
    <row r="780">
      <c r="A780" s="57"/>
      <c r="B780" s="57" t="str">
        <f>IFERROR(__xludf.DUMMYFUNCTION("""COMPUTED_VALUE"""),"  Pulmonary fibrosis [HP:0002206]  ")</f>
        <v>  Pulmonary fibrosis [HP:0002206]  </v>
      </c>
      <c r="C780" s="57" t="str">
        <f>IFERROR(__xludf.DUMMYFUNCTION("""COMPUTED_VALUE"""),"HP:0002206")</f>
        <v>HP:0002206</v>
      </c>
      <c r="D780" s="58"/>
      <c r="E780" s="56"/>
      <c r="F780" s="54"/>
      <c r="G780" s="54"/>
      <c r="H780" s="59"/>
      <c r="I780" s="59"/>
      <c r="J780" s="59"/>
      <c r="K780" s="54"/>
    </row>
    <row r="781">
      <c r="A781" s="57"/>
      <c r="B781" s="57" t="str">
        <f>IFERROR(__xludf.DUMMYFUNCTION("""COMPUTED_VALUE""")," Pneumonia [HP:0002090]   ")</f>
        <v> Pneumonia [HP:0002090]   </v>
      </c>
      <c r="C781" s="57" t="str">
        <f>IFERROR(__xludf.DUMMYFUNCTION("""COMPUTED_VALUE"""),"HP:0002090")</f>
        <v>HP:0002090</v>
      </c>
      <c r="D781" s="58"/>
      <c r="E781" s="56"/>
      <c r="F781" s="54"/>
      <c r="G781" s="54"/>
      <c r="H781" s="59"/>
      <c r="I781" s="59"/>
      <c r="J781" s="59"/>
      <c r="K781" s="54"/>
    </row>
    <row r="782">
      <c r="A782" s="57"/>
      <c r="B782" s="57" t="str">
        <f>IFERROR(__xludf.DUMMYFUNCTION("""COMPUTED_VALUE""")," Respiratory failure [HP:0002878]   ")</f>
        <v> Respiratory failure [HP:0002878]   </v>
      </c>
      <c r="C782" s="57" t="str">
        <f>IFERROR(__xludf.DUMMYFUNCTION("""COMPUTED_VALUE"""),"HP:0002878")</f>
        <v>HP:0002878</v>
      </c>
      <c r="D782" s="58"/>
      <c r="E782" s="56"/>
      <c r="F782" s="54"/>
      <c r="G782" s="54"/>
      <c r="H782" s="59"/>
      <c r="I782" s="59"/>
      <c r="J782" s="59"/>
      <c r="K782" s="54"/>
    </row>
    <row r="783">
      <c r="A783" s="57"/>
      <c r="B783" s="57" t="str">
        <f>IFERROR(__xludf.DUMMYFUNCTION("""COMPUTED_VALUE"""),"  Adult respiratory distress syndrome [HP:0033677]  ")</f>
        <v>  Adult respiratory distress syndrome [HP:0033677]  </v>
      </c>
      <c r="C783" s="57" t="str">
        <f>IFERROR(__xludf.DUMMYFUNCTION("""COMPUTED_VALUE"""),"HP:0033677")</f>
        <v>HP:0033677</v>
      </c>
      <c r="D783" s="58"/>
      <c r="E783" s="56"/>
      <c r="F783" s="54"/>
      <c r="G783" s="54"/>
      <c r="H783" s="59"/>
      <c r="I783" s="59"/>
      <c r="J783" s="59"/>
      <c r="K783" s="54"/>
    </row>
    <row r="784">
      <c r="A784" s="57"/>
      <c r="B784" s="57" t="str">
        <f>IFERROR(__xludf.DUMMYFUNCTION("""COMPUTED_VALUE"""),"  Newborn respiratory distress syndrome [MONDO:0009971]  ")</f>
        <v>  Newborn respiratory distress syndrome [MONDO:0009971]  </v>
      </c>
      <c r="C784" s="57" t="str">
        <f>IFERROR(__xludf.DUMMYFUNCTION("""COMPUTED_VALUE"""),"MONDO:0009971")</f>
        <v>MONDO:0009971</v>
      </c>
      <c r="D784" s="58"/>
      <c r="E784" s="56"/>
      <c r="F784" s="54"/>
      <c r="G784" s="54"/>
      <c r="H784" s="59"/>
      <c r="I784" s="59"/>
      <c r="J784" s="59"/>
      <c r="K784" s="54"/>
    </row>
    <row r="785">
      <c r="A785" s="57"/>
      <c r="B785" s="57" t="str">
        <f>IFERROR(__xludf.DUMMYFUNCTION("""COMPUTED_VALUE""")," Tuberculosis [MONDO:0018076]   ")</f>
        <v> Tuberculosis [MONDO:0018076]   </v>
      </c>
      <c r="C785" s="57" t="str">
        <f>IFERROR(__xludf.DUMMYFUNCTION("""COMPUTED_VALUE"""),"MONDO:0018076")</f>
        <v>MONDO:0018076</v>
      </c>
      <c r="D785" s="58"/>
      <c r="E785" s="56"/>
      <c r="F785" s="54"/>
      <c r="G785" s="54"/>
      <c r="H785" s="59"/>
      <c r="I785" s="59"/>
      <c r="J785" s="59"/>
      <c r="K785" s="54"/>
    </row>
    <row r="786">
      <c r="A786" s="57"/>
      <c r="B786" s="57" t="str">
        <f>IFERROR(__xludf.DUMMYFUNCTION("""COMPUTED_VALUE"""),"Postpartum (≤6 weeks) [GENEPIO:0100077]    ")</f>
        <v>Postpartum (≤6 weeks) [GENEPIO:0100077]    </v>
      </c>
      <c r="C786" s="57" t="str">
        <f>IFERROR(__xludf.DUMMYFUNCTION("""COMPUTED_VALUE"""),"GENEPIO:0100077")</f>
        <v>GENEPIO:0100077</v>
      </c>
      <c r="D786" s="58"/>
      <c r="E786" s="56"/>
      <c r="F786" s="54"/>
      <c r="G786" s="54"/>
      <c r="H786" s="59"/>
      <c r="I786" s="59"/>
      <c r="J786" s="59"/>
      <c r="K786" s="54"/>
    </row>
    <row r="787">
      <c r="A787" s="57"/>
      <c r="B787" s="57" t="str">
        <f>IFERROR(__xludf.DUMMYFUNCTION("""COMPUTED_VALUE"""),"Pregnancy [NCIT:C25742]    ")</f>
        <v>Pregnancy [NCIT:C25742]    </v>
      </c>
      <c r="C787" s="57" t="str">
        <f>IFERROR(__xludf.DUMMYFUNCTION("""COMPUTED_VALUE"""),"NCIT:C25742")</f>
        <v>NCIT:C25742</v>
      </c>
      <c r="D787" s="58" t="str">
        <f>IFERROR(__xludf.DUMMYFUNCTION("""COMPUTED_VALUE"""),"The state or condition of having a developing embryo or fetus in the body (uterus), after union of an ovum and spermatozoon, during the period from conception to birth.")</f>
        <v>The state or condition of having a developing embryo or fetus in the body (uterus), after union of an ovum and spermatozoon, during the period from conception to birth.</v>
      </c>
      <c r="E787" s="56"/>
      <c r="F787" s="54"/>
      <c r="G787" s="54"/>
      <c r="H787" s="59"/>
      <c r="I787" s="59"/>
      <c r="J787" s="59"/>
      <c r="K787" s="54"/>
    </row>
    <row r="788">
      <c r="A788" s="57"/>
      <c r="B788" s="57" t="str">
        <f>IFERROR(__xludf.DUMMYFUNCTION("""COMPUTED_VALUE"""),"Reye syndrome [DOID:14525]    ")</f>
        <v>Reye syndrome [DOID:14525]    </v>
      </c>
      <c r="C788" s="57" t="str">
        <f>IFERROR(__xludf.DUMMYFUNCTION("""COMPUTED_VALUE"""),"DOID:14525")</f>
        <v>DOID:14525</v>
      </c>
      <c r="D788" s="58"/>
      <c r="E788" s="56"/>
      <c r="F788" s="54"/>
      <c r="G788" s="54"/>
      <c r="H788" s="59"/>
      <c r="I788" s="59"/>
      <c r="J788" s="59"/>
      <c r="K788" s="54"/>
    </row>
    <row r="789">
      <c r="A789" s="57"/>
      <c r="B789" s="57" t="str">
        <f>IFERROR(__xludf.DUMMYFUNCTION("""COMPUTED_VALUE"""),"Rheumatic disease [MONDO:0005554]    ")</f>
        <v>Rheumatic disease [MONDO:0005554]    </v>
      </c>
      <c r="C789" s="57" t="str">
        <f>IFERROR(__xludf.DUMMYFUNCTION("""COMPUTED_VALUE"""),"MONDO:0005554")</f>
        <v>MONDO:0005554</v>
      </c>
      <c r="D789" s="58"/>
      <c r="E789" s="56"/>
      <c r="F789" s="54"/>
      <c r="G789" s="54"/>
      <c r="H789" s="59"/>
      <c r="I789" s="59"/>
      <c r="J789" s="59"/>
      <c r="K789" s="54"/>
    </row>
    <row r="790">
      <c r="A790" s="57"/>
      <c r="B790" s="57" t="str">
        <f>IFERROR(__xludf.DUMMYFUNCTION("""COMPUTED_VALUE"""),"Sickle cell disease [MONDO:0011382]    ")</f>
        <v>Sickle cell disease [MONDO:0011382]    </v>
      </c>
      <c r="C790" s="57" t="str">
        <f>IFERROR(__xludf.DUMMYFUNCTION("""COMPUTED_VALUE"""),"MONDO:0011382")</f>
        <v>MONDO:0011382</v>
      </c>
      <c r="D790" s="58"/>
      <c r="E790" s="56"/>
      <c r="F790" s="54"/>
      <c r="G790" s="54"/>
      <c r="H790" s="59"/>
      <c r="I790" s="59"/>
      <c r="J790" s="59"/>
      <c r="K790" s="54"/>
    </row>
    <row r="791">
      <c r="A791" s="57"/>
      <c r="B791" s="57" t="str">
        <f>IFERROR(__xludf.DUMMYFUNCTION("""COMPUTED_VALUE"""),"Substance use [NBO:0001845]    ")</f>
        <v>Substance use [NBO:0001845]    </v>
      </c>
      <c r="C791" s="57" t="str">
        <f>IFERROR(__xludf.DUMMYFUNCTION("""COMPUTED_VALUE"""),"NBO:0001845")</f>
        <v>NBO:0001845</v>
      </c>
      <c r="D791" s="58"/>
      <c r="E791" s="56"/>
      <c r="F791" s="54"/>
      <c r="G791" s="54"/>
      <c r="H791" s="59"/>
      <c r="I791" s="59"/>
      <c r="J791" s="59"/>
      <c r="K791" s="54"/>
    </row>
    <row r="792">
      <c r="A792" s="57"/>
      <c r="B792" s="57" t="str">
        <f>IFERROR(__xludf.DUMMYFUNCTION("""COMPUTED_VALUE""")," Alcohol abuse [MONDO:0002046]   ")</f>
        <v> Alcohol abuse [MONDO:0002046]   </v>
      </c>
      <c r="C792" s="57" t="str">
        <f>IFERROR(__xludf.DUMMYFUNCTION("""COMPUTED_VALUE"""),"MONDO:0002046")</f>
        <v>MONDO:0002046</v>
      </c>
      <c r="D792" s="58"/>
      <c r="E792" s="56"/>
      <c r="F792" s="54"/>
      <c r="G792" s="54"/>
      <c r="H792" s="59"/>
      <c r="I792" s="59"/>
      <c r="J792" s="59"/>
      <c r="K792" s="54"/>
    </row>
    <row r="793">
      <c r="A793" s="57"/>
      <c r="B793" s="57" t="str">
        <f>IFERROR(__xludf.DUMMYFUNCTION("""COMPUTED_VALUE""")," Drug abuse [GENEPIO:0100078]   ")</f>
        <v> Drug abuse [GENEPIO:0100078]   </v>
      </c>
      <c r="C793" s="57" t="str">
        <f>IFERROR(__xludf.DUMMYFUNCTION("""COMPUTED_VALUE"""),"GENEPIO:0100078")</f>
        <v>GENEPIO:0100078</v>
      </c>
      <c r="D793" s="58"/>
      <c r="E793" s="56"/>
      <c r="F793" s="54"/>
      <c r="G793" s="54"/>
      <c r="H793" s="59"/>
      <c r="I793" s="59"/>
      <c r="J793" s="59"/>
      <c r="K793" s="54"/>
    </row>
    <row r="794">
      <c r="A794" s="57"/>
      <c r="B794" s="57" t="str">
        <f>IFERROR(__xludf.DUMMYFUNCTION("""COMPUTED_VALUE"""),"  Injection drug abuse [GENEPIO:0100079]  ")</f>
        <v>  Injection drug abuse [GENEPIO:0100079]  </v>
      </c>
      <c r="C794" s="57" t="str">
        <f>IFERROR(__xludf.DUMMYFUNCTION("""COMPUTED_VALUE"""),"GENEPIO:0100079")</f>
        <v>GENEPIO:0100079</v>
      </c>
      <c r="D794" s="58"/>
      <c r="E794" s="56"/>
      <c r="F794" s="54"/>
      <c r="G794" s="54"/>
      <c r="H794" s="59"/>
      <c r="I794" s="59"/>
      <c r="J794" s="59"/>
      <c r="K794" s="54"/>
    </row>
    <row r="795">
      <c r="A795" s="57"/>
      <c r="B795" s="57" t="str">
        <f>IFERROR(__xludf.DUMMYFUNCTION("""COMPUTED_VALUE""")," Smoking [NBO:0015005]   ")</f>
        <v> Smoking [NBO:0015005]   </v>
      </c>
      <c r="C795" s="57" t="str">
        <f>IFERROR(__xludf.DUMMYFUNCTION("""COMPUTED_VALUE"""),"ng NBO:0015005")</f>
        <v>ng NBO:0015005</v>
      </c>
      <c r="D795" s="58"/>
      <c r="E795" s="56"/>
      <c r="F795" s="54"/>
      <c r="G795" s="54"/>
      <c r="H795" s="59"/>
      <c r="I795" s="59"/>
      <c r="J795" s="59"/>
      <c r="K795" s="54"/>
    </row>
    <row r="796">
      <c r="A796" s="57"/>
      <c r="B796" s="57" t="str">
        <f>IFERROR(__xludf.DUMMYFUNCTION("""COMPUTED_VALUE""")," Vaping [NCIT:C173621]   ")</f>
        <v> Vaping [NCIT:C173621]   </v>
      </c>
      <c r="C796" s="57" t="str">
        <f>IFERROR(__xludf.DUMMYFUNCTION("""COMPUTED_VALUE"""),"NCIT:C173621")</f>
        <v>NCIT:C173621</v>
      </c>
      <c r="D796" s="58"/>
      <c r="E796" s="56"/>
      <c r="F796" s="54"/>
      <c r="G796" s="54"/>
      <c r="H796" s="59"/>
      <c r="I796" s="59"/>
      <c r="J796" s="59"/>
      <c r="K796" s="54"/>
    </row>
    <row r="797">
      <c r="A797" s="57"/>
      <c r="B797" s="57" t="str">
        <f>IFERROR(__xludf.DUMMYFUNCTION("""COMPUTED_VALUE"""),"Tachypnea (accelerated respiratory rate) [HP:0002789]    ")</f>
        <v>Tachypnea (accelerated respiratory rate) [HP:0002789]    </v>
      </c>
      <c r="C797" s="57" t="str">
        <f>IFERROR(__xludf.DUMMYFUNCTION("""COMPUTED_VALUE"""),"HP:0002789")</f>
        <v>HP:0002789</v>
      </c>
      <c r="D797" s="58"/>
      <c r="E797" s="56"/>
      <c r="F797" s="54"/>
      <c r="G797" s="54"/>
      <c r="H797" s="59"/>
      <c r="I797" s="59"/>
      <c r="J797" s="59"/>
      <c r="K797" s="54"/>
    </row>
    <row r="798">
      <c r="A798" s="57"/>
      <c r="B798" s="57" t="str">
        <f>IFERROR(__xludf.DUMMYFUNCTION("""COMPUTED_VALUE"""),"Transplant [NCIT:C159659]    ")</f>
        <v>Transplant [NCIT:C159659]    </v>
      </c>
      <c r="C798" s="57" t="str">
        <f>IFERROR(__xludf.DUMMYFUNCTION("""COMPUTED_VALUE"""),"CIT:C159659")</f>
        <v>CIT:C159659</v>
      </c>
      <c r="D798" s="58"/>
      <c r="E798" s="56"/>
      <c r="F798" s="54"/>
      <c r="G798" s="54"/>
      <c r="H798" s="59"/>
      <c r="I798" s="59"/>
      <c r="J798" s="59"/>
      <c r="K798" s="54"/>
    </row>
    <row r="799">
      <c r="A799" s="57"/>
      <c r="B799" s="57" t="str">
        <f>IFERROR(__xludf.DUMMYFUNCTION("""COMPUTED_VALUE""")," Cardiac transplant [NCIT:C131759]   ")</f>
        <v> Cardiac transplant [NCIT:C131759]   </v>
      </c>
      <c r="C799" s="57" t="str">
        <f>IFERROR(__xludf.DUMMYFUNCTION("""COMPUTED_VALUE"""),"NCIT:C131759")</f>
        <v>NCIT:C131759</v>
      </c>
      <c r="D799" s="58"/>
      <c r="E799" s="56"/>
      <c r="F799" s="54"/>
      <c r="G799" s="54"/>
      <c r="H799" s="59"/>
      <c r="I799" s="59"/>
      <c r="J799" s="59"/>
      <c r="K799" s="54"/>
    </row>
    <row r="800">
      <c r="A800" s="57"/>
      <c r="B800" s="57" t="str">
        <f>IFERROR(__xludf.DUMMYFUNCTION("""COMPUTED_VALUE""")," Hematopoietic stem cell transplant (bone marrow transplant) [GENEPIO:0100080]   ")</f>
        <v> Hematopoietic stem cell transplant (bone marrow transplant) [GENEPIO:0100080]   </v>
      </c>
      <c r="C800" s="57" t="str">
        <f>IFERROR(__xludf.DUMMYFUNCTION("""COMPUTED_VALUE"""),"GENEPIO:0100080")</f>
        <v>GENEPIO:0100080</v>
      </c>
      <c r="D800" s="58"/>
      <c r="E800" s="56"/>
      <c r="F800" s="54"/>
      <c r="G800" s="54"/>
      <c r="H800" s="59"/>
      <c r="I800" s="59"/>
      <c r="J800" s="59"/>
      <c r="K800" s="54"/>
    </row>
    <row r="801">
      <c r="A801" s="57"/>
      <c r="B801" s="57" t="str">
        <f>IFERROR(__xludf.DUMMYFUNCTION("""COMPUTED_VALUE""")," Kidney transplant [NCIT:C157332]   ")</f>
        <v> Kidney transplant [NCIT:C157332]   </v>
      </c>
      <c r="C801" s="57" t="str">
        <f>IFERROR(__xludf.DUMMYFUNCTION("""COMPUTED_VALUE"""),"NCIT:C157332")</f>
        <v>NCIT:C157332</v>
      </c>
      <c r="D801" s="58"/>
      <c r="E801" s="56"/>
      <c r="F801" s="54"/>
      <c r="G801" s="54"/>
      <c r="H801" s="59"/>
      <c r="I801" s="59"/>
      <c r="J801" s="59"/>
      <c r="K801" s="54"/>
    </row>
    <row r="802">
      <c r="A802" s="57"/>
      <c r="B802" s="57" t="str">
        <f>IFERROR(__xludf.DUMMYFUNCTION("""COMPUTED_VALUE""")," Liver transplant [GENEPIO:0100081]   ")</f>
        <v> Liver transplant [GENEPIO:0100081]   </v>
      </c>
      <c r="C802" s="57" t="str">
        <f>IFERROR(__xludf.DUMMYFUNCTION("""COMPUTED_VALUE"""),"GENEPIO:0100081")</f>
        <v>GENEPIO:0100081</v>
      </c>
      <c r="D802" s="58"/>
      <c r="E802" s="56"/>
      <c r="F802" s="54"/>
      <c r="G802" s="54"/>
      <c r="H802" s="59"/>
      <c r="I802" s="59"/>
      <c r="J802" s="59"/>
      <c r="K802" s="54"/>
    </row>
    <row r="803">
      <c r="A803" s="57" t="str">
        <f>IFERROR(__xludf.DUMMYFUNCTION("""COMPUTED_VALUE"""),"complications menu")</f>
        <v>complications menu</v>
      </c>
      <c r="B803" s="57" t="str">
        <f>IFERROR(__xludf.DUMMYFUNCTION("""COMPUTED_VALUE"""),"    ")</f>
        <v>    </v>
      </c>
      <c r="C803" s="57" t="str">
        <f>IFERROR(__xludf.DUMMYFUNCTION("""COMPUTED_VALUE"""),"")</f>
        <v/>
      </c>
      <c r="D803" s="58"/>
      <c r="E803" s="56"/>
      <c r="F803" s="54"/>
      <c r="G803" s="54"/>
      <c r="H803" s="59"/>
      <c r="I803" s="59"/>
      <c r="J803" s="59"/>
      <c r="K803" s="54"/>
    </row>
    <row r="804">
      <c r="A804" s="57"/>
      <c r="B804" s="57" t="str">
        <f>IFERROR(__xludf.DUMMYFUNCTION("""COMPUTED_VALUE"""),"Abnormal blood oxygen level [HP:0500165]    ")</f>
        <v>Abnormal blood oxygen level [HP:0500165]    </v>
      </c>
      <c r="C804" s="57" t="str">
        <f>IFERROR(__xludf.DUMMYFUNCTION("""COMPUTED_VALUE"""),"HP:0500165")</f>
        <v>HP:0500165</v>
      </c>
      <c r="D804" s="58"/>
      <c r="E804" s="56"/>
      <c r="F804" s="54"/>
      <c r="G804" s="54"/>
      <c r="H804" s="59"/>
      <c r="I804" s="59"/>
      <c r="J804" s="59"/>
      <c r="K804" s="54"/>
    </row>
    <row r="805">
      <c r="A805" s="57"/>
      <c r="B805" s="57" t="str">
        <f>IFERROR(__xludf.DUMMYFUNCTION("""COMPUTED_VALUE"""),"Acute lung injury [MONDO:0015796]    ")</f>
        <v>Acute lung injury [MONDO:0015796]    </v>
      </c>
      <c r="C805" s="57" t="str">
        <f>IFERROR(__xludf.DUMMYFUNCTION("""COMPUTED_VALUE"""),"MONDO:0015796")</f>
        <v>MONDO:0015796</v>
      </c>
      <c r="D805" s="58"/>
      <c r="E805" s="56"/>
      <c r="F805" s="54"/>
      <c r="G805" s="54"/>
      <c r="H805" s="59"/>
      <c r="I805" s="59"/>
      <c r="J805" s="59"/>
      <c r="K805" s="54"/>
    </row>
    <row r="806">
      <c r="A806" s="57"/>
      <c r="B806" s="57" t="str">
        <f>IFERROR(__xludf.DUMMYFUNCTION("""COMPUTED_VALUE""")," Ventilation induced lung injury (VILI) [GENEPIO:0100092]   ")</f>
        <v> Ventilation induced lung injury (VILI) [GENEPIO:0100092]   </v>
      </c>
      <c r="C806" s="57" t="str">
        <f>IFERROR(__xludf.DUMMYFUNCTION("""COMPUTED_VALUE"""),"GENEPIO:0100092")</f>
        <v>GENEPIO:0100092</v>
      </c>
      <c r="D806" s="58"/>
      <c r="E806" s="56"/>
      <c r="F806" s="54"/>
      <c r="G806" s="54"/>
      <c r="H806" s="59"/>
      <c r="I806" s="59"/>
      <c r="J806" s="59"/>
      <c r="K806" s="54"/>
    </row>
    <row r="807">
      <c r="A807" s="57"/>
      <c r="B807" s="57" t="str">
        <f>IFERROR(__xludf.DUMMYFUNCTION("""COMPUTED_VALUE"""),"Acute respiratory failure [MONDO:0001208]    ")</f>
        <v>Acute respiratory failure [MONDO:0001208]    </v>
      </c>
      <c r="C807" s="57" t="str">
        <f>IFERROR(__xludf.DUMMYFUNCTION("""COMPUTED_VALUE"""),"MONDO:0001208")</f>
        <v>MONDO:0001208</v>
      </c>
      <c r="D807" s="58"/>
      <c r="E807" s="56"/>
      <c r="F807" s="54"/>
      <c r="G807" s="54"/>
      <c r="H807" s="59"/>
      <c r="I807" s="59"/>
      <c r="J807" s="59"/>
      <c r="K807" s="54"/>
    </row>
    <row r="808">
      <c r="A808" s="57"/>
      <c r="B808" s="57" t="str">
        <f>IFERROR(__xludf.DUMMYFUNCTION("""COMPUTED_VALUE"""),"Arrhythmia (complication) [HP:0011675]    ")</f>
        <v>Arrhythmia (complication) [HP:0011675]    </v>
      </c>
      <c r="C808" s="57" t="str">
        <f>IFERROR(__xludf.DUMMYFUNCTION("""COMPUTED_VALUE"""),"HP:0011675")</f>
        <v>HP:0011675</v>
      </c>
      <c r="D808" s="58"/>
      <c r="E808" s="56"/>
      <c r="F808" s="54"/>
      <c r="G808" s="54"/>
      <c r="H808" s="59"/>
      <c r="I808" s="59"/>
      <c r="J808" s="59"/>
      <c r="K808" s="54"/>
    </row>
    <row r="809">
      <c r="A809" s="57"/>
      <c r="B809" s="57" t="str">
        <f>IFERROR(__xludf.DUMMYFUNCTION("""COMPUTED_VALUE""")," Tachycardia [HP:0001649]   ")</f>
        <v> Tachycardia [HP:0001649]   </v>
      </c>
      <c r="C809" s="57" t="str">
        <f>IFERROR(__xludf.DUMMYFUNCTION("""COMPUTED_VALUE"""),"HP:0001649")</f>
        <v>HP:0001649</v>
      </c>
      <c r="D809" s="58"/>
      <c r="E809" s="56"/>
      <c r="F809" s="54"/>
      <c r="G809" s="54"/>
      <c r="H809" s="59"/>
      <c r="I809" s="59"/>
      <c r="J809" s="59"/>
      <c r="K809" s="54"/>
    </row>
    <row r="810">
      <c r="A810" s="57"/>
      <c r="B810" s="57" t="str">
        <f>IFERROR(__xludf.DUMMYFUNCTION("""COMPUTED_VALUE"""),"Cardiac injury [GENEPIO:0100074]    ")</f>
        <v>Cardiac injury [GENEPIO:0100074]    </v>
      </c>
      <c r="C810" s="57" t="str">
        <f>IFERROR(__xludf.DUMMYFUNCTION("""COMPUTED_VALUE"""),"GENEPIO:0100074")</f>
        <v>GENEPIO:0100074</v>
      </c>
      <c r="D810" s="58"/>
      <c r="E810" s="56"/>
      <c r="F810" s="54"/>
      <c r="G810" s="54"/>
      <c r="H810" s="59"/>
      <c r="I810" s="59"/>
      <c r="J810" s="59"/>
      <c r="K810" s="54"/>
    </row>
    <row r="811">
      <c r="A811" s="57"/>
      <c r="B811" s="57" t="str">
        <f>IFERROR(__xludf.DUMMYFUNCTION("""COMPUTED_VALUE"""),"Cardiac arrest [HP:0001695]    ")</f>
        <v>Cardiac arrest [HP:0001695]    </v>
      </c>
      <c r="C811" s="57" t="str">
        <f>IFERROR(__xludf.DUMMYFUNCTION("""COMPUTED_VALUE"""),"HP:0001695")</f>
        <v>HP:0001695</v>
      </c>
      <c r="D811" s="58"/>
      <c r="E811" s="56"/>
      <c r="F811" s="54"/>
      <c r="G811" s="54"/>
      <c r="H811" s="59"/>
      <c r="I811" s="59"/>
      <c r="J811" s="59"/>
      <c r="K811" s="54"/>
    </row>
    <row r="812">
      <c r="A812" s="57"/>
      <c r="B812" s="57" t="str">
        <f>IFERROR(__xludf.DUMMYFUNCTION("""COMPUTED_VALUE"""),"Blood clot [HP:0001977]    ")</f>
        <v>Blood clot [HP:0001977]    </v>
      </c>
      <c r="C812" s="57" t="str">
        <f>IFERROR(__xludf.DUMMYFUNCTION("""COMPUTED_VALUE"""),"HP:0001977")</f>
        <v>HP:0001977</v>
      </c>
      <c r="D812" s="58"/>
      <c r="E812" s="56"/>
      <c r="F812" s="54"/>
      <c r="G812" s="54"/>
      <c r="H812" s="59"/>
      <c r="I812" s="59"/>
      <c r="J812" s="59"/>
      <c r="K812" s="54"/>
    </row>
    <row r="813">
      <c r="A813" s="57"/>
      <c r="B813" s="57" t="str">
        <f>IFERROR(__xludf.DUMMYFUNCTION("""COMPUTED_VALUE""")," Arterial clot [HP:0004420]   ")</f>
        <v> Arterial clot [HP:0004420]   </v>
      </c>
      <c r="C813" s="57" t="str">
        <f>IFERROR(__xludf.DUMMYFUNCTION("""COMPUTED_VALUE"""),"HP:0004420")</f>
        <v>HP:0004420</v>
      </c>
      <c r="D813" s="58"/>
      <c r="E813" s="56"/>
      <c r="F813" s="54"/>
      <c r="G813" s="54"/>
      <c r="H813" s="59"/>
      <c r="I813" s="59"/>
      <c r="J813" s="59"/>
      <c r="K813" s="54"/>
    </row>
    <row r="814">
      <c r="A814" s="57"/>
      <c r="B814" s="57" t="str">
        <f>IFERROR(__xludf.DUMMYFUNCTION("""COMPUTED_VALUE""")," Deep vein thrombosis (DVT) [HP:0002625]   ")</f>
        <v> Deep vein thrombosis (DVT) [HP:0002625]   </v>
      </c>
      <c r="C814" s="57" t="str">
        <f>IFERROR(__xludf.DUMMYFUNCTION("""COMPUTED_VALUE"""),"HP:0002625")</f>
        <v>HP:0002625</v>
      </c>
      <c r="D814" s="58"/>
      <c r="E814" s="56"/>
      <c r="F814" s="54"/>
      <c r="G814" s="54"/>
      <c r="H814" s="59"/>
      <c r="I814" s="59"/>
      <c r="J814" s="59"/>
      <c r="K814" s="54"/>
    </row>
    <row r="815">
      <c r="A815" s="57"/>
      <c r="B815" s="57" t="str">
        <f>IFERROR(__xludf.DUMMYFUNCTION("""COMPUTED_VALUE""")," Pulmonary embolism (PE) [HP:0002204]   ")</f>
        <v> Pulmonary embolism (PE) [HP:0002204]   </v>
      </c>
      <c r="C815" s="57" t="str">
        <f>IFERROR(__xludf.DUMMYFUNCTION("""COMPUTED_VALUE"""),"HP:0002204")</f>
        <v>HP:0002204</v>
      </c>
      <c r="D815" s="58"/>
      <c r="E815" s="56"/>
      <c r="F815" s="54"/>
      <c r="G815" s="54"/>
      <c r="H815" s="59"/>
      <c r="I815" s="59"/>
      <c r="J815" s="59"/>
      <c r="K815" s="54"/>
    </row>
    <row r="816">
      <c r="A816" s="57"/>
      <c r="B816" s="57" t="str">
        <f>IFERROR(__xludf.DUMMYFUNCTION("""COMPUTED_VALUE"""),"Cardiomyopathy [HP:0001638]    ")</f>
        <v>Cardiomyopathy [HP:0001638]    </v>
      </c>
      <c r="C816" s="57" t="str">
        <f>IFERROR(__xludf.DUMMYFUNCTION("""COMPUTED_VALUE"""),"HP:0001638")</f>
        <v>HP:0001638</v>
      </c>
      <c r="D816" s="58"/>
      <c r="E816" s="56"/>
      <c r="F816" s="54"/>
      <c r="G816" s="54"/>
      <c r="H816" s="59"/>
      <c r="I816" s="59"/>
      <c r="J816" s="59"/>
      <c r="K816" s="54"/>
    </row>
    <row r="817">
      <c r="A817" s="57"/>
      <c r="B817" s="57" t="str">
        <f>IFERROR(__xludf.DUMMYFUNCTION("""COMPUTED_VALUE"""),"Central nervous system invasion [MONDO:0024619]    ")</f>
        <v>Central nervous system invasion [MONDO:0024619]    </v>
      </c>
      <c r="C817" s="57" t="str">
        <f>IFERROR(__xludf.DUMMYFUNCTION("""COMPUTED_VALUE"""),"MONDO:0024619")</f>
        <v>MONDO:0024619</v>
      </c>
      <c r="D817" s="58"/>
      <c r="E817" s="56"/>
      <c r="F817" s="54"/>
      <c r="G817" s="54"/>
      <c r="H817" s="59"/>
      <c r="I817" s="59"/>
      <c r="J817" s="59"/>
      <c r="K817" s="54"/>
    </row>
    <row r="818">
      <c r="A818" s="57"/>
      <c r="B818" s="57" t="str">
        <f>IFERROR(__xludf.DUMMYFUNCTION("""COMPUTED_VALUE"""),"Stroke (complication) [HP:0001297]    ")</f>
        <v>Stroke (complication) [HP:0001297]    </v>
      </c>
      <c r="C818" s="57" t="str">
        <f>IFERROR(__xludf.DUMMYFUNCTION("""COMPUTED_VALUE"""),"HP:0001297")</f>
        <v>HP:0001297</v>
      </c>
      <c r="D818" s="58"/>
      <c r="E818" s="56"/>
      <c r="F818" s="54"/>
      <c r="G818" s="54"/>
      <c r="H818" s="59"/>
      <c r="I818" s="59"/>
      <c r="J818" s="59"/>
      <c r="K818" s="54"/>
    </row>
    <row r="819">
      <c r="A819" s="57"/>
      <c r="B819" s="57" t="str">
        <f>IFERROR(__xludf.DUMMYFUNCTION("""COMPUTED_VALUE""")," Central Nervous System Vasculitis [MONDO:0003346]   ")</f>
        <v> Central Nervous System Vasculitis [MONDO:0003346]   </v>
      </c>
      <c r="C819" s="57" t="str">
        <f>IFERROR(__xludf.DUMMYFUNCTION("""COMPUTED_VALUE"""),"MONDO:0003346")</f>
        <v>MONDO:0003346</v>
      </c>
      <c r="D819" s="58"/>
      <c r="E819" s="56"/>
      <c r="F819" s="54"/>
      <c r="G819" s="54"/>
      <c r="H819" s="59"/>
      <c r="I819" s="59"/>
      <c r="J819" s="59"/>
      <c r="K819" s="54"/>
    </row>
    <row r="820">
      <c r="A820" s="57"/>
      <c r="B820" s="57" t="str">
        <f>IFERROR(__xludf.DUMMYFUNCTION("""COMPUTED_VALUE""")," Acute ischemic stroke [HP:0002140]   ")</f>
        <v> Acute ischemic stroke [HP:0002140]   </v>
      </c>
      <c r="C820" s="57" t="str">
        <f>IFERROR(__xludf.DUMMYFUNCTION("""COMPUTED_VALUE"""),"HP:0002140")</f>
        <v>HP:0002140</v>
      </c>
      <c r="D820" s="58"/>
      <c r="E820" s="56"/>
      <c r="F820" s="54"/>
      <c r="G820" s="54"/>
      <c r="H820" s="59"/>
      <c r="I820" s="59"/>
      <c r="J820" s="59"/>
      <c r="K820" s="54"/>
    </row>
    <row r="821">
      <c r="A821" s="57"/>
      <c r="B821" s="57" t="str">
        <f>IFERROR(__xludf.DUMMYFUNCTION("""COMPUTED_VALUE"""),"Coma [HP:0001259]    ")</f>
        <v>Coma [HP:0001259]    </v>
      </c>
      <c r="C821" s="57" t="str">
        <f>IFERROR(__xludf.DUMMYFUNCTION("""COMPUTED_VALUE"""),"HP:0001259")</f>
        <v>HP:0001259</v>
      </c>
      <c r="D821" s="58"/>
      <c r="E821" s="56"/>
      <c r="F821" s="54"/>
      <c r="G821" s="54"/>
      <c r="H821" s="59"/>
      <c r="I821" s="59"/>
      <c r="J821" s="59"/>
      <c r="K821" s="54"/>
    </row>
    <row r="822">
      <c r="A822" s="57"/>
      <c r="B822" s="57" t="str">
        <f>IFERROR(__xludf.DUMMYFUNCTION("""COMPUTED_VALUE"""),"Convulsions [HP:0011097]    ")</f>
        <v>Convulsions [HP:0011097]    </v>
      </c>
      <c r="C822" s="57" t="str">
        <f>IFERROR(__xludf.DUMMYFUNCTION("""COMPUTED_VALUE"""),"HP:0011097")</f>
        <v>HP:0011097</v>
      </c>
      <c r="D822" s="58"/>
      <c r="E822" s="56"/>
      <c r="F822" s="54"/>
      <c r="G822" s="54"/>
      <c r="H822" s="59"/>
      <c r="I822" s="59"/>
      <c r="J822" s="59"/>
      <c r="K822" s="54"/>
    </row>
    <row r="823">
      <c r="A823" s="57"/>
      <c r="B823" s="57" t="str">
        <f>IFERROR(__xludf.DUMMYFUNCTION("""COMPUTED_VALUE"""),"Cystic fibrosis [MONDO:0009061]    ")</f>
        <v>Cystic fibrosis [MONDO:0009061]    </v>
      </c>
      <c r="C823" s="57" t="str">
        <f>IFERROR(__xludf.DUMMYFUNCTION("""COMPUTED_VALUE"""),"MONDO:0009061")</f>
        <v>MONDO:0009061</v>
      </c>
      <c r="D823" s="58"/>
      <c r="E823" s="56"/>
      <c r="F823" s="54"/>
      <c r="G823" s="54"/>
      <c r="H823" s="59"/>
      <c r="I823" s="59"/>
      <c r="J823" s="59"/>
      <c r="K823" s="54"/>
    </row>
    <row r="824">
      <c r="A824" s="57"/>
      <c r="B824" s="57" t="str">
        <f>IFERROR(__xludf.DUMMYFUNCTION("""COMPUTED_VALUE"""),"Cytokine release syndrome [MONDO:0600008]    ")</f>
        <v>Cytokine release syndrome [MONDO:0600008]    </v>
      </c>
      <c r="C824" s="57" t="str">
        <f>IFERROR(__xludf.DUMMYFUNCTION("""COMPUTED_VALUE"""),"MONDO:0600008")</f>
        <v>MONDO:0600008</v>
      </c>
      <c r="D824" s="58"/>
      <c r="E824" s="56"/>
      <c r="F824" s="54"/>
      <c r="G824" s="54"/>
      <c r="H824" s="59"/>
      <c r="I824" s="59"/>
      <c r="J824" s="59"/>
      <c r="K824" s="54"/>
    </row>
    <row r="825">
      <c r="A825" s="57"/>
      <c r="B825" s="57" t="str">
        <f>IFERROR(__xludf.DUMMYFUNCTION("""COMPUTED_VALUE"""),"Disseminated intravascular coagulation (DIC) [MPATH:108]    ")</f>
        <v>Disseminated intravascular coagulation (DIC) [MPATH:108]    </v>
      </c>
      <c r="C825" s="57" t="str">
        <f>IFERROR(__xludf.DUMMYFUNCTION("""COMPUTED_VALUE"""),"MPATH:108")</f>
        <v>MPATH:108</v>
      </c>
      <c r="D825" s="58"/>
      <c r="E825" s="56"/>
      <c r="F825" s="54"/>
      <c r="G825" s="54"/>
      <c r="H825" s="59"/>
      <c r="I825" s="59"/>
      <c r="J825" s="59"/>
      <c r="K825" s="54"/>
    </row>
    <row r="826">
      <c r="A826" s="57"/>
      <c r="B826" s="57" t="str">
        <f>IFERROR(__xludf.DUMMYFUNCTION("""COMPUTED_VALUE"""),"Encephalopathy [HP:0001298]    ")</f>
        <v>Encephalopathy [HP:0001298]    </v>
      </c>
      <c r="C826" s="57" t="str">
        <f>IFERROR(__xludf.DUMMYFUNCTION("""COMPUTED_VALUE"""),"HP:0001298")</f>
        <v>HP:0001298</v>
      </c>
      <c r="D826" s="58"/>
      <c r="E826" s="56"/>
      <c r="F826" s="54"/>
      <c r="G826" s="54"/>
      <c r="H826" s="59"/>
      <c r="I826" s="59"/>
      <c r="J826" s="59"/>
      <c r="K826" s="54"/>
    </row>
    <row r="827">
      <c r="A827" s="57"/>
      <c r="B827" s="57" t="str">
        <f>IFERROR(__xludf.DUMMYFUNCTION("""COMPUTED_VALUE"""),"Fulminant myocarditis [GENEPIO:0100088]    ")</f>
        <v>Fulminant myocarditis [GENEPIO:0100088]    </v>
      </c>
      <c r="C827" s="57" t="str">
        <f>IFERROR(__xludf.DUMMYFUNCTION("""COMPUTED_VALUE"""),"GENEPIO:0100088")</f>
        <v>GENEPIO:0100088</v>
      </c>
      <c r="D827" s="58"/>
      <c r="E827" s="56"/>
      <c r="F827" s="54"/>
      <c r="G827" s="54"/>
      <c r="H827" s="59"/>
      <c r="I827" s="59"/>
      <c r="J827" s="59"/>
      <c r="K827" s="54"/>
    </row>
    <row r="828">
      <c r="A828" s="57"/>
      <c r="B828" s="57" t="str">
        <f>IFERROR(__xludf.DUMMYFUNCTION("""COMPUTED_VALUE"""),"Guillain-Barré syndrome [MONDO:0016218]    ")</f>
        <v>Guillain-Barré syndrome [MONDO:0016218]    </v>
      </c>
      <c r="C828" s="57" t="str">
        <f>IFERROR(__xludf.DUMMYFUNCTION("""COMPUTED_VALUE"""),"MONDO:0016218")</f>
        <v>MONDO:0016218</v>
      </c>
      <c r="D828" s="58"/>
      <c r="E828" s="56"/>
      <c r="F828" s="54"/>
      <c r="G828" s="54"/>
      <c r="H828" s="59"/>
      <c r="I828" s="59"/>
      <c r="J828" s="59"/>
      <c r="K828" s="54"/>
    </row>
    <row r="829">
      <c r="A829" s="57"/>
      <c r="B829" s="57" t="str">
        <f>IFERROR(__xludf.DUMMYFUNCTION("""COMPUTED_VALUE"""),"Internal hemorrhage (complication; internal bleeding) [HP:0011029]    ")</f>
        <v>Internal hemorrhage (complication; internal bleeding) [HP:0011029]    </v>
      </c>
      <c r="C829" s="57" t="str">
        <f>IFERROR(__xludf.DUMMYFUNCTION("""COMPUTED_VALUE"""),"HP:0011029")</f>
        <v>HP:0011029</v>
      </c>
      <c r="D829" s="58"/>
      <c r="E829" s="56"/>
      <c r="F829" s="54"/>
      <c r="G829" s="54"/>
      <c r="H829" s="59"/>
      <c r="I829" s="59"/>
      <c r="J829" s="59"/>
      <c r="K829" s="54"/>
    </row>
    <row r="830">
      <c r="A830" s="57"/>
      <c r="B830" s="57" t="str">
        <f>IFERROR(__xludf.DUMMYFUNCTION("""COMPUTED_VALUE""")," Intracerebral haemorrhage [MONDO:0013792]   ")</f>
        <v> Intracerebral haemorrhage [MONDO:0013792]   </v>
      </c>
      <c r="C830" s="57" t="str">
        <f>IFERROR(__xludf.DUMMYFUNCTION("""COMPUTED_VALUE"""),"MONDO:0013792")</f>
        <v>MONDO:0013792</v>
      </c>
      <c r="D830" s="58"/>
      <c r="E830" s="56"/>
      <c r="F830" s="54"/>
      <c r="G830" s="54"/>
      <c r="H830" s="59"/>
      <c r="I830" s="59"/>
      <c r="J830" s="59"/>
      <c r="K830" s="54"/>
    </row>
    <row r="831">
      <c r="A831" s="57"/>
      <c r="B831" s="57" t="str">
        <f>IFERROR(__xludf.DUMMYFUNCTION("""COMPUTED_VALUE"""),"Kawasaki disease [MONDO:0012727]    ")</f>
        <v>Kawasaki disease [MONDO:0012727]    </v>
      </c>
      <c r="C831" s="57" t="str">
        <f>IFERROR(__xludf.DUMMYFUNCTION("""COMPUTED_VALUE"""),"MONDO:0012727")</f>
        <v>MONDO:0012727</v>
      </c>
      <c r="D831" s="58"/>
      <c r="E831" s="56"/>
      <c r="F831" s="54"/>
      <c r="G831" s="54"/>
      <c r="H831" s="59"/>
      <c r="I831" s="59"/>
      <c r="J831" s="59"/>
      <c r="K831" s="54"/>
    </row>
    <row r="832">
      <c r="A832" s="57"/>
      <c r="B832" s="57" t="str">
        <f>IFERROR(__xludf.DUMMYFUNCTION("""COMPUTED_VALUE""")," Complete Kawasaki disease [GENEPIO:0100089]   ")</f>
        <v> Complete Kawasaki disease [GENEPIO:0100089]   </v>
      </c>
      <c r="C832" s="57" t="str">
        <f>IFERROR(__xludf.DUMMYFUNCTION("""COMPUTED_VALUE"""),"GENEPIO:0100089")</f>
        <v>GENEPIO:0100089</v>
      </c>
      <c r="D832" s="58"/>
      <c r="E832" s="56"/>
      <c r="F832" s="54"/>
      <c r="G832" s="54"/>
      <c r="H832" s="59"/>
      <c r="I832" s="59"/>
      <c r="J832" s="59"/>
      <c r="K832" s="54"/>
    </row>
    <row r="833">
      <c r="A833" s="57"/>
      <c r="B833" s="57" t="str">
        <f>IFERROR(__xludf.DUMMYFUNCTION("""COMPUTED_VALUE""")," Incomplete Kawasaki disease [GENEPIO:0100090]   ")</f>
        <v> Incomplete Kawasaki disease [GENEPIO:0100090]   </v>
      </c>
      <c r="C833" s="57" t="str">
        <f>IFERROR(__xludf.DUMMYFUNCTION("""COMPUTED_VALUE"""),"GENEPIO:0100090")</f>
        <v>GENEPIO:0100090</v>
      </c>
      <c r="D833" s="58"/>
      <c r="E833" s="56"/>
      <c r="F833" s="54"/>
      <c r="G833" s="54"/>
      <c r="H833" s="59"/>
      <c r="I833" s="59"/>
      <c r="J833" s="59"/>
      <c r="K833" s="54"/>
    </row>
    <row r="834">
      <c r="A834" s="57"/>
      <c r="B834" s="57" t="str">
        <f>IFERROR(__xludf.DUMMYFUNCTION("""COMPUTED_VALUE"""),"Liver dysfunction [HP:0001410]    ")</f>
        <v>Liver dysfunction [HP:0001410]    </v>
      </c>
      <c r="C834" s="57" t="str">
        <f>IFERROR(__xludf.DUMMYFUNCTION("""COMPUTED_VALUE"""),"HP:0001410")</f>
        <v>HP:0001410</v>
      </c>
      <c r="D834" s="58"/>
      <c r="E834" s="56"/>
      <c r="F834" s="54"/>
      <c r="G834" s="54"/>
      <c r="H834" s="59"/>
      <c r="I834" s="59"/>
      <c r="J834" s="59"/>
      <c r="K834" s="54"/>
    </row>
    <row r="835">
      <c r="A835" s="57"/>
      <c r="B835" s="57" t="str">
        <f>IFERROR(__xludf.DUMMYFUNCTION("""COMPUTED_VALUE""")," Acute liver injury [GENEPIO:0100091]   ")</f>
        <v> Acute liver injury [GENEPIO:0100091]   </v>
      </c>
      <c r="C835" s="57" t="str">
        <f>IFERROR(__xludf.DUMMYFUNCTION("""COMPUTED_VALUE"""),"GENEPIO:0100091")</f>
        <v>GENEPIO:0100091</v>
      </c>
      <c r="D835" s="58"/>
      <c r="E835" s="56"/>
      <c r="F835" s="54"/>
      <c r="G835" s="54"/>
      <c r="H835" s="59"/>
      <c r="I835" s="59"/>
      <c r="J835" s="59"/>
      <c r="K835" s="54"/>
    </row>
    <row r="836">
      <c r="A836" s="57"/>
      <c r="B836" s="57" t="str">
        <f>IFERROR(__xludf.DUMMYFUNCTION("""COMPUTED_VALUE"""),"Long COVID-19 [MONDO:0100233]    ")</f>
        <v>Long COVID-19 [MONDO:0100233]    </v>
      </c>
      <c r="C836" s="57" t="str">
        <f>IFERROR(__xludf.DUMMYFUNCTION("""COMPUTED_VALUE"""),"MONDO:0100233")</f>
        <v>MONDO:0100233</v>
      </c>
      <c r="D836" s="58"/>
      <c r="E836" s="56"/>
      <c r="F836" s="54"/>
      <c r="G836" s="54"/>
      <c r="H836" s="59"/>
      <c r="I836" s="59"/>
      <c r="J836" s="59"/>
      <c r="K836" s="54"/>
    </row>
    <row r="837">
      <c r="A837" s="57"/>
      <c r="B837" s="57" t="str">
        <f>IFERROR(__xludf.DUMMYFUNCTION("""COMPUTED_VALUE"""),"Meningitis [HP:0001287]    ")</f>
        <v>Meningitis [HP:0001287]    </v>
      </c>
      <c r="C837" s="57" t="str">
        <f>IFERROR(__xludf.DUMMYFUNCTION("""COMPUTED_VALUE"""),"HP:0001287")</f>
        <v>HP:0001287</v>
      </c>
      <c r="D837" s="58"/>
      <c r="E837" s="56"/>
      <c r="F837" s="54"/>
      <c r="G837" s="54"/>
      <c r="H837" s="59"/>
      <c r="I837" s="59"/>
      <c r="J837" s="59"/>
      <c r="K837" s="54"/>
    </row>
    <row r="838">
      <c r="A838" s="57"/>
      <c r="B838" s="57" t="str">
        <f>IFERROR(__xludf.DUMMYFUNCTION("""COMPUTED_VALUE"""),"Migraine [HP:0002076]    ")</f>
        <v>Migraine [HP:0002076]    </v>
      </c>
      <c r="C838" s="57" t="str">
        <f>IFERROR(__xludf.DUMMYFUNCTION("""COMPUTED_VALUE"""),"HP:0002076")</f>
        <v>HP:0002076</v>
      </c>
      <c r="D838" s="58"/>
      <c r="E838" s="56"/>
      <c r="F838" s="54"/>
      <c r="G838" s="54"/>
      <c r="H838" s="59"/>
      <c r="I838" s="59"/>
      <c r="J838" s="59"/>
      <c r="K838" s="54"/>
    </row>
    <row r="839">
      <c r="A839" s="57"/>
      <c r="B839" s="57" t="str">
        <f>IFERROR(__xludf.DUMMYFUNCTION("""COMPUTED_VALUE"""),"Miscarriage [HP:0005268]    ")</f>
        <v>Miscarriage [HP:0005268]    </v>
      </c>
      <c r="C839" s="57" t="str">
        <f>IFERROR(__xludf.DUMMYFUNCTION("""COMPUTED_VALUE"""),"HP:0005268")</f>
        <v>HP:0005268</v>
      </c>
      <c r="D839" s="58"/>
      <c r="E839" s="56"/>
      <c r="F839" s="54"/>
      <c r="G839" s="54"/>
      <c r="H839" s="59"/>
      <c r="I839" s="59"/>
      <c r="J839" s="59"/>
      <c r="K839" s="54"/>
    </row>
    <row r="840">
      <c r="A840" s="57"/>
      <c r="B840" s="57" t="str">
        <f>IFERROR(__xludf.DUMMYFUNCTION("""COMPUTED_VALUE"""),"Multisystem inflammatory syndrome in children (MIS-C) [MONDO:0100163]    ")</f>
        <v>Multisystem inflammatory syndrome in children (MIS-C) [MONDO:0100163]    </v>
      </c>
      <c r="C840" s="57" t="str">
        <f>IFERROR(__xludf.DUMMYFUNCTION("""COMPUTED_VALUE"""),"MONDO:0100163")</f>
        <v>MONDO:0100163</v>
      </c>
      <c r="D840" s="58"/>
      <c r="E840" s="56"/>
      <c r="F840" s="54"/>
      <c r="G840" s="54"/>
      <c r="H840" s="59"/>
      <c r="I840" s="59"/>
      <c r="J840" s="59"/>
      <c r="K840" s="54"/>
    </row>
    <row r="841">
      <c r="A841" s="57"/>
      <c r="B841" s="57" t="str">
        <f>IFERROR(__xludf.DUMMYFUNCTION("""COMPUTED_VALUE"""),"Multisystem inflammatory syndrome in adults (MIS-A) [MONDO:0100319]    ")</f>
        <v>Multisystem inflammatory syndrome in adults (MIS-A) [MONDO:0100319]    </v>
      </c>
      <c r="C841" s="57" t="str">
        <f>IFERROR(__xludf.DUMMYFUNCTION("""COMPUTED_VALUE"""),"MONDO:0100319")</f>
        <v>MONDO:0100319</v>
      </c>
      <c r="D841" s="58"/>
      <c r="E841" s="56"/>
      <c r="F841" s="54"/>
      <c r="G841" s="54"/>
      <c r="H841" s="59"/>
      <c r="I841" s="59"/>
      <c r="J841" s="59"/>
      <c r="K841" s="54"/>
    </row>
    <row r="842">
      <c r="A842" s="57"/>
      <c r="B842" s="57" t="str">
        <f>IFERROR(__xludf.DUMMYFUNCTION("""COMPUTED_VALUE"""),"Muscle injury [GENEPIO:0100093]    ")</f>
        <v>Muscle injury [GENEPIO:0100093]    </v>
      </c>
      <c r="C842" s="57" t="str">
        <f>IFERROR(__xludf.DUMMYFUNCTION("""COMPUTED_VALUE"""),"GENEPIO:0100093")</f>
        <v>GENEPIO:0100093</v>
      </c>
      <c r="D842" s="58"/>
      <c r="E842" s="56"/>
      <c r="F842" s="54"/>
      <c r="G842" s="54"/>
      <c r="H842" s="59"/>
      <c r="I842" s="59"/>
      <c r="J842" s="59"/>
      <c r="K842" s="54"/>
    </row>
    <row r="843">
      <c r="A843" s="57"/>
      <c r="B843" s="57" t="str">
        <f>IFERROR(__xludf.DUMMYFUNCTION("""COMPUTED_VALUE"""),"Myalgic encephalomyelitis (chronic fatigue syndrome) [MONDO:0005404]    ")</f>
        <v>Myalgic encephalomyelitis (chronic fatigue syndrome) [MONDO:0005404]    </v>
      </c>
      <c r="C843" s="57" t="str">
        <f>IFERROR(__xludf.DUMMYFUNCTION("""COMPUTED_VALUE"""),"MONDO:0005404")</f>
        <v>MONDO:0005404</v>
      </c>
      <c r="D843" s="58"/>
      <c r="E843" s="56"/>
      <c r="F843" s="54"/>
      <c r="G843" s="54"/>
      <c r="H843" s="59"/>
      <c r="I843" s="59"/>
      <c r="J843" s="59"/>
      <c r="K843" s="54"/>
    </row>
    <row r="844">
      <c r="A844" s="57"/>
      <c r="B844" s="57" t="str">
        <f>IFERROR(__xludf.DUMMYFUNCTION("""COMPUTED_VALUE"""),"Myocardial infarction (heart attack) [MONDO:0005068]    ")</f>
        <v>Myocardial infarction (heart attack) [MONDO:0005068]    </v>
      </c>
      <c r="C844" s="57" t="str">
        <f>IFERROR(__xludf.DUMMYFUNCTION("""COMPUTED_VALUE"""),"MONDO:0005068")</f>
        <v>MONDO:0005068</v>
      </c>
      <c r="D844" s="58"/>
      <c r="E844" s="56"/>
      <c r="F844" s="54"/>
      <c r="G844" s="54"/>
      <c r="H844" s="59"/>
      <c r="I844" s="59"/>
      <c r="J844" s="59"/>
      <c r="K844" s="54"/>
    </row>
    <row r="845">
      <c r="A845" s="57"/>
      <c r="B845" s="57" t="str">
        <f>IFERROR(__xludf.DUMMYFUNCTION("""COMPUTED_VALUE"""),"Myocardial injury [HP:0001700]    ")</f>
        <v>Myocardial injury [HP:0001700]    </v>
      </c>
      <c r="C845" s="57" t="str">
        <f>IFERROR(__xludf.DUMMYFUNCTION("""COMPUTED_VALUE"""),"HP:0001700")</f>
        <v>HP:0001700</v>
      </c>
      <c r="D845" s="58"/>
      <c r="E845" s="56"/>
      <c r="F845" s="54"/>
      <c r="G845" s="54"/>
      <c r="H845" s="59"/>
      <c r="I845" s="59"/>
      <c r="J845" s="59"/>
      <c r="K845" s="54"/>
    </row>
    <row r="846">
      <c r="A846" s="57"/>
      <c r="B846" s="57" t="str">
        <f>IFERROR(__xludf.DUMMYFUNCTION("""COMPUTED_VALUE"""),"Neonatal complications [NCIT:C168498]    ")</f>
        <v>Neonatal complications [NCIT:C168498]    </v>
      </c>
      <c r="C846" s="57" t="str">
        <f>IFERROR(__xludf.DUMMYFUNCTION("""COMPUTED_VALUE"""),"CIT:C168498")</f>
        <v>CIT:C168498</v>
      </c>
      <c r="D846" s="58"/>
      <c r="E846" s="56"/>
      <c r="F846" s="54"/>
      <c r="G846" s="54"/>
      <c r="H846" s="59"/>
      <c r="I846" s="59"/>
      <c r="J846" s="59"/>
      <c r="K846" s="54"/>
    </row>
    <row r="847">
      <c r="A847" s="57"/>
      <c r="B847" s="57" t="str">
        <f>IFERROR(__xludf.DUMMYFUNCTION("""COMPUTED_VALUE"""),"Noncardiogenic pulmonary edema [GENEPIO:0100085]    ")</f>
        <v>Noncardiogenic pulmonary edema [GENEPIO:0100085]    </v>
      </c>
      <c r="C847" s="57" t="str">
        <f>IFERROR(__xludf.DUMMYFUNCTION("""COMPUTED_VALUE"""),"GENEPIO:0100085")</f>
        <v>GENEPIO:0100085</v>
      </c>
      <c r="D847" s="58"/>
      <c r="E847" s="56"/>
      <c r="F847" s="54"/>
      <c r="G847" s="54"/>
      <c r="H847" s="59"/>
      <c r="I847" s="59"/>
      <c r="J847" s="59"/>
      <c r="K847" s="54"/>
    </row>
    <row r="848">
      <c r="A848" s="57"/>
      <c r="B848" s="57" t="str">
        <f>IFERROR(__xludf.DUMMYFUNCTION("""COMPUTED_VALUE""")," Acute respiratory distress syndrome (ARDS) [HP:0033677]   ")</f>
        <v> Acute respiratory distress syndrome (ARDS) [HP:0033677]   </v>
      </c>
      <c r="C848" s="57" t="str">
        <f>IFERROR(__xludf.DUMMYFUNCTION("""COMPUTED_VALUE"""),"HP:0033677")</f>
        <v>HP:0033677</v>
      </c>
      <c r="D848" s="58"/>
      <c r="E848" s="56"/>
      <c r="F848" s="54"/>
      <c r="G848" s="54"/>
      <c r="H848" s="59"/>
      <c r="I848" s="59"/>
      <c r="J848" s="59"/>
      <c r="K848" s="54"/>
    </row>
    <row r="849">
      <c r="A849" s="57"/>
      <c r="B849" s="57" t="str">
        <f>IFERROR(__xludf.DUMMYFUNCTION("""COMPUTED_VALUE"""),"Organ failure [GENEPIO:0100094]    ")</f>
        <v>Organ failure [GENEPIO:0100094]    </v>
      </c>
      <c r="C849" s="57" t="str">
        <f>IFERROR(__xludf.DUMMYFUNCTION("""COMPUTED_VALUE"""),"GENEPIO:0100094")</f>
        <v>GENEPIO:0100094</v>
      </c>
      <c r="D849" s="58"/>
      <c r="E849" s="56"/>
      <c r="F849" s="54"/>
      <c r="G849" s="54"/>
      <c r="H849" s="59"/>
      <c r="I849" s="59"/>
      <c r="J849" s="59"/>
      <c r="K849" s="54"/>
    </row>
    <row r="850">
      <c r="A850" s="57"/>
      <c r="B850" s="57" t="str">
        <f>IFERROR(__xludf.DUMMYFUNCTION("""COMPUTED_VALUE"""),"Paralysis [HP:0003470]    ")</f>
        <v>Paralysis [HP:0003470]    </v>
      </c>
      <c r="C850" s="57" t="str">
        <f>IFERROR(__xludf.DUMMYFUNCTION("""COMPUTED_VALUE"""),"HP:0003470")</f>
        <v>HP:0003470</v>
      </c>
      <c r="D850" s="58"/>
      <c r="E850" s="56"/>
      <c r="F850" s="54"/>
      <c r="G850" s="54"/>
      <c r="H850" s="59"/>
      <c r="I850" s="59"/>
      <c r="J850" s="59"/>
      <c r="K850" s="54"/>
    </row>
    <row r="851">
      <c r="A851" s="57"/>
      <c r="B851" s="57" t="str">
        <f>IFERROR(__xludf.DUMMYFUNCTION("""COMPUTED_VALUE"""),"Pneumothorax (collapsed lung) [HP:0002107]    ")</f>
        <v>Pneumothorax (collapsed lung) [HP:0002107]    </v>
      </c>
      <c r="C851" s="57" t="str">
        <f>IFERROR(__xludf.DUMMYFUNCTION("""COMPUTED_VALUE"""),"HP:0002107")</f>
        <v>HP:0002107</v>
      </c>
      <c r="D851" s="58"/>
      <c r="E851" s="56"/>
      <c r="F851" s="54"/>
      <c r="G851" s="54"/>
      <c r="H851" s="59"/>
      <c r="I851" s="59"/>
      <c r="J851" s="59"/>
      <c r="K851" s="54"/>
    </row>
    <row r="852">
      <c r="A852" s="57"/>
      <c r="B852" s="57" t="str">
        <f>IFERROR(__xludf.DUMMYFUNCTION("""COMPUTED_VALUE"""),"Pneumonia (complication) [HP:0002090]    ")</f>
        <v>Pneumonia (complication) [HP:0002090]    </v>
      </c>
      <c r="C852" s="57" t="str">
        <f>IFERROR(__xludf.DUMMYFUNCTION("""COMPUTED_VALUE"""),"HP:0002090")</f>
        <v>HP:0002090</v>
      </c>
      <c r="D852" s="58"/>
      <c r="E852" s="56"/>
      <c r="F852" s="54"/>
      <c r="G852" s="54"/>
      <c r="H852" s="59"/>
      <c r="I852" s="59"/>
      <c r="J852" s="59"/>
      <c r="K852" s="54"/>
    </row>
    <row r="853">
      <c r="A853" s="57"/>
      <c r="B853" s="57" t="str">
        <f>IFERROR(__xludf.DUMMYFUNCTION("""COMPUTED_VALUE"""),"Pregancy complications [HP:0001197]    ")</f>
        <v>Pregancy complications [HP:0001197]    </v>
      </c>
      <c r="C853" s="57" t="str">
        <f>IFERROR(__xludf.DUMMYFUNCTION("""COMPUTED_VALUE"""),"HP:0001197")</f>
        <v>HP:0001197</v>
      </c>
      <c r="D853" s="58"/>
      <c r="E853" s="56"/>
      <c r="F853" s="54"/>
      <c r="G853" s="54"/>
      <c r="H853" s="59"/>
      <c r="I853" s="59"/>
      <c r="J853" s="59"/>
      <c r="K853" s="54"/>
    </row>
    <row r="854">
      <c r="A854" s="57"/>
      <c r="B854" s="57" t="str">
        <f>IFERROR(__xludf.DUMMYFUNCTION("""COMPUTED_VALUE"""),"Rhabdomyolysis [HP:0003201]    ")</f>
        <v>Rhabdomyolysis [HP:0003201]    </v>
      </c>
      <c r="C854" s="57" t="str">
        <f>IFERROR(__xludf.DUMMYFUNCTION("""COMPUTED_VALUE"""),"HP:0003201")</f>
        <v>HP:0003201</v>
      </c>
      <c r="D854" s="58"/>
      <c r="E854" s="56"/>
      <c r="F854" s="54"/>
      <c r="G854" s="54"/>
      <c r="H854" s="59"/>
      <c r="I854" s="59"/>
      <c r="J854" s="59"/>
      <c r="K854" s="54"/>
    </row>
    <row r="855">
      <c r="A855" s="57"/>
      <c r="B855" s="57" t="str">
        <f>IFERROR(__xludf.DUMMYFUNCTION("""COMPUTED_VALUE"""),"Secondary infection [IDO:0000567]    ")</f>
        <v>Secondary infection [IDO:0000567]    </v>
      </c>
      <c r="C855" s="57" t="str">
        <f>IFERROR(__xludf.DUMMYFUNCTION("""COMPUTED_VALUE"""),"IDO:0000567")</f>
        <v>IDO:0000567</v>
      </c>
      <c r="D855" s="58" t="str">
        <f>IFERROR(__xludf.DUMMYFUNCTION("""COMPUTED_VALUE"""),"An infection bearing the secondary infection role.")</f>
        <v>An infection bearing the secondary infection role.</v>
      </c>
      <c r="E855" s="56"/>
      <c r="F855" s="54"/>
      <c r="G855" s="54"/>
      <c r="H855" s="59"/>
      <c r="I855" s="59"/>
      <c r="J855" s="59"/>
      <c r="K855" s="54"/>
    </row>
    <row r="856">
      <c r="A856" s="57"/>
      <c r="B856" s="57" t="str">
        <f>IFERROR(__xludf.DUMMYFUNCTION("""COMPUTED_VALUE"""),"Seizure (complication) [HP:0001250]    ")</f>
        <v>Seizure (complication) [HP:0001250]    </v>
      </c>
      <c r="C856" s="57" t="str">
        <f>IFERROR(__xludf.DUMMYFUNCTION("""COMPUTED_VALUE"""),"HP:0001250")</f>
        <v>HP:0001250</v>
      </c>
      <c r="D856" s="58"/>
      <c r="E856" s="56"/>
      <c r="F856" s="54"/>
      <c r="G856" s="54"/>
      <c r="H856" s="59"/>
      <c r="I856" s="59"/>
      <c r="J856" s="59"/>
      <c r="K856" s="54"/>
    </row>
    <row r="857">
      <c r="A857" s="57"/>
      <c r="B857" s="57" t="str">
        <f>IFERROR(__xludf.DUMMYFUNCTION("""COMPUTED_VALUE"""),"Sepsis/Septicemia [HP:0100806]    ")</f>
        <v>Sepsis/Septicemia [HP:0100806]    </v>
      </c>
      <c r="C857" s="57" t="str">
        <f>IFERROR(__xludf.DUMMYFUNCTION("""COMPUTED_VALUE"""),"HP:0100806")</f>
        <v>HP:0100806</v>
      </c>
      <c r="D857" s="58" t="str">
        <f>IFERROR(__xludf.DUMMYFUNCTION("""COMPUTED_VALUE"""),"Systemic inflammatory response to infection.")</f>
        <v>Systemic inflammatory response to infection.</v>
      </c>
      <c r="E857" s="56"/>
      <c r="F857" s="54"/>
      <c r="G857" s="54"/>
      <c r="H857" s="59"/>
      <c r="I857" s="59"/>
      <c r="J857" s="59"/>
      <c r="K857" s="54"/>
    </row>
    <row r="858">
      <c r="A858" s="57"/>
      <c r="B858" s="57" t="str">
        <f>IFERROR(__xludf.DUMMYFUNCTION("""COMPUTED_VALUE""")," Sepsis (systemic inflammatory response to infection) [IDO:0000636]   ")</f>
        <v> Sepsis (systemic inflammatory response to infection) [IDO:0000636]   </v>
      </c>
      <c r="C858" s="57" t="str">
        <f>IFERROR(__xludf.DUMMYFUNCTION("""COMPUTED_VALUE"""),"IDO:0000636")</f>
        <v>IDO:0000636</v>
      </c>
      <c r="D858" s="58"/>
      <c r="E858" s="56"/>
      <c r="F858" s="54"/>
      <c r="G858" s="54"/>
      <c r="H858" s="59"/>
      <c r="I858" s="59"/>
      <c r="J858" s="59"/>
      <c r="K858" s="54"/>
    </row>
    <row r="859">
      <c r="A859" s="57"/>
      <c r="B859" s="57" t="str">
        <f>IFERROR(__xludf.DUMMYFUNCTION("""COMPUTED_VALUE""")," Septicemia (bloodstream infection) [NCIT:C3364]   ")</f>
        <v> Septicemia (bloodstream infection) [NCIT:C3364]   </v>
      </c>
      <c r="C859" s="57" t="str">
        <f>IFERROR(__xludf.DUMMYFUNCTION("""COMPUTED_VALUE"""),"NCIT:C3364")</f>
        <v>NCIT:C3364</v>
      </c>
      <c r="D859" s="58"/>
      <c r="E859" s="56"/>
      <c r="F859" s="54"/>
      <c r="G859" s="54"/>
      <c r="H859" s="59"/>
      <c r="I859" s="59"/>
      <c r="J859" s="59"/>
      <c r="K859" s="54"/>
    </row>
    <row r="860">
      <c r="A860" s="57"/>
      <c r="B860" s="57" t="str">
        <f>IFERROR(__xludf.DUMMYFUNCTION("""COMPUTED_VALUE"""),"Shock [HP:0031273]    ")</f>
        <v>Shock [HP:0031273]    </v>
      </c>
      <c r="C860" s="57" t="str">
        <f>IFERROR(__xludf.DUMMYFUNCTION("""COMPUTED_VALUE"""),"HP:0031273")</f>
        <v>HP:0031273</v>
      </c>
      <c r="D860" s="58"/>
      <c r="E860" s="56"/>
      <c r="F860" s="54"/>
      <c r="G860" s="54"/>
      <c r="H860" s="59"/>
      <c r="I860" s="59"/>
      <c r="J860" s="59"/>
      <c r="K860" s="54"/>
    </row>
    <row r="861">
      <c r="A861" s="57"/>
      <c r="B861" s="57" t="str">
        <f>IFERROR(__xludf.DUMMYFUNCTION("""COMPUTED_VALUE""")," Hyperinflammatory shock [GENEPIO:0100097]   ")</f>
        <v> Hyperinflammatory shock [GENEPIO:0100097]   </v>
      </c>
      <c r="C861" s="57" t="str">
        <f>IFERROR(__xludf.DUMMYFUNCTION("""COMPUTED_VALUE"""),"GENEPIO:0100097")</f>
        <v>GENEPIO:0100097</v>
      </c>
      <c r="D861" s="58"/>
      <c r="E861" s="56"/>
      <c r="F861" s="54"/>
      <c r="G861" s="54"/>
      <c r="H861" s="59"/>
      <c r="I861" s="59"/>
      <c r="J861" s="59"/>
      <c r="K861" s="54"/>
    </row>
    <row r="862">
      <c r="A862" s="57"/>
      <c r="B862" s="57" t="str">
        <f>IFERROR(__xludf.DUMMYFUNCTION("""COMPUTED_VALUE""")," Septic shock [NCIT:C35018]   ")</f>
        <v> Septic shock [NCIT:C35018]   </v>
      </c>
      <c r="C862" s="57" t="str">
        <f>IFERROR(__xludf.DUMMYFUNCTION("""COMPUTED_VALUE"""),"NCIT:C35018")</f>
        <v>NCIT:C35018</v>
      </c>
      <c r="D862" s="58"/>
      <c r="E862" s="56"/>
      <c r="F862" s="54"/>
      <c r="G862" s="54"/>
      <c r="H862" s="59"/>
      <c r="I862" s="59"/>
      <c r="J862" s="59"/>
      <c r="K862" s="54"/>
    </row>
    <row r="863">
      <c r="A863" s="57"/>
      <c r="B863" s="57" t="str">
        <f>IFERROR(__xludf.DUMMYFUNCTION("""COMPUTED_VALUE"""),"Vasculitis [HP:0002633]    ")</f>
        <v>Vasculitis [HP:0002633]    </v>
      </c>
      <c r="C863" s="57" t="str">
        <f>IFERROR(__xludf.DUMMYFUNCTION("""COMPUTED_VALUE"""),"HP:0002633")</f>
        <v>HP:0002633</v>
      </c>
      <c r="D863" s="58"/>
      <c r="E863" s="56"/>
      <c r="F863" s="54"/>
      <c r="G863" s="54"/>
      <c r="H863" s="59"/>
      <c r="I863" s="59"/>
      <c r="J863" s="59"/>
      <c r="K863" s="54"/>
    </row>
    <row r="864">
      <c r="A864" s="57" t="str">
        <f>IFERROR(__xludf.DUMMYFUNCTION("""COMPUTED_VALUE"""),"exposure_event menu")</f>
        <v>exposure_event menu</v>
      </c>
      <c r="B864" s="57" t="str">
        <f>IFERROR(__xludf.DUMMYFUNCTION("""COMPUTED_VALUE"""),"    ")</f>
        <v>    </v>
      </c>
      <c r="C864" s="57" t="str">
        <f>IFERROR(__xludf.DUMMYFUNCTION("""COMPUTED_VALUE"""),"")</f>
        <v/>
      </c>
      <c r="D864" s="58"/>
      <c r="E864" s="56"/>
      <c r="F864" s="54"/>
      <c r="G864" s="54"/>
      <c r="H864" s="59"/>
      <c r="I864" s="59"/>
      <c r="J864" s="59"/>
      <c r="K864" s="54"/>
    </row>
    <row r="865">
      <c r="A865" s="57"/>
      <c r="B865" s="57" t="str">
        <f>IFERROR(__xludf.DUMMYFUNCTION("""COMPUTED_VALUE"""),"Mass Gathering [GENEPIO:0100237]    ")</f>
        <v>Mass Gathering [GENEPIO:0100237]    </v>
      </c>
      <c r="C865" s="57" t="str">
        <f>IFERROR(__xludf.DUMMYFUNCTION("""COMPUTED_VALUE"""),"GENEPIO:0100237")</f>
        <v>GENEPIO:0100237</v>
      </c>
      <c r="D865" s="58" t="str">
        <f>IFERROR(__xludf.DUMMYFUNCTION("""COMPUTED_VALUE"""),"A gathering or event attended by a sufficient number of people to strain the planning and response resources of the host community, state/province, nation, or region where it is being held.")</f>
        <v>A gathering or event attended by a sufficient number of people to strain the planning and response resources of the host community, state/province, nation, or region where it is being held.</v>
      </c>
      <c r="E865" s="56"/>
      <c r="F865" s="54"/>
      <c r="G865" s="54"/>
      <c r="H865" s="59"/>
      <c r="I865" s="59"/>
      <c r="J865" s="59"/>
      <c r="K865" s="54"/>
    </row>
    <row r="866">
      <c r="A866" s="57"/>
      <c r="B866" s="57" t="str">
        <f>IFERROR(__xludf.DUMMYFUNCTION("""COMPUTED_VALUE""")," Convention [GENEPIO:0100238]   ")</f>
        <v> Convention [GENEPIO:0100238]   </v>
      </c>
      <c r="C866" s="57" t="str">
        <f>IFERROR(__xludf.DUMMYFUNCTION("""COMPUTED_VALUE"""),"GENEPIO:0100238")</f>
        <v>GENEPIO:0100238</v>
      </c>
      <c r="D866" s="58" t="str">
        <f>IFERROR(__xludf.DUMMYFUNCTION("""COMPUTED_VALUE"""),"A gathering of individuals who meet at an arranged place and time in order to discuss or engage in some common interest. The most common conventions are based upon industry, profession, and fandom.")</f>
        <v>A gathering of individuals who meet at an arranged place and time in order to discuss or engage in some common interest. The most common conventions are based upon industry, profession, and fandom.</v>
      </c>
      <c r="E866" s="56"/>
      <c r="F866" s="54"/>
      <c r="G866" s="54"/>
      <c r="H866" s="59"/>
      <c r="I866" s="59"/>
      <c r="J866" s="59"/>
      <c r="K866" s="54"/>
    </row>
    <row r="867">
      <c r="A867" s="57"/>
      <c r="B867" s="57" t="str">
        <f>IFERROR(__xludf.DUMMYFUNCTION("""COMPUTED_VALUE""")," Convocation [GENEPIO:0100239]   ")</f>
        <v> Convocation [GENEPIO:0100239]   </v>
      </c>
      <c r="C867" s="57" t="str">
        <f>IFERROR(__xludf.DUMMYFUNCTION("""COMPUTED_VALUE"""),"GENEPIO:0100239")</f>
        <v>GENEPIO:0100239</v>
      </c>
      <c r="D867" s="58"/>
      <c r="E867" s="56"/>
      <c r="F867" s="54"/>
      <c r="G867" s="54"/>
      <c r="H867" s="59"/>
      <c r="I867" s="59"/>
      <c r="J867" s="59"/>
      <c r="K867" s="54"/>
    </row>
    <row r="868">
      <c r="A868" s="57"/>
      <c r="B868" s="57" t="str">
        <f>IFERROR(__xludf.DUMMYFUNCTION("""COMPUTED_VALUE""")," Agricultural Event [GENEPIO:0100240]   ")</f>
        <v> Agricultural Event [GENEPIO:0100240]   </v>
      </c>
      <c r="C868" s="57" t="str">
        <f>IFERROR(__xludf.DUMMYFUNCTION("""COMPUTED_VALUE"""),"GENEPIO:0100240")</f>
        <v>GENEPIO:0100240</v>
      </c>
      <c r="D868" s="58" t="str">
        <f>IFERROR(__xludf.DUMMYFUNCTION("""COMPUTED_VALUE"""),"A gathering exhibiting the equipment, animals, sports and recreation associated with agriculture and animal husbandry.")</f>
        <v>A gathering exhibiting the equipment, animals, sports and recreation associated with agriculture and animal husbandry.</v>
      </c>
      <c r="E868" s="56"/>
      <c r="F868" s="54"/>
      <c r="G868" s="54"/>
      <c r="H868" s="59"/>
      <c r="I868" s="59"/>
      <c r="J868" s="59"/>
      <c r="K868" s="54"/>
    </row>
    <row r="869">
      <c r="A869" s="57"/>
      <c r="B869" s="57" t="str">
        <f>IFERROR(__xludf.DUMMYFUNCTION("""COMPUTED_VALUE"""),"Religious Gathering [GENEPIO:0100241]    ")</f>
        <v>Religious Gathering [GENEPIO:0100241]    </v>
      </c>
      <c r="C869" s="57" t="str">
        <f>IFERROR(__xludf.DUMMYFUNCTION("""COMPUTED_VALUE"""),"GENEPIO:0100241")</f>
        <v>GENEPIO:0100241</v>
      </c>
      <c r="D869" s="58"/>
      <c r="E869" s="56"/>
      <c r="F869" s="54"/>
      <c r="G869" s="54"/>
      <c r="H869" s="59"/>
      <c r="I869" s="59"/>
      <c r="J869" s="59"/>
      <c r="K869" s="54"/>
    </row>
    <row r="870">
      <c r="A870" s="57"/>
      <c r="B870" s="57" t="str">
        <f>IFERROR(__xludf.DUMMYFUNCTION("""COMPUTED_VALUE""")," Mass [GENEPIO:0100242]   ")</f>
        <v> Mass [GENEPIO:0100242]   </v>
      </c>
      <c r="C870" s="57" t="str">
        <f>IFERROR(__xludf.DUMMYFUNCTION("""COMPUTED_VALUE"""),"GENEPIO:0100242")</f>
        <v>GENEPIO:0100242</v>
      </c>
      <c r="D870" s="58"/>
      <c r="E870" s="56"/>
      <c r="F870" s="54"/>
      <c r="G870" s="54"/>
      <c r="H870" s="59"/>
      <c r="I870" s="59"/>
      <c r="J870" s="59"/>
      <c r="K870" s="54"/>
    </row>
    <row r="871">
      <c r="A871" s="57"/>
      <c r="B871" s="57" t="str">
        <f>IFERROR(__xludf.DUMMYFUNCTION("""COMPUTED_VALUE"""),"Social Gathering [PCO:0000033]    ")</f>
        <v>Social Gathering [PCO:0000033]    </v>
      </c>
      <c r="C871" s="57" t="str">
        <f>IFERROR(__xludf.DUMMYFUNCTION("""COMPUTED_VALUE"""),"PCO:0000033")</f>
        <v>PCO:0000033</v>
      </c>
      <c r="D871" s="58" t="str">
        <f>IFERROR(__xludf.DUMMYFUNCTION("""COMPUTED_VALUE"""),"A type of social behavior in which a collection of humans intentionally gathers together on a temporary basis to engage socially.")</f>
        <v>A type of social behavior in which a collection of humans intentionally gathers together on a temporary basis to engage socially.</v>
      </c>
      <c r="E871" s="56"/>
      <c r="F871" s="54"/>
      <c r="G871" s="54"/>
      <c r="H871" s="59"/>
      <c r="I871" s="59"/>
      <c r="J871" s="59"/>
      <c r="K871" s="54"/>
    </row>
    <row r="872">
      <c r="A872" s="57"/>
      <c r="B872" s="57" t="str">
        <f>IFERROR(__xludf.DUMMYFUNCTION("""COMPUTED_VALUE""")," Baby Shower [PCO:0000039]   ")</f>
        <v> Baby Shower [PCO:0000039]   </v>
      </c>
      <c r="C872" s="57" t="str">
        <f>IFERROR(__xludf.DUMMYFUNCTION("""COMPUTED_VALUE"""),"PCO:0000039")</f>
        <v>PCO:0000039</v>
      </c>
      <c r="D872" s="58"/>
      <c r="E872" s="56"/>
      <c r="F872" s="54"/>
      <c r="G872" s="54"/>
      <c r="H872" s="59"/>
      <c r="I872" s="59"/>
      <c r="J872" s="59"/>
      <c r="K872" s="54"/>
    </row>
    <row r="873">
      <c r="A873" s="57"/>
      <c r="B873" s="57" t="str">
        <f>IFERROR(__xludf.DUMMYFUNCTION("""COMPUTED_VALUE""")," Community Event [PCO:0000034]   ")</f>
        <v> Community Event [PCO:0000034]   </v>
      </c>
      <c r="C873" s="57" t="str">
        <f>IFERROR(__xludf.DUMMYFUNCTION("""COMPUTED_VALUE"""),"PCO:0000034")</f>
        <v>PCO:0000034</v>
      </c>
      <c r="D873" s="58"/>
      <c r="E873" s="56"/>
      <c r="F873" s="54"/>
      <c r="G873" s="54"/>
      <c r="H873" s="59"/>
      <c r="I873" s="59"/>
      <c r="J873" s="59"/>
      <c r="K873" s="54"/>
    </row>
    <row r="874">
      <c r="A874" s="57"/>
      <c r="B874" s="57" t="str">
        <f>IFERROR(__xludf.DUMMYFUNCTION("""COMPUTED_VALUE""")," Family Gathering [GENEPIO:0100243]   ")</f>
        <v> Family Gathering [GENEPIO:0100243]   </v>
      </c>
      <c r="C874" s="57" t="str">
        <f>IFERROR(__xludf.DUMMYFUNCTION("""COMPUTED_VALUE"""),"GENEPIO:0100243")</f>
        <v>GENEPIO:0100243</v>
      </c>
      <c r="D874" s="58"/>
      <c r="E874" s="56"/>
      <c r="F874" s="54"/>
      <c r="G874" s="54"/>
      <c r="H874" s="59"/>
      <c r="I874" s="59"/>
      <c r="J874" s="59"/>
      <c r="K874" s="54"/>
    </row>
    <row r="875">
      <c r="A875" s="57"/>
      <c r="B875" s="57" t="str">
        <f>IFERROR(__xludf.DUMMYFUNCTION("""COMPUTED_VALUE"""),"  Family Reunion [GENEPIO:0100244]  ")</f>
        <v>  Family Reunion [GENEPIO:0100244]  </v>
      </c>
      <c r="C875" s="57" t="str">
        <f>IFERROR(__xludf.DUMMYFUNCTION("""COMPUTED_VALUE"""),"GENEPIO:0100244")</f>
        <v>GENEPIO:0100244</v>
      </c>
      <c r="D875" s="58"/>
      <c r="E875" s="56"/>
      <c r="F875" s="54"/>
      <c r="G875" s="54"/>
      <c r="H875" s="59"/>
      <c r="I875" s="59"/>
      <c r="J875" s="59"/>
      <c r="K875" s="54"/>
    </row>
    <row r="876">
      <c r="A876" s="57"/>
      <c r="B876" s="57" t="str">
        <f>IFERROR(__xludf.DUMMYFUNCTION("""COMPUTED_VALUE""")," Funeral [GENEPIO:0100245]   ")</f>
        <v> Funeral [GENEPIO:0100245]   </v>
      </c>
      <c r="C876" s="57" t="str">
        <f>IFERROR(__xludf.DUMMYFUNCTION("""COMPUTED_VALUE"""),"GENEPIO:0100245")</f>
        <v>GENEPIO:0100245</v>
      </c>
      <c r="D876" s="58"/>
      <c r="E876" s="56"/>
      <c r="F876" s="54"/>
      <c r="G876" s="54"/>
      <c r="H876" s="59"/>
      <c r="I876" s="59"/>
      <c r="J876" s="59"/>
      <c r="K876" s="54"/>
    </row>
    <row r="877">
      <c r="A877" s="57"/>
      <c r="B877" s="57" t="str">
        <f>IFERROR(__xludf.DUMMYFUNCTION("""COMPUTED_VALUE""")," Party [PCO:0000035]   ")</f>
        <v> Party [PCO:0000035]   </v>
      </c>
      <c r="C877" s="57" t="str">
        <f>IFERROR(__xludf.DUMMYFUNCTION("""COMPUTED_VALUE"""),"PCO:0000035")</f>
        <v>PCO:0000035</v>
      </c>
      <c r="D877" s="58"/>
      <c r="E877" s="56"/>
      <c r="F877" s="54"/>
      <c r="G877" s="54"/>
      <c r="H877" s="59"/>
      <c r="I877" s="59"/>
      <c r="J877" s="59"/>
      <c r="K877" s="54"/>
    </row>
    <row r="878">
      <c r="A878" s="57"/>
      <c r="B878" s="57" t="str">
        <f>IFERROR(__xludf.DUMMYFUNCTION("""COMPUTED_VALUE""")," Potluck [PCO:0000037]   ")</f>
        <v> Potluck [PCO:0000037]   </v>
      </c>
      <c r="C878" s="57" t="str">
        <f>IFERROR(__xludf.DUMMYFUNCTION("""COMPUTED_VALUE"""),"PCO:0000037")</f>
        <v>PCO:0000037</v>
      </c>
      <c r="D878" s="58"/>
      <c r="E878" s="56"/>
      <c r="F878" s="54"/>
      <c r="G878" s="54"/>
      <c r="H878" s="59"/>
      <c r="I878" s="59"/>
      <c r="J878" s="59"/>
      <c r="K878" s="54"/>
    </row>
    <row r="879">
      <c r="A879" s="57"/>
      <c r="B879" s="57" t="str">
        <f>IFERROR(__xludf.DUMMYFUNCTION("""COMPUTED_VALUE""")," Wedding [PCO:0000038]   ")</f>
        <v> Wedding [PCO:0000038]   </v>
      </c>
      <c r="C879" s="57" t="str">
        <f>IFERROR(__xludf.DUMMYFUNCTION("""COMPUTED_VALUE"""),"PCO:0000038")</f>
        <v>PCO:0000038</v>
      </c>
      <c r="D879" s="58"/>
      <c r="E879" s="56"/>
      <c r="F879" s="54"/>
      <c r="G879" s="54"/>
      <c r="H879" s="59"/>
      <c r="I879" s="59"/>
      <c r="J879" s="59"/>
      <c r="K879" s="54"/>
    </row>
    <row r="880">
      <c r="A880" s="57"/>
      <c r="B880" s="57" t="str">
        <f>IFERROR(__xludf.DUMMYFUNCTION("""COMPUTED_VALUE"""),"Animal contact event [GENEPIO:0101183]    ")</f>
        <v>Animal contact event [GENEPIO:0101183]    </v>
      </c>
      <c r="C880" s="57" t="str">
        <f>IFERROR(__xludf.DUMMYFUNCTION("""COMPUTED_VALUE"""),"GENEPIO:0101183")</f>
        <v>GENEPIO:0101183</v>
      </c>
      <c r="D880" s="58"/>
      <c r="E880" s="56"/>
      <c r="F880" s="54"/>
      <c r="G880" s="54"/>
      <c r="H880" s="59"/>
      <c r="I880" s="59"/>
      <c r="J880" s="59"/>
      <c r="K880" s="54"/>
    </row>
    <row r="881">
      <c r="A881" s="57"/>
      <c r="B881" s="57" t="str">
        <f>IFERROR(__xludf.DUMMYFUNCTION("""COMPUTED_VALUE""")," Trip to a live animal market [GENEPIO:0101185]   ")</f>
        <v> Trip to a live animal market [GENEPIO:0101185]   </v>
      </c>
      <c r="C881" s="57" t="str">
        <f>IFERROR(__xludf.DUMMYFUNCTION("""COMPUTED_VALUE"""),"GENEPIO:0101185")</f>
        <v>GENEPIO:0101185</v>
      </c>
      <c r="D881" s="58"/>
      <c r="E881" s="56"/>
      <c r="F881" s="54"/>
      <c r="G881" s="54"/>
      <c r="H881" s="59"/>
      <c r="I881" s="59"/>
      <c r="J881" s="59"/>
      <c r="K881" s="54"/>
    </row>
    <row r="882">
      <c r="A882" s="57"/>
      <c r="B882" s="57" t="str">
        <f>IFERROR(__xludf.DUMMYFUNCTION("""COMPUTED_VALUE""")," Trip to a farm [GENEPIO:0101186]   ")</f>
        <v> Trip to a farm [GENEPIO:0101186]   </v>
      </c>
      <c r="C882" s="57" t="str">
        <f>IFERROR(__xludf.DUMMYFUNCTION("""COMPUTED_VALUE"""),"GENEPIO:0101186")</f>
        <v>GENEPIO:0101186</v>
      </c>
      <c r="D882" s="58"/>
      <c r="E882" s="56"/>
      <c r="F882" s="54"/>
      <c r="G882" s="54"/>
      <c r="H882" s="59"/>
      <c r="I882" s="59"/>
      <c r="J882" s="59"/>
      <c r="K882" s="54"/>
    </row>
    <row r="883">
      <c r="A883" s="57"/>
      <c r="B883" s="57" t="str">
        <f>IFERROR(__xludf.DUMMYFUNCTION("""COMPUTED_VALUE""")," Wildlife encounter [GENEPIO:0101188]   ")</f>
        <v> Wildlife encounter [GENEPIO:0101188]   </v>
      </c>
      <c r="C883" s="57" t="str">
        <f>IFERROR(__xludf.DUMMYFUNCTION("""COMPUTED_VALUE"""),"GENEPIO:0101188")</f>
        <v>GENEPIO:0101188</v>
      </c>
      <c r="D883" s="58"/>
      <c r="E883" s="56"/>
      <c r="F883" s="54"/>
      <c r="G883" s="54"/>
      <c r="H883" s="59"/>
      <c r="I883" s="59"/>
      <c r="J883" s="59"/>
      <c r="K883" s="54"/>
    </row>
    <row r="884">
      <c r="A884" s="57"/>
      <c r="B884" s="57" t="str">
        <f>IFERROR(__xludf.DUMMYFUNCTION("""COMPUTED_VALUE"""),"  Hunting trip [GENEPIO:0101184]  ")</f>
        <v>  Hunting trip [GENEPIO:0101184]  </v>
      </c>
      <c r="C884" s="57" t="str">
        <f>IFERROR(__xludf.DUMMYFUNCTION("""COMPUTED_VALUE"""),"GENEPIO:0101184")</f>
        <v>GENEPIO:0101184</v>
      </c>
      <c r="D884" s="58"/>
      <c r="E884" s="56"/>
      <c r="F884" s="54"/>
      <c r="G884" s="54"/>
      <c r="H884" s="59"/>
      <c r="I884" s="59"/>
      <c r="J884" s="59"/>
      <c r="K884" s="54"/>
    </row>
    <row r="885">
      <c r="A885" s="57"/>
      <c r="B885" s="57" t="str">
        <f>IFERROR(__xludf.DUMMYFUNCTION("""COMPUTED_VALUE"""),"Animal transportation event [GENEPIO:0101187]    ")</f>
        <v>Animal transportation event [GENEPIO:0101187]    </v>
      </c>
      <c r="C885" s="57" t="str">
        <f>IFERROR(__xludf.DUMMYFUNCTION("""COMPUTED_VALUE"""),"GENEPIO:0101187")</f>
        <v>GENEPIO:0101187</v>
      </c>
      <c r="D885" s="58"/>
      <c r="E885" s="56"/>
      <c r="F885" s="54"/>
      <c r="G885" s="54"/>
      <c r="H885" s="59"/>
      <c r="I885" s="59"/>
      <c r="J885" s="59"/>
      <c r="K885" s="54"/>
    </row>
    <row r="886">
      <c r="A886" s="57"/>
      <c r="B886" s="57" t="str">
        <f>IFERROR(__xludf.DUMMYFUNCTION("""COMPUTED_VALUE"""),"Other exposure event    ")</f>
        <v>Other exposure event    </v>
      </c>
      <c r="C886" s="57" t="str">
        <f>IFERROR(__xludf.DUMMYFUNCTION("""COMPUTED_VALUE"""),"")</f>
        <v/>
      </c>
      <c r="D886" s="58"/>
      <c r="E886" s="56"/>
      <c r="F886" s="54"/>
      <c r="G886" s="54"/>
      <c r="H886" s="59"/>
      <c r="I886" s="59"/>
      <c r="J886" s="59"/>
      <c r="K886" s="54"/>
    </row>
    <row r="887">
      <c r="A887" s="57" t="str">
        <f>IFERROR(__xludf.DUMMYFUNCTION("""COMPUTED_VALUE"""),"exposure_contact_level menu")</f>
        <v>exposure_contact_level menu</v>
      </c>
      <c r="B887" s="57" t="str">
        <f>IFERROR(__xludf.DUMMYFUNCTION("""COMPUTED_VALUE"""),"    ")</f>
        <v>    </v>
      </c>
      <c r="C887" s="57" t="str">
        <f>IFERROR(__xludf.DUMMYFUNCTION("""COMPUTED_VALUE"""),"")</f>
        <v/>
      </c>
      <c r="D887" s="58"/>
      <c r="E887" s="56"/>
      <c r="F887" s="54"/>
      <c r="G887" s="54"/>
      <c r="H887" s="59"/>
      <c r="I887" s="59"/>
      <c r="J887" s="59"/>
      <c r="K887" s="54"/>
    </row>
    <row r="888">
      <c r="A888" s="57"/>
      <c r="B888" s="57" t="str">
        <f>IFERROR(__xludf.DUMMYFUNCTION("""COMPUTED_VALUE"""),"Contact with infected animal [GENEPIO:0101189]    ")</f>
        <v>Contact with infected animal [GENEPIO:0101189]    </v>
      </c>
      <c r="C888" s="57" t="str">
        <f>IFERROR(__xludf.DUMMYFUNCTION("""COMPUTED_VALUE"""),"GENEPIO:0101189")</f>
        <v>GENEPIO:0101189</v>
      </c>
      <c r="D888" s="58"/>
      <c r="E888" s="56"/>
      <c r="F888" s="54"/>
      <c r="G888" s="54"/>
      <c r="H888" s="59"/>
      <c r="I888" s="59"/>
      <c r="J888" s="59"/>
      <c r="K888" s="54"/>
    </row>
    <row r="889">
      <c r="A889" s="57"/>
      <c r="B889" s="57" t="str">
        <f>IFERROR(__xludf.DUMMYFUNCTION("""COMPUTED_VALUE""")," Direct (host-to-animal contact) [GENEPIO:0101190]   ")</f>
        <v> Direct (host-to-animal contact) [GENEPIO:0101190]   </v>
      </c>
      <c r="C889" s="57" t="str">
        <f>IFERROR(__xludf.DUMMYFUNCTION("""COMPUTED_VALUE"""),"GENEPIO:0101190")</f>
        <v>GENEPIO:0101190</v>
      </c>
      <c r="D889" s="58"/>
      <c r="E889" s="56"/>
      <c r="F889" s="54"/>
      <c r="G889" s="54"/>
      <c r="H889" s="59"/>
      <c r="I889" s="59"/>
      <c r="J889" s="59"/>
      <c r="K889" s="54"/>
    </row>
    <row r="890">
      <c r="A890" s="57"/>
      <c r="B890" s="57" t="str">
        <f>IFERROR(__xludf.DUMMYFUNCTION("""COMPUTED_VALUE""")," Indirect contact (host-to-animal) [GENEPIO:0101191]   ")</f>
        <v> Indirect contact (host-to-animal) [GENEPIO:0101191]   </v>
      </c>
      <c r="C890" s="57" t="str">
        <f>IFERROR(__xludf.DUMMYFUNCTION("""COMPUTED_VALUE"""),"GENEPIO:0101191")</f>
        <v>GENEPIO:0101191</v>
      </c>
      <c r="D890" s="58"/>
      <c r="E890" s="56"/>
      <c r="F890" s="54"/>
      <c r="G890" s="54"/>
      <c r="H890" s="59"/>
      <c r="I890" s="59"/>
      <c r="J890" s="59"/>
      <c r="K890" s="54"/>
    </row>
    <row r="891">
      <c r="A891" s="57"/>
      <c r="B891" s="57" t="str">
        <f>IFERROR(__xludf.DUMMYFUNCTION("""COMPUTED_VALUE"""),"  Close animal contact (face-to-face contact) [GENEPIO:0101192]  ")</f>
        <v>  Close animal contact (face-to-face contact) [GENEPIO:0101192]  </v>
      </c>
      <c r="C891" s="57" t="str">
        <f>IFERROR(__xludf.DUMMYFUNCTION("""COMPUTED_VALUE"""),"GENEPIO:0101192")</f>
        <v>GENEPIO:0101192</v>
      </c>
      <c r="D891" s="58"/>
      <c r="E891" s="56"/>
      <c r="F891" s="54"/>
      <c r="G891" s="54"/>
      <c r="H891" s="59"/>
      <c r="I891" s="59"/>
      <c r="J891" s="59"/>
      <c r="K891" s="54"/>
    </row>
    <row r="892">
      <c r="A892" s="57"/>
      <c r="B892" s="57" t="str">
        <f>IFERROR(__xludf.DUMMYFUNCTION("""COMPUTED_VALUE"""),"  Casual animal contact [GENEPIO:0101193]  ")</f>
        <v>  Casual animal contact [GENEPIO:0101193]  </v>
      </c>
      <c r="C892" s="57" t="str">
        <f>IFERROR(__xludf.DUMMYFUNCTION("""COMPUTED_VALUE"""),"GENEPIO:0101193")</f>
        <v>GENEPIO:0101193</v>
      </c>
      <c r="D892" s="58"/>
      <c r="E892" s="56"/>
      <c r="F892" s="54"/>
      <c r="G892" s="54"/>
      <c r="H892" s="59"/>
      <c r="I892" s="59"/>
      <c r="J892" s="59"/>
      <c r="K892" s="54"/>
    </row>
    <row r="893">
      <c r="A893" s="57"/>
      <c r="B893" s="57" t="str">
        <f>IFERROR(__xludf.DUMMYFUNCTION("""COMPUTED_VALUE"""),"Contact with infected individual    ")</f>
        <v>Contact with infected individual    </v>
      </c>
      <c r="C893" s="57" t="str">
        <f>IFERROR(__xludf.DUMMYFUNCTION("""COMPUTED_VALUE"""),"")</f>
        <v/>
      </c>
      <c r="D893" s="58"/>
      <c r="E893" s="56"/>
      <c r="F893" s="54"/>
      <c r="G893" s="54"/>
      <c r="H893" s="59"/>
      <c r="I893" s="59"/>
      <c r="J893" s="59"/>
      <c r="K893" s="54"/>
    </row>
    <row r="894">
      <c r="A894" s="57"/>
      <c r="B894" s="57" t="str">
        <f>IFERROR(__xludf.DUMMYFUNCTION("""COMPUTED_VALUE""")," Direct (human-to-human contact) [TRANS:0000001]   ")</f>
        <v> Direct (human-to-human contact) [TRANS:0000001]   </v>
      </c>
      <c r="C894" s="57" t="str">
        <f>IFERROR(__xludf.DUMMYFUNCTION("""COMPUTED_VALUE"""),"TRANS:0000001")</f>
        <v>TRANS:0000001</v>
      </c>
      <c r="D894" s="58" t="str">
        <f>IFERROR(__xludf.DUMMYFUNCTION("""COMPUTED_VALUE"""),"Direct and essentially immediate transfer of infectious agents to a receptive portal of entry through which human or animal infection may take place. This may be by direct contact such as touching, kissing, biting, or sexual intercourse or by the direct p"&amp;"rojection (droplet spread) of droplet spray onto the conjunctiva or the mucous membranes of the eyes, nose, or mouth. It may also be by direct exposure of susceptible tissue to an agent in soil, compost, or decaying vegetable matter or by the bite of a ra"&amp;"bid animal. Transplacental transmission is another form of direct transmission.")</f>
        <v>Direct and essentially immediate transfer of infectious agents to a receptive portal of entry through which human or animal infection may take place. This may be by direct contact such as touching, kissing, biting, or sexual intercourse or by the direct projection (droplet spread) of droplet spray onto the conjunctiva or the mucous membranes of the eyes, nose, or mouth. It may also be by direct exposure of susceptible tissue to an agent in soil, compost, or decaying vegetable matter or by the bite of a rabid animal. Transplacental transmission is another form of direct transmission.</v>
      </c>
      <c r="E894" s="56"/>
      <c r="F894" s="54"/>
      <c r="G894" s="54"/>
      <c r="H894" s="59"/>
      <c r="I894" s="59"/>
      <c r="J894" s="59"/>
      <c r="K894" s="54"/>
    </row>
    <row r="895">
      <c r="A895" s="57"/>
      <c r="B895" s="57" t="str">
        <f>IFERROR(__xludf.DUMMYFUNCTION("""COMPUTED_VALUE""")," Indirect contact [GENEPIO:0100246]   ")</f>
        <v> Indirect contact [GENEPIO:0100246]   </v>
      </c>
      <c r="C895" s="57" t="str">
        <f>IFERROR(__xludf.DUMMYFUNCTION("""COMPUTED_VALUE"""),"GENEPIO:0100246")</f>
        <v>GENEPIO:0100246</v>
      </c>
      <c r="D895" s="58" t="str">
        <f>IFERROR(__xludf.DUMMYFUNCTION("""COMPUTED_VALUE"""),"A type of contact in which an individual does not come in direct contact with a source of infection e.g. through airborne transmission, contact with contaminated surfaces. ")</f>
        <v>A type of contact in which an individual does not come in direct contact with a source of infection e.g. through airborne transmission, contact with contaminated surfaces. </v>
      </c>
      <c r="E895" s="56"/>
      <c r="F895" s="54"/>
      <c r="G895" s="54"/>
      <c r="H895" s="59"/>
      <c r="I895" s="59"/>
      <c r="J895" s="59"/>
      <c r="K895" s="54"/>
    </row>
    <row r="896">
      <c r="A896" s="57"/>
      <c r="B896" s="57" t="str">
        <f>IFERROR(__xludf.DUMMYFUNCTION("""COMPUTED_VALUE"""),"  Close contact (face-to-face contact) [GENEPIO:0100247]  ")</f>
        <v>  Close contact (face-to-face contact) [GENEPIO:0100247]  </v>
      </c>
      <c r="C896" s="57" t="str">
        <f>IFERROR(__xludf.DUMMYFUNCTION("""COMPUTED_VALUE"""),"GENEPIO:0100247")</f>
        <v>GENEPIO:0100247</v>
      </c>
      <c r="D896" s="58" t="str">
        <f>IFERROR(__xludf.DUMMYFUNCTION("""COMPUTED_VALUE"""),"A type of indirect contact where an individual sustains unprotected exposure by being within 6 feet of an infected individual over a sustained period of time.")</f>
        <v>A type of indirect contact where an individual sustains unprotected exposure by being within 6 feet of an infected individual over a sustained period of time.</v>
      </c>
      <c r="E896" s="56"/>
      <c r="F896" s="54"/>
      <c r="G896" s="54"/>
      <c r="H896" s="59"/>
      <c r="I896" s="59"/>
      <c r="J896" s="59"/>
      <c r="K896" s="54"/>
    </row>
    <row r="897">
      <c r="A897" s="57"/>
      <c r="B897" s="57" t="str">
        <f>IFERROR(__xludf.DUMMYFUNCTION("""COMPUTED_VALUE"""),"  Casual contact [GENEPIO:0100248]  ")</f>
        <v>  Casual contact [GENEPIO:0100248]  </v>
      </c>
      <c r="C897" s="57" t="str">
        <f>IFERROR(__xludf.DUMMYFUNCTION("""COMPUTED_VALUE"""),"GENEPIO:0100248")</f>
        <v>GENEPIO:0100248</v>
      </c>
      <c r="D897" s="58" t="str">
        <f>IFERROR(__xludf.DUMMYFUNCTION("""COMPUTED_VALUE"""),"A type of indirect contact where an individual may at the same location at the same time as a positive case; however, they may have been there only briefly, or it may have been a location that carries a lower risk of transmission.")</f>
        <v>A type of indirect contact where an individual may at the same location at the same time as a positive case; however, they may have been there only briefly, or it may have been a location that carries a lower risk of transmission.</v>
      </c>
      <c r="E897" s="56"/>
      <c r="F897" s="54"/>
      <c r="G897" s="54"/>
      <c r="H897" s="59"/>
      <c r="I897" s="59"/>
      <c r="J897" s="59"/>
      <c r="K897" s="54"/>
    </row>
    <row r="898">
      <c r="A898" s="57" t="str">
        <f>IFERROR(__xludf.DUMMYFUNCTION("""COMPUTED_VALUE"""),"host_role menu")</f>
        <v>host_role menu</v>
      </c>
      <c r="B898" s="57" t="str">
        <f>IFERROR(__xludf.DUMMYFUNCTION("""COMPUTED_VALUE"""),"    ")</f>
        <v>    </v>
      </c>
      <c r="C898" s="57" t="str">
        <f>IFERROR(__xludf.DUMMYFUNCTION("""COMPUTED_VALUE"""),"")</f>
        <v/>
      </c>
      <c r="D898" s="58"/>
      <c r="E898" s="56"/>
      <c r="F898" s="54"/>
      <c r="G898" s="54"/>
      <c r="H898" s="59"/>
      <c r="I898" s="59"/>
      <c r="J898" s="59"/>
      <c r="K898" s="54"/>
    </row>
    <row r="899">
      <c r="A899" s="57"/>
      <c r="B899" s="57" t="str">
        <f>IFERROR(__xludf.DUMMYFUNCTION("""COMPUTED_VALUE"""),"Attendee [GENEPIO:0100249]    ")</f>
        <v>Attendee [GENEPIO:0100249]    </v>
      </c>
      <c r="C899" s="57" t="str">
        <f>IFERROR(__xludf.DUMMYFUNCTION("""COMPUTED_VALUE"""),"GENEPIO:0100249")</f>
        <v>GENEPIO:0100249</v>
      </c>
      <c r="D899" s="58" t="str">
        <f>IFERROR(__xludf.DUMMYFUNCTION("""COMPUTED_VALUE"""),"A role inhering in a person that is realized when the bearer is present on a given occasion or at a given place.")</f>
        <v>A role inhering in a person that is realized when the bearer is present on a given occasion or at a given place.</v>
      </c>
      <c r="E899" s="56"/>
      <c r="F899" s="54"/>
      <c r="G899" s="54"/>
      <c r="H899" s="59"/>
      <c r="I899" s="59"/>
      <c r="J899" s="59"/>
      <c r="K899" s="54"/>
    </row>
    <row r="900">
      <c r="A900" s="57"/>
      <c r="B900" s="57" t="str">
        <f>IFERROR(__xludf.DUMMYFUNCTION("""COMPUTED_VALUE""")," Student [OMRSE:00000058]   ")</f>
        <v> Student [OMRSE:00000058]   </v>
      </c>
      <c r="C900" s="57" t="str">
        <f>IFERROR(__xludf.DUMMYFUNCTION("""COMPUTED_VALUE"""),"OMRSE:00000058")</f>
        <v>OMRSE:00000058</v>
      </c>
      <c r="D900" s="58" t="str">
        <f>IFERROR(__xludf.DUMMYFUNCTION("""COMPUTED_VALUE"""),"A human social role that, if realized, is realized by the process of formal education that the bearer undergoes.")</f>
        <v>A human social role that, if realized, is realized by the process of formal education that the bearer undergoes.</v>
      </c>
      <c r="E900" s="56"/>
      <c r="F900" s="54"/>
      <c r="G900" s="54"/>
      <c r="H900" s="59"/>
      <c r="I900" s="59"/>
      <c r="J900" s="59"/>
      <c r="K900" s="54"/>
    </row>
    <row r="901">
      <c r="A901" s="57"/>
      <c r="B901" s="57" t="str">
        <f>IFERROR(__xludf.DUMMYFUNCTION("""COMPUTED_VALUE"""),"Patient [OMRSE:00000030]    ")</f>
        <v>Patient [OMRSE:00000030]    </v>
      </c>
      <c r="C901" s="57" t="str">
        <f>IFERROR(__xludf.DUMMYFUNCTION("""COMPUTED_VALUE"""),"OMRSE:00000030")</f>
        <v>OMRSE:00000030</v>
      </c>
      <c r="D901" s="58" t="str">
        <f>IFERROR(__xludf.DUMMYFUNCTION("""COMPUTED_VALUE"""),"A patient role that inheres in a human being.")</f>
        <v>A patient role that inheres in a human being.</v>
      </c>
      <c r="E901" s="56"/>
      <c r="F901" s="54"/>
      <c r="G901" s="54"/>
      <c r="H901" s="59"/>
      <c r="I901" s="59"/>
      <c r="J901" s="59"/>
      <c r="K901" s="54"/>
    </row>
    <row r="902">
      <c r="A902" s="57"/>
      <c r="B902" s="57" t="str">
        <f>IFERROR(__xludf.DUMMYFUNCTION("""COMPUTED_VALUE""")," Inpatient [NCIT:C25182]   ")</f>
        <v> Inpatient [NCIT:C25182]   </v>
      </c>
      <c r="C902" s="57" t="str">
        <f>IFERROR(__xludf.DUMMYFUNCTION("""COMPUTED_VALUE"""),"NCIT:C25182")</f>
        <v>NCIT:C25182</v>
      </c>
      <c r="D902" s="58" t="str">
        <f>IFERROR(__xludf.DUMMYFUNCTION("""COMPUTED_VALUE"""),"A patient who is residing in the hospital where he is being treated.")</f>
        <v>A patient who is residing in the hospital where he is being treated.</v>
      </c>
      <c r="E902" s="56"/>
      <c r="F902" s="54"/>
      <c r="G902" s="54"/>
      <c r="H902" s="59"/>
      <c r="I902" s="59"/>
      <c r="J902" s="59"/>
      <c r="K902" s="54"/>
    </row>
    <row r="903">
      <c r="A903" s="57"/>
      <c r="B903" s="57" t="str">
        <f>IFERROR(__xludf.DUMMYFUNCTION("""COMPUTED_VALUE""")," Outpatient [NCIT:C28293]   ")</f>
        <v> Outpatient [NCIT:C28293]   </v>
      </c>
      <c r="C903" s="57" t="str">
        <f>IFERROR(__xludf.DUMMYFUNCTION("""COMPUTED_VALUE"""),"NCIT:C28293")</f>
        <v>NCIT:C28293</v>
      </c>
      <c r="D903" s="58" t="str">
        <f>IFERROR(__xludf.DUMMYFUNCTION("""COMPUTED_VALUE"""),"A patient who comes to a healthcare facility for diagnosis or treatment but is not admitted for an overnight stay.")</f>
        <v>A patient who comes to a healthcare facility for diagnosis or treatment but is not admitted for an overnight stay.</v>
      </c>
      <c r="E903" s="56"/>
      <c r="F903" s="54"/>
      <c r="G903" s="54"/>
      <c r="H903" s="59"/>
      <c r="I903" s="59"/>
      <c r="J903" s="59"/>
      <c r="K903" s="54"/>
    </row>
    <row r="904">
      <c r="A904" s="57"/>
      <c r="B904" s="57" t="str">
        <f>IFERROR(__xludf.DUMMYFUNCTION("""COMPUTED_VALUE"""),"Passenger [GENEPIO:0100250]    ")</f>
        <v>Passenger [GENEPIO:0100250]    </v>
      </c>
      <c r="C904" s="57" t="str">
        <f>IFERROR(__xludf.DUMMYFUNCTION("""COMPUTED_VALUE"""),"GENEPIO:0100250")</f>
        <v>GENEPIO:0100250</v>
      </c>
      <c r="D904" s="58" t="str">
        <f>IFERROR(__xludf.DUMMYFUNCTION("""COMPUTED_VALUE"""),"A role inhering in a person that is realized when the bearer travels in a vehicle but bears little to no responsibility for vehicle operation nor arrival at its destination.")</f>
        <v>A role inhering in a person that is realized when the bearer travels in a vehicle but bears little to no responsibility for vehicle operation nor arrival at its destination.</v>
      </c>
      <c r="E904" s="56"/>
      <c r="F904" s="54"/>
      <c r="G904" s="54"/>
      <c r="H904" s="59"/>
      <c r="I904" s="59"/>
      <c r="J904" s="59"/>
      <c r="K904" s="54"/>
    </row>
    <row r="905">
      <c r="A905" s="57"/>
      <c r="B905" s="57" t="str">
        <f>IFERROR(__xludf.DUMMYFUNCTION("""COMPUTED_VALUE"""),"Resident [GENEPIO:0100251]    ")</f>
        <v>Resident [GENEPIO:0100251]    </v>
      </c>
      <c r="C905" s="57" t="str">
        <f>IFERROR(__xludf.DUMMYFUNCTION("""COMPUTED_VALUE"""),"GENEPIO:0100251")</f>
        <v>GENEPIO:0100251</v>
      </c>
      <c r="D905" s="58" t="str">
        <f>IFERROR(__xludf.DUMMYFUNCTION("""COMPUTED_VALUE"""),"A role inhering in a person that is realized when the bearer maintains residency in a given place.")</f>
        <v>A role inhering in a person that is realized when the bearer maintains residency in a given place.</v>
      </c>
      <c r="E905" s="56"/>
      <c r="F905" s="54"/>
      <c r="G905" s="54"/>
      <c r="H905" s="59"/>
      <c r="I905" s="59"/>
      <c r="J905" s="59"/>
      <c r="K905" s="54"/>
    </row>
    <row r="906">
      <c r="A906" s="57"/>
      <c r="B906" s="57" t="str">
        <f>IFERROR(__xludf.DUMMYFUNCTION("""COMPUTED_VALUE"""),"Visitor [GENEPIO:0100252]    ")</f>
        <v>Visitor [GENEPIO:0100252]    </v>
      </c>
      <c r="C906" s="57" t="str">
        <f>IFERROR(__xludf.DUMMYFUNCTION("""COMPUTED_VALUE"""),"GENEPIO:0100252")</f>
        <v>GENEPIO:0100252</v>
      </c>
      <c r="D906" s="58" t="str">
        <f>IFERROR(__xludf.DUMMYFUNCTION("""COMPUTED_VALUE"""),"A role inhering in a person that is realized when the bearer pays a visit to a specific place or event.")</f>
        <v>A role inhering in a person that is realized when the bearer pays a visit to a specific place or event.</v>
      </c>
      <c r="E906" s="56"/>
      <c r="F906" s="54"/>
      <c r="G906" s="54"/>
      <c r="H906" s="59"/>
      <c r="I906" s="59"/>
      <c r="J906" s="59"/>
      <c r="K906" s="54"/>
    </row>
    <row r="907">
      <c r="A907" s="57"/>
      <c r="B907" s="57" t="str">
        <f>IFERROR(__xludf.DUMMYFUNCTION("""COMPUTED_VALUE"""),"Volunteer [GENEPIO:0100253]    ")</f>
        <v>Volunteer [GENEPIO:0100253]    </v>
      </c>
      <c r="C907" s="57" t="str">
        <f>IFERROR(__xludf.DUMMYFUNCTION("""COMPUTED_VALUE"""),"GENEPIO:0100253")</f>
        <v>GENEPIO:0100253</v>
      </c>
      <c r="D907" s="58" t="str">
        <f>IFERROR(__xludf.DUMMYFUNCTION("""COMPUTED_VALUE"""),"A role inhering in a person that is realized when the bearer enters into any service of their own free will.")</f>
        <v>A role inhering in a person that is realized when the bearer enters into any service of their own free will.</v>
      </c>
      <c r="E907" s="56"/>
      <c r="F907" s="54"/>
      <c r="G907" s="54"/>
      <c r="H907" s="59"/>
      <c r="I907" s="59"/>
      <c r="J907" s="59"/>
      <c r="K907" s="54"/>
    </row>
    <row r="908">
      <c r="A908" s="57"/>
      <c r="B908" s="57" t="str">
        <f>IFERROR(__xludf.DUMMYFUNCTION("""COMPUTED_VALUE"""),"Work [GENEPIO:0100254]    ")</f>
        <v>Work [GENEPIO:0100254]    </v>
      </c>
      <c r="C908" s="57" t="str">
        <f>IFERROR(__xludf.DUMMYFUNCTION("""COMPUTED_VALUE"""),"GENEPIO:0100254")</f>
        <v>GENEPIO:0100254</v>
      </c>
      <c r="D908" s="58" t="str">
        <f>IFERROR(__xludf.DUMMYFUNCTION("""COMPUTED_VALUE"""),"A role inhering in a person that is realized when the bearer performs labor for a living.")</f>
        <v>A role inhering in a person that is realized when the bearer performs labor for a living.</v>
      </c>
      <c r="E908" s="56"/>
      <c r="F908" s="54"/>
      <c r="G908" s="54"/>
      <c r="H908" s="59"/>
      <c r="I908" s="59"/>
      <c r="J908" s="59"/>
      <c r="K908" s="54"/>
    </row>
    <row r="909">
      <c r="A909" s="57"/>
      <c r="B909" s="57" t="str">
        <f>IFERROR(__xludf.DUMMYFUNCTION("""COMPUTED_VALUE""")," Administrator [GENEPIO:0100255]   ")</f>
        <v> Administrator [GENEPIO:0100255]   </v>
      </c>
      <c r="C909" s="57" t="str">
        <f>IFERROR(__xludf.DUMMYFUNCTION("""COMPUTED_VALUE"""),"GENEPIO:0100255")</f>
        <v>GENEPIO:0100255</v>
      </c>
      <c r="D909" s="58" t="str">
        <f>IFERROR(__xludf.DUMMYFUNCTION("""COMPUTED_VALUE"""),"A role inhering in a person that is realized when the bearer is engaged in administration or administrative work.")</f>
        <v>A role inhering in a person that is realized when the bearer is engaged in administration or administrative work.</v>
      </c>
      <c r="E909" s="56"/>
      <c r="F909" s="54"/>
      <c r="G909" s="54"/>
      <c r="H909" s="59"/>
      <c r="I909" s="59"/>
      <c r="J909" s="59"/>
      <c r="K909" s="54"/>
    </row>
    <row r="910">
      <c r="A910" s="57"/>
      <c r="B910" s="57" t="str">
        <f>IFERROR(__xludf.DUMMYFUNCTION("""COMPUTED_VALUE""")," First Responder [GENEPIO:0100256]   ")</f>
        <v> First Responder [GENEPIO:0100256]   </v>
      </c>
      <c r="C910" s="57" t="str">
        <f>IFERROR(__xludf.DUMMYFUNCTION("""COMPUTED_VALUE"""),"GENEPIO:0100256")</f>
        <v>GENEPIO:0100256</v>
      </c>
      <c r="D910" s="58" t="str">
        <f>IFERROR(__xludf.DUMMYFUNCTION("""COMPUTED_VALUE"""),"A role inhering in a person that is realized when the bearer is among the first to arrive at the scene of an emergency and has specialized training to provide assistance.")</f>
        <v>A role inhering in a person that is realized when the bearer is among the first to arrive at the scene of an emergency and has specialized training to provide assistance.</v>
      </c>
      <c r="E910" s="56"/>
      <c r="F910" s="54"/>
      <c r="G910" s="54"/>
      <c r="H910" s="59"/>
      <c r="I910" s="59"/>
      <c r="J910" s="59"/>
      <c r="K910" s="54"/>
    </row>
    <row r="911">
      <c r="A911" s="57"/>
      <c r="B911" s="57" t="str">
        <f>IFERROR(__xludf.DUMMYFUNCTION("""COMPUTED_VALUE"""),"  Firefighter [GENEPIO:0100257]  ")</f>
        <v>  Firefighter [GENEPIO:0100257]  </v>
      </c>
      <c r="C911" s="57" t="str">
        <f>IFERROR(__xludf.DUMMYFUNCTION("""COMPUTED_VALUE"""),"GENEPIO:0100257")</f>
        <v>GENEPIO:0100257</v>
      </c>
      <c r="D911" s="58"/>
      <c r="E911" s="56"/>
      <c r="F911" s="54"/>
      <c r="G911" s="54"/>
      <c r="H911" s="59"/>
      <c r="I911" s="59"/>
      <c r="J911" s="59"/>
      <c r="K911" s="54"/>
    </row>
    <row r="912">
      <c r="A912" s="57"/>
      <c r="B912" s="57" t="str">
        <f>IFERROR(__xludf.DUMMYFUNCTION("""COMPUTED_VALUE"""),"  Paramedic [GENEPIO:0100258]  ")</f>
        <v>  Paramedic [GENEPIO:0100258]  </v>
      </c>
      <c r="C912" s="57" t="str">
        <f>IFERROR(__xludf.DUMMYFUNCTION("""COMPUTED_VALUE"""),"GENEPIO:0100258")</f>
        <v>GENEPIO:0100258</v>
      </c>
      <c r="D912" s="58"/>
      <c r="E912" s="56"/>
      <c r="F912" s="54"/>
      <c r="G912" s="54"/>
      <c r="H912" s="59"/>
      <c r="I912" s="59"/>
      <c r="J912" s="59"/>
      <c r="K912" s="54"/>
    </row>
    <row r="913">
      <c r="A913" s="57"/>
      <c r="B913" s="57" t="str">
        <f>IFERROR(__xludf.DUMMYFUNCTION("""COMPUTED_VALUE"""),"  Police Officer [GENEPIO:0100259]  ")</f>
        <v>  Police Officer [GENEPIO:0100259]  </v>
      </c>
      <c r="C913" s="57" t="str">
        <f>IFERROR(__xludf.DUMMYFUNCTION("""COMPUTED_VALUE"""),"GENEPIO:0100259")</f>
        <v>GENEPIO:0100259</v>
      </c>
      <c r="D913" s="58"/>
      <c r="E913" s="56"/>
      <c r="F913" s="54"/>
      <c r="G913" s="54"/>
      <c r="H913" s="59"/>
      <c r="I913" s="59"/>
      <c r="J913" s="59"/>
      <c r="K913" s="54"/>
    </row>
    <row r="914">
      <c r="A914" s="57"/>
      <c r="B914" s="57" t="str">
        <f>IFERROR(__xludf.DUMMYFUNCTION("""COMPUTED_VALUE""")," Housekeeper [GENEPIO:0100260]   ")</f>
        <v> Housekeeper [GENEPIO:0100260]   </v>
      </c>
      <c r="C914" s="57" t="str">
        <f>IFERROR(__xludf.DUMMYFUNCTION("""COMPUTED_VALUE"""),"GENEPIO:0100260")</f>
        <v>GENEPIO:0100260</v>
      </c>
      <c r="D914" s="58" t="str">
        <f>IFERROR(__xludf.DUMMYFUNCTION("""COMPUTED_VALUE"""),"A role inhering in a person that is realized when the bearer is an individual who performs cleaning duties and/or is responsible for the supervision of cleaning staff.")</f>
        <v>A role inhering in a person that is realized when the bearer is an individual who performs cleaning duties and/or is responsible for the supervision of cleaning staff.</v>
      </c>
      <c r="E914" s="56"/>
      <c r="F914" s="54"/>
      <c r="G914" s="54"/>
      <c r="H914" s="59"/>
      <c r="I914" s="59"/>
      <c r="J914" s="59"/>
      <c r="K914" s="54"/>
    </row>
    <row r="915">
      <c r="A915" s="57"/>
      <c r="B915" s="57" t="str">
        <f>IFERROR(__xludf.DUMMYFUNCTION("""COMPUTED_VALUE""")," Kitchen Worker [GENEPIO:0100261]   ")</f>
        <v> Kitchen Worker [GENEPIO:0100261]   </v>
      </c>
      <c r="C915" s="57" t="str">
        <f>IFERROR(__xludf.DUMMYFUNCTION("""COMPUTED_VALUE"""),"GENEPIO:0100261")</f>
        <v>GENEPIO:0100261</v>
      </c>
      <c r="D915" s="58" t="str">
        <f>IFERROR(__xludf.DUMMYFUNCTION("""COMPUTED_VALUE"""),"A role inhering in a person that is realized when the bearer is an employee that performs labor in a kitchen.")</f>
        <v>A role inhering in a person that is realized when the bearer is an employee that performs labor in a kitchen.</v>
      </c>
      <c r="E915" s="56"/>
      <c r="F915" s="54"/>
      <c r="G915" s="54"/>
      <c r="H915" s="59"/>
      <c r="I915" s="59"/>
      <c r="J915" s="59"/>
      <c r="K915" s="54"/>
    </row>
    <row r="916">
      <c r="A916" s="57"/>
      <c r="B916" s="57" t="str">
        <f>IFERROR(__xludf.DUMMYFUNCTION("""COMPUTED_VALUE""")," Healthcare Worker [GENEPIO:0100334]   ")</f>
        <v> Healthcare Worker [GENEPIO:0100334]   </v>
      </c>
      <c r="C916" s="57" t="str">
        <f>IFERROR(__xludf.DUMMYFUNCTION("""COMPUTED_VALUE"""),"GENEPIO:0100334")</f>
        <v>GENEPIO:0100334</v>
      </c>
      <c r="D916" s="58" t="str">
        <f>IFERROR(__xludf.DUMMYFUNCTION("""COMPUTED_VALUE"""),"A role inhering in a person that is realized when the bearer is an employee that performs labor in a healthcare setting.")</f>
        <v>A role inhering in a person that is realized when the bearer is an employee that performs labor in a healthcare setting.</v>
      </c>
      <c r="E916" s="56"/>
      <c r="F916" s="54"/>
      <c r="G916" s="54"/>
      <c r="H916" s="59"/>
      <c r="I916" s="59"/>
      <c r="J916" s="59"/>
      <c r="K916" s="54"/>
    </row>
    <row r="917">
      <c r="A917" s="57"/>
      <c r="B917" s="57" t="str">
        <f>IFERROR(__xludf.DUMMYFUNCTION("""COMPUTED_VALUE"""),"  Community Healthcare Worker [GENEPIO:0100420]  ")</f>
        <v>  Community Healthcare Worker [GENEPIO:0100420]  </v>
      </c>
      <c r="C917" s="57" t="str">
        <f>IFERROR(__xludf.DUMMYFUNCTION("""COMPUTED_VALUE"""),"GENEPIO:0100420")</f>
        <v>GENEPIO:0100420</v>
      </c>
      <c r="D917" s="58" t="str">
        <f>IFERROR(__xludf.DUMMYFUNCTION("""COMPUTED_VALUE"""),"A role inhering in a person that is realized when the bearer a professional caregiver that provides health care or supportive care in the individual home where the patient or client is living, as opposed to care provided in group accommodations like clini"&amp;"cs or nursing home. ")</f>
        <v>A role inhering in a person that is realized when the bearer a professional caregiver that provides health care or supportive care in the individual home where the patient or client is living, as opposed to care provided in group accommodations like clinics or nursing home. </v>
      </c>
      <c r="E917" s="56"/>
      <c r="F917" s="54"/>
      <c r="G917" s="54"/>
      <c r="H917" s="59"/>
      <c r="I917" s="59"/>
      <c r="J917" s="59"/>
      <c r="K917" s="54"/>
    </row>
    <row r="918">
      <c r="A918" s="57"/>
      <c r="B918" s="57" t="str">
        <f>IFERROR(__xludf.DUMMYFUNCTION("""COMPUTED_VALUE"""),"  Laboratory Worker [GENEPIO:0100262]  ")</f>
        <v>  Laboratory Worker [GENEPIO:0100262]  </v>
      </c>
      <c r="C918" s="57" t="str">
        <f>IFERROR(__xludf.DUMMYFUNCTION("""COMPUTED_VALUE"""),"GENEPIO:0100262")</f>
        <v>GENEPIO:0100262</v>
      </c>
      <c r="D918" s="58" t="str">
        <f>IFERROR(__xludf.DUMMYFUNCTION("""COMPUTED_VALUE"""),"A role inhering in a person that is realized when the bearer is an employee that performs labor in a laboratory.")</f>
        <v>A role inhering in a person that is realized when the bearer is an employee that performs labor in a laboratory.</v>
      </c>
      <c r="E918" s="56"/>
      <c r="F918" s="54"/>
      <c r="G918" s="54"/>
      <c r="H918" s="59"/>
      <c r="I918" s="59"/>
      <c r="J918" s="59"/>
      <c r="K918" s="54"/>
    </row>
    <row r="919">
      <c r="A919" s="57"/>
      <c r="B919" s="57" t="str">
        <f>IFERROR(__xludf.DUMMYFUNCTION("""COMPUTED_VALUE"""),"  Nurse [OMRSE:00000014]  ")</f>
        <v>  Nurse [OMRSE:00000014]  </v>
      </c>
      <c r="C919" s="57" t="str">
        <f>IFERROR(__xludf.DUMMYFUNCTION("""COMPUTED_VALUE"""),"OMRSE:00000014")</f>
        <v>OMRSE:00000014</v>
      </c>
      <c r="D919" s="58" t="str">
        <f>IFERROR(__xludf.DUMMYFUNCTION("""COMPUTED_VALUE"""),"A health care role borne by a human being and realized by the care of individuals, families, and communities so they may attain, maintain, or recover optimal health and quality of life.")</f>
        <v>A health care role borne by a human being and realized by the care of individuals, families, and communities so they may attain, maintain, or recover optimal health and quality of life.</v>
      </c>
      <c r="E919" s="56"/>
      <c r="F919" s="54"/>
      <c r="G919" s="54"/>
      <c r="H919" s="59"/>
      <c r="I919" s="59"/>
      <c r="J919" s="59"/>
      <c r="K919" s="54"/>
    </row>
    <row r="920">
      <c r="A920" s="57"/>
      <c r="B920" s="57" t="str">
        <f>IFERROR(__xludf.DUMMYFUNCTION("""COMPUTED_VALUE"""),"  Personal Care Aid [GENEPIO:0100263]  ")</f>
        <v>  Personal Care Aid [GENEPIO:0100263]  </v>
      </c>
      <c r="C920" s="57" t="str">
        <f>IFERROR(__xludf.DUMMYFUNCTION("""COMPUTED_VALUE"""),"GENEPIO:0100263")</f>
        <v>GENEPIO:0100263</v>
      </c>
      <c r="D920" s="58" t="str">
        <f>IFERROR(__xludf.DUMMYFUNCTION("""COMPUTED_VALUE"""),"A role inhering in a person that is realized when the bearer works to help another person complete their daily activities.")</f>
        <v>A role inhering in a person that is realized when the bearer works to help another person complete their daily activities.</v>
      </c>
      <c r="E920" s="56"/>
      <c r="F920" s="54"/>
      <c r="G920" s="54"/>
      <c r="H920" s="59"/>
      <c r="I920" s="59"/>
      <c r="J920" s="59"/>
      <c r="K920" s="54"/>
    </row>
    <row r="921">
      <c r="A921" s="57"/>
      <c r="B921" s="57" t="str">
        <f>IFERROR(__xludf.DUMMYFUNCTION("""COMPUTED_VALUE"""),"  Pharmacist [GENEPIO:0100264]  ")</f>
        <v>  Pharmacist [GENEPIO:0100264]  </v>
      </c>
      <c r="C921" s="57" t="str">
        <f>IFERROR(__xludf.DUMMYFUNCTION("""COMPUTED_VALUE"""),"GENEPIO:0100264")</f>
        <v>GENEPIO:0100264</v>
      </c>
      <c r="D921" s="58" t="str">
        <f>IFERROR(__xludf.DUMMYFUNCTION("""COMPUTED_VALUE"""),"A role inhering in a person that is realized when the bearer is a health professional who specializes in dispensing prescription drugs at a healthcare facility.")</f>
        <v>A role inhering in a person that is realized when the bearer is a health professional who specializes in dispensing prescription drugs at a healthcare facility.</v>
      </c>
      <c r="E921" s="56"/>
      <c r="F921" s="54"/>
      <c r="G921" s="54"/>
      <c r="H921" s="59"/>
      <c r="I921" s="59"/>
      <c r="J921" s="59"/>
      <c r="K921" s="54"/>
    </row>
    <row r="922">
      <c r="A922" s="57"/>
      <c r="B922" s="57" t="str">
        <f>IFERROR(__xludf.DUMMYFUNCTION("""COMPUTED_VALUE"""),"  Physician [OMRSE:00000013]  ")</f>
        <v>  Physician [OMRSE:00000013]  </v>
      </c>
      <c r="C922" s="57" t="str">
        <f>IFERROR(__xludf.DUMMYFUNCTION("""COMPUTED_VALUE"""),"OMRSE:00000013")</f>
        <v>OMRSE:00000013</v>
      </c>
      <c r="D922" s="58" t="str">
        <f>IFERROR(__xludf.DUMMYFUNCTION("""COMPUTED_VALUE"""),"A health care role borne by a human being and realized by promoting, maintaining or restoring human health through the study, diagnosis, and treatment of disease, injury and other physical and mental impairments.")</f>
        <v>A health care role borne by a human being and realized by promoting, maintaining or restoring human health through the study, diagnosis, and treatment of disease, injury and other physical and mental impairments.</v>
      </c>
      <c r="E922" s="56"/>
      <c r="F922" s="54"/>
      <c r="G922" s="54"/>
      <c r="H922" s="59"/>
      <c r="I922" s="59"/>
      <c r="J922" s="59"/>
      <c r="K922" s="54"/>
    </row>
    <row r="923">
      <c r="A923" s="57"/>
      <c r="B923" s="57" t="str">
        <f>IFERROR(__xludf.DUMMYFUNCTION("""COMPUTED_VALUE""")," Rotational Worker [GENEPIO:0100354]   ")</f>
        <v> Rotational Worker [GENEPIO:0100354]   </v>
      </c>
      <c r="C923" s="57" t="str">
        <f>IFERROR(__xludf.DUMMYFUNCTION("""COMPUTED_VALUE"""),"GENEPIO:0100354")</f>
        <v>GENEPIO:0100354</v>
      </c>
      <c r="D923" s="58" t="str">
        <f>IFERROR(__xludf.DUMMYFUNCTION("""COMPUTED_VALUE"""),"A role inhering in a person that is realized when the bearer performs labor on a regular schedule, often requiring travel to geographic locations other than where they live.")</f>
        <v>A role inhering in a person that is realized when the bearer performs labor on a regular schedule, often requiring travel to geographic locations other than where they live.</v>
      </c>
      <c r="E923" s="56"/>
      <c r="F923" s="54"/>
      <c r="G923" s="54"/>
      <c r="H923" s="59"/>
      <c r="I923" s="59"/>
      <c r="J923" s="59"/>
      <c r="K923" s="54"/>
    </row>
    <row r="924">
      <c r="A924" s="57"/>
      <c r="B924" s="57" t="str">
        <f>IFERROR(__xludf.DUMMYFUNCTION("""COMPUTED_VALUE""")," Seasonal Worker [GENEPIO:0100355]   ")</f>
        <v> Seasonal Worker [GENEPIO:0100355]   </v>
      </c>
      <c r="C924" s="57" t="str">
        <f>IFERROR(__xludf.DUMMYFUNCTION("""COMPUTED_VALUE"""),"GENEPIO:0100355")</f>
        <v>GENEPIO:0100355</v>
      </c>
      <c r="D924" s="58" t="str">
        <f>IFERROR(__xludf.DUMMYFUNCTION("""COMPUTED_VALUE"""),"A role inhering in a person that is realized when the bearer performs labor for a particular period of the year, such as harvest, or Christmas.")</f>
        <v>A role inhering in a person that is realized when the bearer performs labor for a particular period of the year, such as harvest, or Christmas.</v>
      </c>
      <c r="E924" s="56"/>
      <c r="F924" s="54"/>
      <c r="G924" s="54"/>
      <c r="H924" s="59"/>
      <c r="I924" s="59"/>
      <c r="J924" s="59"/>
      <c r="K924" s="54"/>
    </row>
    <row r="925">
      <c r="A925" s="57"/>
      <c r="B925" s="57" t="str">
        <f>IFERROR(__xludf.DUMMYFUNCTION("""COMPUTED_VALUE""")," Veterinarian [GENEPIO:0100265]   ")</f>
        <v> Veterinarian [GENEPIO:0100265]   </v>
      </c>
      <c r="C925" s="57" t="str">
        <f>IFERROR(__xludf.DUMMYFUNCTION("""COMPUTED_VALUE"""),"GENEPIO:0100265")</f>
        <v>GENEPIO:0100265</v>
      </c>
      <c r="D925" s="58" t="str">
        <f>IFERROR(__xludf.DUMMYFUNCTION("""COMPUTED_VALUE"""),"A role inhering in a person that is realized when the bearer is a professional who practices veterinary medicine.")</f>
        <v>A role inhering in a person that is realized when the bearer is a professional who practices veterinary medicine.</v>
      </c>
      <c r="E925" s="56"/>
      <c r="F925" s="54"/>
      <c r="G925" s="54"/>
      <c r="H925" s="59"/>
      <c r="I925" s="59"/>
      <c r="J925" s="59"/>
      <c r="K925" s="54"/>
    </row>
    <row r="926">
      <c r="A926" s="57"/>
      <c r="B926" s="57" t="str">
        <f>IFERROR(__xludf.DUMMYFUNCTION("""COMPUTED_VALUE"""),"Social role [OMRSE:00000001]    ")</f>
        <v>Social role [OMRSE:00000001]    </v>
      </c>
      <c r="C926" s="57" t="str">
        <f>IFERROR(__xludf.DUMMYFUNCTION("""COMPUTED_VALUE"""),"OMRSE:00000001")</f>
        <v>OMRSE:00000001</v>
      </c>
      <c r="D926" s="58" t="str">
        <f>IFERROR(__xludf.DUMMYFUNCTION("""COMPUTED_VALUE"""),"A social role inhering in a human being.")</f>
        <v>A social role inhering in a human being.</v>
      </c>
      <c r="E926" s="56"/>
      <c r="F926" s="54"/>
      <c r="G926" s="54"/>
      <c r="H926" s="59"/>
      <c r="I926" s="59"/>
      <c r="J926" s="59"/>
      <c r="K926" s="54"/>
    </row>
    <row r="927">
      <c r="A927" s="57"/>
      <c r="B927" s="57" t="str">
        <f>IFERROR(__xludf.DUMMYFUNCTION("""COMPUTED_VALUE""")," Acquaintance of case [GENEPIO:0100266]   ")</f>
        <v> Acquaintance of case [GENEPIO:0100266]   </v>
      </c>
      <c r="C927" s="57" t="str">
        <f>IFERROR(__xludf.DUMMYFUNCTION("""COMPUTED_VALUE"""),"GENEPIO:0100266")</f>
        <v>GENEPIO:0100266</v>
      </c>
      <c r="D927" s="58" t="str">
        <f>IFERROR(__xludf.DUMMYFUNCTION("""COMPUTED_VALUE"""),"A role inhering in a person that is realized when the bearer is in a state of being acquainted with a person.")</f>
        <v>A role inhering in a person that is realized when the bearer is in a state of being acquainted with a person.</v>
      </c>
      <c r="E927" s="56"/>
      <c r="F927" s="54"/>
      <c r="G927" s="54"/>
      <c r="H927" s="59"/>
      <c r="I927" s="59"/>
      <c r="J927" s="59"/>
      <c r="K927" s="54"/>
    </row>
    <row r="928">
      <c r="A928" s="57"/>
      <c r="B928" s="57" t="str">
        <f>IFERROR(__xludf.DUMMYFUNCTION("""COMPUTED_VALUE""")," Relative of case [GENEPIO:0100267]   ")</f>
        <v> Relative of case [GENEPIO:0100267]   </v>
      </c>
      <c r="C928" s="57" t="str">
        <f>IFERROR(__xludf.DUMMYFUNCTION("""COMPUTED_VALUE"""),"GENEPIO:0100267")</f>
        <v>GENEPIO:0100267</v>
      </c>
      <c r="D928" s="58" t="str">
        <f>IFERROR(__xludf.DUMMYFUNCTION("""COMPUTED_VALUE"""),"A role inhering in a person that is realized when the bearer is a relative of the case.")</f>
        <v>A role inhering in a person that is realized when the bearer is a relative of the case.</v>
      </c>
      <c r="E928" s="56"/>
      <c r="F928" s="54"/>
      <c r="G928" s="54"/>
      <c r="H928" s="59"/>
      <c r="I928" s="59"/>
      <c r="J928" s="59"/>
      <c r="K928" s="54"/>
    </row>
    <row r="929">
      <c r="A929" s="57"/>
      <c r="B929" s="57" t="str">
        <f>IFERROR(__xludf.DUMMYFUNCTION("""COMPUTED_VALUE"""),"  Child of case [GENEPIO:0100268]  ")</f>
        <v>  Child of case [GENEPIO:0100268]  </v>
      </c>
      <c r="C929" s="57" t="str">
        <f>IFERROR(__xludf.DUMMYFUNCTION("""COMPUTED_VALUE"""),"GENEPIO:0100268")</f>
        <v>GENEPIO:0100268</v>
      </c>
      <c r="D929" s="58" t="str">
        <f>IFERROR(__xludf.DUMMYFUNCTION("""COMPUTED_VALUE"""),"A role inhering in a person that is realized when the bearer is a person younger than the age of majority.")</f>
        <v>A role inhering in a person that is realized when the bearer is a person younger than the age of majority.</v>
      </c>
      <c r="E929" s="56"/>
      <c r="F929" s="54"/>
      <c r="G929" s="54"/>
      <c r="H929" s="59"/>
      <c r="I929" s="59"/>
      <c r="J929" s="59"/>
      <c r="K929" s="54"/>
    </row>
    <row r="930">
      <c r="A930" s="57"/>
      <c r="B930" s="57" t="str">
        <f>IFERROR(__xludf.DUMMYFUNCTION("""COMPUTED_VALUE"""),"  Parent of case [GENEPIO:0100269]  ")</f>
        <v>  Parent of case [GENEPIO:0100269]  </v>
      </c>
      <c r="C930" s="57" t="str">
        <f>IFERROR(__xludf.DUMMYFUNCTION("""COMPUTED_VALUE"""),"GENEPIO:0100269")</f>
        <v>GENEPIO:0100269</v>
      </c>
      <c r="D930" s="58" t="str">
        <f>IFERROR(__xludf.DUMMYFUNCTION("""COMPUTED_VALUE"""),"A role inhering in a person that is realized when the bearer is a caregiver of the offspring of their own species.")</f>
        <v>A role inhering in a person that is realized when the bearer is a caregiver of the offspring of their own species.</v>
      </c>
      <c r="E930" s="56"/>
      <c r="F930" s="54"/>
      <c r="G930" s="54"/>
      <c r="H930" s="59"/>
      <c r="I930" s="59"/>
      <c r="J930" s="59"/>
      <c r="K930" s="54"/>
    </row>
    <row r="931">
      <c r="A931" s="57"/>
      <c r="B931" s="57" t="str">
        <f>IFERROR(__xludf.DUMMYFUNCTION("""COMPUTED_VALUE"""),"   Father of case [GENEPIO:0100270] ")</f>
        <v>   Father of case [GENEPIO:0100270] </v>
      </c>
      <c r="C931" s="57" t="str">
        <f>IFERROR(__xludf.DUMMYFUNCTION("""COMPUTED_VALUE"""),"GENEPIO:0100270")</f>
        <v>GENEPIO:0100270</v>
      </c>
      <c r="D931" s="58" t="str">
        <f>IFERROR(__xludf.DUMMYFUNCTION("""COMPUTED_VALUE"""),"A role inhering in a person that is realized when the bearer is the male parent of a child.")</f>
        <v>A role inhering in a person that is realized when the bearer is the male parent of a child.</v>
      </c>
      <c r="E931" s="56"/>
      <c r="F931" s="54"/>
      <c r="G931" s="54"/>
      <c r="H931" s="59"/>
      <c r="I931" s="59"/>
      <c r="J931" s="59"/>
      <c r="K931" s="54"/>
    </row>
    <row r="932">
      <c r="A932" s="57"/>
      <c r="B932" s="57" t="str">
        <f>IFERROR(__xludf.DUMMYFUNCTION("""COMPUTED_VALUE"""),"   Mother of case [GENEPIO:0100271] ")</f>
        <v>   Mother of case [GENEPIO:0100271] </v>
      </c>
      <c r="C932" s="57" t="str">
        <f>IFERROR(__xludf.DUMMYFUNCTION("""COMPUTED_VALUE"""),"GENEPIO:0100271")</f>
        <v>GENEPIO:0100271</v>
      </c>
      <c r="D932" s="58" t="str">
        <f>IFERROR(__xludf.DUMMYFUNCTION("""COMPUTED_VALUE"""),"A role inhering in a person that is realized when the bearer is the female parent of a child.")</f>
        <v>A role inhering in a person that is realized when the bearer is the female parent of a child.</v>
      </c>
      <c r="E932" s="56"/>
      <c r="F932" s="54"/>
      <c r="G932" s="54"/>
      <c r="H932" s="59"/>
      <c r="I932" s="59"/>
      <c r="J932" s="59"/>
      <c r="K932" s="54"/>
    </row>
    <row r="933">
      <c r="A933" s="57"/>
      <c r="B933" s="57" t="str">
        <f>IFERROR(__xludf.DUMMYFUNCTION("""COMPUTED_VALUE""")," Spouse of case [GENEPIO:0100272]   ")</f>
        <v> Spouse of case [GENEPIO:0100272]   </v>
      </c>
      <c r="C933" s="57" t="str">
        <f>IFERROR(__xludf.DUMMYFUNCTION("""COMPUTED_VALUE"""),"GENEPIO:0100272")</f>
        <v>GENEPIO:0100272</v>
      </c>
      <c r="D933" s="58" t="str">
        <f>IFERROR(__xludf.DUMMYFUNCTION("""COMPUTED_VALUE"""),"A role inhering in a person that is realized when the bearer is a significant other in a marriage, civil union, or common-law marriage.")</f>
        <v>A role inhering in a person that is realized when the bearer is a significant other in a marriage, civil union, or common-law marriage.</v>
      </c>
      <c r="E933" s="56"/>
      <c r="F933" s="54"/>
      <c r="G933" s="54"/>
      <c r="H933" s="59"/>
      <c r="I933" s="59"/>
      <c r="J933" s="59"/>
      <c r="K933" s="54"/>
    </row>
    <row r="934">
      <c r="A934" s="57"/>
      <c r="B934" s="57" t="str">
        <f>IFERROR(__xludf.DUMMYFUNCTION("""COMPUTED_VALUE"""),"Other Host Role    ")</f>
        <v>Other Host Role    </v>
      </c>
      <c r="C934" s="57" t="str">
        <f>IFERROR(__xludf.DUMMYFUNCTION("""COMPUTED_VALUE"""),"")</f>
        <v/>
      </c>
      <c r="D934" s="58"/>
      <c r="E934" s="56"/>
      <c r="F934" s="54"/>
      <c r="G934" s="54"/>
      <c r="H934" s="59"/>
      <c r="I934" s="59"/>
      <c r="J934" s="59"/>
      <c r="K934" s="54"/>
    </row>
    <row r="935">
      <c r="A935" s="57" t="str">
        <f>IFERROR(__xludf.DUMMYFUNCTION("""COMPUTED_VALUE"""),"exposure_setting menu")</f>
        <v>exposure_setting menu</v>
      </c>
      <c r="B935" s="57" t="str">
        <f>IFERROR(__xludf.DUMMYFUNCTION("""COMPUTED_VALUE"""),"    ")</f>
        <v>    </v>
      </c>
      <c r="C935" s="57" t="str">
        <f>IFERROR(__xludf.DUMMYFUNCTION("""COMPUTED_VALUE"""),"")</f>
        <v/>
      </c>
      <c r="D935" s="58"/>
      <c r="E935" s="56"/>
      <c r="F935" s="54"/>
      <c r="G935" s="54"/>
      <c r="H935" s="59"/>
      <c r="I935" s="59"/>
      <c r="J935" s="59"/>
      <c r="K935" s="54"/>
    </row>
    <row r="936">
      <c r="A936" s="57"/>
      <c r="B936" s="57" t="str">
        <f>IFERROR(__xludf.DUMMYFUNCTION("""COMPUTED_VALUE"""),"Human Exposure [ECTO:3000005]    ")</f>
        <v>Human Exposure [ECTO:3000005]    </v>
      </c>
      <c r="C936" s="57" t="str">
        <f>IFERROR(__xludf.DUMMYFUNCTION("""COMPUTED_VALUE"""),"ECTO:3000005")</f>
        <v>ECTO:3000005</v>
      </c>
      <c r="D936" s="58" t="str">
        <f>IFERROR(__xludf.DUMMYFUNCTION("""COMPUTED_VALUE"""),"A history of exposure to Homo sapiens.")</f>
        <v>A history of exposure to Homo sapiens.</v>
      </c>
      <c r="E936" s="56"/>
      <c r="F936" s="54"/>
      <c r="G936" s="54"/>
      <c r="H936" s="59"/>
      <c r="I936" s="59"/>
      <c r="J936" s="59"/>
      <c r="K936" s="54"/>
    </row>
    <row r="937">
      <c r="A937" s="57"/>
      <c r="B937" s="57" t="str">
        <f>IFERROR(__xludf.DUMMYFUNCTION("""COMPUTED_VALUE""")," Contact with Patient [GENEPIO:0100185]   ")</f>
        <v> Contact with Patient [GENEPIO:0100185]   </v>
      </c>
      <c r="C937" s="57" t="str">
        <f>IFERROR(__xludf.DUMMYFUNCTION("""COMPUTED_VALUE"""),"GENEPIO:0100185")</f>
        <v>GENEPIO:0100185</v>
      </c>
      <c r="D937" s="58" t="str">
        <f>IFERROR(__xludf.DUMMYFUNCTION("""COMPUTED_VALUE"""),"A process occuring within or in the vicinity of a human patient that exposes the recipient organism to a material entity.")</f>
        <v>A process occuring within or in the vicinity of a human patient that exposes the recipient organism to a material entity.</v>
      </c>
      <c r="E937" s="56"/>
      <c r="F937" s="54"/>
      <c r="G937" s="54"/>
      <c r="H937" s="59"/>
      <c r="I937" s="59"/>
      <c r="J937" s="59"/>
      <c r="K937" s="54"/>
    </row>
    <row r="938">
      <c r="A938" s="57"/>
      <c r="B938" s="57" t="str">
        <f>IFERROR(__xludf.DUMMYFUNCTION("""COMPUTED_VALUE""")," Contact with Person with Acute Respiratory Illness [GENEPIO:0100187]   ")</f>
        <v> Contact with Person with Acute Respiratory Illness [GENEPIO:0100187]   </v>
      </c>
      <c r="C938" s="57" t="str">
        <f>IFERROR(__xludf.DUMMYFUNCTION("""COMPUTED_VALUE"""),"GENEPIO:0100187")</f>
        <v>GENEPIO:0100187</v>
      </c>
      <c r="D938" s="58"/>
      <c r="E938" s="56"/>
      <c r="F938" s="54"/>
      <c r="G938" s="54"/>
      <c r="H938" s="59"/>
      <c r="I938" s="59"/>
      <c r="J938" s="59"/>
      <c r="K938" s="54"/>
    </row>
    <row r="939">
      <c r="A939" s="57"/>
      <c r="B939" s="57" t="str">
        <f>IFERROR(__xludf.DUMMYFUNCTION("""COMPUTED_VALUE""")," Contact with Person with Fever and/or Cough [GENEPIO:0100188]   ")</f>
        <v> Contact with Person with Fever and/or Cough [GENEPIO:0100188]   </v>
      </c>
      <c r="C939" s="57" t="str">
        <f>IFERROR(__xludf.DUMMYFUNCTION("""COMPUTED_VALUE"""),"GENEPIO:0100188")</f>
        <v>GENEPIO:0100188</v>
      </c>
      <c r="D939" s="58"/>
      <c r="E939" s="56"/>
      <c r="F939" s="54"/>
      <c r="G939" s="54"/>
      <c r="H939" s="59"/>
      <c r="I939" s="59"/>
      <c r="J939" s="59"/>
      <c r="K939" s="54"/>
    </row>
    <row r="940">
      <c r="A940" s="57"/>
      <c r="B940" s="57" t="str">
        <f>IFERROR(__xludf.DUMMYFUNCTION("""COMPUTED_VALUE"""),"Occupational, Residency or Patronage Exposure [GENEPIO:0100190]    ")</f>
        <v>Occupational, Residency or Patronage Exposure [GENEPIO:0100190]    </v>
      </c>
      <c r="C940" s="57" t="str">
        <f>IFERROR(__xludf.DUMMYFUNCTION("""COMPUTED_VALUE"""),"GENEPIO:0100190")</f>
        <v>GENEPIO:0100190</v>
      </c>
      <c r="D940" s="58" t="str">
        <f>IFERROR(__xludf.DUMMYFUNCTION("""COMPUTED_VALUE"""),"A process occuring within or in the vicinity of a human residential environment that exposes the recipient organism to a material entity.")</f>
        <v>A process occuring within or in the vicinity of a human residential environment that exposes the recipient organism to a material entity.</v>
      </c>
      <c r="E940" s="56"/>
      <c r="F940" s="54"/>
      <c r="G940" s="54"/>
      <c r="H940" s="59"/>
      <c r="I940" s="59"/>
      <c r="J940" s="59"/>
      <c r="K940" s="54"/>
    </row>
    <row r="941">
      <c r="A941" s="57"/>
      <c r="B941" s="57" t="str">
        <f>IFERROR(__xludf.DUMMYFUNCTION("""COMPUTED_VALUE""")," Abbatoir [ECTO:1000033]   ")</f>
        <v> Abbatoir [ECTO:1000033]   </v>
      </c>
      <c r="C941" s="57" t="str">
        <f>IFERROR(__xludf.DUMMYFUNCTION("""COMPUTED_VALUE"""),"ECTO:1000033")</f>
        <v>ECTO:1000033</v>
      </c>
      <c r="D941" s="58" t="str">
        <f>IFERROR(__xludf.DUMMYFUNCTION("""COMPUTED_VALUE"""),"A exposure event involving the interaction of an exposure receptor to abattoir.")</f>
        <v>A exposure event involving the interaction of an exposure receptor to abattoir.</v>
      </c>
      <c r="E941" s="56"/>
      <c r="F941" s="54"/>
      <c r="G941" s="54"/>
      <c r="H941" s="59"/>
      <c r="I941" s="59"/>
      <c r="J941" s="59"/>
      <c r="K941" s="54"/>
    </row>
    <row r="942">
      <c r="A942" s="57"/>
      <c r="B942" s="57" t="str">
        <f>IFERROR(__xludf.DUMMYFUNCTION("""COMPUTED_VALUE""")," Animal Rescue [GENEPIO:0100191]   ")</f>
        <v> Animal Rescue [GENEPIO:0100191]   </v>
      </c>
      <c r="C942" s="57" t="str">
        <f>IFERROR(__xludf.DUMMYFUNCTION("""COMPUTED_VALUE"""),"GENEPIO:0100191")</f>
        <v>GENEPIO:0100191</v>
      </c>
      <c r="D942" s="58" t="str">
        <f>IFERROR(__xludf.DUMMYFUNCTION("""COMPUTED_VALUE"""),"A process occuring within or in the vicinity of an animal rescue facility that exposes the recipient organism to a material entity.")</f>
        <v>A process occuring within or in the vicinity of an animal rescue facility that exposes the recipient organism to a material entity.</v>
      </c>
      <c r="E942" s="56"/>
      <c r="F942" s="54"/>
      <c r="G942" s="54"/>
      <c r="H942" s="59"/>
      <c r="I942" s="59"/>
      <c r="J942" s="59"/>
      <c r="K942" s="54"/>
    </row>
    <row r="943">
      <c r="A943" s="57"/>
      <c r="B943" s="57" t="str">
        <f>IFERROR(__xludf.DUMMYFUNCTION("""COMPUTED_VALUE""")," Childcare [GENEPIO:0100192]   ")</f>
        <v> Childcare [GENEPIO:0100192]   </v>
      </c>
      <c r="C943" s="57" t="str">
        <f>IFERROR(__xludf.DUMMYFUNCTION("""COMPUTED_VALUE"""),"GENEPIO:0100192")</f>
        <v>GENEPIO:0100192</v>
      </c>
      <c r="D943" s="58" t="str">
        <f>IFERROR(__xludf.DUMMYFUNCTION("""COMPUTED_VALUE"""),"A process occuring within or in the vicinity of a human childcare environment that exposes the recipient organism to a material entity.")</f>
        <v>A process occuring within or in the vicinity of a human childcare environment that exposes the recipient organism to a material entity.</v>
      </c>
      <c r="E943" s="56"/>
      <c r="F943" s="54"/>
      <c r="G943" s="54"/>
      <c r="H943" s="59"/>
      <c r="I943" s="59"/>
      <c r="J943" s="59"/>
      <c r="K943" s="54"/>
    </row>
    <row r="944">
      <c r="A944" s="57"/>
      <c r="B944" s="57" t="str">
        <f>IFERROR(__xludf.DUMMYFUNCTION("""COMPUTED_VALUE"""),"  Daycare [GENEPIO:0100193]  ")</f>
        <v>  Daycare [GENEPIO:0100193]  </v>
      </c>
      <c r="C944" s="57" t="str">
        <f>IFERROR(__xludf.DUMMYFUNCTION("""COMPUTED_VALUE"""),"GENEPIO:0100193")</f>
        <v>GENEPIO:0100193</v>
      </c>
      <c r="D944" s="58" t="str">
        <f>IFERROR(__xludf.DUMMYFUNCTION("""COMPUTED_VALUE"""),"A process occuring within or in the vicinity of a human daycare environment that exposes the recipient organism to a material entity.")</f>
        <v>A process occuring within or in the vicinity of a human daycare environment that exposes the recipient organism to a material entity.</v>
      </c>
      <c r="E944" s="56"/>
      <c r="F944" s="54"/>
      <c r="G944" s="54"/>
      <c r="H944" s="59"/>
      <c r="I944" s="59"/>
      <c r="J944" s="59"/>
      <c r="K944" s="54"/>
    </row>
    <row r="945">
      <c r="A945" s="57"/>
      <c r="B945" s="57" t="str">
        <f>IFERROR(__xludf.DUMMYFUNCTION("""COMPUTED_VALUE"""),"  Nursery [GENEPIO:0100194]  ")</f>
        <v>  Nursery [GENEPIO:0100194]  </v>
      </c>
      <c r="C945" s="57" t="str">
        <f>IFERROR(__xludf.DUMMYFUNCTION("""COMPUTED_VALUE"""),"GENEPIO:0100194")</f>
        <v>GENEPIO:0100194</v>
      </c>
      <c r="D945" s="58" t="str">
        <f>IFERROR(__xludf.DUMMYFUNCTION("""COMPUTED_VALUE"""),"A process occuring within or in the vicinity of a human nursery that exposes the recipient organism to a material entity.")</f>
        <v>A process occuring within or in the vicinity of a human nursery that exposes the recipient organism to a material entity.</v>
      </c>
      <c r="E945" s="56"/>
      <c r="F945" s="54"/>
      <c r="G945" s="54"/>
      <c r="H945" s="59"/>
      <c r="I945" s="59"/>
      <c r="J945" s="59"/>
      <c r="K945" s="54"/>
    </row>
    <row r="946">
      <c r="A946" s="57"/>
      <c r="B946" s="57" t="str">
        <f>IFERROR(__xludf.DUMMYFUNCTION("""COMPUTED_VALUE""")," Community Service Centre [GENEPIO:0100195]   ")</f>
        <v> Community Service Centre [GENEPIO:0100195]   </v>
      </c>
      <c r="C946" s="57" t="str">
        <f>IFERROR(__xludf.DUMMYFUNCTION("""COMPUTED_VALUE"""),"GENEPIO:0100195")</f>
        <v>GENEPIO:0100195</v>
      </c>
      <c r="D946" s="58" t="str">
        <f>IFERROR(__xludf.DUMMYFUNCTION("""COMPUTED_VALUE"""),"A process occuring within or in the vicinity of a community service centre that exposes the recipient organism to a material entity.")</f>
        <v>A process occuring within or in the vicinity of a community service centre that exposes the recipient organism to a material entity.</v>
      </c>
      <c r="E946" s="56"/>
      <c r="F946" s="54"/>
      <c r="G946" s="54"/>
      <c r="H946" s="59"/>
      <c r="I946" s="59"/>
      <c r="J946" s="59"/>
      <c r="K946" s="54"/>
    </row>
    <row r="947">
      <c r="A947" s="57"/>
      <c r="B947" s="57" t="str">
        <f>IFERROR(__xludf.DUMMYFUNCTION("""COMPUTED_VALUE""")," Correctional Facility [GENEPIO:0100196]   ")</f>
        <v> Correctional Facility [GENEPIO:0100196]   </v>
      </c>
      <c r="C947" s="57" t="str">
        <f>IFERROR(__xludf.DUMMYFUNCTION("""COMPUTED_VALUE"""),"GENEPIO:0100196")</f>
        <v>GENEPIO:0100196</v>
      </c>
      <c r="D947" s="58" t="str">
        <f>IFERROR(__xludf.DUMMYFUNCTION("""COMPUTED_VALUE"""),"A process occuring within or in the vicinity of a correctional facility that exposes the recipient organism to a material entity.")</f>
        <v>A process occuring within or in the vicinity of a correctional facility that exposes the recipient organism to a material entity.</v>
      </c>
      <c r="E947" s="56"/>
      <c r="F947" s="54"/>
      <c r="G947" s="54"/>
      <c r="H947" s="59"/>
      <c r="I947" s="59"/>
      <c r="J947" s="59"/>
      <c r="K947" s="54"/>
    </row>
    <row r="948">
      <c r="A948" s="57"/>
      <c r="B948" s="57" t="str">
        <f>IFERROR(__xludf.DUMMYFUNCTION("""COMPUTED_VALUE""")," Dormitory [GENEPIO:0100197]   ")</f>
        <v> Dormitory [GENEPIO:0100197]   </v>
      </c>
      <c r="C948" s="57" t="str">
        <f>IFERROR(__xludf.DUMMYFUNCTION("""COMPUTED_VALUE"""),"GENEPIO:0100197")</f>
        <v>GENEPIO:0100197</v>
      </c>
      <c r="D948" s="58" t="str">
        <f>IFERROR(__xludf.DUMMYFUNCTION("""COMPUTED_VALUE"""),"A process occuring within or in the vicinity of a dormitory that exposes the recipient organism to a material entity.")</f>
        <v>A process occuring within or in the vicinity of a dormitory that exposes the recipient organism to a material entity.</v>
      </c>
      <c r="E948" s="56"/>
      <c r="F948" s="54"/>
      <c r="G948" s="54"/>
      <c r="H948" s="59"/>
      <c r="I948" s="59"/>
      <c r="J948" s="59"/>
      <c r="K948" s="54"/>
    </row>
    <row r="949">
      <c r="A949" s="57"/>
      <c r="B949" s="57" t="str">
        <f>IFERROR(__xludf.DUMMYFUNCTION("""COMPUTED_VALUE""")," Farm [ECTO:1000034]   ")</f>
        <v> Farm [ECTO:1000034]   </v>
      </c>
      <c r="C949" s="57" t="str">
        <f>IFERROR(__xludf.DUMMYFUNCTION("""COMPUTED_VALUE"""),"ECTO:1000034")</f>
        <v>ECTO:1000034</v>
      </c>
      <c r="D949" s="58" t="str">
        <f>IFERROR(__xludf.DUMMYFUNCTION("""COMPUTED_VALUE"""),"A exposure event involving the interaction of an exposure receptor to farm")</f>
        <v>A exposure event involving the interaction of an exposure receptor to farm</v>
      </c>
      <c r="E949" s="56"/>
      <c r="F949" s="54"/>
      <c r="G949" s="54"/>
      <c r="H949" s="59"/>
      <c r="I949" s="59"/>
      <c r="J949" s="59"/>
      <c r="K949" s="54"/>
    </row>
    <row r="950">
      <c r="A950" s="57"/>
      <c r="B950" s="57" t="str">
        <f>IFERROR(__xludf.DUMMYFUNCTION("""COMPUTED_VALUE""")," First Nations Reserve [GENEPIO:0100198]   ")</f>
        <v> First Nations Reserve [GENEPIO:0100198]   </v>
      </c>
      <c r="C950" s="57" t="str">
        <f>IFERROR(__xludf.DUMMYFUNCTION("""COMPUTED_VALUE"""),"GENEPIO:0100198")</f>
        <v>GENEPIO:0100198</v>
      </c>
      <c r="D950" s="58" t="str">
        <f>IFERROR(__xludf.DUMMYFUNCTION("""COMPUTED_VALUE"""),"A process occuring within or in the vicinity of a first nations reserve that exposes the recipient organism to a material entity.")</f>
        <v>A process occuring within or in the vicinity of a first nations reserve that exposes the recipient organism to a material entity.</v>
      </c>
      <c r="E950" s="56"/>
      <c r="F950" s="54"/>
      <c r="G950" s="54"/>
      <c r="H950" s="59"/>
      <c r="I950" s="59"/>
      <c r="J950" s="59"/>
      <c r="K950" s="54"/>
    </row>
    <row r="951">
      <c r="A951" s="57"/>
      <c r="B951" s="57" t="str">
        <f>IFERROR(__xludf.DUMMYFUNCTION("""COMPUTED_VALUE""")," Funeral Home [GENEPIO:0100199]   ")</f>
        <v> Funeral Home [GENEPIO:0100199]   </v>
      </c>
      <c r="C951" s="57" t="str">
        <f>IFERROR(__xludf.DUMMYFUNCTION("""COMPUTED_VALUE"""),"GENEPIO:0100199")</f>
        <v>GENEPIO:0100199</v>
      </c>
      <c r="D951" s="58" t="str">
        <f>IFERROR(__xludf.DUMMYFUNCTION("""COMPUTED_VALUE"""),"A process occuring within or in the vicinity of a group home that exposes the recipient organism to a material entity.")</f>
        <v>A process occuring within or in the vicinity of a group home that exposes the recipient organism to a material entity.</v>
      </c>
      <c r="E951" s="56"/>
      <c r="F951" s="54"/>
      <c r="G951" s="54"/>
      <c r="H951" s="59"/>
      <c r="I951" s="59"/>
      <c r="J951" s="59"/>
      <c r="K951" s="54"/>
    </row>
    <row r="952">
      <c r="A952" s="57"/>
      <c r="B952" s="57" t="str">
        <f>IFERROR(__xludf.DUMMYFUNCTION("""COMPUTED_VALUE""")," Group Home [GENEPIO:0100200]   ")</f>
        <v> Group Home [GENEPIO:0100200]   </v>
      </c>
      <c r="C952" s="57" t="str">
        <f>IFERROR(__xludf.DUMMYFUNCTION("""COMPUTED_VALUE"""),"GENEPIO:0100200")</f>
        <v>GENEPIO:0100200</v>
      </c>
      <c r="D952" s="58" t="str">
        <f>IFERROR(__xludf.DUMMYFUNCTION("""COMPUTED_VALUE"""),"A process occuring within or in the vicinity of a group home that exposes the recipient organism to a material entity.")</f>
        <v>A process occuring within or in the vicinity of a group home that exposes the recipient organism to a material entity.</v>
      </c>
      <c r="E952" s="56"/>
      <c r="F952" s="54"/>
      <c r="G952" s="54"/>
      <c r="H952" s="59"/>
      <c r="I952" s="59"/>
      <c r="J952" s="59"/>
      <c r="K952" s="54"/>
    </row>
    <row r="953">
      <c r="A953" s="57"/>
      <c r="B953" s="57" t="str">
        <f>IFERROR(__xludf.DUMMYFUNCTION("""COMPUTED_VALUE""")," Healthcare Setting [GENEPIO:0100201]   ")</f>
        <v> Healthcare Setting [GENEPIO:0100201]   </v>
      </c>
      <c r="C953" s="57" t="str">
        <f>IFERROR(__xludf.DUMMYFUNCTION("""COMPUTED_VALUE"""),"GENEPIO:0100201")</f>
        <v>GENEPIO:0100201</v>
      </c>
      <c r="D953" s="58" t="str">
        <f>IFERROR(__xludf.DUMMYFUNCTION("""COMPUTED_VALUE"""),"A process occuring within or in the vicinity of a healthcare environment that exposes the recipient organism to a material entity.")</f>
        <v>A process occuring within or in the vicinity of a healthcare environment that exposes the recipient organism to a material entity.</v>
      </c>
      <c r="E953" s="56"/>
      <c r="F953" s="54"/>
      <c r="G953" s="54"/>
      <c r="H953" s="59"/>
      <c r="I953" s="59"/>
      <c r="J953" s="59"/>
      <c r="K953" s="54"/>
    </row>
    <row r="954">
      <c r="A954" s="57"/>
      <c r="B954" s="57" t="str">
        <f>IFERROR(__xludf.DUMMYFUNCTION("""COMPUTED_VALUE"""),"  Ambulance [GENEPIO:0100202]  ")</f>
        <v>  Ambulance [GENEPIO:0100202]  </v>
      </c>
      <c r="C954" s="57" t="str">
        <f>IFERROR(__xludf.DUMMYFUNCTION("""COMPUTED_VALUE"""),"GENEPIO:0100202")</f>
        <v>GENEPIO:0100202</v>
      </c>
      <c r="D954" s="58" t="str">
        <f>IFERROR(__xludf.DUMMYFUNCTION("""COMPUTED_VALUE"""),"A process occuring within or in the vicinity of an ambulance that exposes the recipient organism to a material entity.")</f>
        <v>A process occuring within or in the vicinity of an ambulance that exposes the recipient organism to a material entity.</v>
      </c>
      <c r="E954" s="56"/>
      <c r="F954" s="54"/>
      <c r="G954" s="54"/>
      <c r="H954" s="59"/>
      <c r="I954" s="59"/>
      <c r="J954" s="59"/>
      <c r="K954" s="54"/>
    </row>
    <row r="955">
      <c r="A955" s="57"/>
      <c r="B955" s="57" t="str">
        <f>IFERROR(__xludf.DUMMYFUNCTION("""COMPUTED_VALUE"""),"  Acute Care Facility [GENEPIO:0100203]  ")</f>
        <v>  Acute Care Facility [GENEPIO:0100203]  </v>
      </c>
      <c r="C955" s="57" t="str">
        <f>IFERROR(__xludf.DUMMYFUNCTION("""COMPUTED_VALUE"""),"GENEPIO:0100203")</f>
        <v>GENEPIO:0100203</v>
      </c>
      <c r="D955" s="58" t="str">
        <f>IFERROR(__xludf.DUMMYFUNCTION("""COMPUTED_VALUE"""),"A process occuring within or in the vicinity of an acute care facility that exposes the recipient organism to a material entity.")</f>
        <v>A process occuring within or in the vicinity of an acute care facility that exposes the recipient organism to a material entity.</v>
      </c>
      <c r="E955" s="56"/>
      <c r="F955" s="54"/>
      <c r="G955" s="54"/>
      <c r="H955" s="59"/>
      <c r="I955" s="59"/>
      <c r="J955" s="59"/>
      <c r="K955" s="54"/>
    </row>
    <row r="956">
      <c r="A956" s="57"/>
      <c r="B956" s="57" t="str">
        <f>IFERROR(__xludf.DUMMYFUNCTION("""COMPUTED_VALUE"""),"  Clinic [GENEPIO:0100204]  ")</f>
        <v>  Clinic [GENEPIO:0100204]  </v>
      </c>
      <c r="C956" s="57" t="str">
        <f>IFERROR(__xludf.DUMMYFUNCTION("""COMPUTED_VALUE"""),"GENEPIO:0100204")</f>
        <v>GENEPIO:0100204</v>
      </c>
      <c r="D956" s="58" t="str">
        <f>IFERROR(__xludf.DUMMYFUNCTION("""COMPUTED_VALUE"""),"A process occuring within or in the vicinity of a medical clinic that exposes the recipient organism to a material entity.")</f>
        <v>A process occuring within or in the vicinity of a medical clinic that exposes the recipient organism to a material entity.</v>
      </c>
      <c r="E956" s="56"/>
      <c r="F956" s="54"/>
      <c r="G956" s="54"/>
      <c r="H956" s="59"/>
      <c r="I956" s="59"/>
      <c r="J956" s="59"/>
      <c r="K956" s="54"/>
    </row>
    <row r="957">
      <c r="A957" s="57"/>
      <c r="B957" s="57" t="str">
        <f>IFERROR(__xludf.DUMMYFUNCTION("""COMPUTED_VALUE"""),"  Community Healthcare (At-Home) Setting [GENEPIO:0100415]  ")</f>
        <v>  Community Healthcare (At-Home) Setting [GENEPIO:0100415]  </v>
      </c>
      <c r="C957" s="57" t="str">
        <f>IFERROR(__xludf.DUMMYFUNCTION("""COMPUTED_VALUE"""),"GENEPIO:0100415")</f>
        <v>GENEPIO:0100415</v>
      </c>
      <c r="D957" s="58" t="str">
        <f>IFERROR(__xludf.DUMMYFUNCTION("""COMPUTED_VALUE"""),"A process occuring within or in the vicinty of a the individual home where the patient or client is living and health care or supportive care is being being delivered, as opposed to care provided in group accommodations like clinics or nursing home. ")</f>
        <v>A process occuring within or in the vicinty of a the individual home where the patient or client is living and health care or supportive care is being being delivered, as opposed to care provided in group accommodations like clinics or nursing home. </v>
      </c>
      <c r="E957" s="56"/>
      <c r="F957" s="54"/>
      <c r="G957" s="54"/>
      <c r="H957" s="59"/>
      <c r="I957" s="59"/>
      <c r="J957" s="59"/>
      <c r="K957" s="54"/>
    </row>
    <row r="958">
      <c r="A958" s="57"/>
      <c r="B958" s="57" t="str">
        <f>IFERROR(__xludf.DUMMYFUNCTION("""COMPUTED_VALUE"""),"  Community Health Centre [GENEPIO:0100205]  ")</f>
        <v>  Community Health Centre [GENEPIO:0100205]  </v>
      </c>
      <c r="C958" s="57" t="str">
        <f>IFERROR(__xludf.DUMMYFUNCTION("""COMPUTED_VALUE"""),"GENEPIO:0100205")</f>
        <v>GENEPIO:0100205</v>
      </c>
      <c r="D958" s="58" t="str">
        <f>IFERROR(__xludf.DUMMYFUNCTION("""COMPUTED_VALUE"""),"A process occuring within or in the vicinity of a community health centre that exposes the recipient organism to a material entity.")</f>
        <v>A process occuring within or in the vicinity of a community health centre that exposes the recipient organism to a material entity.</v>
      </c>
      <c r="E958" s="56"/>
      <c r="F958" s="54"/>
      <c r="G958" s="54"/>
      <c r="H958" s="59"/>
      <c r="I958" s="59"/>
      <c r="J958" s="59"/>
      <c r="K958" s="54"/>
    </row>
    <row r="959">
      <c r="A959" s="57"/>
      <c r="B959" s="57" t="str">
        <f>IFERROR(__xludf.DUMMYFUNCTION("""COMPUTED_VALUE"""),"  Hospital [ECTO:1000035]  ")</f>
        <v>  Hospital [ECTO:1000035]  </v>
      </c>
      <c r="C959" s="57" t="str">
        <f>IFERROR(__xludf.DUMMYFUNCTION("""COMPUTED_VALUE"""),"ECTO:1000035")</f>
        <v>ECTO:1000035</v>
      </c>
      <c r="D959" s="58" t="str">
        <f>IFERROR(__xludf.DUMMYFUNCTION("""COMPUTED_VALUE"""),"A exposure event involving the interaction of an exposure receptor to hospital.")</f>
        <v>A exposure event involving the interaction of an exposure receptor to hospital.</v>
      </c>
      <c r="E959" s="56"/>
      <c r="F959" s="54"/>
      <c r="G959" s="54"/>
      <c r="H959" s="59"/>
      <c r="I959" s="59"/>
      <c r="J959" s="59"/>
      <c r="K959" s="54"/>
    </row>
    <row r="960">
      <c r="A960" s="57"/>
      <c r="B960" s="57" t="str">
        <f>IFERROR(__xludf.DUMMYFUNCTION("""COMPUTED_VALUE"""),"   Emergency Department [GENEPIO:0100206] ")</f>
        <v>   Emergency Department [GENEPIO:0100206] </v>
      </c>
      <c r="C960" s="57" t="str">
        <f>IFERROR(__xludf.DUMMYFUNCTION("""COMPUTED_VALUE"""),"GENEPIO:0100206")</f>
        <v>GENEPIO:0100206</v>
      </c>
      <c r="D960" s="58" t="str">
        <f>IFERROR(__xludf.DUMMYFUNCTION("""COMPUTED_VALUE"""),"A process occuring within or in the vicinity of an emergency department that exposes the recipient organism to a material entity.")</f>
        <v>A process occuring within or in the vicinity of an emergency department that exposes the recipient organism to a material entity.</v>
      </c>
      <c r="E960" s="56"/>
      <c r="F960" s="54"/>
      <c r="G960" s="54"/>
      <c r="H960" s="59"/>
      <c r="I960" s="59"/>
      <c r="J960" s="59"/>
      <c r="K960" s="54"/>
    </row>
    <row r="961">
      <c r="A961" s="57"/>
      <c r="B961" s="57" t="str">
        <f>IFERROR(__xludf.DUMMYFUNCTION("""COMPUTED_VALUE"""),"   ICU [GENEPIO:0100207] ")</f>
        <v>   ICU [GENEPIO:0100207] </v>
      </c>
      <c r="C961" s="57" t="str">
        <f>IFERROR(__xludf.DUMMYFUNCTION("""COMPUTED_VALUE"""),"GENEPIO:0100207")</f>
        <v>GENEPIO:0100207</v>
      </c>
      <c r="D961" s="58" t="str">
        <f>IFERROR(__xludf.DUMMYFUNCTION("""COMPUTED_VALUE"""),"A process occuring within or in the vicinity of an ICU that exposes the recipient organism to a material entity.")</f>
        <v>A process occuring within or in the vicinity of an ICU that exposes the recipient organism to a material entity.</v>
      </c>
      <c r="E961" s="56"/>
      <c r="F961" s="54"/>
      <c r="G961" s="54"/>
      <c r="H961" s="59"/>
      <c r="I961" s="59"/>
      <c r="J961" s="59"/>
      <c r="K961" s="54"/>
    </row>
    <row r="962">
      <c r="A962" s="57"/>
      <c r="B962" s="57" t="str">
        <f>IFERROR(__xludf.DUMMYFUNCTION("""COMPUTED_VALUE"""),"   Ward [GENEPIO:0100208] ")</f>
        <v>   Ward [GENEPIO:0100208] </v>
      </c>
      <c r="C962" s="57" t="str">
        <f>IFERROR(__xludf.DUMMYFUNCTION("""COMPUTED_VALUE"""),"GENEPIO:0100208")</f>
        <v>GENEPIO:0100208</v>
      </c>
      <c r="D962" s="58" t="str">
        <f>IFERROR(__xludf.DUMMYFUNCTION("""COMPUTED_VALUE"""),"A process occuring within or in the vicinity of a hospital ward that exposes the recipient organism to a material entity.")</f>
        <v>A process occuring within or in the vicinity of a hospital ward that exposes the recipient organism to a material entity.</v>
      </c>
      <c r="E962" s="56"/>
      <c r="F962" s="54"/>
      <c r="G962" s="54"/>
      <c r="H962" s="59"/>
      <c r="I962" s="59"/>
      <c r="J962" s="59"/>
      <c r="K962" s="54"/>
    </row>
    <row r="963">
      <c r="A963" s="57"/>
      <c r="B963" s="57" t="str">
        <f>IFERROR(__xludf.DUMMYFUNCTION("""COMPUTED_VALUE"""),"  Laboratory [ECTO:1000036]  ")</f>
        <v>  Laboratory [ECTO:1000036]  </v>
      </c>
      <c r="C963" s="57" t="str">
        <f>IFERROR(__xludf.DUMMYFUNCTION("""COMPUTED_VALUE"""),"ECTO:1000036")</f>
        <v>ECTO:1000036</v>
      </c>
      <c r="D963" s="58" t="str">
        <f>IFERROR(__xludf.DUMMYFUNCTION("""COMPUTED_VALUE"""),"A exposure event involving the interaction of an exposure receptor to laboratory facility.")</f>
        <v>A exposure event involving the interaction of an exposure receptor to laboratory facility.</v>
      </c>
      <c r="E963" s="56"/>
      <c r="F963" s="54"/>
      <c r="G963" s="54"/>
      <c r="H963" s="59"/>
      <c r="I963" s="59"/>
      <c r="J963" s="59"/>
      <c r="K963" s="54"/>
    </row>
    <row r="964">
      <c r="A964" s="57"/>
      <c r="B964" s="57" t="str">
        <f>IFERROR(__xludf.DUMMYFUNCTION("""COMPUTED_VALUE"""),"  Long-Term Care Facility [GENEPIO:0100209]  ")</f>
        <v>  Long-Term Care Facility [GENEPIO:0100209]  </v>
      </c>
      <c r="C964" s="57" t="str">
        <f>IFERROR(__xludf.DUMMYFUNCTION("""COMPUTED_VALUE"""),"GENEPIO:0100209")</f>
        <v>GENEPIO:0100209</v>
      </c>
      <c r="D964" s="58" t="str">
        <f>IFERROR(__xludf.DUMMYFUNCTION("""COMPUTED_VALUE"""),"A process occuring within or in the vicinity of a long-term care facility that exposes the recipient organism to a material entity.")</f>
        <v>A process occuring within or in the vicinity of a long-term care facility that exposes the recipient organism to a material entity.</v>
      </c>
      <c r="E964" s="56"/>
      <c r="F964" s="54"/>
      <c r="G964" s="54"/>
      <c r="H964" s="59"/>
      <c r="I964" s="59"/>
      <c r="J964" s="59"/>
      <c r="K964" s="54"/>
    </row>
    <row r="965">
      <c r="A965" s="57"/>
      <c r="B965" s="57" t="str">
        <f>IFERROR(__xludf.DUMMYFUNCTION("""COMPUTED_VALUE"""),"  Pharmacy [GENEPIO:0100210]  ")</f>
        <v>  Pharmacy [GENEPIO:0100210]  </v>
      </c>
      <c r="C965" s="57" t="str">
        <f>IFERROR(__xludf.DUMMYFUNCTION("""COMPUTED_VALUE"""),"GENEPIO:0100210")</f>
        <v>GENEPIO:0100210</v>
      </c>
      <c r="D965" s="58" t="str">
        <f>IFERROR(__xludf.DUMMYFUNCTION("""COMPUTED_VALUE"""),"A process occuring within or in the vicinity of a pharmacy that exposes the recipient organism to a material entity.")</f>
        <v>A process occuring within or in the vicinity of a pharmacy that exposes the recipient organism to a material entity.</v>
      </c>
      <c r="E965" s="56"/>
      <c r="F965" s="54"/>
      <c r="G965" s="54"/>
      <c r="H965" s="59"/>
      <c r="I965" s="59"/>
      <c r="J965" s="59"/>
      <c r="K965" s="54"/>
    </row>
    <row r="966">
      <c r="A966" s="57"/>
      <c r="B966" s="57" t="str">
        <f>IFERROR(__xludf.DUMMYFUNCTION("""COMPUTED_VALUE"""),"  Physician's Office [GENEPIO:0100211]  ")</f>
        <v>  Physician's Office [GENEPIO:0100211]  </v>
      </c>
      <c r="C966" s="57" t="str">
        <f>IFERROR(__xludf.DUMMYFUNCTION("""COMPUTED_VALUE"""),"GENEPIO:0100211")</f>
        <v>GENEPIO:0100211</v>
      </c>
      <c r="D966" s="58" t="str">
        <f>IFERROR(__xludf.DUMMYFUNCTION("""COMPUTED_VALUE"""),"A process occuring within or in the vicinity of a physician's office that exposes the recipient organism to a material entity.")</f>
        <v>A process occuring within or in the vicinity of a physician's office that exposes the recipient organism to a material entity.</v>
      </c>
      <c r="E966" s="56"/>
      <c r="F966" s="54"/>
      <c r="G966" s="54"/>
      <c r="H966" s="59"/>
      <c r="I966" s="59"/>
      <c r="J966" s="59"/>
      <c r="K966" s="54"/>
    </row>
    <row r="967">
      <c r="A967" s="57"/>
      <c r="B967" s="57" t="str">
        <f>IFERROR(__xludf.DUMMYFUNCTION("""COMPUTED_VALUE""")," Household [GENEPIO:0100212]   ")</f>
        <v> Household [GENEPIO:0100212]   </v>
      </c>
      <c r="C967" s="57" t="str">
        <f>IFERROR(__xludf.DUMMYFUNCTION("""COMPUTED_VALUE"""),"GENEPIO:0100212")</f>
        <v>GENEPIO:0100212</v>
      </c>
      <c r="D967" s="58" t="str">
        <f>IFERROR(__xludf.DUMMYFUNCTION("""COMPUTED_VALUE"""),"A process occuring within or in the vicinity of a household that exposes the recipient organism to a material entity.")</f>
        <v>A process occuring within or in the vicinity of a household that exposes the recipient organism to a material entity.</v>
      </c>
      <c r="E967" s="56"/>
      <c r="F967" s="54"/>
      <c r="G967" s="54"/>
      <c r="H967" s="59"/>
      <c r="I967" s="59"/>
      <c r="J967" s="59"/>
      <c r="K967" s="54"/>
    </row>
    <row r="968">
      <c r="A968" s="57"/>
      <c r="B968" s="57" t="str">
        <f>IFERROR(__xludf.DUMMYFUNCTION("""COMPUTED_VALUE""")," Insecure Housing (Homeless) [GENEPIO:0100213]   ")</f>
        <v> Insecure Housing (Homeless) [GENEPIO:0100213]   </v>
      </c>
      <c r="C968" s="57" t="str">
        <f>IFERROR(__xludf.DUMMYFUNCTION("""COMPUTED_VALUE"""),"GENEPIO:0100213")</f>
        <v>GENEPIO:0100213</v>
      </c>
      <c r="D968" s="58" t="str">
        <f>IFERROR(__xludf.DUMMYFUNCTION("""COMPUTED_VALUE"""),"A process occuring that exposes the recipient organism to a material entity as a consequence of said organism having insecure housing.")</f>
        <v>A process occuring that exposes the recipient organism to a material entity as a consequence of said organism having insecure housing.</v>
      </c>
      <c r="E968" s="56"/>
      <c r="F968" s="54"/>
      <c r="G968" s="54"/>
      <c r="H968" s="59"/>
      <c r="I968" s="59"/>
      <c r="J968" s="59"/>
      <c r="K968" s="54"/>
    </row>
    <row r="969">
      <c r="A969" s="57"/>
      <c r="B969" s="57" t="str">
        <f>IFERROR(__xludf.DUMMYFUNCTION("""COMPUTED_VALUE""")," Occupational Exposure [GENEPIO:0100214]   ")</f>
        <v> Occupational Exposure [GENEPIO:0100214]   </v>
      </c>
      <c r="C969" s="57" t="str">
        <f>IFERROR(__xludf.DUMMYFUNCTION("""COMPUTED_VALUE"""),"GENEPIO:0100214")</f>
        <v>GENEPIO:0100214</v>
      </c>
      <c r="D969" s="58" t="str">
        <f>IFERROR(__xludf.DUMMYFUNCTION("""COMPUTED_VALUE"""),"A process occuring within or in the vicinity of a human occupational environment that exposes the recipient organism to a material entity.")</f>
        <v>A process occuring within or in the vicinity of a human occupational environment that exposes the recipient organism to a material entity.</v>
      </c>
      <c r="E969" s="56"/>
      <c r="F969" s="54"/>
      <c r="G969" s="54"/>
      <c r="H969" s="59"/>
      <c r="I969" s="59"/>
      <c r="J969" s="59"/>
      <c r="K969" s="54"/>
    </row>
    <row r="970">
      <c r="A970" s="57"/>
      <c r="B970" s="57" t="str">
        <f>IFERROR(__xludf.DUMMYFUNCTION("""COMPUTED_VALUE"""),"  Worksite [GENEPIO:0100215]  ")</f>
        <v>  Worksite [GENEPIO:0100215]  </v>
      </c>
      <c r="C970" s="57" t="str">
        <f>IFERROR(__xludf.DUMMYFUNCTION("""COMPUTED_VALUE"""),"GENEPIO:0100215")</f>
        <v>GENEPIO:0100215</v>
      </c>
      <c r="D970" s="58" t="str">
        <f>IFERROR(__xludf.DUMMYFUNCTION("""COMPUTED_VALUE"""),"A process occuring within or in the vicinity of an office that exposes the recipient organism to a material entity.")</f>
        <v>A process occuring within or in the vicinity of an office that exposes the recipient organism to a material entity.</v>
      </c>
      <c r="E970" s="56"/>
      <c r="F970" s="54"/>
      <c r="G970" s="54"/>
      <c r="H970" s="59"/>
      <c r="I970" s="59"/>
      <c r="J970" s="59"/>
      <c r="K970" s="54"/>
    </row>
    <row r="971">
      <c r="A971" s="57"/>
      <c r="B971" s="57" t="str">
        <f>IFERROR(__xludf.DUMMYFUNCTION("""COMPUTED_VALUE"""),"   Office [ECTO:1000037] ")</f>
        <v>   Office [ECTO:1000037] </v>
      </c>
      <c r="C971" s="57" t="str">
        <f>IFERROR(__xludf.DUMMYFUNCTION("""COMPUTED_VALUE"""),"ECTO:1000037")</f>
        <v>ECTO:1000037</v>
      </c>
      <c r="D971" s="58" t="str">
        <f>IFERROR(__xludf.DUMMYFUNCTION("""COMPUTED_VALUE"""),"A exposure event involving the interaction of an exposure receptor to office.")</f>
        <v>A exposure event involving the interaction of an exposure receptor to office.</v>
      </c>
      <c r="E971" s="56"/>
      <c r="F971" s="54"/>
      <c r="G971" s="54"/>
      <c r="H971" s="59"/>
      <c r="I971" s="59"/>
      <c r="J971" s="59"/>
      <c r="K971" s="54"/>
    </row>
    <row r="972">
      <c r="A972" s="57"/>
      <c r="B972" s="57" t="str">
        <f>IFERROR(__xludf.DUMMYFUNCTION("""COMPUTED_VALUE""")," Outdoors [GENEPIO:0100216]   ")</f>
        <v> Outdoors [GENEPIO:0100216]   </v>
      </c>
      <c r="C972" s="57" t="str">
        <f>IFERROR(__xludf.DUMMYFUNCTION("""COMPUTED_VALUE"""),"GENEPIO:0100216")</f>
        <v>GENEPIO:0100216</v>
      </c>
      <c r="D972" s="58" t="str">
        <f>IFERROR(__xludf.DUMMYFUNCTION("""COMPUTED_VALUE"""),"A process occuring outdoors that exposes the recipient organism to a material entity.")</f>
        <v>A process occuring outdoors that exposes the recipient organism to a material entity.</v>
      </c>
      <c r="E972" s="56"/>
      <c r="F972" s="54"/>
      <c r="G972" s="54"/>
      <c r="H972" s="59"/>
      <c r="I972" s="59"/>
      <c r="J972" s="59"/>
      <c r="K972" s="54"/>
    </row>
    <row r="973">
      <c r="A973" s="57"/>
      <c r="B973" s="57" t="str">
        <f>IFERROR(__xludf.DUMMYFUNCTION("""COMPUTED_VALUE"""),"  Camp/camping [ECTO:5000009]  ")</f>
        <v>  Camp/camping [ECTO:5000009]  </v>
      </c>
      <c r="C973" s="57" t="str">
        <f>IFERROR(__xludf.DUMMYFUNCTION("""COMPUTED_VALUE"""),"ECTO:5000009")</f>
        <v>ECTO:5000009</v>
      </c>
      <c r="D973" s="58" t="str">
        <f>IFERROR(__xludf.DUMMYFUNCTION("""COMPUTED_VALUE"""),"A exposure event involving the interaction of an exposure receptor to campground.")</f>
        <v>A exposure event involving the interaction of an exposure receptor to campground.</v>
      </c>
      <c r="E973" s="56"/>
      <c r="F973" s="54"/>
      <c r="G973" s="54"/>
      <c r="H973" s="59"/>
      <c r="I973" s="59"/>
      <c r="J973" s="59"/>
      <c r="K973" s="54"/>
    </row>
    <row r="974">
      <c r="A974" s="57"/>
      <c r="B974" s="57" t="str">
        <f>IFERROR(__xludf.DUMMYFUNCTION("""COMPUTED_VALUE"""),"  Hiking Trail [GENEPIO:0100217]  ")</f>
        <v>  Hiking Trail [GENEPIO:0100217]  </v>
      </c>
      <c r="C974" s="57" t="str">
        <f>IFERROR(__xludf.DUMMYFUNCTION("""COMPUTED_VALUE"""),"GENEPIO:0100217")</f>
        <v>GENEPIO:0100217</v>
      </c>
      <c r="D974" s="58" t="str">
        <f>IFERROR(__xludf.DUMMYFUNCTION("""COMPUTED_VALUE"""),"A process that exposes the recipient organism to a material entity as a consequence of hiking.")</f>
        <v>A process that exposes the recipient organism to a material entity as a consequence of hiking.</v>
      </c>
      <c r="E974" s="56"/>
      <c r="F974" s="54"/>
      <c r="G974" s="54"/>
      <c r="H974" s="59"/>
      <c r="I974" s="59"/>
      <c r="J974" s="59"/>
      <c r="K974" s="54"/>
    </row>
    <row r="975">
      <c r="A975" s="57"/>
      <c r="B975" s="57" t="str">
        <f>IFERROR(__xludf.DUMMYFUNCTION("""COMPUTED_VALUE"""),"  Hunting Ground [ECTO:6000030]  ")</f>
        <v>  Hunting Ground [ECTO:6000030]  </v>
      </c>
      <c r="C975" s="57" t="str">
        <f>IFERROR(__xludf.DUMMYFUNCTION("""COMPUTED_VALUE"""),"ECTO:6000030")</f>
        <v>ECTO:6000030</v>
      </c>
      <c r="D975" s="58" t="str">
        <f>IFERROR(__xludf.DUMMYFUNCTION("""COMPUTED_VALUE"""),"An exposure event involving hunting behavior")</f>
        <v>An exposure event involving hunting behavior</v>
      </c>
      <c r="E975" s="56"/>
      <c r="F975" s="54"/>
      <c r="G975" s="54"/>
      <c r="H975" s="59"/>
      <c r="I975" s="59"/>
      <c r="J975" s="59"/>
      <c r="K975" s="54"/>
    </row>
    <row r="976">
      <c r="A976" s="57"/>
      <c r="B976" s="57" t="str">
        <f>IFERROR(__xludf.DUMMYFUNCTION("""COMPUTED_VALUE""")," Petting zoo [ECTO:5000008]   ")</f>
        <v> Petting zoo [ECTO:5000008]   </v>
      </c>
      <c r="C976" s="57" t="str">
        <f>IFERROR(__xludf.DUMMYFUNCTION("""COMPUTED_VALUE"""),"ECTO:5000008")</f>
        <v>ECTO:5000008</v>
      </c>
      <c r="D976" s="58" t="str">
        <f>IFERROR(__xludf.DUMMYFUNCTION("""COMPUTED_VALUE"""),"A exposure event involving the interaction of an exposure receptor to petting zoo.")</f>
        <v>A exposure event involving the interaction of an exposure receptor to petting zoo.</v>
      </c>
      <c r="E976" s="56"/>
      <c r="F976" s="54"/>
      <c r="G976" s="54"/>
      <c r="H976" s="59"/>
      <c r="I976" s="59"/>
      <c r="J976" s="59"/>
      <c r="K976" s="54"/>
    </row>
    <row r="977">
      <c r="A977" s="57"/>
      <c r="B977" s="57" t="str">
        <f>IFERROR(__xludf.DUMMYFUNCTION("""COMPUTED_VALUE""")," Place of Worship [GENEPIO:0100220]   ")</f>
        <v> Place of Worship [GENEPIO:0100220]   </v>
      </c>
      <c r="C977" s="57" t="str">
        <f>IFERROR(__xludf.DUMMYFUNCTION("""COMPUTED_VALUE"""),"GENEPIO:0100220")</f>
        <v>GENEPIO:0100220</v>
      </c>
      <c r="D977" s="58" t="str">
        <f>IFERROR(__xludf.DUMMYFUNCTION("""COMPUTED_VALUE"""),"A process occuring within or in the vicinity of a place of worship that exposes the recipient organism to a material entity.")</f>
        <v>A process occuring within or in the vicinity of a place of worship that exposes the recipient organism to a material entity.</v>
      </c>
      <c r="E977" s="56"/>
      <c r="F977" s="54"/>
      <c r="G977" s="54"/>
      <c r="H977" s="59"/>
      <c r="I977" s="59"/>
      <c r="J977" s="59"/>
      <c r="K977" s="54"/>
    </row>
    <row r="978">
      <c r="A978" s="57"/>
      <c r="B978" s="57" t="str">
        <f>IFERROR(__xludf.DUMMYFUNCTION("""COMPUTED_VALUE"""),"  Church [GENEPIO:0100221]  ")</f>
        <v>  Church [GENEPIO:0100221]  </v>
      </c>
      <c r="C978" s="57" t="str">
        <f>IFERROR(__xludf.DUMMYFUNCTION("""COMPUTED_VALUE"""),"GENEPIO:0100221")</f>
        <v>GENEPIO:0100221</v>
      </c>
      <c r="D978" s="58" t="str">
        <f>IFERROR(__xludf.DUMMYFUNCTION("""COMPUTED_VALUE"""),"A process occuring within or in the vicinity of a church that exposes the recipient organism to a material entity.")</f>
        <v>A process occuring within or in the vicinity of a church that exposes the recipient organism to a material entity.</v>
      </c>
      <c r="E978" s="56"/>
      <c r="F978" s="54"/>
      <c r="G978" s="54"/>
      <c r="H978" s="59"/>
      <c r="I978" s="59"/>
      <c r="J978" s="59"/>
      <c r="K978" s="54"/>
    </row>
    <row r="979">
      <c r="A979" s="57"/>
      <c r="B979" s="57" t="str">
        <f>IFERROR(__xludf.DUMMYFUNCTION("""COMPUTED_VALUE"""),"  Mosque [GENEPIO:0100222]  ")</f>
        <v>  Mosque [GENEPIO:0100222]  </v>
      </c>
      <c r="C979" s="57" t="str">
        <f>IFERROR(__xludf.DUMMYFUNCTION("""COMPUTED_VALUE"""),"GENEPIO:0100222")</f>
        <v>GENEPIO:0100222</v>
      </c>
      <c r="D979" s="58" t="str">
        <f>IFERROR(__xludf.DUMMYFUNCTION("""COMPUTED_VALUE"""),"A process occuring within or in the vicinity of a mosque that exposes the recipient organism to a material entity.")</f>
        <v>A process occuring within or in the vicinity of a mosque that exposes the recipient organism to a material entity.</v>
      </c>
      <c r="E979" s="56"/>
      <c r="F979" s="54"/>
      <c r="G979" s="54"/>
      <c r="H979" s="59"/>
      <c r="I979" s="59"/>
      <c r="J979" s="59"/>
      <c r="K979" s="54"/>
    </row>
    <row r="980">
      <c r="A980" s="57"/>
      <c r="B980" s="57" t="str">
        <f>IFERROR(__xludf.DUMMYFUNCTION("""COMPUTED_VALUE"""),"  Temple [GENEPIO:0100223]  ")</f>
        <v>  Temple [GENEPIO:0100223]  </v>
      </c>
      <c r="C980" s="57" t="str">
        <f>IFERROR(__xludf.DUMMYFUNCTION("""COMPUTED_VALUE"""),"GENEPIO:0100223")</f>
        <v>GENEPIO:0100223</v>
      </c>
      <c r="D980" s="58" t="str">
        <f>IFERROR(__xludf.DUMMYFUNCTION("""COMPUTED_VALUE"""),"A process occuring within or in the vicinity of a temple that exposes the recipient organism to a material entity.")</f>
        <v>A process occuring within or in the vicinity of a temple that exposes the recipient organism to a material entity.</v>
      </c>
      <c r="E980" s="56"/>
      <c r="F980" s="54"/>
      <c r="G980" s="54"/>
      <c r="H980" s="59"/>
      <c r="I980" s="59"/>
      <c r="J980" s="59"/>
      <c r="K980" s="54"/>
    </row>
    <row r="981">
      <c r="A981" s="57"/>
      <c r="B981" s="57" t="str">
        <f>IFERROR(__xludf.DUMMYFUNCTION("""COMPUTED_VALUE""")," Restaurant [ECTO:1000040]   ")</f>
        <v> Restaurant [ECTO:1000040]   </v>
      </c>
      <c r="C981" s="57" t="str">
        <f>IFERROR(__xludf.DUMMYFUNCTION("""COMPUTED_VALUE"""),"ECTO:1000040")</f>
        <v>ECTO:1000040</v>
      </c>
      <c r="D981" s="58" t="str">
        <f>IFERROR(__xludf.DUMMYFUNCTION("""COMPUTED_VALUE"""),"A exposure event involving the interaction of an exposure receptor to restaurant.")</f>
        <v>A exposure event involving the interaction of an exposure receptor to restaurant.</v>
      </c>
      <c r="E981" s="56"/>
      <c r="F981" s="54"/>
      <c r="G981" s="54"/>
      <c r="H981" s="59"/>
      <c r="I981" s="59"/>
      <c r="J981" s="59"/>
      <c r="K981" s="54"/>
    </row>
    <row r="982">
      <c r="A982" s="57"/>
      <c r="B982" s="57" t="str">
        <f>IFERROR(__xludf.DUMMYFUNCTION("""COMPUTED_VALUE""")," Retail Store [ECTO:1000041]   ")</f>
        <v> Retail Store [ECTO:1000041]   </v>
      </c>
      <c r="C982" s="57" t="str">
        <f>IFERROR(__xludf.DUMMYFUNCTION("""COMPUTED_VALUE"""),"ECTO:1000041")</f>
        <v>ECTO:1000041</v>
      </c>
      <c r="D982" s="58" t="str">
        <f>IFERROR(__xludf.DUMMYFUNCTION("""COMPUTED_VALUE"""),"A exposure event involving the interaction of an exposure receptor to shop.")</f>
        <v>A exposure event involving the interaction of an exposure receptor to shop.</v>
      </c>
      <c r="E982" s="56"/>
      <c r="F982" s="54"/>
      <c r="G982" s="54"/>
      <c r="H982" s="59"/>
      <c r="I982" s="59"/>
      <c r="J982" s="59"/>
      <c r="K982" s="54"/>
    </row>
    <row r="983">
      <c r="A983" s="57"/>
      <c r="B983" s="57" t="str">
        <f>IFERROR(__xludf.DUMMYFUNCTION("""COMPUTED_VALUE""")," School [GENEPIO:0100224]   ")</f>
        <v> School [GENEPIO:0100224]   </v>
      </c>
      <c r="C983" s="57" t="str">
        <f>IFERROR(__xludf.DUMMYFUNCTION("""COMPUTED_VALUE"""),"GENEPIO:0100224")</f>
        <v>GENEPIO:0100224</v>
      </c>
      <c r="D983" s="58" t="str">
        <f>IFERROR(__xludf.DUMMYFUNCTION("""COMPUTED_VALUE"""),"A process occuring within or in the vicinity of a school that exposes the recipient organism to a material entity.")</f>
        <v>A process occuring within or in the vicinity of a school that exposes the recipient organism to a material entity.</v>
      </c>
      <c r="E983" s="56"/>
      <c r="F983" s="54"/>
      <c r="G983" s="54"/>
      <c r="H983" s="59"/>
      <c r="I983" s="59"/>
      <c r="J983" s="59"/>
      <c r="K983" s="54"/>
    </row>
    <row r="984">
      <c r="A984" s="57"/>
      <c r="B984" s="57" t="str">
        <f>IFERROR(__xludf.DUMMYFUNCTION("""COMPUTED_VALUE""")," Temporary Residence [GENEPIO:0100225]   ")</f>
        <v> Temporary Residence [GENEPIO:0100225]   </v>
      </c>
      <c r="C984" s="57" t="str">
        <f>IFERROR(__xludf.DUMMYFUNCTION("""COMPUTED_VALUE"""),"GENEPIO:0100225")</f>
        <v>GENEPIO:0100225</v>
      </c>
      <c r="D984" s="58" t="str">
        <f>IFERROR(__xludf.DUMMYFUNCTION("""COMPUTED_VALUE"""),"A process occuring within or in the vicinity of a temporary residence that exposes the recipient organism to a material entity.")</f>
        <v>A process occuring within or in the vicinity of a temporary residence that exposes the recipient organism to a material entity.</v>
      </c>
      <c r="E984" s="56"/>
      <c r="F984" s="54"/>
      <c r="G984" s="54"/>
      <c r="H984" s="59"/>
      <c r="I984" s="59"/>
      <c r="J984" s="59"/>
      <c r="K984" s="54"/>
    </row>
    <row r="985">
      <c r="A985" s="57"/>
      <c r="B985" s="57" t="str">
        <f>IFERROR(__xludf.DUMMYFUNCTION("""COMPUTED_VALUE"""),"  Homeless Shelter [GENEPIO:0100226]  ")</f>
        <v>  Homeless Shelter [GENEPIO:0100226]  </v>
      </c>
      <c r="C985" s="57" t="str">
        <f>IFERROR(__xludf.DUMMYFUNCTION("""COMPUTED_VALUE"""),"GENEPIO:0100226")</f>
        <v>GENEPIO:0100226</v>
      </c>
      <c r="D985" s="58" t="str">
        <f>IFERROR(__xludf.DUMMYFUNCTION("""COMPUTED_VALUE"""),"A process occuring within or in the vicinity of a homeless shelter that exposes the recipient organism to a material entity.")</f>
        <v>A process occuring within or in the vicinity of a homeless shelter that exposes the recipient organism to a material entity.</v>
      </c>
      <c r="E985" s="56"/>
      <c r="F985" s="54"/>
      <c r="G985" s="54"/>
      <c r="H985" s="59"/>
      <c r="I985" s="59"/>
      <c r="J985" s="59"/>
      <c r="K985" s="54"/>
    </row>
    <row r="986">
      <c r="A986" s="57"/>
      <c r="B986" s="57" t="str">
        <f>IFERROR(__xludf.DUMMYFUNCTION("""COMPUTED_VALUE"""),"  Hotel [GENEPIO:0100227]  ")</f>
        <v>  Hotel [GENEPIO:0100227]  </v>
      </c>
      <c r="C986" s="57" t="str">
        <f>IFERROR(__xludf.DUMMYFUNCTION("""COMPUTED_VALUE"""),"GENEPIO:0100227")</f>
        <v>GENEPIO:0100227</v>
      </c>
      <c r="D986" s="58" t="str">
        <f>IFERROR(__xludf.DUMMYFUNCTION("""COMPUTED_VALUE"""),"A process occuring within or in the vicinity of a hotel exposure that exposes the recipient organism to a material entity.")</f>
        <v>A process occuring within or in the vicinity of a hotel exposure that exposes the recipient organism to a material entity.</v>
      </c>
      <c r="E986" s="56"/>
      <c r="F986" s="54"/>
      <c r="G986" s="54"/>
      <c r="H986" s="59"/>
      <c r="I986" s="59"/>
      <c r="J986" s="59"/>
      <c r="K986" s="54"/>
    </row>
    <row r="987">
      <c r="A987" s="57"/>
      <c r="B987" s="57" t="str">
        <f>IFERROR(__xludf.DUMMYFUNCTION("""COMPUTED_VALUE""")," Veterinary Care Clinic [GENEPIO:0100228]   ")</f>
        <v> Veterinary Care Clinic [GENEPIO:0100228]   </v>
      </c>
      <c r="C987" s="57" t="str">
        <f>IFERROR(__xludf.DUMMYFUNCTION("""COMPUTED_VALUE"""),"GENEPIO:0100228")</f>
        <v>GENEPIO:0100228</v>
      </c>
      <c r="D987" s="58" t="str">
        <f>IFERROR(__xludf.DUMMYFUNCTION("""COMPUTED_VALUE"""),"A process occuring within or in the vicinity of a veterinary facility that exposes the recipient organism to a material entity.")</f>
        <v>A process occuring within or in the vicinity of a veterinary facility that exposes the recipient organism to a material entity.</v>
      </c>
      <c r="E987" s="56"/>
      <c r="F987" s="54"/>
      <c r="G987" s="54"/>
      <c r="H987" s="59"/>
      <c r="I987" s="59"/>
      <c r="J987" s="59"/>
      <c r="K987" s="54"/>
    </row>
    <row r="988">
      <c r="A988" s="57"/>
      <c r="B988" s="57" t="str">
        <f>IFERROR(__xludf.DUMMYFUNCTION("""COMPUTED_VALUE"""),"Travel Exposure [GENEPIO:0100229]    ")</f>
        <v>Travel Exposure [GENEPIO:0100229]    </v>
      </c>
      <c r="C988" s="57" t="str">
        <f>IFERROR(__xludf.DUMMYFUNCTION("""COMPUTED_VALUE"""),"GENEPIO:0100229")</f>
        <v>GENEPIO:0100229</v>
      </c>
      <c r="D988" s="58" t="str">
        <f>IFERROR(__xludf.DUMMYFUNCTION("""COMPUTED_VALUE"""),"A process occuring as a result of travel that exposes the recipient organism to a material entity.")</f>
        <v>A process occuring as a result of travel that exposes the recipient organism to a material entity.</v>
      </c>
      <c r="E988" s="56"/>
      <c r="F988" s="54"/>
      <c r="G988" s="54"/>
      <c r="H988" s="59"/>
      <c r="I988" s="59"/>
      <c r="J988" s="59"/>
      <c r="K988" s="54"/>
    </row>
    <row r="989">
      <c r="A989" s="57"/>
      <c r="B989" s="57" t="str">
        <f>IFERROR(__xludf.DUMMYFUNCTION("""COMPUTED_VALUE""")," Travelled on a Cruise Ship [GENEPIO:0100230]   ")</f>
        <v> Travelled on a Cruise Ship [GENEPIO:0100230]   </v>
      </c>
      <c r="C989" s="57" t="str">
        <f>IFERROR(__xludf.DUMMYFUNCTION("""COMPUTED_VALUE"""),"GENEPIO:0100230")</f>
        <v>GENEPIO:0100230</v>
      </c>
      <c r="D989" s="58" t="str">
        <f>IFERROR(__xludf.DUMMYFUNCTION("""COMPUTED_VALUE"""),"A process occuring within or in the vicinity of a cruise ship that exposes the recipient organism to a material entity.")</f>
        <v>A process occuring within or in the vicinity of a cruise ship that exposes the recipient organism to a material entity.</v>
      </c>
      <c r="E989" s="56"/>
      <c r="F989" s="54"/>
      <c r="G989" s="54"/>
      <c r="H989" s="59"/>
      <c r="I989" s="59"/>
      <c r="J989" s="59"/>
      <c r="K989" s="54"/>
    </row>
    <row r="990">
      <c r="A990" s="57"/>
      <c r="B990" s="57" t="str">
        <f>IFERROR(__xludf.DUMMYFUNCTION("""COMPUTED_VALUE""")," Travelled on a Plane [GENEPIO:0100231]   ")</f>
        <v> Travelled on a Plane [GENEPIO:0100231]   </v>
      </c>
      <c r="C990" s="57" t="str">
        <f>IFERROR(__xludf.DUMMYFUNCTION("""COMPUTED_VALUE"""),"GENEPIO:0100231")</f>
        <v>GENEPIO:0100231</v>
      </c>
      <c r="D990" s="58" t="str">
        <f>IFERROR(__xludf.DUMMYFUNCTION("""COMPUTED_VALUE"""),"A process occuring within or in the vicinity of an airplane that exposes the recipient organism to a material entity.")</f>
        <v>A process occuring within or in the vicinity of an airplane that exposes the recipient organism to a material entity.</v>
      </c>
      <c r="E990" s="56"/>
      <c r="F990" s="54"/>
      <c r="G990" s="54"/>
      <c r="H990" s="59"/>
      <c r="I990" s="59"/>
      <c r="J990" s="59"/>
      <c r="K990" s="54"/>
    </row>
    <row r="991">
      <c r="A991" s="57"/>
      <c r="B991" s="57" t="str">
        <f>IFERROR(__xludf.DUMMYFUNCTION("""COMPUTED_VALUE""")," Travelled on Ground Transport [GENEPIO:0100232]   ")</f>
        <v> Travelled on Ground Transport [GENEPIO:0100232]   </v>
      </c>
      <c r="C991" s="57" t="str">
        <f>IFERROR(__xludf.DUMMYFUNCTION("""COMPUTED_VALUE"""),"GENEPIO:0100232")</f>
        <v>GENEPIO:0100232</v>
      </c>
      <c r="D991" s="58" t="str">
        <f>IFERROR(__xludf.DUMMYFUNCTION("""COMPUTED_VALUE"""),"A process occuring within or in the vicinity of ground transport that exposes the recipient organism to a material entity.")</f>
        <v>A process occuring within or in the vicinity of ground transport that exposes the recipient organism to a material entity.</v>
      </c>
      <c r="E991" s="56"/>
      <c r="F991" s="54"/>
      <c r="G991" s="54"/>
      <c r="H991" s="59"/>
      <c r="I991" s="59"/>
      <c r="J991" s="59"/>
      <c r="K991" s="54"/>
    </row>
    <row r="992">
      <c r="A992" s="57"/>
      <c r="B992" s="57" t="str">
        <f>IFERROR(__xludf.DUMMYFUNCTION("""COMPUTED_VALUE""")," Travelled outside Province/Territory [GENEPIO:0001118]   ")</f>
        <v> Travelled outside Province/Territory [GENEPIO:0001118]   </v>
      </c>
      <c r="C992" s="57" t="str">
        <f>IFERROR(__xludf.DUMMYFUNCTION("""COMPUTED_VALUE"""),"GENEPIO:0001118")</f>
        <v>GENEPIO:0001118</v>
      </c>
      <c r="D992" s="58"/>
      <c r="E992" s="56"/>
      <c r="F992" s="54"/>
      <c r="G992" s="54"/>
      <c r="H992" s="59"/>
      <c r="I992" s="59"/>
      <c r="J992" s="59"/>
      <c r="K992" s="54"/>
    </row>
    <row r="993">
      <c r="A993" s="57"/>
      <c r="B993" s="57" t="str">
        <f>IFERROR(__xludf.DUMMYFUNCTION("""COMPUTED_VALUE""")," Travelled outside Canada [GENEPIO:0001119]   ")</f>
        <v> Travelled outside Canada [GENEPIO:0001119]   </v>
      </c>
      <c r="C993" s="57" t="str">
        <f>IFERROR(__xludf.DUMMYFUNCTION("""COMPUTED_VALUE"""),"GENEPIO:0001119")</f>
        <v>GENEPIO:0001119</v>
      </c>
      <c r="D993" s="58"/>
      <c r="E993" s="56"/>
      <c r="F993" s="54"/>
      <c r="G993" s="54"/>
      <c r="H993" s="59"/>
      <c r="I993" s="59"/>
      <c r="J993" s="59"/>
      <c r="K993" s="54"/>
    </row>
    <row r="994">
      <c r="A994" s="57"/>
      <c r="B994" s="57" t="str">
        <f>IFERROR(__xludf.DUMMYFUNCTION("""COMPUTED_VALUE"""),"Other Exposure Setting [GENEPIO:0100235]    ")</f>
        <v>Other Exposure Setting [GENEPIO:0100235]    </v>
      </c>
      <c r="C994" s="57" t="str">
        <f>IFERROR(__xludf.DUMMYFUNCTION("""COMPUTED_VALUE"""),"GENEPIO:0100235")</f>
        <v>GENEPIO:0100235</v>
      </c>
      <c r="D994" s="58" t="str">
        <f>IFERROR(__xludf.DUMMYFUNCTION("""COMPUTED_VALUE"""),"A process occuring that exposes the recipient organism to a material entity.")</f>
        <v>A process occuring that exposes the recipient organism to a material entity.</v>
      </c>
      <c r="E994" s="56"/>
      <c r="F994" s="54"/>
      <c r="G994" s="54"/>
      <c r="H994" s="59"/>
      <c r="I994" s="59"/>
      <c r="J994" s="59"/>
      <c r="K994" s="54"/>
    </row>
    <row r="995">
      <c r="A995" s="57" t="str">
        <f>IFERROR(__xludf.DUMMYFUNCTION("""COMPUTED_VALUE"""),"host_vaccination_status menu")</f>
        <v>host_vaccination_status menu</v>
      </c>
      <c r="B995" s="57" t="str">
        <f>IFERROR(__xludf.DUMMYFUNCTION("""COMPUTED_VALUE"""),"    ")</f>
        <v>    </v>
      </c>
      <c r="C995" s="57" t="str">
        <f>IFERROR(__xludf.DUMMYFUNCTION("""COMPUTED_VALUE"""),"")</f>
        <v/>
      </c>
      <c r="D995" s="58"/>
      <c r="E995" s="56"/>
      <c r="F995" s="54"/>
      <c r="G995" s="54"/>
      <c r="H995" s="59"/>
      <c r="I995" s="59"/>
      <c r="J995" s="59"/>
      <c r="K995" s="54"/>
    </row>
    <row r="996">
      <c r="A996" s="57"/>
      <c r="B996" s="57" t="str">
        <f>IFERROR(__xludf.DUMMYFUNCTION("""COMPUTED_VALUE"""),"Fully Vaccinated [GENEPIO:0100100]    ")</f>
        <v>Fully Vaccinated [GENEPIO:0100100]    </v>
      </c>
      <c r="C996" s="57" t="str">
        <f>IFERROR(__xludf.DUMMYFUNCTION("""COMPUTED_VALUE"""),"GENEPIO:0100100")</f>
        <v>GENEPIO:0100100</v>
      </c>
      <c r="D996" s="58" t="str">
        <f>IFERROR(__xludf.DUMMYFUNCTION("""COMPUTED_VALUE"""),"Completed a full series of an authorized vaccine according to the regional health institutional guidance.")</f>
        <v>Completed a full series of an authorized vaccine according to the regional health institutional guidance.</v>
      </c>
      <c r="E996" s="56"/>
      <c r="F996" s="54"/>
      <c r="G996" s="54"/>
      <c r="H996" s="59"/>
      <c r="I996" s="59"/>
      <c r="J996" s="59"/>
      <c r="K996" s="54"/>
    </row>
    <row r="997">
      <c r="A997" s="57"/>
      <c r="B997" s="57" t="str">
        <f>IFERROR(__xludf.DUMMYFUNCTION("""COMPUTED_VALUE"""),"Not Vaccinated [GENEPIO:0100102]    ")</f>
        <v>Not Vaccinated [GENEPIO:0100102]    </v>
      </c>
      <c r="C997" s="57" t="str">
        <f>IFERROR(__xludf.DUMMYFUNCTION("""COMPUTED_VALUE"""),"GENEPIO:0100102")</f>
        <v>GENEPIO:0100102</v>
      </c>
      <c r="D997" s="58" t="str">
        <f>IFERROR(__xludf.DUMMYFUNCTION("""COMPUTED_VALUE"""),"Have not completed or initiated a vaccine series authorized and administered according to the regional health institutional guidance.")</f>
        <v>Have not completed or initiated a vaccine series authorized and administered according to the regional health institutional guidance.</v>
      </c>
      <c r="E997" s="56"/>
      <c r="F997" s="54"/>
      <c r="G997" s="54"/>
      <c r="H997" s="59"/>
      <c r="I997" s="59"/>
      <c r="J997" s="59"/>
      <c r="K997" s="54"/>
    </row>
    <row r="998">
      <c r="A998" s="57" t="str">
        <f>IFERROR(__xludf.DUMMYFUNCTION("""COMPUTED_VALUE"""),"influenza_antiviral_treatment_administration menu")</f>
        <v>influenza_antiviral_treatment_administration menu</v>
      </c>
      <c r="B998" s="57" t="str">
        <f>IFERROR(__xludf.DUMMYFUNCTION("""COMPUTED_VALUE"""),"    ")</f>
        <v>    </v>
      </c>
      <c r="C998" s="57" t="str">
        <f>IFERROR(__xludf.DUMMYFUNCTION("""COMPUTED_VALUE"""),"")</f>
        <v/>
      </c>
      <c r="D998" s="58"/>
      <c r="E998" s="56"/>
      <c r="F998" s="54"/>
      <c r="G998" s="54"/>
      <c r="H998" s="59"/>
      <c r="I998" s="59"/>
      <c r="J998" s="59"/>
      <c r="K998" s="54"/>
    </row>
    <row r="999">
      <c r="A999" s="57"/>
      <c r="B999" s="57" t="str">
        <f>IFERROR(__xludf.DUMMYFUNCTION("""COMPUTED_VALUE"""),"Influenza antiviral treatment administered [GENEPIO:0101194]    ")</f>
        <v>Influenza antiviral treatment administered [GENEPIO:0101194]    </v>
      </c>
      <c r="C999" s="57" t="str">
        <f>IFERROR(__xludf.DUMMYFUNCTION("""COMPUTED_VALUE"""),"GENEPIO:0101194")</f>
        <v>GENEPIO:0101194</v>
      </c>
      <c r="D999" s="58"/>
      <c r="E999" s="56"/>
      <c r="F999" s="54"/>
      <c r="G999" s="54"/>
      <c r="H999" s="59"/>
      <c r="I999" s="59"/>
      <c r="J999" s="59"/>
      <c r="K999" s="54"/>
    </row>
    <row r="1000">
      <c r="A1000" s="57"/>
      <c r="B1000" s="57" t="str">
        <f>IFERROR(__xludf.DUMMYFUNCTION("""COMPUTED_VALUE"""),"No influenza antiviral treatment administered [GENEPIO:0101195]    ")</f>
        <v>No influenza antiviral treatment administered [GENEPIO:0101195]    </v>
      </c>
      <c r="C1000" s="57" t="str">
        <f>IFERROR(__xludf.DUMMYFUNCTION("""COMPUTED_VALUE"""),"GENEPIO:0101195")</f>
        <v>GENEPIO:0101195</v>
      </c>
      <c r="D1000" s="58"/>
      <c r="E1000" s="56"/>
      <c r="F1000" s="54"/>
      <c r="G1000" s="54"/>
      <c r="H1000" s="59"/>
      <c r="I1000" s="59"/>
      <c r="J1000" s="59"/>
      <c r="K1000" s="54"/>
    </row>
    <row r="1001">
      <c r="A1001" s="57" t="str">
        <f>IFERROR(__xludf.DUMMYFUNCTION("""COMPUTED_VALUE"""),"water_catchment_area_human_population_range menu")</f>
        <v>water_catchment_area_human_population_range menu</v>
      </c>
      <c r="B1001" s="57" t="str">
        <f>IFERROR(__xludf.DUMMYFUNCTION("""COMPUTED_VALUE"""),"    ")</f>
        <v>    </v>
      </c>
      <c r="C1001" s="57" t="str">
        <f>IFERROR(__xludf.DUMMYFUNCTION("""COMPUTED_VALUE"""),"")</f>
        <v/>
      </c>
      <c r="D1001" s="58"/>
      <c r="E1001" s="56"/>
      <c r="F1001" s="54"/>
      <c r="G1001" s="54"/>
      <c r="H1001" s="59"/>
      <c r="I1001" s="59"/>
      <c r="J1001" s="59"/>
      <c r="K1001" s="54"/>
    </row>
    <row r="1002">
      <c r="A1002" s="57"/>
      <c r="B1002" s="57" t="str">
        <f>IFERROR(__xludf.DUMMYFUNCTION("""COMPUTED_VALUE"""),"&lt;10 people    ")</f>
        <v>&lt;10 people    </v>
      </c>
      <c r="C1002" s="57" t="str">
        <f>IFERROR(__xludf.DUMMYFUNCTION("""COMPUTED_VALUE"""),"")</f>
        <v/>
      </c>
      <c r="D1002" s="58"/>
      <c r="E1002" s="56"/>
      <c r="F1002" s="54"/>
      <c r="G1002" s="54"/>
      <c r="H1002" s="59"/>
      <c r="I1002" s="59"/>
      <c r="J1002" s="59"/>
      <c r="K1002" s="54"/>
    </row>
    <row r="1003">
      <c r="A1003" s="57"/>
      <c r="B1003" s="57" t="str">
        <f>IFERROR(__xludf.DUMMYFUNCTION("""COMPUTED_VALUE"""),"10 - 100 people    ")</f>
        <v>10 - 100 people    </v>
      </c>
      <c r="C1003" s="57" t="str">
        <f>IFERROR(__xludf.DUMMYFUNCTION("""COMPUTED_VALUE"""),"")</f>
        <v/>
      </c>
      <c r="D1003" s="58"/>
      <c r="E1003" s="56"/>
      <c r="F1003" s="54"/>
      <c r="G1003" s="54"/>
      <c r="H1003" s="59"/>
      <c r="I1003" s="59"/>
      <c r="J1003" s="59"/>
      <c r="K1003" s="54"/>
    </row>
    <row r="1004">
      <c r="A1004" s="57"/>
      <c r="B1004" s="57" t="str">
        <f>IFERROR(__xludf.DUMMYFUNCTION("""COMPUTED_VALUE"""),"100 - 1,000 people    ")</f>
        <v>100 - 1,000 people    </v>
      </c>
      <c r="C1004" s="57" t="str">
        <f>IFERROR(__xludf.DUMMYFUNCTION("""COMPUTED_VALUE"""),"")</f>
        <v/>
      </c>
      <c r="D1004" s="58"/>
      <c r="E1004" s="56"/>
      <c r="F1004" s="54"/>
      <c r="G1004" s="54"/>
      <c r="H1004" s="59"/>
      <c r="I1004" s="59"/>
      <c r="J1004" s="59"/>
      <c r="K1004" s="54"/>
    </row>
    <row r="1005">
      <c r="A1005" s="57"/>
      <c r="B1005" s="57" t="str">
        <f>IFERROR(__xludf.DUMMYFUNCTION("""COMPUTED_VALUE"""),"1,000 - 10,000 people    ")</f>
        <v>1,000 - 10,000 people    </v>
      </c>
      <c r="C1005" s="57" t="str">
        <f>IFERROR(__xludf.DUMMYFUNCTION("""COMPUTED_VALUE"""),"")</f>
        <v/>
      </c>
      <c r="D1005" s="58"/>
      <c r="E1005" s="56"/>
      <c r="F1005" s="54"/>
      <c r="G1005" s="54"/>
      <c r="H1005" s="59"/>
      <c r="I1005" s="59"/>
      <c r="J1005" s="59"/>
      <c r="K1005" s="54"/>
    </row>
    <row r="1006">
      <c r="A1006" s="57"/>
      <c r="B1006" s="57" t="str">
        <f>IFERROR(__xludf.DUMMYFUNCTION("""COMPUTED_VALUE"""),"10,000 - 100,000 people    ")</f>
        <v>10,000 - 100,000 people    </v>
      </c>
      <c r="C1006" s="57" t="str">
        <f>IFERROR(__xludf.DUMMYFUNCTION("""COMPUTED_VALUE"""),"")</f>
        <v/>
      </c>
      <c r="D1006" s="58"/>
      <c r="E1006" s="56"/>
      <c r="F1006" s="54"/>
      <c r="G1006" s="54"/>
      <c r="H1006" s="59"/>
      <c r="I1006" s="59"/>
      <c r="J1006" s="59"/>
      <c r="K1006" s="54"/>
    </row>
    <row r="1007">
      <c r="A1007" s="57"/>
      <c r="B1007" s="57" t="str">
        <f>IFERROR(__xludf.DUMMYFUNCTION("""COMPUTED_VALUE"""),"100,000 -  1,000,000 people    ")</f>
        <v>100,000 -  1,000,000 people    </v>
      </c>
      <c r="C1007" s="57" t="str">
        <f>IFERROR(__xludf.DUMMYFUNCTION("""COMPUTED_VALUE"""),"")</f>
        <v/>
      </c>
      <c r="D1007" s="58"/>
      <c r="E1007" s="56"/>
      <c r="F1007" s="54"/>
      <c r="G1007" s="54"/>
      <c r="H1007" s="59"/>
      <c r="I1007" s="59"/>
      <c r="J1007" s="59"/>
      <c r="K1007" s="54"/>
    </row>
    <row r="1008">
      <c r="A1008" s="57"/>
      <c r="B1008" s="57" t="str">
        <f>IFERROR(__xludf.DUMMYFUNCTION("""COMPUTED_VALUE"""),"1,000,000+ people    ")</f>
        <v>1,000,000+ people    </v>
      </c>
      <c r="C1008" s="57" t="str">
        <f>IFERROR(__xludf.DUMMYFUNCTION("""COMPUTED_VALUE"""),"")</f>
        <v/>
      </c>
      <c r="D1008" s="58"/>
      <c r="E1008" s="56"/>
      <c r="F1008" s="54"/>
      <c r="G1008" s="54"/>
      <c r="H1008" s="59"/>
      <c r="I1008" s="59"/>
      <c r="J1008" s="59"/>
      <c r="K1008" s="54"/>
    </row>
    <row r="1009">
      <c r="A1009" s="57" t="str">
        <f>IFERROR(__xludf.DUMMYFUNCTION("""COMPUTED_VALUE"""),"water_catchment_area_human_population_density_unit menu")</f>
        <v>water_catchment_area_human_population_density_unit menu</v>
      </c>
      <c r="B1009" s="57" t="str">
        <f>IFERROR(__xludf.DUMMYFUNCTION("""COMPUTED_VALUE"""),"    ")</f>
        <v>    </v>
      </c>
      <c r="C1009" s="57" t="str">
        <f>IFERROR(__xludf.DUMMYFUNCTION("""COMPUTED_VALUE"""),"")</f>
        <v/>
      </c>
      <c r="D1009" s="58"/>
      <c r="E1009" s="56"/>
      <c r="F1009" s="54"/>
      <c r="G1009" s="54"/>
      <c r="H1009" s="59"/>
      <c r="I1009" s="59"/>
      <c r="J1009" s="59"/>
      <c r="K1009" s="54"/>
    </row>
    <row r="1010">
      <c r="A1010" s="57"/>
      <c r="B1010" s="57" t="str">
        <f>IFERROR(__xludf.DUMMYFUNCTION("""COMPUTED_VALUE"""),"persons per square mile [GENEPIO:0100989]    ")</f>
        <v>persons per square mile [GENEPIO:0100989]    </v>
      </c>
      <c r="C1010" s="57" t="str">
        <f>IFERROR(__xludf.DUMMYFUNCTION("""COMPUTED_VALUE"""),"GENEPIO:0100989")</f>
        <v>GENEPIO:0100989</v>
      </c>
      <c r="D1010" s="58" t="str">
        <f>IFERROR(__xludf.DUMMYFUNCTION("""COMPUTED_VALUE"""),"A unit of population density that describes the average number of people in a square mile of a given area.")</f>
        <v>A unit of population density that describes the average number of people in a square mile of a given area.</v>
      </c>
      <c r="E1010" s="56"/>
      <c r="F1010" s="54"/>
      <c r="G1010" s="54"/>
      <c r="H1010" s="59"/>
      <c r="I1010" s="59"/>
      <c r="J1010" s="59"/>
      <c r="K1010" s="54"/>
    </row>
    <row r="1011">
      <c r="A1011" s="57"/>
      <c r="B1011" s="57" t="str">
        <f>IFERROR(__xludf.DUMMYFUNCTION("""COMPUTED_VALUE"""),"persons per square kilometer [GENEPIO:0100990]    ")</f>
        <v>persons per square kilometer [GENEPIO:0100990]    </v>
      </c>
      <c r="C1011" s="57" t="str">
        <f>IFERROR(__xludf.DUMMYFUNCTION("""COMPUTED_VALUE"""),"GENEPIO:0100990")</f>
        <v>GENEPIO:0100990</v>
      </c>
      <c r="D1011" s="58" t="str">
        <f>IFERROR(__xludf.DUMMYFUNCTION("""COMPUTED_VALUE"""),"A unit of population density that describes the average number of people in a square kilometer of a given area.")</f>
        <v>A unit of population density that describes the average number of people in a square kilometer of a given area.</v>
      </c>
      <c r="E1011" s="56"/>
      <c r="F1011" s="54"/>
      <c r="G1011" s="54"/>
      <c r="H1011" s="59"/>
      <c r="I1011" s="59"/>
      <c r="J1011" s="59"/>
      <c r="K1011" s="54"/>
    </row>
    <row r="1012">
      <c r="A1012" s="57"/>
      <c r="B1012" s="57" t="str">
        <f>IFERROR(__xludf.DUMMYFUNCTION("""COMPUTED_VALUE"""),"residents per square mile [GENEPIO:0100991]    ")</f>
        <v>residents per square mile [GENEPIO:0100991]    </v>
      </c>
      <c r="C1012" s="57" t="str">
        <f>IFERROR(__xludf.DUMMYFUNCTION("""COMPUTED_VALUE"""),"GENEPIO:0100991")</f>
        <v>GENEPIO:0100991</v>
      </c>
      <c r="D1012" s="58" t="str">
        <f>IFERROR(__xludf.DUMMYFUNCTION("""COMPUTED_VALUE"""),"A unit of population density that describes the average number of registered residents in a square mile of a given area.")</f>
        <v>A unit of population density that describes the average number of registered residents in a square mile of a given area.</v>
      </c>
      <c r="E1012" s="56"/>
      <c r="F1012" s="54"/>
      <c r="G1012" s="54"/>
      <c r="H1012" s="59"/>
      <c r="I1012" s="59"/>
      <c r="J1012" s="59"/>
      <c r="K1012" s="54"/>
    </row>
    <row r="1013">
      <c r="A1013" s="57"/>
      <c r="B1013" s="57" t="str">
        <f>IFERROR(__xludf.DUMMYFUNCTION("""COMPUTED_VALUE"""),"residents per square kilometer [GENEPIO:0100992]    ")</f>
        <v>residents per square kilometer [GENEPIO:0100992]    </v>
      </c>
      <c r="C1013" s="57" t="str">
        <f>IFERROR(__xludf.DUMMYFUNCTION("""COMPUTED_VALUE"""),"GENEPIO:0100992")</f>
        <v>GENEPIO:0100992</v>
      </c>
      <c r="D1013" s="58" t="str">
        <f>IFERROR(__xludf.DUMMYFUNCTION("""COMPUTED_VALUE"""),"A unit of population density that describes the average number of registered residents in a square kilometer of a given area.")</f>
        <v>A unit of population density that describes the average number of registered residents in a square kilometer of a given area.</v>
      </c>
      <c r="E1013" s="56"/>
      <c r="F1013" s="54"/>
      <c r="G1013" s="54"/>
      <c r="H1013" s="59"/>
      <c r="I1013" s="59"/>
      <c r="J1013" s="59"/>
      <c r="K1013" s="54"/>
    </row>
    <row r="1014">
      <c r="A1014" s="57" t="str">
        <f>IFERROR(__xludf.DUMMYFUNCTION("""COMPUTED_VALUE"""),"populated_area_type menu")</f>
        <v>populated_area_type menu</v>
      </c>
      <c r="B1014" s="57" t="str">
        <f>IFERROR(__xludf.DUMMYFUNCTION("""COMPUTED_VALUE"""),"    ")</f>
        <v>    </v>
      </c>
      <c r="C1014" s="57" t="str">
        <f>IFERROR(__xludf.DUMMYFUNCTION("""COMPUTED_VALUE"""),"")</f>
        <v/>
      </c>
      <c r="D1014" s="58"/>
      <c r="E1014" s="56"/>
      <c r="F1014" s="54"/>
      <c r="G1014" s="54"/>
      <c r="H1014" s="59"/>
      <c r="I1014" s="59"/>
      <c r="J1014" s="59"/>
      <c r="K1014" s="54"/>
    </row>
    <row r="1015">
      <c r="A1015" s="57"/>
      <c r="B1015" s="57" t="str">
        <f>IFERROR(__xludf.DUMMYFUNCTION("""COMPUTED_VALUE"""),"Suburban [GSSO:011077]    ")</f>
        <v>Suburban [GSSO:011077]    </v>
      </c>
      <c r="C1015" s="57" t="str">
        <f>IFERROR(__xludf.DUMMYFUNCTION("""COMPUTED_VALUE"""),"GSSO:011077")</f>
        <v>GSSO:011077</v>
      </c>
      <c r="D1015" s="58" t="str">
        <f>IFERROR(__xludf.DUMMYFUNCTION("""COMPUTED_VALUE"""),"A mixed-use or residential area, existing either as part of a city/urban area, or as a separate residential community within commuting distance of one. Suburbs might have their own political or legal jurisdiction, especially in the United States, but this"&amp;" is not always the case, especially in the United Kingdom where most suburbs are located within the administrative boundaries of cities.")</f>
        <v>A mixed-use or residential area, existing either as part of a city/urban area, or as a separate residential community within commuting distance of one. Suburbs might have their own political or legal jurisdiction, especially in the United States, but this is not always the case, especially in the United Kingdom where most suburbs are located within the administrative boundaries of cities.</v>
      </c>
      <c r="E1015" s="56"/>
      <c r="F1015" s="54"/>
      <c r="G1015" s="54"/>
      <c r="H1015" s="59"/>
      <c r="I1015" s="59"/>
      <c r="J1015" s="59"/>
      <c r="K1015" s="54"/>
    </row>
    <row r="1016">
      <c r="A1016" s="57"/>
      <c r="B1016" s="57" t="str">
        <f>IFERROR(__xludf.DUMMYFUNCTION("""COMPUTED_VALUE"""),"Rural [GSSO:011078]    ")</f>
        <v>Rural [GSSO:011078]    </v>
      </c>
      <c r="C1016" s="57" t="str">
        <f>IFERROR(__xludf.DUMMYFUNCTION("""COMPUTED_VALUE"""),"GSSO:011078")</f>
        <v>GSSO:011078</v>
      </c>
      <c r="D1016" s="58" t="str">
        <f>IFERROR(__xludf.DUMMYFUNCTION("""COMPUTED_VALUE"""),"A geographic area that is located outside towns and cities. Rural areas are primarily used for agriculture or pastoralism and may contain rural settlements.")</f>
        <v>A geographic area that is located outside towns and cities. Rural areas are primarily used for agriculture or pastoralism and may contain rural settlements.</v>
      </c>
      <c r="E1016" s="56"/>
      <c r="F1016" s="54"/>
      <c r="G1016" s="54"/>
      <c r="H1016" s="59"/>
      <c r="I1016" s="59"/>
      <c r="J1016" s="59"/>
      <c r="K1016" s="54"/>
    </row>
    <row r="1017">
      <c r="A1017" s="57"/>
      <c r="B1017" s="57" t="str">
        <f>IFERROR(__xludf.DUMMYFUNCTION("""COMPUTED_VALUE"""),"Urban [GSSO:011080]    ")</f>
        <v>Urban [GSSO:011080]    </v>
      </c>
      <c r="C1017" s="57" t="str">
        <f>IFERROR(__xludf.DUMMYFUNCTION("""COMPUTED_VALUE"""),"GSSO:011080")</f>
        <v>GSSO:011080</v>
      </c>
      <c r="D1017" s="58" t="str">
        <f>IFERROR(__xludf.DUMMYFUNCTION("""COMPUTED_VALUE"""),"A human settlement with a high population density and infrastructure of built environment. Urban areas are created through urbanization and are categorized by urban morphology as cities, towns, conurbations or suburbs. In urbanism, the term contrasts to r"&amp;"ural areas such as villages and hamlets; in urban sociology or urban anthropology it contrasts with natural environment.")</f>
        <v>A human settlement with a high population density and infrastructure of built environment. Urban areas are created through urbanization and are categorized by urban morphology as cities, towns, conurbations or suburbs. In urbanism, the term contrasts to rural areas such as villages and hamlets; in urban sociology or urban anthropology it contrasts with natural environment.</v>
      </c>
      <c r="E1017" s="56"/>
      <c r="F1017" s="54"/>
      <c r="G1017" s="54"/>
      <c r="H1017" s="59"/>
      <c r="I1017" s="59"/>
      <c r="J1017" s="59"/>
      <c r="K1017" s="54"/>
    </row>
    <row r="1018">
      <c r="A1018" s="57" t="str">
        <f>IFERROR(__xludf.DUMMYFUNCTION("""COMPUTED_VALUE"""),"sampling_weather_conditions menu")</f>
        <v>sampling_weather_conditions menu</v>
      </c>
      <c r="B1018" s="57" t="str">
        <f>IFERROR(__xludf.DUMMYFUNCTION("""COMPUTED_VALUE"""),"    ")</f>
        <v>    </v>
      </c>
      <c r="C1018" s="57" t="str">
        <f>IFERROR(__xludf.DUMMYFUNCTION("""COMPUTED_VALUE"""),"")</f>
        <v/>
      </c>
      <c r="D1018" s="58"/>
      <c r="E1018" s="56"/>
      <c r="F1018" s="54"/>
      <c r="G1018" s="54"/>
      <c r="H1018" s="59"/>
      <c r="I1018" s="59"/>
      <c r="J1018" s="59"/>
      <c r="K1018" s="54"/>
    </row>
    <row r="1019">
      <c r="A1019" s="57"/>
      <c r="B1019" s="57" t="str">
        <f>IFERROR(__xludf.DUMMYFUNCTION("""COMPUTED_VALUE"""),"Cloudy/Overcast [ENVO:03501418]    ")</f>
        <v>Cloudy/Overcast [ENVO:03501418]    </v>
      </c>
      <c r="C1019" s="57" t="str">
        <f>IFERROR(__xludf.DUMMYFUNCTION("""COMPUTED_VALUE"""),"ENVO:03501418")</f>
        <v>ENVO:03501418</v>
      </c>
      <c r="D1019" s="58" t="str">
        <f>IFERROR(__xludf.DUMMYFUNCTION("""COMPUTED_VALUE"""),"Atmospheric weather in which the sky is mostly or completely obscured by clouds.")</f>
        <v>Atmospheric weather in which the sky is mostly or completely obscured by clouds.</v>
      </c>
      <c r="E1019" s="56"/>
      <c r="F1019" s="54"/>
      <c r="G1019" s="54"/>
      <c r="H1019" s="59"/>
      <c r="I1019" s="59"/>
      <c r="J1019" s="59"/>
      <c r="K1019" s="54"/>
    </row>
    <row r="1020">
      <c r="A1020" s="57"/>
      <c r="B1020" s="57" t="str">
        <f>IFERROR(__xludf.DUMMYFUNCTION("""COMPUTED_VALUE""")," Partially cloudy [ENVO:03501419]   ")</f>
        <v> Partially cloudy [ENVO:03501419]   </v>
      </c>
      <c r="C1020" s="57" t="str">
        <f>IFERROR(__xludf.DUMMYFUNCTION("""COMPUTED_VALUE"""),"ENVO:03501419")</f>
        <v>ENVO:03501419</v>
      </c>
      <c r="D1020" s="58" t="str">
        <f>IFERROR(__xludf.DUMMYFUNCTION("""COMPUTED_VALUE"""),"Atmospheric weather in which the sky is partially obscured by clouds.")</f>
        <v>Atmospheric weather in which the sky is partially obscured by clouds.</v>
      </c>
      <c r="E1020" s="56"/>
      <c r="F1020" s="54"/>
      <c r="G1020" s="54"/>
      <c r="H1020" s="59"/>
      <c r="I1020" s="59"/>
      <c r="J1020" s="59"/>
      <c r="K1020" s="54"/>
    </row>
    <row r="1021">
      <c r="A1021" s="57"/>
      <c r="B1021" s="57" t="str">
        <f>IFERROR(__xludf.DUMMYFUNCTION("""COMPUTED_VALUE"""),"Drizzle [ENVO:03501420]    ")</f>
        <v>Drizzle [ENVO:03501420]    </v>
      </c>
      <c r="C1021" s="57" t="str">
        <f>IFERROR(__xludf.DUMMYFUNCTION("""COMPUTED_VALUE"""),"ENVO:03501420")</f>
        <v>ENVO:03501420</v>
      </c>
      <c r="D1021" s="58" t="str">
        <f>IFERROR(__xludf.DUMMYFUNCTION("""COMPUTED_VALUE"""),"An aggregate of water drops smaller than those of rain which falls on a planetary surface during a precipitation process.")</f>
        <v>An aggregate of water drops smaller than those of rain which falls on a planetary surface during a precipitation process.</v>
      </c>
      <c r="E1021" s="56"/>
      <c r="F1021" s="54"/>
      <c r="G1021" s="54"/>
      <c r="H1021" s="59"/>
      <c r="I1021" s="59"/>
      <c r="J1021" s="59"/>
      <c r="K1021" s="54"/>
    </row>
    <row r="1022">
      <c r="A1022" s="57"/>
      <c r="B1022" s="57" t="str">
        <f>IFERROR(__xludf.DUMMYFUNCTION("""COMPUTED_VALUE"""),"Fog [ENVO:01000844]    ")</f>
        <v>Fog [ENVO:01000844]    </v>
      </c>
      <c r="C1022" s="57" t="str">
        <f>IFERROR(__xludf.DUMMYFUNCTION("""COMPUTED_VALUE"""),"ENVO:01000844")</f>
        <v>ENVO:01000844</v>
      </c>
      <c r="D1022" s="58" t="str">
        <f>IFERROR(__xludf.DUMMYFUNCTION("""COMPUTED_VALUE"""),"A visible mass of cloud water droplets or ice crystals suspended in the air at or near the surface of an astronomical body.")</f>
        <v>A visible mass of cloud water droplets or ice crystals suspended in the air at or near the surface of an astronomical body.</v>
      </c>
      <c r="E1022" s="56"/>
      <c r="F1022" s="54"/>
      <c r="G1022" s="54"/>
      <c r="H1022" s="59"/>
      <c r="I1022" s="59"/>
      <c r="J1022" s="59"/>
      <c r="K1022" s="54"/>
    </row>
    <row r="1023">
      <c r="A1023" s="57"/>
      <c r="B1023" s="57" t="str">
        <f>IFERROR(__xludf.DUMMYFUNCTION("""COMPUTED_VALUE"""),"Rain [ENVO:01001564]    ")</f>
        <v>Rain [ENVO:01001564]    </v>
      </c>
      <c r="C1023" s="57" t="str">
        <f>IFERROR(__xludf.DUMMYFUNCTION("""COMPUTED_VALUE"""),"ENVO:01001564")</f>
        <v>ENVO:01001564</v>
      </c>
      <c r="D1023" s="58" t="str">
        <f>IFERROR(__xludf.DUMMYFUNCTION("""COMPUTED_VALUE"""),"An aggregate of raindrops falling to a planetary surface during a precipitation process.")</f>
        <v>An aggregate of raindrops falling to a planetary surface during a precipitation process.</v>
      </c>
      <c r="E1023" s="56"/>
      <c r="F1023" s="54"/>
      <c r="G1023" s="54"/>
      <c r="H1023" s="59"/>
      <c r="I1023" s="59"/>
      <c r="J1023" s="59"/>
      <c r="K1023" s="54"/>
    </row>
    <row r="1024">
      <c r="A1024" s="57"/>
      <c r="B1024" s="57" t="str">
        <f>IFERROR(__xludf.DUMMYFUNCTION("""COMPUTED_VALUE"""),"Snow [ENVO:01000406]    ")</f>
        <v>Snow [ENVO:01000406]    </v>
      </c>
      <c r="C1024" s="57" t="str">
        <f>IFERROR(__xludf.DUMMYFUNCTION("""COMPUTED_VALUE"""),"ENVO:01000406")</f>
        <v>ENVO:01000406</v>
      </c>
      <c r="D1024" s="58" t="str">
        <f>IFERROR(__xludf.DUMMYFUNCTION("""COMPUTED_VALUE"""),"Snow is an environmental material which is primarily composed of flakes of crystalline water ice.")</f>
        <v>Snow is an environmental material which is primarily composed of flakes of crystalline water ice.</v>
      </c>
      <c r="E1024" s="56"/>
      <c r="F1024" s="54"/>
      <c r="G1024" s="54"/>
      <c r="H1024" s="59"/>
      <c r="I1024" s="59"/>
      <c r="J1024" s="59"/>
      <c r="K1024" s="54"/>
    </row>
    <row r="1025">
      <c r="A1025" s="57"/>
      <c r="B1025" s="57" t="str">
        <f>IFERROR(__xludf.DUMMYFUNCTION("""COMPUTED_VALUE"""),"Storm [ENVO:01000876]    ")</f>
        <v>Storm [ENVO:01000876]    </v>
      </c>
      <c r="C1025" s="57" t="str">
        <f>IFERROR(__xludf.DUMMYFUNCTION("""COMPUTED_VALUE"""),"ENVO:01000876")</f>
        <v>ENVO:01000876</v>
      </c>
      <c r="D1025" s="58" t="str">
        <f>IFERROR(__xludf.DUMMYFUNCTION("""COMPUTED_VALUE"""),"A storm is an environmental process in which an environmental system and the processes it participates in are strongly perturbed by external forcings. These forcings typically increase the rates of processes unfolding in the system, relative to their norm"&amp;"al rates.")</f>
        <v>A storm is an environmental process in which an environmental system and the processes it participates in are strongly perturbed by external forcings. These forcings typically increase the rates of processes unfolding in the system, relative to their normal rates.</v>
      </c>
      <c r="E1025" s="56"/>
      <c r="F1025" s="54"/>
      <c r="G1025" s="54"/>
      <c r="H1025" s="59"/>
      <c r="I1025" s="59"/>
      <c r="J1025" s="59"/>
      <c r="K1025" s="54"/>
    </row>
    <row r="1026">
      <c r="A1026" s="57"/>
      <c r="B1026" s="57" t="str">
        <f>IFERROR(__xludf.DUMMYFUNCTION("""COMPUTED_VALUE"""),"Sunny/Clear [ENVO:03501421]    ")</f>
        <v>Sunny/Clear [ENVO:03501421]    </v>
      </c>
      <c r="C1026" s="57" t="str">
        <f>IFERROR(__xludf.DUMMYFUNCTION("""COMPUTED_VALUE"""),"ENVO:03501421")</f>
        <v>ENVO:03501421</v>
      </c>
      <c r="D1026" s="58" t="str">
        <f>IFERROR(__xludf.DUMMYFUNCTION("""COMPUTED_VALUE"""),"Atmospheric weather in which the sun can be seen to shine brightly.")</f>
        <v>Atmospheric weather in which the sun can be seen to shine brightly.</v>
      </c>
      <c r="E1026" s="56"/>
      <c r="F1026" s="54"/>
      <c r="G1026" s="54"/>
      <c r="H1026" s="59"/>
      <c r="I1026" s="59"/>
      <c r="J1026" s="59"/>
      <c r="K1026" s="54"/>
    </row>
    <row r="1027">
      <c r="A1027" s="57" t="str">
        <f>IFERROR(__xludf.DUMMYFUNCTION("""COMPUTED_VALUE"""),"presampling_weather_conditions menu")</f>
        <v>presampling_weather_conditions menu</v>
      </c>
      <c r="B1027" s="57" t="str">
        <f>IFERROR(__xludf.DUMMYFUNCTION("""COMPUTED_VALUE"""),"    ")</f>
        <v>    </v>
      </c>
      <c r="C1027" s="57" t="str">
        <f>IFERROR(__xludf.DUMMYFUNCTION("""COMPUTED_VALUE"""),"")</f>
        <v/>
      </c>
      <c r="D1027" s="58"/>
      <c r="E1027" s="56"/>
      <c r="F1027" s="54"/>
      <c r="G1027" s="54"/>
      <c r="H1027" s="59"/>
      <c r="I1027" s="59"/>
      <c r="J1027" s="59"/>
      <c r="K1027" s="54"/>
    </row>
    <row r="1028">
      <c r="A1028" s="57"/>
      <c r="B1028" s="57" t="str">
        <f>IFERROR(__xludf.DUMMYFUNCTION("""COMPUTED_VALUE"""),"Cloudy/Overcast [ENVO:03501418]    ")</f>
        <v>Cloudy/Overcast [ENVO:03501418]    </v>
      </c>
      <c r="C1028" s="57" t="str">
        <f>IFERROR(__xludf.DUMMYFUNCTION("""COMPUTED_VALUE"""),"ENVO:03501418")</f>
        <v>ENVO:03501418</v>
      </c>
      <c r="D1028" s="58" t="str">
        <f>IFERROR(__xludf.DUMMYFUNCTION("""COMPUTED_VALUE"""),"Atmospheric weather in which the sky is mostly or completely obscured by clouds.")</f>
        <v>Atmospheric weather in which the sky is mostly or completely obscured by clouds.</v>
      </c>
      <c r="E1028" s="56"/>
      <c r="F1028" s="54"/>
      <c r="G1028" s="54"/>
      <c r="H1028" s="59"/>
      <c r="I1028" s="59"/>
      <c r="J1028" s="59"/>
      <c r="K1028" s="54"/>
    </row>
    <row r="1029">
      <c r="A1029" s="57"/>
      <c r="B1029" s="57" t="str">
        <f>IFERROR(__xludf.DUMMYFUNCTION("""COMPUTED_VALUE""")," Partially cloudy [ENVO:03501419]   ")</f>
        <v> Partially cloudy [ENVO:03501419]   </v>
      </c>
      <c r="C1029" s="57" t="str">
        <f>IFERROR(__xludf.DUMMYFUNCTION("""COMPUTED_VALUE"""),"ENVO:03501419")</f>
        <v>ENVO:03501419</v>
      </c>
      <c r="D1029" s="58" t="str">
        <f>IFERROR(__xludf.DUMMYFUNCTION("""COMPUTED_VALUE"""),"Atmospheric weather in which the sky is partially obscured by clouds.")</f>
        <v>Atmospheric weather in which the sky is partially obscured by clouds.</v>
      </c>
      <c r="E1029" s="56"/>
      <c r="F1029" s="54"/>
      <c r="G1029" s="54"/>
      <c r="H1029" s="59"/>
      <c r="I1029" s="59"/>
      <c r="J1029" s="59"/>
      <c r="K1029" s="54"/>
    </row>
    <row r="1030">
      <c r="A1030" s="57"/>
      <c r="B1030" s="57" t="str">
        <f>IFERROR(__xludf.DUMMYFUNCTION("""COMPUTED_VALUE"""),"Drizzle [ENVO:03501420]    ")</f>
        <v>Drizzle [ENVO:03501420]    </v>
      </c>
      <c r="C1030" s="57" t="str">
        <f>IFERROR(__xludf.DUMMYFUNCTION("""COMPUTED_VALUE"""),"ENVO:03501420")</f>
        <v>ENVO:03501420</v>
      </c>
      <c r="D1030" s="58" t="str">
        <f>IFERROR(__xludf.DUMMYFUNCTION("""COMPUTED_VALUE"""),"An aggregate of water drops smaller than those of rain which falls on a planetary surface during a precipitation process.")</f>
        <v>An aggregate of water drops smaller than those of rain which falls on a planetary surface during a precipitation process.</v>
      </c>
      <c r="E1030" s="56"/>
      <c r="F1030" s="54"/>
      <c r="G1030" s="54"/>
      <c r="H1030" s="59"/>
      <c r="I1030" s="59"/>
      <c r="J1030" s="59"/>
      <c r="K1030" s="54"/>
    </row>
    <row r="1031">
      <c r="A1031" s="57"/>
      <c r="B1031" s="57" t="str">
        <f>IFERROR(__xludf.DUMMYFUNCTION("""COMPUTED_VALUE"""),"Fog [ENVO:01000844]    ")</f>
        <v>Fog [ENVO:01000844]    </v>
      </c>
      <c r="C1031" s="57" t="str">
        <f>IFERROR(__xludf.DUMMYFUNCTION("""COMPUTED_VALUE"""),"ENVO:01000844")</f>
        <v>ENVO:01000844</v>
      </c>
      <c r="D1031" s="58" t="str">
        <f>IFERROR(__xludf.DUMMYFUNCTION("""COMPUTED_VALUE"""),"A visible mass of cloud water droplets or ice crystals suspended in the air at or near the surface of an astronomical body.")</f>
        <v>A visible mass of cloud water droplets or ice crystals suspended in the air at or near the surface of an astronomical body.</v>
      </c>
      <c r="E1031" s="56"/>
      <c r="F1031" s="54"/>
      <c r="G1031" s="54"/>
      <c r="H1031" s="59"/>
      <c r="I1031" s="59"/>
      <c r="J1031" s="59"/>
      <c r="K1031" s="54"/>
    </row>
    <row r="1032">
      <c r="A1032" s="57"/>
      <c r="B1032" s="57" t="str">
        <f>IFERROR(__xludf.DUMMYFUNCTION("""COMPUTED_VALUE"""),"Rain [ENVO:01001564]    ")</f>
        <v>Rain [ENVO:01001564]    </v>
      </c>
      <c r="C1032" s="57" t="str">
        <f>IFERROR(__xludf.DUMMYFUNCTION("""COMPUTED_VALUE"""),"ENVO:01001564")</f>
        <v>ENVO:01001564</v>
      </c>
      <c r="D1032" s="58" t="str">
        <f>IFERROR(__xludf.DUMMYFUNCTION("""COMPUTED_VALUE"""),"An aggregate of raindrops falling to a planetary surface during a precipitation process.")</f>
        <v>An aggregate of raindrops falling to a planetary surface during a precipitation process.</v>
      </c>
      <c r="E1032" s="56"/>
      <c r="F1032" s="54"/>
      <c r="G1032" s="54"/>
      <c r="H1032" s="59"/>
      <c r="I1032" s="59"/>
      <c r="J1032" s="59"/>
      <c r="K1032" s="54"/>
    </row>
    <row r="1033">
      <c r="A1033" s="57"/>
      <c r="B1033" s="57" t="str">
        <f>IFERROR(__xludf.DUMMYFUNCTION("""COMPUTED_VALUE"""),"Snow [ENVO:01000406]    ")</f>
        <v>Snow [ENVO:01000406]    </v>
      </c>
      <c r="C1033" s="57" t="str">
        <f>IFERROR(__xludf.DUMMYFUNCTION("""COMPUTED_VALUE"""),"ENVO:01000406")</f>
        <v>ENVO:01000406</v>
      </c>
      <c r="D1033" s="58" t="str">
        <f>IFERROR(__xludf.DUMMYFUNCTION("""COMPUTED_VALUE"""),"Snow is an environmental material which is primarily composed of flakes of crystalline water ice.")</f>
        <v>Snow is an environmental material which is primarily composed of flakes of crystalline water ice.</v>
      </c>
      <c r="E1033" s="56"/>
      <c r="F1033" s="54"/>
      <c r="G1033" s="54"/>
      <c r="H1033" s="59"/>
      <c r="I1033" s="59"/>
      <c r="J1033" s="59"/>
      <c r="K1033" s="54"/>
    </row>
    <row r="1034">
      <c r="A1034" s="57"/>
      <c r="B1034" s="57" t="str">
        <f>IFERROR(__xludf.DUMMYFUNCTION("""COMPUTED_VALUE"""),"Storm [ENVO:01000876]    ")</f>
        <v>Storm [ENVO:01000876]    </v>
      </c>
      <c r="C1034" s="57" t="str">
        <f>IFERROR(__xludf.DUMMYFUNCTION("""COMPUTED_VALUE"""),"ENVO:01000876")</f>
        <v>ENVO:01000876</v>
      </c>
      <c r="D1034" s="58" t="str">
        <f>IFERROR(__xludf.DUMMYFUNCTION("""COMPUTED_VALUE"""),"A storm is an environmental process in which an environmental system and the processes it participates in are strongly perturbed by external forcings. These forcings typically increase the rates of processes unfolding in the system, relative to their norm"&amp;"al rates.")</f>
        <v>A storm is an environmental process in which an environmental system and the processes it participates in are strongly perturbed by external forcings. These forcings typically increase the rates of processes unfolding in the system, relative to their normal rates.</v>
      </c>
      <c r="E1034" s="56"/>
      <c r="F1034" s="54"/>
      <c r="G1034" s="54"/>
      <c r="H1034" s="59"/>
      <c r="I1034" s="59"/>
      <c r="J1034" s="59"/>
      <c r="K1034" s="54"/>
    </row>
    <row r="1035">
      <c r="A1035" s="57"/>
      <c r="B1035" s="57" t="str">
        <f>IFERROR(__xludf.DUMMYFUNCTION("""COMPUTED_VALUE"""),"Sunny/Clear [ENVO:03501421]    ")</f>
        <v>Sunny/Clear [ENVO:03501421]    </v>
      </c>
      <c r="C1035" s="57" t="str">
        <f>IFERROR(__xludf.DUMMYFUNCTION("""COMPUTED_VALUE"""),"ENVO:03501421")</f>
        <v>ENVO:03501421</v>
      </c>
      <c r="D1035" s="58" t="str">
        <f>IFERROR(__xludf.DUMMYFUNCTION("""COMPUTED_VALUE"""),"Atmospheric weather in which the sun can be seen to shine brightly.")</f>
        <v>Atmospheric weather in which the sun can be seen to shine brightly.</v>
      </c>
      <c r="E1035" s="56"/>
      <c r="F1035" s="54"/>
      <c r="G1035" s="54"/>
      <c r="H1035" s="59"/>
      <c r="I1035" s="59"/>
      <c r="J1035" s="59"/>
      <c r="K1035" s="54"/>
    </row>
    <row r="1036">
      <c r="A1036" s="57" t="str">
        <f>IFERROR(__xludf.DUMMYFUNCTION("""COMPUTED_VALUE"""),"precipitation_measurement_unit menu")</f>
        <v>precipitation_measurement_unit menu</v>
      </c>
      <c r="B1036" s="57" t="str">
        <f>IFERROR(__xludf.DUMMYFUNCTION("""COMPUTED_VALUE"""),"    ")</f>
        <v>    </v>
      </c>
      <c r="C1036" s="57" t="str">
        <f>IFERROR(__xludf.DUMMYFUNCTION("""COMPUTED_VALUE"""),"")</f>
        <v/>
      </c>
      <c r="D1036" s="58"/>
      <c r="E1036" s="56"/>
      <c r="F1036" s="54"/>
      <c r="G1036" s="54"/>
      <c r="H1036" s="59"/>
      <c r="I1036" s="59"/>
      <c r="J1036" s="59"/>
      <c r="K1036" s="54"/>
    </row>
    <row r="1037">
      <c r="A1037" s="57"/>
      <c r="B1037" s="57" t="str">
        <f>IFERROR(__xludf.DUMMYFUNCTION("""COMPUTED_VALUE"""),"millimeter (mm) [UO:0000016]    ")</f>
        <v>millimeter (mm) [UO:0000016]    </v>
      </c>
      <c r="C1037" s="57" t="str">
        <f>IFERROR(__xludf.DUMMYFUNCTION("""COMPUTED_VALUE"""),"UO:0000016")</f>
        <v>UO:0000016</v>
      </c>
      <c r="D1037" s="58" t="str">
        <f>IFERROR(__xludf.DUMMYFUNCTION("""COMPUTED_VALUE"""),"A length unit which is defined as one thousandth of a meter.")</f>
        <v>A length unit which is defined as one thousandth of a meter.</v>
      </c>
      <c r="E1037" s="56"/>
      <c r="F1037" s="54"/>
      <c r="G1037" s="54"/>
      <c r="H1037" s="59"/>
      <c r="I1037" s="59"/>
      <c r="J1037" s="59"/>
      <c r="K1037" s="54"/>
    </row>
    <row r="1038">
      <c r="A1038" s="57"/>
      <c r="B1038" s="57" t="str">
        <f>IFERROR(__xludf.DUMMYFUNCTION("""COMPUTED_VALUE"""),"centimeter (cm) [UO:0000015]    ")</f>
        <v>centimeter (cm) [UO:0000015]    </v>
      </c>
      <c r="C1038" s="57" t="str">
        <f>IFERROR(__xludf.DUMMYFUNCTION("""COMPUTED_VALUE"""),"UO:0000015")</f>
        <v>UO:0000015</v>
      </c>
      <c r="D1038" s="58" t="str">
        <f>IFERROR(__xludf.DUMMYFUNCTION("""COMPUTED_VALUE"""),"A length unit which is equal to one hundredth of a meter or 10^[-2] m")</f>
        <v>A length unit which is equal to one hundredth of a meter or 10^[-2] m</v>
      </c>
      <c r="E1038" s="56"/>
      <c r="F1038" s="54"/>
      <c r="G1038" s="54"/>
      <c r="H1038" s="59"/>
      <c r="I1038" s="59"/>
      <c r="J1038" s="59"/>
      <c r="K1038" s="54"/>
    </row>
    <row r="1039">
      <c r="A1039" s="57"/>
      <c r="B1039" s="57" t="str">
        <f>IFERROR(__xludf.DUMMYFUNCTION("""COMPUTED_VALUE"""),"meter (m) [UO:0000008]    ")</f>
        <v>meter (m) [UO:0000008]    </v>
      </c>
      <c r="C1039" s="57" t="str">
        <f>IFERROR(__xludf.DUMMYFUNCTION("""COMPUTED_VALUE"""),"UO:0000008")</f>
        <v>UO:0000008</v>
      </c>
      <c r="D1039" s="58" t="str">
        <f>IFERROR(__xludf.DUMMYFUNCTION("""COMPUTED_VALUE"""),"An SI unit of length defined as the length of the path travelled by light in a vacuum in 1/299792458th of a second. ")</f>
        <v>An SI unit of length defined as the length of the path travelled by light in a vacuum in 1/299792458th of a second. </v>
      </c>
      <c r="E1039" s="56"/>
      <c r="F1039" s="54"/>
      <c r="G1039" s="54"/>
      <c r="H1039" s="59"/>
      <c r="I1039" s="59"/>
      <c r="J1039" s="59"/>
      <c r="K1039" s="54"/>
    </row>
    <row r="1040">
      <c r="A1040" s="57"/>
      <c r="B1040" s="57" t="str">
        <f>IFERROR(__xludf.DUMMYFUNCTION("""COMPUTED_VALUE"""),"inch (in) [UO:0010011]    ")</f>
        <v>inch (in) [UO:0010011]    </v>
      </c>
      <c r="C1040" s="57" t="str">
        <f>IFERROR(__xludf.DUMMYFUNCTION("""COMPUTED_VALUE"""),"UO:0010011")</f>
        <v>UO:0010011</v>
      </c>
      <c r="D1040" s="58" t="str">
        <f>IFERROR(__xludf.DUMMYFUNCTION("""COMPUTED_VALUE"""),"A non-SI unit of length defined as one twelfth of a foot.")</f>
        <v>A non-SI unit of length defined as one twelfth of a foot.</v>
      </c>
      <c r="E1040" s="56"/>
      <c r="F1040" s="54"/>
      <c r="G1040" s="54"/>
      <c r="H1040" s="59"/>
      <c r="I1040" s="59"/>
      <c r="J1040" s="59"/>
      <c r="K1040" s="54"/>
    </row>
    <row r="1041">
      <c r="A1041" s="57"/>
      <c r="B1041" s="57" t="str">
        <f>IFERROR(__xludf.DUMMYFUNCTION("""COMPUTED_VALUE"""),"foot (ft) [UO:0010013]    ")</f>
        <v>foot (ft) [UO:0010013]    </v>
      </c>
      <c r="C1041" s="57" t="str">
        <f>IFERROR(__xludf.DUMMYFUNCTION("""COMPUTED_VALUE"""),"UO:0010013")</f>
        <v>UO:0010013</v>
      </c>
      <c r="D1041" s="58" t="str">
        <f>IFERROR(__xludf.DUMMYFUNCTION("""COMPUTED_VALUE"""),"A non-SI unit of length which is approximately 0.3048 meters.")</f>
        <v>A non-SI unit of length which is approximately 0.3048 meters.</v>
      </c>
      <c r="E1041" s="56"/>
      <c r="F1041" s="54"/>
      <c r="G1041" s="54"/>
      <c r="H1041" s="59"/>
      <c r="I1041" s="59"/>
      <c r="J1041" s="59"/>
      <c r="K1041" s="54"/>
    </row>
    <row r="1042">
      <c r="A1042" s="57" t="str">
        <f>IFERROR(__xludf.DUMMYFUNCTION("""COMPUTED_VALUE"""),"air_pressure_measurement_unit menu")</f>
        <v>air_pressure_measurement_unit menu</v>
      </c>
      <c r="B1042" s="57" t="str">
        <f>IFERROR(__xludf.DUMMYFUNCTION("""COMPUTED_VALUE"""),"    ")</f>
        <v>    </v>
      </c>
      <c r="C1042" s="57" t="str">
        <f>IFERROR(__xludf.DUMMYFUNCTION("""COMPUTED_VALUE"""),"")</f>
        <v/>
      </c>
      <c r="D1042" s="58"/>
      <c r="E1042" s="56"/>
      <c r="F1042" s="54"/>
      <c r="G1042" s="54"/>
      <c r="H1042" s="59"/>
      <c r="I1042" s="59"/>
      <c r="J1042" s="59"/>
      <c r="K1042" s="54"/>
    </row>
    <row r="1043">
      <c r="A1043" s="57"/>
      <c r="B1043" s="57" t="str">
        <f>IFERROR(__xludf.DUMMYFUNCTION("""COMPUTED_VALUE"""),"atmosphere (atm) [EFO:0005212]    ")</f>
        <v>atmosphere (atm) [EFO:0005212]    </v>
      </c>
      <c r="C1043" s="57" t="str">
        <f>IFERROR(__xludf.DUMMYFUNCTION("""COMPUTED_VALUE"""),"EFO:0005212")</f>
        <v>EFO:0005212</v>
      </c>
      <c r="D1043" s="58" t="str">
        <f>IFERROR(__xludf.DUMMYFUNCTION("""COMPUTED_VALUE"""),"A non-SI unit of pressure defined as 101,325 pascals (Pa).")</f>
        <v>A non-SI unit of pressure defined as 101,325 pascals (Pa).</v>
      </c>
      <c r="E1043" s="56"/>
      <c r="F1043" s="54"/>
      <c r="G1043" s="54"/>
      <c r="H1043" s="59"/>
      <c r="I1043" s="59"/>
      <c r="J1043" s="59"/>
      <c r="K1043" s="54"/>
    </row>
    <row r="1044">
      <c r="A1044" s="57"/>
      <c r="B1044" s="57" t="str">
        <f>IFERROR(__xludf.DUMMYFUNCTION("""COMPUTED_VALUE"""),"bar    ")</f>
        <v>bar    </v>
      </c>
      <c r="C1044" s="57" t="str">
        <f>IFERROR(__xludf.DUMMYFUNCTION("""COMPUTED_VALUE"""),"")</f>
        <v/>
      </c>
      <c r="D1044" s="58"/>
      <c r="E1044" s="56"/>
      <c r="F1044" s="54"/>
      <c r="G1044" s="54"/>
      <c r="H1044" s="59"/>
      <c r="I1044" s="59"/>
      <c r="J1044" s="59"/>
      <c r="K1044" s="54"/>
    </row>
    <row r="1045">
      <c r="A1045" s="57"/>
      <c r="B1045" s="57" t="str">
        <f>IFERROR(__xludf.DUMMYFUNCTION("""COMPUTED_VALUE"""),"pascal [UO:0000110]    ")</f>
        <v>pascal [UO:0000110]    </v>
      </c>
      <c r="C1045" s="57" t="str">
        <f>IFERROR(__xludf.DUMMYFUNCTION("""COMPUTED_VALUE"""),"UO:0000110")</f>
        <v>UO:0000110</v>
      </c>
      <c r="D1045" s="58" t="str">
        <f>IFERROR(__xludf.DUMMYFUNCTION("""COMPUTED_VALUE"""),"An SI unit of pressure defined as one newton per square meter (N/m^2).")</f>
        <v>An SI unit of pressure defined as one newton per square meter (N/m^2).</v>
      </c>
      <c r="E1045" s="56"/>
      <c r="F1045" s="54"/>
      <c r="G1045" s="54"/>
      <c r="H1045" s="59"/>
      <c r="I1045" s="59"/>
      <c r="J1045" s="59"/>
      <c r="K1045" s="54"/>
    </row>
    <row r="1046">
      <c r="A1046" s="57" t="str">
        <f>IFERROR(__xludf.DUMMYFUNCTION("""COMPUTED_VALUE"""),"ambient_temperature_measurement_unit menu")</f>
        <v>ambient_temperature_measurement_unit menu</v>
      </c>
      <c r="B1046" s="57" t="str">
        <f>IFERROR(__xludf.DUMMYFUNCTION("""COMPUTED_VALUE"""),"    ")</f>
        <v>    </v>
      </c>
      <c r="C1046" s="57" t="str">
        <f>IFERROR(__xludf.DUMMYFUNCTION("""COMPUTED_VALUE"""),"")</f>
        <v/>
      </c>
      <c r="D1046" s="58"/>
      <c r="E1046" s="56"/>
      <c r="F1046" s="54"/>
      <c r="G1046" s="54"/>
      <c r="H1046" s="59"/>
      <c r="I1046" s="59"/>
      <c r="J1046" s="59"/>
      <c r="K1046" s="54"/>
    </row>
    <row r="1047">
      <c r="A1047" s="57"/>
      <c r="B1047" s="57" t="str">
        <f>IFERROR(__xludf.DUMMYFUNCTION("""COMPUTED_VALUE"""),"degree Fahrenheit (F) [UO:0000195]    ")</f>
        <v>degree Fahrenheit (F) [UO:0000195]    </v>
      </c>
      <c r="C1047" s="57" t="str">
        <f>IFERROR(__xludf.DUMMYFUNCTION("""COMPUTED_VALUE"""),"UO:0000195")</f>
        <v>UO:0000195</v>
      </c>
      <c r="D1047" s="58" t="str">
        <f>IFERROR(__xludf.DUMMYFUNCTION("""COMPUTED_VALUE"""),"A unit of temperature on a scale where water freezes at 32 degrees and boils at 212 degrees under standard conditions.")</f>
        <v>A unit of temperature on a scale where water freezes at 32 degrees and boils at 212 degrees under standard conditions.</v>
      </c>
      <c r="E1047" s="56"/>
      <c r="F1047" s="54"/>
      <c r="G1047" s="54"/>
      <c r="H1047" s="59"/>
      <c r="I1047" s="59"/>
      <c r="J1047" s="59"/>
      <c r="K1047" s="54"/>
    </row>
    <row r="1048">
      <c r="A1048" s="57"/>
      <c r="B1048" s="57" t="str">
        <f>IFERROR(__xludf.DUMMYFUNCTION("""COMPUTED_VALUE"""),"degree Celsius (C) [UO:0000027]    ")</f>
        <v>degree Celsius (C) [UO:0000027]    </v>
      </c>
      <c r="C1048" s="57" t="str">
        <f>IFERROR(__xludf.DUMMYFUNCTION("""COMPUTED_VALUE"""),"UO:0000027")</f>
        <v>UO:0000027</v>
      </c>
      <c r="D1048" s="58" t="str">
        <f>IFERROR(__xludf.DUMMYFUNCTION("""COMPUTED_VALUE"""),"A unit of temperature on a scale where water freezes at 0 degrees and boils at 100 degrees under standard conditions.")</f>
        <v>A unit of temperature on a scale where water freezes at 0 degrees and boils at 100 degrees under standard conditions.</v>
      </c>
      <c r="E1048" s="56"/>
      <c r="F1048" s="54"/>
      <c r="G1048" s="54"/>
      <c r="H1048" s="59"/>
      <c r="I1048" s="59"/>
      <c r="J1048" s="59"/>
      <c r="K1048" s="54"/>
    </row>
    <row r="1049">
      <c r="A1049" s="57" t="str">
        <f>IFERROR(__xludf.DUMMYFUNCTION("""COMPUTED_VALUE"""),"total_daily_flow_rate_measurement_unit menu")</f>
        <v>total_daily_flow_rate_measurement_unit menu</v>
      </c>
      <c r="B1049" s="57" t="str">
        <f>IFERROR(__xludf.DUMMYFUNCTION("""COMPUTED_VALUE"""),"    ")</f>
        <v>    </v>
      </c>
      <c r="C1049" s="57" t="str">
        <f>IFERROR(__xludf.DUMMYFUNCTION("""COMPUTED_VALUE"""),"")</f>
        <v/>
      </c>
      <c r="D1049" s="58"/>
      <c r="E1049" s="56"/>
      <c r="F1049" s="54"/>
      <c r="G1049" s="54"/>
      <c r="H1049" s="59"/>
      <c r="I1049" s="59"/>
      <c r="J1049" s="59"/>
      <c r="K1049" s="54"/>
    </row>
    <row r="1050">
      <c r="A1050" s="57"/>
      <c r="B1050" s="57" t="str">
        <f>IFERROR(__xludf.DUMMYFUNCTION("""COMPUTED_VALUE"""),"cubic meter per second (m^3/s)    ")</f>
        <v>cubic meter per second (m^3/s)    </v>
      </c>
      <c r="C1050" s="57" t="str">
        <f>IFERROR(__xludf.DUMMYFUNCTION("""COMPUTED_VALUE"""),"")</f>
        <v/>
      </c>
      <c r="D1050" s="58"/>
      <c r="E1050" s="56"/>
      <c r="F1050" s="54"/>
      <c r="G1050" s="54"/>
      <c r="H1050" s="59"/>
      <c r="I1050" s="59"/>
      <c r="J1050" s="59"/>
      <c r="K1050" s="54"/>
    </row>
    <row r="1051">
      <c r="A1051" s="57"/>
      <c r="B1051" s="57" t="str">
        <f>IFERROR(__xludf.DUMMYFUNCTION("""COMPUTED_VALUE"""),"cubic meter per minute (m^3/min)    ")</f>
        <v>cubic meter per minute (m^3/min)    </v>
      </c>
      <c r="C1051" s="57" t="str">
        <f>IFERROR(__xludf.DUMMYFUNCTION("""COMPUTED_VALUE"""),"")</f>
        <v/>
      </c>
      <c r="D1051" s="58"/>
      <c r="E1051" s="56"/>
      <c r="F1051" s="54"/>
      <c r="G1051" s="54"/>
      <c r="H1051" s="59"/>
      <c r="I1051" s="59"/>
      <c r="J1051" s="59"/>
      <c r="K1051" s="54"/>
    </row>
    <row r="1052">
      <c r="A1052" s="57"/>
      <c r="B1052" s="57" t="str">
        <f>IFERROR(__xludf.DUMMYFUNCTION("""COMPUTED_VALUE"""),"cubic meter per hour (m^3/h)    ")</f>
        <v>cubic meter per hour (m^3/h)    </v>
      </c>
      <c r="C1052" s="57" t="str">
        <f>IFERROR(__xludf.DUMMYFUNCTION("""COMPUTED_VALUE"""),"")</f>
        <v/>
      </c>
      <c r="D1052" s="58"/>
      <c r="E1052" s="56"/>
      <c r="F1052" s="54"/>
      <c r="G1052" s="54"/>
      <c r="H1052" s="59"/>
      <c r="I1052" s="59"/>
      <c r="J1052" s="59"/>
      <c r="K1052" s="54"/>
    </row>
    <row r="1053">
      <c r="A1053" s="57"/>
      <c r="B1053" s="57" t="str">
        <f>IFERROR(__xludf.DUMMYFUNCTION("""COMPUTED_VALUE"""),"liter per second (L/s)    ")</f>
        <v>liter per second (L/s)    </v>
      </c>
      <c r="C1053" s="57" t="str">
        <f>IFERROR(__xludf.DUMMYFUNCTION("""COMPUTED_VALUE"""),"")</f>
        <v/>
      </c>
      <c r="D1053" s="58"/>
      <c r="E1053" s="56"/>
      <c r="F1053" s="54"/>
      <c r="G1053" s="54"/>
      <c r="H1053" s="59"/>
      <c r="I1053" s="59"/>
      <c r="J1053" s="59"/>
      <c r="K1053" s="54"/>
    </row>
    <row r="1054">
      <c r="A1054" s="57"/>
      <c r="B1054" s="57" t="str">
        <f>IFERROR(__xludf.DUMMYFUNCTION("""COMPUTED_VALUE"""),"liter per minute (L/min)    ")</f>
        <v>liter per minute (L/min)    </v>
      </c>
      <c r="C1054" s="57" t="str">
        <f>IFERROR(__xludf.DUMMYFUNCTION("""COMPUTED_VALUE"""),"")</f>
        <v/>
      </c>
      <c r="D1054" s="58"/>
      <c r="E1054" s="56"/>
      <c r="F1054" s="54"/>
      <c r="G1054" s="54"/>
      <c r="H1054" s="59"/>
      <c r="I1054" s="59"/>
      <c r="J1054" s="59"/>
      <c r="K1054" s="54"/>
    </row>
    <row r="1055">
      <c r="A1055" s="57"/>
      <c r="B1055" s="57" t="str">
        <f>IFERROR(__xludf.DUMMYFUNCTION("""COMPUTED_VALUE"""),"liter per hour (L/h)    ")</f>
        <v>liter per hour (L/h)    </v>
      </c>
      <c r="C1055" s="57" t="str">
        <f>IFERROR(__xludf.DUMMYFUNCTION("""COMPUTED_VALUE"""),"")</f>
        <v/>
      </c>
      <c r="D1055" s="58"/>
      <c r="E1055" s="56"/>
      <c r="F1055" s="54"/>
      <c r="G1055" s="54"/>
      <c r="H1055" s="59"/>
      <c r="I1055" s="59"/>
      <c r="J1055" s="59"/>
      <c r="K1055" s="54"/>
    </row>
    <row r="1056">
      <c r="A1056" s="57"/>
      <c r="B1056" s="57" t="str">
        <f>IFERROR(__xludf.DUMMYFUNCTION("""COMPUTED_VALUE"""),"liter per day (L/day)    ")</f>
        <v>liter per day (L/day)    </v>
      </c>
      <c r="C1056" s="57" t="str">
        <f>IFERROR(__xludf.DUMMYFUNCTION("""COMPUTED_VALUE"""),"")</f>
        <v/>
      </c>
      <c r="D1056" s="58"/>
      <c r="E1056" s="56"/>
      <c r="F1056" s="54"/>
      <c r="G1056" s="54"/>
      <c r="H1056" s="59"/>
      <c r="I1056" s="59"/>
      <c r="J1056" s="59"/>
      <c r="K1056" s="54"/>
    </row>
    <row r="1057">
      <c r="A1057" s="57"/>
      <c r="B1057" s="57" t="str">
        <f>IFERROR(__xludf.DUMMYFUNCTION("""COMPUTED_VALUE"""),"million gallons per day (MGD)    ")</f>
        <v>million gallons per day (MGD)    </v>
      </c>
      <c r="C1057" s="57" t="str">
        <f>IFERROR(__xludf.DUMMYFUNCTION("""COMPUTED_VALUE"""),"")</f>
        <v/>
      </c>
      <c r="D1057" s="58"/>
      <c r="E1057" s="56"/>
      <c r="F1057" s="54"/>
      <c r="G1057" s="54"/>
      <c r="H1057" s="59"/>
      <c r="I1057" s="59"/>
      <c r="J1057" s="59"/>
      <c r="K1057" s="54"/>
    </row>
    <row r="1058">
      <c r="A1058" s="57" t="str">
        <f>IFERROR(__xludf.DUMMYFUNCTION("""COMPUTED_VALUE"""),"instantaneous_flow_rate_measurement_unit menu")</f>
        <v>instantaneous_flow_rate_measurement_unit menu</v>
      </c>
      <c r="B1058" s="57" t="str">
        <f>IFERROR(__xludf.DUMMYFUNCTION("""COMPUTED_VALUE"""),"    ")</f>
        <v>    </v>
      </c>
      <c r="C1058" s="57" t="str">
        <f>IFERROR(__xludf.DUMMYFUNCTION("""COMPUTED_VALUE"""),"")</f>
        <v/>
      </c>
      <c r="D1058" s="58"/>
      <c r="E1058" s="56"/>
      <c r="F1058" s="54"/>
      <c r="G1058" s="54"/>
      <c r="H1058" s="59"/>
      <c r="I1058" s="59"/>
      <c r="J1058" s="59"/>
      <c r="K1058" s="54"/>
    </row>
    <row r="1059">
      <c r="A1059" s="57"/>
      <c r="B1059" s="57" t="str">
        <f>IFERROR(__xludf.DUMMYFUNCTION("""COMPUTED_VALUE"""),"cubic meter per second (m^3/s)    ")</f>
        <v>cubic meter per second (m^3/s)    </v>
      </c>
      <c r="C1059" s="57" t="str">
        <f>IFERROR(__xludf.DUMMYFUNCTION("""COMPUTED_VALUE"""),"")</f>
        <v/>
      </c>
      <c r="D1059" s="58"/>
      <c r="E1059" s="56"/>
      <c r="F1059" s="54"/>
      <c r="G1059" s="54"/>
      <c r="H1059" s="59"/>
      <c r="I1059" s="59"/>
      <c r="J1059" s="59"/>
      <c r="K1059" s="54"/>
    </row>
    <row r="1060">
      <c r="A1060" s="57"/>
      <c r="B1060" s="57" t="str">
        <f>IFERROR(__xludf.DUMMYFUNCTION("""COMPUTED_VALUE"""),"cubic meter per minute (m^3/min)    ")</f>
        <v>cubic meter per minute (m^3/min)    </v>
      </c>
      <c r="C1060" s="57" t="str">
        <f>IFERROR(__xludf.DUMMYFUNCTION("""COMPUTED_VALUE"""),"")</f>
        <v/>
      </c>
      <c r="D1060" s="58"/>
      <c r="E1060" s="56"/>
      <c r="F1060" s="54"/>
      <c r="G1060" s="54"/>
      <c r="H1060" s="59"/>
      <c r="I1060" s="59"/>
      <c r="J1060" s="59"/>
      <c r="K1060" s="54"/>
    </row>
    <row r="1061">
      <c r="A1061" s="57"/>
      <c r="B1061" s="57" t="str">
        <f>IFERROR(__xludf.DUMMYFUNCTION("""COMPUTED_VALUE"""),"cubic meter per hour (m^3/h)    ")</f>
        <v>cubic meter per hour (m^3/h)    </v>
      </c>
      <c r="C1061" s="57" t="str">
        <f>IFERROR(__xludf.DUMMYFUNCTION("""COMPUTED_VALUE"""),"")</f>
        <v/>
      </c>
      <c r="D1061" s="58"/>
      <c r="E1061" s="56"/>
      <c r="F1061" s="54"/>
      <c r="G1061" s="54"/>
      <c r="H1061" s="59"/>
      <c r="I1061" s="59"/>
      <c r="J1061" s="59"/>
      <c r="K1061" s="54"/>
    </row>
    <row r="1062">
      <c r="A1062" s="57"/>
      <c r="B1062" s="57" t="str">
        <f>IFERROR(__xludf.DUMMYFUNCTION("""COMPUTED_VALUE"""),"liter per second (L/s)    ")</f>
        <v>liter per second (L/s)    </v>
      </c>
      <c r="C1062" s="57" t="str">
        <f>IFERROR(__xludf.DUMMYFUNCTION("""COMPUTED_VALUE"""),"")</f>
        <v/>
      </c>
      <c r="D1062" s="58"/>
      <c r="E1062" s="56"/>
      <c r="F1062" s="54"/>
      <c r="G1062" s="54"/>
      <c r="H1062" s="59"/>
      <c r="I1062" s="59"/>
      <c r="J1062" s="59"/>
      <c r="K1062" s="54"/>
    </row>
    <row r="1063">
      <c r="A1063" s="57"/>
      <c r="B1063" s="57" t="str">
        <f>IFERROR(__xludf.DUMMYFUNCTION("""COMPUTED_VALUE"""),"liter per minute (L/min)    ")</f>
        <v>liter per minute (L/min)    </v>
      </c>
      <c r="C1063" s="57" t="str">
        <f>IFERROR(__xludf.DUMMYFUNCTION("""COMPUTED_VALUE"""),"")</f>
        <v/>
      </c>
      <c r="D1063" s="58"/>
      <c r="E1063" s="56"/>
      <c r="F1063" s="54"/>
      <c r="G1063" s="54"/>
      <c r="H1063" s="59"/>
      <c r="I1063" s="59"/>
      <c r="J1063" s="59"/>
      <c r="K1063" s="54"/>
    </row>
    <row r="1064">
      <c r="A1064" s="57"/>
      <c r="B1064" s="57" t="str">
        <f>IFERROR(__xludf.DUMMYFUNCTION("""COMPUTED_VALUE"""),"liter per hour (L/h)    ")</f>
        <v>liter per hour (L/h)    </v>
      </c>
      <c r="C1064" s="57" t="str">
        <f>IFERROR(__xludf.DUMMYFUNCTION("""COMPUTED_VALUE"""),"")</f>
        <v/>
      </c>
      <c r="D1064" s="58"/>
      <c r="E1064" s="56"/>
      <c r="F1064" s="54"/>
      <c r="G1064" s="54"/>
      <c r="H1064" s="59"/>
      <c r="I1064" s="59"/>
      <c r="J1064" s="59"/>
      <c r="K1064" s="54"/>
    </row>
    <row r="1065">
      <c r="A1065" s="57"/>
      <c r="B1065" s="57" t="str">
        <f>IFERROR(__xludf.DUMMYFUNCTION("""COMPUTED_VALUE"""),"liter per day (L/day)    ")</f>
        <v>liter per day (L/day)    </v>
      </c>
      <c r="C1065" s="57" t="str">
        <f>IFERROR(__xludf.DUMMYFUNCTION("""COMPUTED_VALUE"""),"")</f>
        <v/>
      </c>
      <c r="D1065" s="58"/>
      <c r="E1065" s="56"/>
      <c r="F1065" s="54"/>
      <c r="G1065" s="54"/>
      <c r="H1065" s="59"/>
      <c r="I1065" s="59"/>
      <c r="J1065" s="59"/>
      <c r="K1065" s="54"/>
    </row>
    <row r="1066">
      <c r="A1066" s="57"/>
      <c r="B1066" s="57" t="str">
        <f>IFERROR(__xludf.DUMMYFUNCTION("""COMPUTED_VALUE"""),"million gallons per day (MGD)    ")</f>
        <v>million gallons per day (MGD)    </v>
      </c>
      <c r="C1066" s="57" t="str">
        <f>IFERROR(__xludf.DUMMYFUNCTION("""COMPUTED_VALUE"""),"")</f>
        <v/>
      </c>
      <c r="D1066" s="58"/>
      <c r="E1066" s="56"/>
      <c r="F1066" s="54"/>
      <c r="G1066" s="54"/>
      <c r="H1066" s="59"/>
      <c r="I1066" s="59"/>
      <c r="J1066" s="59"/>
      <c r="K1066" s="54"/>
    </row>
    <row r="1067">
      <c r="A1067" s="57" t="str">
        <f>IFERROR(__xludf.DUMMYFUNCTION("""COMPUTED_VALUE"""),"turbidity_measurement_unit menu")</f>
        <v>turbidity_measurement_unit menu</v>
      </c>
      <c r="B1067" s="57" t="str">
        <f>IFERROR(__xludf.DUMMYFUNCTION("""COMPUTED_VALUE"""),"    ")</f>
        <v>    </v>
      </c>
      <c r="C1067" s="57" t="str">
        <f>IFERROR(__xludf.DUMMYFUNCTION("""COMPUTED_VALUE"""),"")</f>
        <v/>
      </c>
      <c r="D1067" s="58"/>
      <c r="E1067" s="56"/>
      <c r="F1067" s="54"/>
      <c r="G1067" s="54"/>
      <c r="H1067" s="59"/>
      <c r="I1067" s="59"/>
      <c r="J1067" s="59"/>
      <c r="K1067" s="54"/>
    </row>
    <row r="1068">
      <c r="A1068" s="57"/>
      <c r="B1068" s="57" t="str">
        <f>IFERROR(__xludf.DUMMYFUNCTION("""COMPUTED_VALUE"""),"nephelometric turbidity unit (NTU)    ")</f>
        <v>nephelometric turbidity unit (NTU)    </v>
      </c>
      <c r="C1068" s="57" t="str">
        <f>IFERROR(__xludf.DUMMYFUNCTION("""COMPUTED_VALUE"""),"")</f>
        <v/>
      </c>
      <c r="D1068" s="58"/>
      <c r="E1068" s="56"/>
      <c r="F1068" s="54"/>
      <c r="G1068" s="54"/>
      <c r="H1068" s="59"/>
      <c r="I1068" s="59"/>
      <c r="J1068" s="59"/>
      <c r="K1068" s="54"/>
    </row>
    <row r="1069">
      <c r="A1069" s="57"/>
      <c r="B1069" s="57" t="str">
        <f>IFERROR(__xludf.DUMMYFUNCTION("""COMPUTED_VALUE"""),"formazin nephelometric unit (FNU) [UO:0000318]    ")</f>
        <v>formazin nephelometric unit (FNU) [UO:0000318]    </v>
      </c>
      <c r="C1069" s="57" t="str">
        <f>IFERROR(__xludf.DUMMYFUNCTION("""COMPUTED_VALUE"""),"UO:0000318")</f>
        <v>UO:0000318</v>
      </c>
      <c r="D1069" s="58" t="str">
        <f>IFERROR(__xludf.DUMMYFUNCTION("""COMPUTED_VALUE"""),"A measure of turbidity calculated by comparing how infrared light is scattered in a water sample against the amount of infrared light scattered in a reference solution containing formazin.")</f>
        <v>A measure of turbidity calculated by comparing how infrared light is scattered in a water sample against the amount of infrared light scattered in a reference solution containing formazin.</v>
      </c>
      <c r="E1069" s="56"/>
      <c r="F1069" s="54"/>
      <c r="G1069" s="54"/>
      <c r="H1069" s="59"/>
      <c r="I1069" s="59"/>
      <c r="J1069" s="59"/>
      <c r="K1069" s="54"/>
    </row>
    <row r="1070">
      <c r="A1070" s="57" t="str">
        <f>IFERROR(__xludf.DUMMYFUNCTION("""COMPUTED_VALUE"""),"dissolved_oxygen_measurement_unit menu")</f>
        <v>dissolved_oxygen_measurement_unit menu</v>
      </c>
      <c r="B1070" s="57" t="str">
        <f>IFERROR(__xludf.DUMMYFUNCTION("""COMPUTED_VALUE"""),"    ")</f>
        <v>    </v>
      </c>
      <c r="C1070" s="57" t="str">
        <f>IFERROR(__xludf.DUMMYFUNCTION("""COMPUTED_VALUE"""),"")</f>
        <v/>
      </c>
      <c r="D1070" s="58"/>
      <c r="E1070" s="56"/>
      <c r="F1070" s="54"/>
      <c r="G1070" s="54"/>
      <c r="H1070" s="59"/>
      <c r="I1070" s="59"/>
      <c r="J1070" s="59"/>
      <c r="K1070" s="54"/>
    </row>
    <row r="1071">
      <c r="A1071" s="57"/>
      <c r="B1071" s="57" t="str">
        <f>IFERROR(__xludf.DUMMYFUNCTION("""COMPUTED_VALUE"""),"milligram per liter (mg/L) [UO:0000273]    ")</f>
        <v>milligram per liter (mg/L) [UO:0000273]    </v>
      </c>
      <c r="C1071" s="57" t="str">
        <f>IFERROR(__xludf.DUMMYFUNCTION("""COMPUTED_VALUE"""),"UO:0000273")</f>
        <v>UO:0000273</v>
      </c>
      <c r="D1071" s="58" t="str">
        <f>IFERROR(__xludf.DUMMYFUNCTION("""COMPUTED_VALUE"""),"A non-SI unit of density that is equivalent to the SI metric kilogram per cubic meter.")</f>
        <v>A non-SI unit of density that is equivalent to the SI metric kilogram per cubic meter.</v>
      </c>
      <c r="E1071" s="56"/>
      <c r="F1071" s="54"/>
      <c r="G1071" s="54"/>
      <c r="H1071" s="59"/>
      <c r="I1071" s="59"/>
      <c r="J1071" s="59"/>
      <c r="K1071" s="54"/>
    </row>
    <row r="1072">
      <c r="A1072" s="57"/>
      <c r="B1072" s="57" t="str">
        <f>IFERROR(__xludf.DUMMYFUNCTION("""COMPUTED_VALUE"""),"kilogram per cubic meter (kg/m^3) [UO:0000083]    ")</f>
        <v>kilogram per cubic meter (kg/m^3) [UO:0000083]    </v>
      </c>
      <c r="C1072" s="57" t="str">
        <f>IFERROR(__xludf.DUMMYFUNCTION("""COMPUTED_VALUE"""),"UO:0000083")</f>
        <v>UO:0000083</v>
      </c>
      <c r="D1072" s="58" t="str">
        <f>IFERROR(__xludf.DUMMYFUNCTION("""COMPUTED_VALUE"""),"An SI unit of density that is one thousandth of the density of water.")</f>
        <v>An SI unit of density that is one thousandth of the density of water.</v>
      </c>
      <c r="E1072" s="56"/>
      <c r="F1072" s="54"/>
      <c r="G1072" s="54"/>
      <c r="H1072" s="59"/>
      <c r="I1072" s="59"/>
      <c r="J1072" s="59"/>
      <c r="K1072" s="54"/>
    </row>
    <row r="1073">
      <c r="A1073" s="57"/>
      <c r="B1073" s="57" t="str">
        <f>IFERROR(__xludf.DUMMYFUNCTION("""COMPUTED_VALUE"""),"part per million (ppm) [UO:0000169]    ")</f>
        <v>part per million (ppm) [UO:0000169]    </v>
      </c>
      <c r="C1073" s="57" t="str">
        <f>IFERROR(__xludf.DUMMYFUNCTION("""COMPUTED_VALUE"""),"UO:0000169")</f>
        <v>UO:0000169</v>
      </c>
      <c r="D1073" s="58" t="str">
        <f>IFERROR(__xludf.DUMMYFUNCTION("""COMPUTED_VALUE"""),"A unitless measure of density that represents one item out of a million.")</f>
        <v>A unitless measure of density that represents one item out of a million.</v>
      </c>
      <c r="E1073" s="56"/>
      <c r="F1073" s="54"/>
      <c r="G1073" s="54"/>
      <c r="H1073" s="59"/>
      <c r="I1073" s="59"/>
      <c r="J1073" s="59"/>
      <c r="K1073" s="54"/>
    </row>
    <row r="1074">
      <c r="A1074" s="57" t="str">
        <f>IFERROR(__xludf.DUMMYFUNCTION("""COMPUTED_VALUE"""),"oxygen_reduction_potential_(ORP)_measurement_unit menu")</f>
        <v>oxygen_reduction_potential_(ORP)_measurement_unit menu</v>
      </c>
      <c r="B1074" s="57" t="str">
        <f>IFERROR(__xludf.DUMMYFUNCTION("""COMPUTED_VALUE"""),"    ")</f>
        <v>    </v>
      </c>
      <c r="C1074" s="57" t="str">
        <f>IFERROR(__xludf.DUMMYFUNCTION("""COMPUTED_VALUE"""),"")</f>
        <v/>
      </c>
      <c r="D1074" s="58"/>
      <c r="E1074" s="56"/>
      <c r="F1074" s="54"/>
      <c r="G1074" s="54"/>
      <c r="H1074" s="59"/>
      <c r="I1074" s="59"/>
      <c r="J1074" s="59"/>
      <c r="K1074" s="54"/>
    </row>
    <row r="1075">
      <c r="A1075" s="57"/>
      <c r="B1075" s="57" t="str">
        <f>IFERROR(__xludf.DUMMYFUNCTION("""COMPUTED_VALUE"""),"milliVolt (mV) [UO:0000247]    ")</f>
        <v>milliVolt (mV) [UO:0000247]    </v>
      </c>
      <c r="C1075" s="57" t="str">
        <f>IFERROR(__xludf.DUMMYFUNCTION("""COMPUTED_VALUE"""),"UO:0000247")</f>
        <v>UO:0000247</v>
      </c>
      <c r="D1075" s="58" t="str">
        <f>IFERROR(__xludf.DUMMYFUNCTION("""COMPUTED_VALUE"""),"A non-SI unit of electromotive force that is one thousandth of a volt.")</f>
        <v>A non-SI unit of electromotive force that is one thousandth of a volt.</v>
      </c>
      <c r="E1075" s="56"/>
      <c r="F1075" s="54"/>
      <c r="G1075" s="54"/>
      <c r="H1075" s="59"/>
      <c r="I1075" s="59"/>
      <c r="J1075" s="59"/>
      <c r="K1075" s="54"/>
    </row>
    <row r="1076">
      <c r="A1076" s="57" t="str">
        <f>IFERROR(__xludf.DUMMYFUNCTION("""COMPUTED_VALUE"""),"chemical_oxygen_demand_(COD)_measurement_unit menu")</f>
        <v>chemical_oxygen_demand_(COD)_measurement_unit menu</v>
      </c>
      <c r="B1076" s="57" t="str">
        <f>IFERROR(__xludf.DUMMYFUNCTION("""COMPUTED_VALUE"""),"    ")</f>
        <v>    </v>
      </c>
      <c r="C1076" s="57" t="str">
        <f>IFERROR(__xludf.DUMMYFUNCTION("""COMPUTED_VALUE"""),"")</f>
        <v/>
      </c>
      <c r="D1076" s="58"/>
      <c r="E1076" s="56"/>
      <c r="F1076" s="54"/>
      <c r="G1076" s="54"/>
      <c r="H1076" s="59"/>
      <c r="I1076" s="59"/>
      <c r="J1076" s="59"/>
      <c r="K1076" s="54"/>
    </row>
    <row r="1077">
      <c r="A1077" s="57"/>
      <c r="B1077" s="57" t="str">
        <f>IFERROR(__xludf.DUMMYFUNCTION("""COMPUTED_VALUE"""),"milligram per liter (mg/L) [UO:0000273]    ")</f>
        <v>milligram per liter (mg/L) [UO:0000273]    </v>
      </c>
      <c r="C1077" s="57" t="str">
        <f>IFERROR(__xludf.DUMMYFUNCTION("""COMPUTED_VALUE"""),"UO:0000273")</f>
        <v>UO:0000273</v>
      </c>
      <c r="D1077" s="58" t="str">
        <f>IFERROR(__xludf.DUMMYFUNCTION("""COMPUTED_VALUE"""),"A non-SI unit of density that is equivalent to the SI metric kilogram per cubic meter.")</f>
        <v>A non-SI unit of density that is equivalent to the SI metric kilogram per cubic meter.</v>
      </c>
      <c r="E1077" s="56"/>
      <c r="F1077" s="54"/>
      <c r="G1077" s="54"/>
      <c r="H1077" s="59"/>
      <c r="I1077" s="59"/>
      <c r="J1077" s="59"/>
      <c r="K1077" s="54"/>
    </row>
    <row r="1078">
      <c r="A1078" s="57" t="str">
        <f>IFERROR(__xludf.DUMMYFUNCTION("""COMPUTED_VALUE"""),"carbonaceous_biochemical_oxygen_demand_(CBOD)_measurement_unit menu")</f>
        <v>carbonaceous_biochemical_oxygen_demand_(CBOD)_measurement_unit menu</v>
      </c>
      <c r="B1078" s="57" t="str">
        <f>IFERROR(__xludf.DUMMYFUNCTION("""COMPUTED_VALUE"""),"    ")</f>
        <v>    </v>
      </c>
      <c r="C1078" s="57" t="str">
        <f>IFERROR(__xludf.DUMMYFUNCTION("""COMPUTED_VALUE"""),"")</f>
        <v/>
      </c>
      <c r="D1078" s="58"/>
      <c r="E1078" s="56"/>
      <c r="F1078" s="54"/>
      <c r="G1078" s="54"/>
      <c r="H1078" s="59"/>
      <c r="I1078" s="59"/>
      <c r="J1078" s="59"/>
      <c r="K1078" s="54"/>
    </row>
    <row r="1079">
      <c r="A1079" s="57"/>
      <c r="B1079" s="57" t="str">
        <f>IFERROR(__xludf.DUMMYFUNCTION("""COMPUTED_VALUE"""),"milligram per liter (mg/L) [UO:0000273]    ")</f>
        <v>milligram per liter (mg/L) [UO:0000273]    </v>
      </c>
      <c r="C1079" s="57" t="str">
        <f>IFERROR(__xludf.DUMMYFUNCTION("""COMPUTED_VALUE"""),"UO:0000273")</f>
        <v>UO:0000273</v>
      </c>
      <c r="D1079" s="58" t="str">
        <f>IFERROR(__xludf.DUMMYFUNCTION("""COMPUTED_VALUE"""),"A non-SI unit of density that is equivalent to the SI metric kilogram per cubic meter.")</f>
        <v>A non-SI unit of density that is equivalent to the SI metric kilogram per cubic meter.</v>
      </c>
      <c r="E1079" s="56"/>
      <c r="F1079" s="54"/>
      <c r="G1079" s="54"/>
      <c r="H1079" s="59"/>
      <c r="I1079" s="59"/>
      <c r="J1079" s="59"/>
      <c r="K1079" s="54"/>
    </row>
    <row r="1080">
      <c r="A1080" s="57" t="str">
        <f>IFERROR(__xludf.DUMMYFUNCTION("""COMPUTED_VALUE"""),"total_suspended_solids_(TSS)_measurement_unit menu")</f>
        <v>total_suspended_solids_(TSS)_measurement_unit menu</v>
      </c>
      <c r="B1080" s="57" t="str">
        <f>IFERROR(__xludf.DUMMYFUNCTION("""COMPUTED_VALUE"""),"    ")</f>
        <v>    </v>
      </c>
      <c r="C1080" s="57" t="str">
        <f>IFERROR(__xludf.DUMMYFUNCTION("""COMPUTED_VALUE"""),"")</f>
        <v/>
      </c>
      <c r="D1080" s="58"/>
      <c r="E1080" s="56"/>
      <c r="F1080" s="54"/>
      <c r="G1080" s="54"/>
      <c r="H1080" s="59"/>
      <c r="I1080" s="59"/>
      <c r="J1080" s="59"/>
      <c r="K1080" s="54"/>
    </row>
    <row r="1081">
      <c r="A1081" s="57"/>
      <c r="B1081" s="57" t="str">
        <f>IFERROR(__xludf.DUMMYFUNCTION("""COMPUTED_VALUE"""),"percent (%) [UO:0000187]    ")</f>
        <v>percent (%) [UO:0000187]    </v>
      </c>
      <c r="C1081" s="57" t="str">
        <f>IFERROR(__xludf.DUMMYFUNCTION("""COMPUTED_VALUE"""),"UO:0000187")</f>
        <v>UO:0000187</v>
      </c>
      <c r="D1081" s="58" t="str">
        <f>IFERROR(__xludf.DUMMYFUNCTION("""COMPUTED_VALUE"""),"A unitless measure that represents one in a hundred.")</f>
        <v>A unitless measure that represents one in a hundred.</v>
      </c>
      <c r="E1081" s="56"/>
      <c r="F1081" s="54"/>
      <c r="G1081" s="54"/>
      <c r="H1081" s="59"/>
      <c r="I1081" s="59"/>
      <c r="J1081" s="59"/>
      <c r="K1081" s="54"/>
    </row>
    <row r="1082">
      <c r="A1082" s="57"/>
      <c r="B1082" s="57" t="str">
        <f>IFERROR(__xludf.DUMMYFUNCTION("""COMPUTED_VALUE"""),"gram per liter (g/L) [UO:0000175]    ")</f>
        <v>gram per liter (g/L) [UO:0000175]    </v>
      </c>
      <c r="C1082" s="57" t="str">
        <f>IFERROR(__xludf.DUMMYFUNCTION("""COMPUTED_VALUE"""),"UO:0000175")</f>
        <v>UO:0000175</v>
      </c>
      <c r="D1082" s="58" t="str">
        <f>IFERROR(__xludf.DUMMYFUNCTION("""COMPUTED_VALUE"""),"A non-SI unit of density that is a thousand kilograms per cubic meter.")</f>
        <v>A non-SI unit of density that is a thousand kilograms per cubic meter.</v>
      </c>
      <c r="E1082" s="56"/>
      <c r="F1082" s="54"/>
      <c r="G1082" s="54"/>
      <c r="H1082" s="59"/>
      <c r="I1082" s="59"/>
      <c r="J1082" s="59"/>
      <c r="K1082" s="54"/>
    </row>
    <row r="1083">
      <c r="A1083" s="57" t="str">
        <f>IFERROR(__xludf.DUMMYFUNCTION("""COMPUTED_VALUE"""),"total_dissolved_solids_(TDS)_measurement_unit menu")</f>
        <v>total_dissolved_solids_(TDS)_measurement_unit menu</v>
      </c>
      <c r="B1083" s="57" t="str">
        <f>IFERROR(__xludf.DUMMYFUNCTION("""COMPUTED_VALUE"""),"    ")</f>
        <v>    </v>
      </c>
      <c r="C1083" s="57" t="str">
        <f>IFERROR(__xludf.DUMMYFUNCTION("""COMPUTED_VALUE"""),"")</f>
        <v/>
      </c>
      <c r="D1083" s="58"/>
      <c r="E1083" s="56"/>
      <c r="F1083" s="54"/>
      <c r="G1083" s="54"/>
      <c r="H1083" s="59"/>
      <c r="I1083" s="59"/>
      <c r="J1083" s="59"/>
      <c r="K1083" s="54"/>
    </row>
    <row r="1084">
      <c r="A1084" s="57"/>
      <c r="B1084" s="57" t="str">
        <f>IFERROR(__xludf.DUMMYFUNCTION("""COMPUTED_VALUE"""),"percent (%) [UO:0000187]    ")</f>
        <v>percent (%) [UO:0000187]    </v>
      </c>
      <c r="C1084" s="57" t="str">
        <f>IFERROR(__xludf.DUMMYFUNCTION("""COMPUTED_VALUE"""),"UO:0000187")</f>
        <v>UO:0000187</v>
      </c>
      <c r="D1084" s="58" t="str">
        <f>IFERROR(__xludf.DUMMYFUNCTION("""COMPUTED_VALUE"""),"A unitless measure that represents one in a hundred.")</f>
        <v>A unitless measure that represents one in a hundred.</v>
      </c>
      <c r="E1084" s="56"/>
      <c r="F1084" s="54"/>
      <c r="G1084" s="54"/>
      <c r="H1084" s="59"/>
      <c r="I1084" s="59"/>
      <c r="J1084" s="59"/>
      <c r="K1084" s="54"/>
    </row>
    <row r="1085">
      <c r="A1085" s="57"/>
      <c r="B1085" s="57" t="str">
        <f>IFERROR(__xludf.DUMMYFUNCTION("""COMPUTED_VALUE"""),"gram per liter (g/L) [UO:0000175]    ")</f>
        <v>gram per liter (g/L) [UO:0000175]    </v>
      </c>
      <c r="C1085" s="57" t="str">
        <f>IFERROR(__xludf.DUMMYFUNCTION("""COMPUTED_VALUE"""),"UO:0000175")</f>
        <v>UO:0000175</v>
      </c>
      <c r="D1085" s="58" t="str">
        <f>IFERROR(__xludf.DUMMYFUNCTION("""COMPUTED_VALUE"""),"A non-SI unit of density that is a thousand kilograms per cubic meter.")</f>
        <v>A non-SI unit of density that is a thousand kilograms per cubic meter.</v>
      </c>
      <c r="E1085" s="56"/>
      <c r="F1085" s="54"/>
      <c r="G1085" s="54"/>
      <c r="H1085" s="59"/>
      <c r="I1085" s="59"/>
      <c r="J1085" s="59"/>
      <c r="K1085" s="54"/>
    </row>
    <row r="1086">
      <c r="A1086" s="57" t="str">
        <f>IFERROR(__xludf.DUMMYFUNCTION("""COMPUTED_VALUE"""),"total_solids_(TS)_measurement_unit menu")</f>
        <v>total_solids_(TS)_measurement_unit menu</v>
      </c>
      <c r="B1086" s="57" t="str">
        <f>IFERROR(__xludf.DUMMYFUNCTION("""COMPUTED_VALUE"""),"    ")</f>
        <v>    </v>
      </c>
      <c r="C1086" s="57" t="str">
        <f>IFERROR(__xludf.DUMMYFUNCTION("""COMPUTED_VALUE"""),"")</f>
        <v/>
      </c>
      <c r="D1086" s="58"/>
      <c r="E1086" s="56"/>
      <c r="F1086" s="54"/>
      <c r="G1086" s="54"/>
      <c r="H1086" s="59"/>
      <c r="I1086" s="59"/>
      <c r="J1086" s="59"/>
      <c r="K1086" s="54"/>
    </row>
    <row r="1087">
      <c r="A1087" s="57"/>
      <c r="B1087" s="57" t="str">
        <f>IFERROR(__xludf.DUMMYFUNCTION("""COMPUTED_VALUE"""),"percent (%) [UO:0000187]    ")</f>
        <v>percent (%) [UO:0000187]    </v>
      </c>
      <c r="C1087" s="57" t="str">
        <f>IFERROR(__xludf.DUMMYFUNCTION("""COMPUTED_VALUE"""),"UO:0000187")</f>
        <v>UO:0000187</v>
      </c>
      <c r="D1087" s="58" t="str">
        <f>IFERROR(__xludf.DUMMYFUNCTION("""COMPUTED_VALUE"""),"A unitless measure that represents one in a hundred.")</f>
        <v>A unitless measure that represents one in a hundred.</v>
      </c>
      <c r="E1087" s="56"/>
      <c r="F1087" s="54"/>
      <c r="G1087" s="54"/>
      <c r="H1087" s="59"/>
      <c r="I1087" s="59"/>
      <c r="J1087" s="59"/>
      <c r="K1087" s="54"/>
    </row>
    <row r="1088">
      <c r="A1088" s="57"/>
      <c r="B1088" s="57" t="str">
        <f>IFERROR(__xludf.DUMMYFUNCTION("""COMPUTED_VALUE"""),"gram per liter (g/L) [UO:0000175]    ")</f>
        <v>gram per liter (g/L) [UO:0000175]    </v>
      </c>
      <c r="C1088" s="57" t="str">
        <f>IFERROR(__xludf.DUMMYFUNCTION("""COMPUTED_VALUE"""),"UO:0000175")</f>
        <v>UO:0000175</v>
      </c>
      <c r="D1088" s="58" t="str">
        <f>IFERROR(__xludf.DUMMYFUNCTION("""COMPUTED_VALUE"""),"A non-SI unit of density that is a thousand kilograms per cubic meter.")</f>
        <v>A non-SI unit of density that is a thousand kilograms per cubic meter.</v>
      </c>
      <c r="E1088" s="56"/>
      <c r="F1088" s="54"/>
      <c r="G1088" s="54"/>
      <c r="H1088" s="59"/>
      <c r="I1088" s="59"/>
      <c r="J1088" s="59"/>
      <c r="K1088" s="54"/>
    </row>
    <row r="1089">
      <c r="A1089" s="57" t="str">
        <f>IFERROR(__xludf.DUMMYFUNCTION("""COMPUTED_VALUE"""),"alkalinity_measurement_unit menu")</f>
        <v>alkalinity_measurement_unit menu</v>
      </c>
      <c r="B1089" s="57" t="str">
        <f>IFERROR(__xludf.DUMMYFUNCTION("""COMPUTED_VALUE"""),"    ")</f>
        <v>    </v>
      </c>
      <c r="C1089" s="57" t="str">
        <f>IFERROR(__xludf.DUMMYFUNCTION("""COMPUTED_VALUE"""),"")</f>
        <v/>
      </c>
      <c r="D1089" s="58"/>
      <c r="E1089" s="56"/>
      <c r="F1089" s="54"/>
      <c r="G1089" s="54"/>
      <c r="H1089" s="59"/>
      <c r="I1089" s="59"/>
      <c r="J1089" s="59"/>
      <c r="K1089" s="54"/>
    </row>
    <row r="1090">
      <c r="A1090" s="57"/>
      <c r="B1090" s="57" t="str">
        <f>IFERROR(__xludf.DUMMYFUNCTION("""COMPUTED_VALUE"""),"milliequivalent per liter (meq/L)    ")</f>
        <v>milliequivalent per liter (meq/L)    </v>
      </c>
      <c r="C1090" s="57" t="str">
        <f>IFERROR(__xludf.DUMMYFUNCTION("""COMPUTED_VALUE"""),"")</f>
        <v/>
      </c>
      <c r="D1090" s="58"/>
      <c r="E1090" s="56"/>
      <c r="F1090" s="54"/>
      <c r="G1090" s="54"/>
      <c r="H1090" s="59"/>
      <c r="I1090" s="59"/>
      <c r="J1090" s="59"/>
      <c r="K1090" s="54"/>
    </row>
    <row r="1091">
      <c r="A1091" s="57"/>
      <c r="B1091" s="57" t="str">
        <f>IFERROR(__xludf.DUMMYFUNCTION("""COMPUTED_VALUE"""),"milligram per liter (mg/L) [UO:0000273]    ")</f>
        <v>milligram per liter (mg/L) [UO:0000273]    </v>
      </c>
      <c r="C1091" s="57" t="str">
        <f>IFERROR(__xludf.DUMMYFUNCTION("""COMPUTED_VALUE"""),"UO:0000273")</f>
        <v>UO:0000273</v>
      </c>
      <c r="D1091" s="58" t="str">
        <f>IFERROR(__xludf.DUMMYFUNCTION("""COMPUTED_VALUE"""),"A non-SI unit of density that is equivalent to the SI metric kilogram per cubic meter.")</f>
        <v>A non-SI unit of density that is equivalent to the SI metric kilogram per cubic meter.</v>
      </c>
      <c r="E1091" s="56"/>
      <c r="F1091" s="54"/>
      <c r="G1091" s="54"/>
      <c r="H1091" s="59"/>
      <c r="I1091" s="59"/>
      <c r="J1091" s="59"/>
      <c r="K1091" s="54"/>
    </row>
    <row r="1092">
      <c r="A1092" s="57"/>
      <c r="B1092" s="57" t="str">
        <f>IFERROR(__xludf.DUMMYFUNCTION("""COMPUTED_VALUE"""),"parts per million [UO:0000169]    ")</f>
        <v>parts per million [UO:0000169]    </v>
      </c>
      <c r="C1092" s="57" t="str">
        <f>IFERROR(__xludf.DUMMYFUNCTION("""COMPUTED_VALUE"""),"UO:0000169")</f>
        <v>UO:0000169</v>
      </c>
      <c r="D1092" s="58" t="str">
        <f>IFERROR(__xludf.DUMMYFUNCTION("""COMPUTED_VALUE"""),"A unitless measure of density that represents one item out of a million.")</f>
        <v>A unitless measure of density that represents one item out of a million.</v>
      </c>
      <c r="E1092" s="56"/>
      <c r="F1092" s="54"/>
      <c r="G1092" s="54"/>
      <c r="H1092" s="59"/>
      <c r="I1092" s="59"/>
      <c r="J1092" s="59"/>
      <c r="K1092" s="54"/>
    </row>
    <row r="1093">
      <c r="A1093" s="57" t="str">
        <f>IFERROR(__xludf.DUMMYFUNCTION("""COMPUTED_VALUE"""),"conductivity_measurement_unit menu")</f>
        <v>conductivity_measurement_unit menu</v>
      </c>
      <c r="B1093" s="57" t="str">
        <f>IFERROR(__xludf.DUMMYFUNCTION("""COMPUTED_VALUE"""),"    ")</f>
        <v>    </v>
      </c>
      <c r="C1093" s="57" t="str">
        <f>IFERROR(__xludf.DUMMYFUNCTION("""COMPUTED_VALUE"""),"")</f>
        <v/>
      </c>
      <c r="D1093" s="58"/>
      <c r="E1093" s="56"/>
      <c r="F1093" s="54"/>
      <c r="G1093" s="54"/>
      <c r="H1093" s="59"/>
      <c r="I1093" s="59"/>
      <c r="J1093" s="59"/>
      <c r="K1093" s="54"/>
    </row>
    <row r="1094">
      <c r="A1094" s="57"/>
      <c r="B1094" s="57" t="str">
        <f>IFERROR(__xludf.DUMMYFUNCTION("""COMPUTED_VALUE"""),"milliSiemen per centimeter (mS/cm)    ")</f>
        <v>milliSiemen per centimeter (mS/cm)    </v>
      </c>
      <c r="C1094" s="57" t="str">
        <f>IFERROR(__xludf.DUMMYFUNCTION("""COMPUTED_VALUE"""),"")</f>
        <v/>
      </c>
      <c r="D1094" s="58"/>
      <c r="E1094" s="56"/>
      <c r="F1094" s="54"/>
      <c r="G1094" s="54"/>
      <c r="H1094" s="59"/>
      <c r="I1094" s="59"/>
      <c r="J1094" s="59"/>
      <c r="K1094" s="54"/>
    </row>
    <row r="1095">
      <c r="A1095" s="57"/>
      <c r="B1095" s="57" t="str">
        <f>IFERROR(__xludf.DUMMYFUNCTION("""COMPUTED_VALUE"""),"microSiemen per centimeter (μS/cm)    ")</f>
        <v>microSiemen per centimeter (μS/cm)    </v>
      </c>
      <c r="C1095" s="57" t="str">
        <f>IFERROR(__xludf.DUMMYFUNCTION("""COMPUTED_VALUE"""),"")</f>
        <v/>
      </c>
      <c r="D1095" s="58"/>
      <c r="E1095" s="56"/>
      <c r="F1095" s="54"/>
      <c r="G1095" s="54"/>
      <c r="H1095" s="59"/>
      <c r="I1095" s="59"/>
      <c r="J1095" s="59"/>
      <c r="K1095" s="54"/>
    </row>
    <row r="1096">
      <c r="A1096" s="57"/>
      <c r="B1096" s="57" t="str">
        <f>IFERROR(__xludf.DUMMYFUNCTION("""COMPUTED_VALUE"""),"Siemen per meter (S/m)    ")</f>
        <v>Siemen per meter (S/m)    </v>
      </c>
      <c r="C1096" s="57" t="str">
        <f>IFERROR(__xludf.DUMMYFUNCTION("""COMPUTED_VALUE"""),"")</f>
        <v/>
      </c>
      <c r="D1096" s="58"/>
      <c r="E1096" s="56"/>
      <c r="F1096" s="54"/>
      <c r="G1096" s="54"/>
      <c r="H1096" s="59"/>
      <c r="I1096" s="59"/>
      <c r="J1096" s="59"/>
      <c r="K1096" s="54"/>
    </row>
    <row r="1097">
      <c r="A1097" s="57" t="str">
        <f>IFERROR(__xludf.DUMMYFUNCTION("""COMPUTED_VALUE"""),"salinity_measurement_unit menu")</f>
        <v>salinity_measurement_unit menu</v>
      </c>
      <c r="B1097" s="57" t="str">
        <f>IFERROR(__xludf.DUMMYFUNCTION("""COMPUTED_VALUE"""),"    ")</f>
        <v>    </v>
      </c>
      <c r="C1097" s="57" t="str">
        <f>IFERROR(__xludf.DUMMYFUNCTION("""COMPUTED_VALUE"""),"")</f>
        <v/>
      </c>
      <c r="D1097" s="58"/>
      <c r="E1097" s="56"/>
      <c r="F1097" s="54"/>
      <c r="G1097" s="54"/>
      <c r="H1097" s="59"/>
      <c r="I1097" s="59"/>
      <c r="J1097" s="59"/>
      <c r="K1097" s="54"/>
    </row>
    <row r="1098">
      <c r="A1098" s="57"/>
      <c r="B1098" s="57" t="str">
        <f>IFERROR(__xludf.DUMMYFUNCTION("""COMPUTED_VALUE"""),"practical salinity unit (PSU)    ")</f>
        <v>practical salinity unit (PSU)    </v>
      </c>
      <c r="C1098" s="57" t="str">
        <f>IFERROR(__xludf.DUMMYFUNCTION("""COMPUTED_VALUE"""),"")</f>
        <v/>
      </c>
      <c r="D1098" s="58"/>
      <c r="E1098" s="56"/>
      <c r="F1098" s="54"/>
      <c r="G1098" s="54"/>
      <c r="H1098" s="59"/>
      <c r="I1098" s="59"/>
      <c r="J1098" s="59"/>
      <c r="K1098" s="54"/>
    </row>
    <row r="1099">
      <c r="A1099" s="57"/>
      <c r="B1099" s="57" t="str">
        <f>IFERROR(__xludf.DUMMYFUNCTION("""COMPUTED_VALUE"""),"weight for weight (% w/w)    ")</f>
        <v>weight for weight (% w/w)    </v>
      </c>
      <c r="C1099" s="57" t="str">
        <f>IFERROR(__xludf.DUMMYFUNCTION("""COMPUTED_VALUE"""),"")</f>
        <v/>
      </c>
      <c r="D1099" s="58"/>
      <c r="E1099" s="56"/>
      <c r="F1099" s="54"/>
      <c r="G1099" s="54"/>
      <c r="H1099" s="59"/>
      <c r="I1099" s="59"/>
      <c r="J1099" s="59"/>
      <c r="K1099" s="54"/>
    </row>
    <row r="1100">
      <c r="A1100" s="57"/>
      <c r="B1100" s="57" t="str">
        <f>IFERROR(__xludf.DUMMYFUNCTION("""COMPUTED_VALUE"""),"parts per thousand [UO:0000168]    ")</f>
        <v>parts per thousand [UO:0000168]    </v>
      </c>
      <c r="C1100" s="57" t="str">
        <f>IFERROR(__xludf.DUMMYFUNCTION("""COMPUTED_VALUE"""),"UO:0000168")</f>
        <v>UO:0000168</v>
      </c>
      <c r="D1100" s="58" t="str">
        <f>IFERROR(__xludf.DUMMYFUNCTION("""COMPUTED_VALUE"""),"A dimensionless concentration notation which denotes the amount of a given substance in a total amount of 1000 regardless of the units of measure as long as they are the same.")</f>
        <v>A dimensionless concentration notation which denotes the amount of a given substance in a total amount of 1000 regardless of the units of measure as long as they are the same.</v>
      </c>
      <c r="E1100" s="56"/>
      <c r="F1100" s="54"/>
      <c r="G1100" s="54"/>
      <c r="H1100" s="59"/>
      <c r="I1100" s="59"/>
      <c r="J1100" s="59"/>
      <c r="K1100" s="54"/>
    </row>
    <row r="1101">
      <c r="A1101" s="57"/>
      <c r="B1101" s="57" t="str">
        <f>IFERROR(__xludf.DUMMYFUNCTION("""COMPUTED_VALUE"""),"gram per liter (g/L) [UO:0000175]    ")</f>
        <v>gram per liter (g/L) [UO:0000175]    </v>
      </c>
      <c r="C1101" s="57" t="str">
        <f>IFERROR(__xludf.DUMMYFUNCTION("""COMPUTED_VALUE"""),"UO:0000175")</f>
        <v>UO:0000175</v>
      </c>
      <c r="D1101" s="58" t="str">
        <f>IFERROR(__xludf.DUMMYFUNCTION("""COMPUTED_VALUE"""),"A non-SI unit of density that is a thousand kilograms per cubic meter.")</f>
        <v>A non-SI unit of density that is a thousand kilograms per cubic meter.</v>
      </c>
      <c r="E1101" s="56"/>
      <c r="F1101" s="54"/>
      <c r="G1101" s="54"/>
      <c r="H1101" s="59"/>
      <c r="I1101" s="59"/>
      <c r="J1101" s="59"/>
      <c r="K1101" s="54"/>
    </row>
    <row r="1102">
      <c r="A1102" s="57" t="str">
        <f>IFERROR(__xludf.DUMMYFUNCTION("""COMPUTED_VALUE"""),"total_nitrogen_(TN)_measurement_unit menu")</f>
        <v>total_nitrogen_(TN)_measurement_unit menu</v>
      </c>
      <c r="B1102" s="57" t="str">
        <f>IFERROR(__xludf.DUMMYFUNCTION("""COMPUTED_VALUE"""),"    ")</f>
        <v>    </v>
      </c>
      <c r="C1102" s="57" t="str">
        <f>IFERROR(__xludf.DUMMYFUNCTION("""COMPUTED_VALUE"""),"")</f>
        <v/>
      </c>
      <c r="D1102" s="58"/>
      <c r="E1102" s="56"/>
      <c r="F1102" s="54"/>
      <c r="G1102" s="54"/>
      <c r="H1102" s="59"/>
      <c r="I1102" s="59"/>
      <c r="J1102" s="59"/>
      <c r="K1102" s="54"/>
    </row>
    <row r="1103">
      <c r="A1103" s="57"/>
      <c r="B1103" s="57" t="str">
        <f>IFERROR(__xludf.DUMMYFUNCTION("""COMPUTED_VALUE"""),"milligram per liter (mg/L) [UO:0000273]    ")</f>
        <v>milligram per liter (mg/L) [UO:0000273]    </v>
      </c>
      <c r="C1103" s="57" t="str">
        <f>IFERROR(__xludf.DUMMYFUNCTION("""COMPUTED_VALUE"""),"UO:0000273")</f>
        <v>UO:0000273</v>
      </c>
      <c r="D1103" s="58" t="str">
        <f>IFERROR(__xludf.DUMMYFUNCTION("""COMPUTED_VALUE"""),"A non-SI unit of density that is equivalent to the SI metric kilogram per cubic meter.")</f>
        <v>A non-SI unit of density that is equivalent to the SI metric kilogram per cubic meter.</v>
      </c>
      <c r="E1103" s="56"/>
      <c r="F1103" s="54"/>
      <c r="G1103" s="54"/>
      <c r="H1103" s="59"/>
      <c r="I1103" s="59"/>
      <c r="J1103" s="59"/>
      <c r="K1103" s="54"/>
    </row>
    <row r="1104">
      <c r="A1104" s="57"/>
      <c r="B1104" s="57" t="str">
        <f>IFERROR(__xludf.DUMMYFUNCTION("""COMPUTED_VALUE"""),"gram per liter (g/L) [UO:0000175]    ")</f>
        <v>gram per liter (g/L) [UO:0000175]    </v>
      </c>
      <c r="C1104" s="57" t="str">
        <f>IFERROR(__xludf.DUMMYFUNCTION("""COMPUTED_VALUE"""),"UO:0000175")</f>
        <v>UO:0000175</v>
      </c>
      <c r="D1104" s="58" t="str">
        <f>IFERROR(__xludf.DUMMYFUNCTION("""COMPUTED_VALUE"""),"A non-SI unit of density that is a thousand kilograms per cubic meter.")</f>
        <v>A non-SI unit of density that is a thousand kilograms per cubic meter.</v>
      </c>
      <c r="E1104" s="56"/>
      <c r="F1104" s="54"/>
      <c r="G1104" s="54"/>
      <c r="H1104" s="59"/>
      <c r="I1104" s="59"/>
      <c r="J1104" s="59"/>
      <c r="K1104" s="54"/>
    </row>
    <row r="1105">
      <c r="A1105" s="57"/>
      <c r="B1105" s="57" t="str">
        <f>IFERROR(__xludf.DUMMYFUNCTION("""COMPUTED_VALUE"""),"gram per total solids (g/gTS)    ")</f>
        <v>gram per total solids (g/gTS)    </v>
      </c>
      <c r="C1105" s="57" t="str">
        <f>IFERROR(__xludf.DUMMYFUNCTION("""COMPUTED_VALUE"""),"")</f>
        <v/>
      </c>
      <c r="D1105" s="58"/>
      <c r="E1105" s="56"/>
      <c r="F1105" s="54"/>
      <c r="G1105" s="54"/>
      <c r="H1105" s="59"/>
      <c r="I1105" s="59"/>
      <c r="J1105" s="59"/>
      <c r="K1105" s="54"/>
    </row>
    <row r="1106">
      <c r="A1106" s="57" t="str">
        <f>IFERROR(__xludf.DUMMYFUNCTION("""COMPUTED_VALUE"""),"total_phosphorpus_(TP)_measurement_unit menu")</f>
        <v>total_phosphorpus_(TP)_measurement_unit menu</v>
      </c>
      <c r="B1106" s="57" t="str">
        <f>IFERROR(__xludf.DUMMYFUNCTION("""COMPUTED_VALUE"""),"    ")</f>
        <v>    </v>
      </c>
      <c r="C1106" s="57" t="str">
        <f>IFERROR(__xludf.DUMMYFUNCTION("""COMPUTED_VALUE"""),"")</f>
        <v/>
      </c>
      <c r="D1106" s="58"/>
      <c r="E1106" s="56"/>
      <c r="F1106" s="54"/>
      <c r="G1106" s="54"/>
      <c r="H1106" s="59"/>
      <c r="I1106" s="59"/>
      <c r="J1106" s="59"/>
      <c r="K1106" s="54"/>
    </row>
    <row r="1107">
      <c r="A1107" s="57"/>
      <c r="B1107" s="57" t="str">
        <f>IFERROR(__xludf.DUMMYFUNCTION("""COMPUTED_VALUE"""),"gram per total solids (g/gTS)    ")</f>
        <v>gram per total solids (g/gTS)    </v>
      </c>
      <c r="C1107" s="57" t="str">
        <f>IFERROR(__xludf.DUMMYFUNCTION("""COMPUTED_VALUE"""),"")</f>
        <v/>
      </c>
      <c r="D1107" s="58"/>
      <c r="E1107" s="56"/>
      <c r="F1107" s="54"/>
      <c r="G1107" s="54"/>
      <c r="H1107" s="59"/>
      <c r="I1107" s="59"/>
      <c r="J1107" s="59"/>
      <c r="K1107" s="54"/>
    </row>
    <row r="1108">
      <c r="A1108" s="57"/>
      <c r="B1108" s="57" t="str">
        <f>IFERROR(__xludf.DUMMYFUNCTION("""COMPUTED_VALUE"""),"orthophosphate as phosphorus per total solids (gPO4-P/gTS) [GENEPIO:0100998]    ")</f>
        <v>orthophosphate as phosphorus per total solids (gPO4-P/gTS) [GENEPIO:0100998]    </v>
      </c>
      <c r="C1108" s="57" t="str">
        <f>IFERROR(__xludf.DUMMYFUNCTION("""COMPUTED_VALUE"""),"GENEPIO:0100998")</f>
        <v>GENEPIO:0100998</v>
      </c>
      <c r="D1108" s="58" t="str">
        <f>IFERROR(__xludf.DUMMYFUNCTION("""COMPUTED_VALUE"""),"A substance unit which describes the weight of orthophosphate as phosphorus (gPO4-P) within a sample to the weight of total solids.")</f>
        <v>A substance unit which describes the weight of orthophosphate as phosphorus (gPO4-P) within a sample to the weight of total solids.</v>
      </c>
      <c r="E1108" s="56"/>
      <c r="F1108" s="54"/>
      <c r="G1108" s="54"/>
      <c r="H1108" s="59"/>
      <c r="I1108" s="59"/>
      <c r="J1108" s="59"/>
      <c r="K1108" s="54"/>
    </row>
    <row r="1109">
      <c r="A1109" s="57"/>
      <c r="B1109" s="57" t="str">
        <f>IFERROR(__xludf.DUMMYFUNCTION("""COMPUTED_VALUE"""),"milligrams per liter (mg/L) [UO:0000273]    ")</f>
        <v>milligrams per liter (mg/L) [UO:0000273]    </v>
      </c>
      <c r="C1109" s="57" t="str">
        <f>IFERROR(__xludf.DUMMYFUNCTION("""COMPUTED_VALUE"""),"UO:0000273")</f>
        <v>UO:0000273</v>
      </c>
      <c r="D1109" s="58" t="str">
        <f>IFERROR(__xludf.DUMMYFUNCTION("""COMPUTED_VALUE"""),"A non-SI unit of density that is equivalent to the SI metric kilogram per cubic meter.")</f>
        <v>A non-SI unit of density that is equivalent to the SI metric kilogram per cubic meter.</v>
      </c>
      <c r="E1109" s="56"/>
      <c r="F1109" s="54"/>
      <c r="G1109" s="54"/>
      <c r="H1109" s="59"/>
      <c r="I1109" s="59"/>
      <c r="J1109" s="59"/>
      <c r="K1109" s="54"/>
    </row>
    <row r="1110">
      <c r="A1110" s="57"/>
      <c r="B1110" s="57" t="str">
        <f>IFERROR(__xludf.DUMMYFUNCTION("""COMPUTED_VALUE"""),"milligrams orthophosphate as phosphorus per liter (mg PO4-P/L) [GENEPIO:0100999]    ")</f>
        <v>milligrams orthophosphate as phosphorus per liter (mg PO4-P/L) [GENEPIO:0100999]    </v>
      </c>
      <c r="C1110" s="57" t="str">
        <f>IFERROR(__xludf.DUMMYFUNCTION("""COMPUTED_VALUE"""),"GENEPIO:0100999")</f>
        <v>GENEPIO:0100999</v>
      </c>
      <c r="D1110" s="58" t="str">
        <f>IFERROR(__xludf.DUMMYFUNCTION("""COMPUTED_VALUE"""),"A density unit comparing the weight of orthophosphate as phosphorus (PO4-P) in milligrams within a standard liter volume.")</f>
        <v>A density unit comparing the weight of orthophosphate as phosphorus (PO4-P) in milligrams within a standard liter volume.</v>
      </c>
      <c r="E1110" s="56"/>
      <c r="F1110" s="54"/>
      <c r="G1110" s="54"/>
      <c r="H1110" s="59"/>
      <c r="I1110" s="59"/>
      <c r="J1110" s="59"/>
      <c r="K1110" s="54"/>
    </row>
    <row r="1111">
      <c r="A1111" s="57" t="str">
        <f>IFERROR(__xludf.DUMMYFUNCTION("""COMPUTED_VALUE"""),"fecal contamination indicator menu")</f>
        <v>fecal contamination indicator menu</v>
      </c>
      <c r="B1111" s="57" t="str">
        <f>IFERROR(__xludf.DUMMYFUNCTION("""COMPUTED_VALUE"""),"    ")</f>
        <v>    </v>
      </c>
      <c r="C1111" s="57" t="str">
        <f>IFERROR(__xludf.DUMMYFUNCTION("""COMPUTED_VALUE"""),"")</f>
        <v/>
      </c>
      <c r="D1111" s="58"/>
      <c r="E1111" s="56"/>
      <c r="F1111" s="54"/>
      <c r="G1111" s="54"/>
      <c r="H1111" s="59"/>
      <c r="I1111" s="59"/>
      <c r="J1111" s="59"/>
      <c r="K1111" s="54"/>
    </row>
    <row r="1112">
      <c r="A1112" s="57"/>
      <c r="B1112" s="57" t="str">
        <f>IFERROR(__xludf.DUMMYFUNCTION("""COMPUTED_VALUE"""),"crAssphage [NCBITaxon:1211417]    ")</f>
        <v>crAssphage [NCBITaxon:1211417]    </v>
      </c>
      <c r="C1112" s="57" t="str">
        <f>IFERROR(__xludf.DUMMYFUNCTION("""COMPUTED_VALUE"""),"NCBITaxon:1211417")</f>
        <v>NCBITaxon:1211417</v>
      </c>
      <c r="D1112" s="58" t="str">
        <f>IFERROR(__xludf.DUMMYFUNCTION("""COMPUTED_VALUE"""),"CrAss-like phage, a bacteriophage discovered in 2014 in the human fecal metagenome.")</f>
        <v>CrAss-like phage, a bacteriophage discovered in 2014 in the human fecal metagenome.</v>
      </c>
      <c r="E1112" s="56"/>
      <c r="F1112" s="54"/>
      <c r="G1112" s="54"/>
      <c r="H1112" s="59"/>
      <c r="I1112" s="59"/>
      <c r="J1112" s="59"/>
      <c r="K1112" s="54"/>
    </row>
    <row r="1113">
      <c r="A1113" s="57"/>
      <c r="B1113" s="57" t="str">
        <f>IFERROR(__xludf.DUMMYFUNCTION("""COMPUTED_VALUE"""),"PMMoV / pepper mild mottle virus [NCBITaxon:12239]    ")</f>
        <v>PMMoV / pepper mild mottle virus [NCBITaxon:12239]    </v>
      </c>
      <c r="C1113" s="57" t="str">
        <f>IFERROR(__xludf.DUMMYFUNCTION("""COMPUTED_VALUE"""),"NCBITaxon:12239")</f>
        <v>NCBITaxon:12239</v>
      </c>
      <c r="D1113" s="58" t="str">
        <f>IFERROR(__xludf.DUMMYFUNCTION("""COMPUTED_VALUE"""),"A plant RNA virus that is abundant in human feces.")</f>
        <v>A plant RNA virus that is abundant in human feces.</v>
      </c>
      <c r="E1113" s="56"/>
      <c r="F1113" s="54"/>
      <c r="G1113" s="54"/>
      <c r="H1113" s="59"/>
      <c r="I1113" s="59"/>
      <c r="J1113" s="59"/>
      <c r="K1113" s="54"/>
    </row>
    <row r="1114">
      <c r="A1114" s="57"/>
      <c r="B1114" s="57" t="str">
        <f>IFERROR(__xludf.DUMMYFUNCTION("""COMPUTED_VALUE"""),"Bacteroides HF183    ")</f>
        <v>Bacteroides HF183    </v>
      </c>
      <c r="C1114" s="57" t="str">
        <f>IFERROR(__xludf.DUMMYFUNCTION("""COMPUTED_VALUE"""),"GENEPIO:0101000")</f>
        <v>GENEPIO:0101000</v>
      </c>
      <c r="D1114" s="58" t="str">
        <f>IFERROR(__xludf.DUMMYFUNCTION("""COMPUTED_VALUE"""),"A fecal indicator which is the most commonly used sewage-associated marker gene, belonging to the Bacteroides genus.")</f>
        <v>A fecal indicator which is the most commonly used sewage-associated marker gene, belonging to the Bacteroides genus.</v>
      </c>
      <c r="E1114" s="56"/>
      <c r="F1114" s="54"/>
      <c r="G1114" s="54"/>
      <c r="H1114" s="59"/>
      <c r="I1114" s="59"/>
      <c r="J1114" s="59"/>
      <c r="K1114" s="54"/>
    </row>
    <row r="1115">
      <c r="A1115" s="57"/>
      <c r="B1115" s="57" t="str">
        <f>IFERROR(__xludf.DUMMYFUNCTION("""COMPUTED_VALUE"""),"Lachnospiraceae Lachno3    ")</f>
        <v>Lachnospiraceae Lachno3    </v>
      </c>
      <c r="C1115" s="57" t="str">
        <f>IFERROR(__xludf.DUMMYFUNCTION("""COMPUTED_VALUE"""),"GENEPIO:0101001")</f>
        <v>GENEPIO:0101001</v>
      </c>
      <c r="D1115" s="58" t="str">
        <f>IFERROR(__xludf.DUMMYFUNCTION("""COMPUTED_VALUE"""),"A fecal indicator which is a human-associated genetic marker in the Lachnospiraceae family of bacteria.")</f>
        <v>A fecal indicator which is a human-associated genetic marker in the Lachnospiraceae family of bacteria.</v>
      </c>
      <c r="E1115" s="56"/>
      <c r="F1115" s="54"/>
      <c r="G1115" s="54"/>
      <c r="H1115" s="59"/>
      <c r="I1115" s="59"/>
      <c r="J1115" s="59"/>
      <c r="K1115" s="54"/>
    </row>
    <row r="1116">
      <c r="A1116" s="57"/>
      <c r="B1116" s="57" t="str">
        <f>IFERROR(__xludf.DUMMYFUNCTION("""COMPUTED_VALUE"""),"F+ (male specific) coliphages    ")</f>
        <v>F+ (male specific) coliphages    </v>
      </c>
      <c r="C1116" s="57" t="str">
        <f>IFERROR(__xludf.DUMMYFUNCTION("""COMPUTED_VALUE"""),"GENEPIO:0101002")</f>
        <v>GENEPIO:0101002</v>
      </c>
      <c r="D1116" s="58" t="str">
        <f>IFERROR(__xludf.DUMMYFUNCTION("""COMPUTED_VALUE"""),"A fecal indicator which is a bacteriophage that infects coliform bacteria and is used in water assessment.")</f>
        <v>A fecal indicator which is a bacteriophage that infects coliform bacteria and is used in water assessment.</v>
      </c>
      <c r="E1116" s="56"/>
      <c r="F1116" s="54"/>
      <c r="G1116" s="54"/>
      <c r="H1116" s="59"/>
      <c r="I1116" s="59"/>
      <c r="J1116" s="59"/>
      <c r="K1116" s="54"/>
    </row>
    <row r="1117">
      <c r="A1117" s="57"/>
      <c r="B1117" s="57" t="str">
        <f>IFERROR(__xludf.DUMMYFUNCTION("""COMPUTED_VALUE"""),"Stercobilin    ")</f>
        <v>Stercobilin    </v>
      </c>
      <c r="C1117" s="57" t="str">
        <f>IFERROR(__xludf.DUMMYFUNCTION("""COMPUTED_VALUE"""),"CHEBI:26756")</f>
        <v>CHEBI:26756</v>
      </c>
      <c r="D1117" s="58" t="str">
        <f>IFERROR(__xludf.DUMMYFUNCTION("""COMPUTED_VALUE"""),"Bile pigment found in fecal material.")</f>
        <v>Bile pigment found in fecal material.</v>
      </c>
      <c r="E1117" s="56"/>
      <c r="F1117" s="54"/>
      <c r="G1117" s="54"/>
      <c r="H1117" s="59"/>
      <c r="I1117" s="59"/>
      <c r="J1117" s="59"/>
      <c r="K1117" s="54"/>
    </row>
    <row r="1118">
      <c r="A1118" s="57" t="str">
        <f>IFERROR(__xludf.DUMMYFUNCTION("""COMPUTED_VALUE"""),"fecal_contamination_unit menu")</f>
        <v>fecal_contamination_unit menu</v>
      </c>
      <c r="B1118" s="57" t="str">
        <f>IFERROR(__xludf.DUMMYFUNCTION("""COMPUTED_VALUE"""),"    ")</f>
        <v>    </v>
      </c>
      <c r="C1118" s="57" t="str">
        <f>IFERROR(__xludf.DUMMYFUNCTION("""COMPUTED_VALUE"""),"")</f>
        <v/>
      </c>
      <c r="D1118" s="58"/>
      <c r="E1118" s="56"/>
      <c r="F1118" s="54"/>
      <c r="G1118" s="54"/>
      <c r="H1118" s="59"/>
      <c r="I1118" s="59"/>
      <c r="J1118" s="59"/>
      <c r="K1118" s="54"/>
    </row>
    <row r="1119">
      <c r="A1119" s="57"/>
      <c r="B1119" s="57" t="str">
        <f>IFERROR(__xludf.DUMMYFUNCTION("""COMPUTED_VALUE"""),"log10 gene copies per 100 milliliter (log10 GC/100 mL)    ")</f>
        <v>log10 gene copies per 100 milliliter (log10 GC/100 mL)    </v>
      </c>
      <c r="C1119" s="57" t="str">
        <f>IFERROR(__xludf.DUMMYFUNCTION("""COMPUTED_VALUE"""),"")</f>
        <v/>
      </c>
      <c r="D1119" s="58"/>
      <c r="E1119" s="56"/>
      <c r="F1119" s="54"/>
      <c r="G1119" s="54"/>
      <c r="H1119" s="59"/>
      <c r="I1119" s="59"/>
      <c r="J1119" s="59"/>
      <c r="K1119" s="54"/>
    </row>
    <row r="1120">
      <c r="A1120" s="57"/>
      <c r="B1120" s="57" t="str">
        <f>IFERROR(__xludf.DUMMYFUNCTION("""COMPUTED_VALUE"""),"gene copies per liter (GC/L)    ")</f>
        <v>gene copies per liter (GC/L)    </v>
      </c>
      <c r="C1120" s="57" t="str">
        <f>IFERROR(__xludf.DUMMYFUNCTION("""COMPUTED_VALUE"""),"")</f>
        <v/>
      </c>
      <c r="D1120" s="58"/>
      <c r="E1120" s="56"/>
      <c r="F1120" s="54"/>
      <c r="G1120" s="54"/>
      <c r="H1120" s="59"/>
      <c r="I1120" s="59"/>
      <c r="J1120" s="59"/>
      <c r="K1120" s="54"/>
    </row>
    <row r="1121">
      <c r="A1121" s="57"/>
      <c r="B1121" s="57" t="str">
        <f>IFERROR(__xludf.DUMMYFUNCTION("""COMPUTED_VALUE"""),"PCR quantification cycle [UO:0010077]    ")</f>
        <v>PCR quantification cycle [UO:0010077]    </v>
      </c>
      <c r="C1121" s="57" t="str">
        <f>IFERROR(__xludf.DUMMYFUNCTION("""COMPUTED_VALUE"""),"UO:0010077")</f>
        <v>UO:0010077</v>
      </c>
      <c r="D1121" s="58" t="str">
        <f>IFERROR(__xludf.DUMMYFUNCTION("""COMPUTED_VALUE"""),"A count unit of how many Polymerase Chain Reaction (PCR) cycles it took to detect a real signal from a sample. Equivalent to the PCR cycle number at which a sample's reaction curve intersects the threshold line.")</f>
        <v>A count unit of how many Polymerase Chain Reaction (PCR) cycles it took to detect a real signal from a sample. Equivalent to the PCR cycle number at which a sample's reaction curve intersects the threshold line.</v>
      </c>
      <c r="E1121" s="56"/>
      <c r="F1121" s="54"/>
      <c r="G1121" s="54"/>
      <c r="H1121" s="59"/>
      <c r="I1121" s="59"/>
      <c r="J1121" s="59"/>
      <c r="K1121" s="54"/>
    </row>
    <row r="1122">
      <c r="A1122" s="57"/>
      <c r="B1122" s="57" t="str">
        <f>IFERROR(__xludf.DUMMYFUNCTION("""COMPUTED_VALUE"""),"log10 gene copies per nanogram total DNA    ")</f>
        <v>log10 gene copies per nanogram total DNA    </v>
      </c>
      <c r="C1122" s="57" t="str">
        <f>IFERROR(__xludf.DUMMYFUNCTION("""COMPUTED_VALUE"""),"")</f>
        <v/>
      </c>
      <c r="D1122" s="58"/>
      <c r="E1122" s="56"/>
      <c r="F1122" s="54"/>
      <c r="G1122" s="54"/>
      <c r="H1122" s="59"/>
      <c r="I1122" s="59"/>
      <c r="J1122" s="59"/>
      <c r="K1122" s="54"/>
    </row>
    <row r="1123">
      <c r="A1123" s="57" t="str">
        <f>IFERROR(__xludf.DUMMYFUNCTION("""COMPUTED_VALUE"""),"urinary_contamination_indicator menu")</f>
        <v>urinary_contamination_indicator menu</v>
      </c>
      <c r="B1123" s="57" t="str">
        <f>IFERROR(__xludf.DUMMYFUNCTION("""COMPUTED_VALUE"""),"    ")</f>
        <v>    </v>
      </c>
      <c r="C1123" s="57" t="str">
        <f>IFERROR(__xludf.DUMMYFUNCTION("""COMPUTED_VALUE"""),"")</f>
        <v/>
      </c>
      <c r="D1123" s="58"/>
      <c r="E1123" s="56"/>
      <c r="F1123" s="54"/>
      <c r="G1123" s="54"/>
      <c r="H1123" s="59"/>
      <c r="I1123" s="59"/>
      <c r="J1123" s="59"/>
      <c r="K1123" s="54"/>
    </row>
    <row r="1124">
      <c r="A1124" s="57"/>
      <c r="B1124" s="57" t="str">
        <f>IFERROR(__xludf.DUMMYFUNCTION("""COMPUTED_VALUE"""),"Urobilin [CHEBI:36378]    ")</f>
        <v>Urobilin [CHEBI:36378]    </v>
      </c>
      <c r="C1124" s="57" t="str">
        <f>IFERROR(__xludf.DUMMYFUNCTION("""COMPUTED_VALUE"""),"CHEBI:36378")</f>
        <v>CHEBI:36378</v>
      </c>
      <c r="D1124" s="58" t="str">
        <f>IFERROR(__xludf.DUMMYFUNCTION("""COMPUTED_VALUE"""),"A tetrapyrroledicarboxylic acid that causes the yellow color in urine. Also known as urochrome.")</f>
        <v>A tetrapyrroledicarboxylic acid that causes the yellow color in urine. Also known as urochrome.</v>
      </c>
      <c r="E1124" s="56"/>
      <c r="F1124" s="54"/>
      <c r="G1124" s="54"/>
      <c r="H1124" s="59"/>
      <c r="I1124" s="59"/>
      <c r="J1124" s="59"/>
      <c r="K1124" s="54"/>
    </row>
    <row r="1125">
      <c r="A1125" s="57" t="str">
        <f>IFERROR(__xludf.DUMMYFUNCTION("""COMPUTED_VALUE"""),"urinary_contamination_unit menu")</f>
        <v>urinary_contamination_unit menu</v>
      </c>
      <c r="B1125" s="57" t="str">
        <f>IFERROR(__xludf.DUMMYFUNCTION("""COMPUTED_VALUE"""),"    ")</f>
        <v>    </v>
      </c>
      <c r="C1125" s="57" t="str">
        <f>IFERROR(__xludf.DUMMYFUNCTION("""COMPUTED_VALUE"""),"")</f>
        <v/>
      </c>
      <c r="D1125" s="58"/>
      <c r="E1125" s="56"/>
      <c r="F1125" s="54"/>
      <c r="G1125" s="54"/>
      <c r="H1125" s="59"/>
      <c r="I1125" s="59"/>
      <c r="J1125" s="59"/>
      <c r="K1125" s="54"/>
    </row>
    <row r="1126">
      <c r="A1126" s="57"/>
      <c r="B1126" s="57" t="str">
        <f>IFERROR(__xludf.DUMMYFUNCTION("""COMPUTED_VALUE"""),"nanograms per liter (ng/L) [EFO:0004382]    ")</f>
        <v>nanograms per liter (ng/L) [EFO:0004382]    </v>
      </c>
      <c r="C1126" s="57" t="str">
        <f>IFERROR(__xludf.DUMMYFUNCTION("""COMPUTED_VALUE"""),"EFO:0004382")</f>
        <v>EFO:0004382</v>
      </c>
      <c r="D1126" s="58" t="str">
        <f>IFERROR(__xludf.DUMMYFUNCTION("""COMPUTED_VALUE"""),"A mass unit density which is equal to mass of an object in nanograms divided by the volume in liters.")</f>
        <v>A mass unit density which is equal to mass of an object in nanograms divided by the volume in liters.</v>
      </c>
      <c r="E1126" s="56"/>
      <c r="F1126" s="54"/>
      <c r="G1126" s="54"/>
      <c r="H1126" s="59"/>
      <c r="I1126" s="59"/>
      <c r="J1126" s="59"/>
      <c r="K1126" s="54"/>
    </row>
    <row r="1127">
      <c r="A1127" s="57" t="str">
        <f>IFERROR(__xludf.DUMMYFUNCTION("""COMPUTED_VALUE"""),"fecal_coliform_count_unit menu")</f>
        <v>fecal_coliform_count_unit menu</v>
      </c>
      <c r="B1127" s="57" t="str">
        <f>IFERROR(__xludf.DUMMYFUNCTION("""COMPUTED_VALUE"""),"    ")</f>
        <v>    </v>
      </c>
      <c r="C1127" s="57" t="str">
        <f>IFERROR(__xludf.DUMMYFUNCTION("""COMPUTED_VALUE"""),"")</f>
        <v/>
      </c>
      <c r="D1127" s="58"/>
      <c r="E1127" s="56"/>
      <c r="F1127" s="54"/>
      <c r="G1127" s="54"/>
      <c r="H1127" s="59"/>
      <c r="I1127" s="59"/>
      <c r="J1127" s="59"/>
      <c r="K1127" s="54"/>
    </row>
    <row r="1128">
      <c r="A1128" s="57"/>
      <c r="B1128" s="57" t="str">
        <f>IFERROR(__xludf.DUMMYFUNCTION("""COMPUTED_VALUE"""),"colony forming units per milliliter (CFU/mL) [UO:0000213]    ")</f>
        <v>colony forming units per milliliter (CFU/mL) [UO:0000213]    </v>
      </c>
      <c r="C1128" s="57" t="str">
        <f>IFERROR(__xludf.DUMMYFUNCTION("""COMPUTED_VALUE"""),"UO:0000213")</f>
        <v>UO:0000213</v>
      </c>
      <c r="D1128" s="58" t="str">
        <f>IFERROR(__xludf.DUMMYFUNCTION("""COMPUTED_VALUE"""),"A unit of microbial density that describes the number of colony forming units within a milliliter of material.")</f>
        <v>A unit of microbial density that describes the number of colony forming units within a milliliter of material.</v>
      </c>
      <c r="E1128" s="56"/>
      <c r="F1128" s="54"/>
      <c r="G1128" s="54"/>
      <c r="H1128" s="59"/>
      <c r="I1128" s="59"/>
      <c r="J1128" s="59"/>
      <c r="K1128" s="54"/>
    </row>
    <row r="1129">
      <c r="A1129" s="57"/>
      <c r="B1129" s="57" t="str">
        <f>IFERROR(__xludf.DUMMYFUNCTION("""COMPUTED_VALUE"""),"colony forming units per 100 milliliter (CFU/100 mL)    ")</f>
        <v>colony forming units per 100 milliliter (CFU/100 mL)    </v>
      </c>
      <c r="C1129" s="57" t="str">
        <f>IFERROR(__xludf.DUMMYFUNCTION("""COMPUTED_VALUE"""),"")</f>
        <v/>
      </c>
      <c r="D1129" s="58"/>
      <c r="E1129" s="56"/>
      <c r="F1129" s="54"/>
      <c r="G1129" s="54"/>
      <c r="H1129" s="59"/>
      <c r="I1129" s="59"/>
      <c r="J1129" s="59"/>
      <c r="K1129" s="54"/>
    </row>
    <row r="1130">
      <c r="A1130" s="57"/>
      <c r="B1130" s="57" t="str">
        <f>IFERROR(__xludf.DUMMYFUNCTION("""COMPUTED_VALUE"""),"colony forming units per grams total solids (CFU/gTS)    ")</f>
        <v>colony forming units per grams total solids (CFU/gTS)    </v>
      </c>
      <c r="C1130" s="57" t="str">
        <f>IFERROR(__xludf.DUMMYFUNCTION("""COMPUTED_VALUE"""),"")</f>
        <v/>
      </c>
      <c r="D1130" s="58"/>
      <c r="E1130" s="56"/>
      <c r="F1130" s="54"/>
      <c r="G1130" s="54"/>
      <c r="H1130" s="59"/>
      <c r="I1130" s="59"/>
      <c r="J1130" s="59"/>
      <c r="K1130" s="54"/>
    </row>
    <row r="1131">
      <c r="A1131" s="57"/>
      <c r="B1131" s="57" t="str">
        <f>IFERROR(__xludf.DUMMYFUNCTION("""COMPUTED_VALUE"""),"most probable number per milliliter (MPN/mL)    ")</f>
        <v>most probable number per milliliter (MPN/mL)    </v>
      </c>
      <c r="C1131" s="57" t="str">
        <f>IFERROR(__xludf.DUMMYFUNCTION("""COMPUTED_VALUE"""),"")</f>
        <v/>
      </c>
      <c r="D1131" s="58"/>
      <c r="E1131" s="56"/>
      <c r="F1131" s="54"/>
      <c r="G1131" s="54"/>
      <c r="H1131" s="59"/>
      <c r="I1131" s="59"/>
      <c r="J1131" s="59"/>
      <c r="K1131" s="54"/>
    </row>
    <row r="1132">
      <c r="A1132" s="57"/>
      <c r="B1132" s="57" t="str">
        <f>IFERROR(__xludf.DUMMYFUNCTION("""COMPUTED_VALUE"""),"most probable number per 100 milliliter (MPN/100 mL)    ")</f>
        <v>most probable number per 100 milliliter (MPN/100 mL)    </v>
      </c>
      <c r="C1132" s="57" t="str">
        <f>IFERROR(__xludf.DUMMYFUNCTION("""COMPUTED_VALUE"""),"")</f>
        <v/>
      </c>
      <c r="D1132" s="58"/>
      <c r="E1132" s="56"/>
      <c r="F1132" s="54"/>
      <c r="G1132" s="54"/>
      <c r="H1132" s="59"/>
      <c r="I1132" s="59"/>
      <c r="J1132" s="59"/>
      <c r="K1132" s="54"/>
    </row>
    <row r="1133">
      <c r="A1133" s="57" t="str">
        <f>IFERROR(__xludf.DUMMYFUNCTION("""COMPUTED_VALUE"""),"sample_temperature_unit_(at collection) menu")</f>
        <v>sample_temperature_unit_(at collection) menu</v>
      </c>
      <c r="B1133" s="57" t="str">
        <f>IFERROR(__xludf.DUMMYFUNCTION("""COMPUTED_VALUE"""),"    ")</f>
        <v>    </v>
      </c>
      <c r="C1133" s="57" t="str">
        <f>IFERROR(__xludf.DUMMYFUNCTION("""COMPUTED_VALUE"""),"")</f>
        <v/>
      </c>
      <c r="D1133" s="58"/>
      <c r="E1133" s="56"/>
      <c r="F1133" s="54"/>
      <c r="G1133" s="54"/>
      <c r="H1133" s="59"/>
      <c r="I1133" s="59"/>
      <c r="J1133" s="59"/>
      <c r="K1133" s="54"/>
    </row>
    <row r="1134">
      <c r="A1134" s="57"/>
      <c r="B1134" s="57" t="str">
        <f>IFERROR(__xludf.DUMMYFUNCTION("""COMPUTED_VALUE"""),"degree Fahrenheit (F) [UO:0000195]    ")</f>
        <v>degree Fahrenheit (F) [UO:0000195]    </v>
      </c>
      <c r="C1134" s="57" t="str">
        <f>IFERROR(__xludf.DUMMYFUNCTION("""COMPUTED_VALUE"""),"UO:0000195")</f>
        <v>UO:0000195</v>
      </c>
      <c r="D1134" s="58" t="str">
        <f>IFERROR(__xludf.DUMMYFUNCTION("""COMPUTED_VALUE"""),"A unit of temperature on a scale where water freezes at 32 degrees and boils at 212 degrees under standard conditions.")</f>
        <v>A unit of temperature on a scale where water freezes at 32 degrees and boils at 212 degrees under standard conditions.</v>
      </c>
      <c r="E1134" s="56"/>
      <c r="F1134" s="54"/>
      <c r="G1134" s="54"/>
      <c r="H1134" s="59"/>
      <c r="I1134" s="59"/>
      <c r="J1134" s="59"/>
      <c r="K1134" s="54"/>
    </row>
    <row r="1135">
      <c r="A1135" s="57"/>
      <c r="B1135" s="57" t="str">
        <f>IFERROR(__xludf.DUMMYFUNCTION("""COMPUTED_VALUE"""),"degree Celsius (C) [UO:0000027]    ")</f>
        <v>degree Celsius (C) [UO:0000027]    </v>
      </c>
      <c r="C1135" s="57" t="str">
        <f>IFERROR(__xludf.DUMMYFUNCTION("""COMPUTED_VALUE"""),"UO:0000027")</f>
        <v>UO:0000027</v>
      </c>
      <c r="D1135" s="58" t="str">
        <f>IFERROR(__xludf.DUMMYFUNCTION("""COMPUTED_VALUE"""),"A unit of temperature on a scale where water freezes at 0 degrees and boils at 100 degrees under standard conditions.")</f>
        <v>A unit of temperature on a scale where water freezes at 0 degrees and boils at 100 degrees under standard conditions.</v>
      </c>
      <c r="E1135" s="56"/>
      <c r="F1135" s="54"/>
      <c r="G1135" s="54"/>
      <c r="H1135" s="59"/>
      <c r="I1135" s="59"/>
      <c r="J1135" s="59"/>
      <c r="K1135" s="54"/>
    </row>
    <row r="1136">
      <c r="A1136" s="57" t="str">
        <f>IFERROR(__xludf.DUMMYFUNCTION("""COMPUTED_VALUE"""),"sample_temperature_unit_(when received) menu")</f>
        <v>sample_temperature_unit_(when received) menu</v>
      </c>
      <c r="B1136" s="57" t="str">
        <f>IFERROR(__xludf.DUMMYFUNCTION("""COMPUTED_VALUE"""),"    ")</f>
        <v>    </v>
      </c>
      <c r="C1136" s="57" t="str">
        <f>IFERROR(__xludf.DUMMYFUNCTION("""COMPUTED_VALUE"""),"")</f>
        <v/>
      </c>
      <c r="D1136" s="58"/>
      <c r="E1136" s="56"/>
      <c r="F1136" s="54"/>
      <c r="G1136" s="54"/>
      <c r="H1136" s="59"/>
      <c r="I1136" s="59"/>
      <c r="J1136" s="59"/>
      <c r="K1136" s="54"/>
    </row>
    <row r="1137">
      <c r="A1137" s="57"/>
      <c r="B1137" s="57" t="str">
        <f>IFERROR(__xludf.DUMMYFUNCTION("""COMPUTED_VALUE"""),"degree Fahrenheit (F) [UO:0000195]    ")</f>
        <v>degree Fahrenheit (F) [UO:0000195]    </v>
      </c>
      <c r="C1137" s="57" t="str">
        <f>IFERROR(__xludf.DUMMYFUNCTION("""COMPUTED_VALUE"""),"UO:0000195")</f>
        <v>UO:0000195</v>
      </c>
      <c r="D1137" s="58" t="str">
        <f>IFERROR(__xludf.DUMMYFUNCTION("""COMPUTED_VALUE"""),"A unit of temperature on a scale where water freezes at 32 degrees and boils at 212 degrees under standard conditions.")</f>
        <v>A unit of temperature on a scale where water freezes at 32 degrees and boils at 212 degrees under standard conditions.</v>
      </c>
      <c r="E1137" s="56"/>
      <c r="F1137" s="54"/>
      <c r="G1137" s="54"/>
      <c r="H1137" s="59"/>
      <c r="I1137" s="59"/>
      <c r="J1137" s="59"/>
      <c r="K1137" s="54"/>
    </row>
    <row r="1138">
      <c r="A1138" s="57"/>
      <c r="B1138" s="57" t="str">
        <f>IFERROR(__xludf.DUMMYFUNCTION("""COMPUTED_VALUE"""),"degree Celsius (C) [UO:0000027]    ")</f>
        <v>degree Celsius (C) [UO:0000027]    </v>
      </c>
      <c r="C1138" s="57" t="str">
        <f>IFERROR(__xludf.DUMMYFUNCTION("""COMPUTED_VALUE"""),"UO:0000027")</f>
        <v>UO:0000027</v>
      </c>
      <c r="D1138" s="58" t="str">
        <f>IFERROR(__xludf.DUMMYFUNCTION("""COMPUTED_VALUE"""),"A unit of temperature on a scale where water freezes at 0 degrees and boils at 100 degrees under standard conditions.")</f>
        <v>A unit of temperature on a scale where water freezes at 0 degrees and boils at 100 degrees under standard conditions.</v>
      </c>
      <c r="E1138" s="56"/>
      <c r="F1138" s="54"/>
      <c r="G1138" s="54"/>
      <c r="H1138" s="59"/>
      <c r="I1138" s="59"/>
      <c r="J1138" s="59"/>
      <c r="K1138" s="54"/>
    </row>
    <row r="1139">
      <c r="A1139" s="57" t="str">
        <f>IFERROR(__xludf.DUMMYFUNCTION("""COMPUTED_VALUE"""),"sequencing_assay_type menu")</f>
        <v>sequencing_assay_type menu</v>
      </c>
      <c r="B1139" s="57" t="str">
        <f>IFERROR(__xludf.DUMMYFUNCTION("""COMPUTED_VALUE"""),"    ")</f>
        <v>    </v>
      </c>
      <c r="C1139" s="57" t="str">
        <f>IFERROR(__xludf.DUMMYFUNCTION("""COMPUTED_VALUE"""),"")</f>
        <v/>
      </c>
      <c r="D1139" s="58"/>
      <c r="E1139" s="56"/>
      <c r="F1139" s="54"/>
      <c r="G1139" s="54"/>
      <c r="H1139" s="59"/>
      <c r="I1139" s="59"/>
      <c r="J1139" s="59"/>
      <c r="K1139" s="54"/>
    </row>
    <row r="1140">
      <c r="A1140" s="57"/>
      <c r="B1140" s="57" t="str">
        <f>IFERROR(__xludf.DUMMYFUNCTION("""COMPUTED_VALUE"""),"Amplicon sequencing assay [OBI:0002767]    ")</f>
        <v>Amplicon sequencing assay [OBI:0002767]    </v>
      </c>
      <c r="C1140" s="57" t="str">
        <f>IFERROR(__xludf.DUMMYFUNCTION("""COMPUTED_VALUE"""),"OBI:0002767")</f>
        <v>OBI:0002767</v>
      </c>
      <c r="D1140" s="58" t="str">
        <f>IFERROR(__xludf.DUMMYFUNCTION("""COMPUTED_VALUE"""),"A sequencing assay in which a DNA or RNA input molecule is amplified by PCR and the product sequenced.")</f>
        <v>A sequencing assay in which a DNA or RNA input molecule is amplified by PCR and the product sequenced.</v>
      </c>
      <c r="E1140" s="56"/>
      <c r="F1140" s="54"/>
      <c r="G1140" s="54"/>
      <c r="H1140" s="59"/>
      <c r="I1140" s="59"/>
      <c r="J1140" s="59"/>
      <c r="K1140" s="54"/>
    </row>
    <row r="1141">
      <c r="A1141" s="57"/>
      <c r="B1141" s="57" t="str">
        <f>IFERROR(__xludf.DUMMYFUNCTION("""COMPUTED_VALUE""")," 16S ribosomal gene sequencing assay [OBI:0002763]   ")</f>
        <v> 16S ribosomal gene sequencing assay [OBI:0002763]   </v>
      </c>
      <c r="C1141" s="57" t="str">
        <f>IFERROR(__xludf.DUMMYFUNCTION("""COMPUTED_VALUE"""),"OBI:0002763")</f>
        <v>OBI:0002763</v>
      </c>
      <c r="D1141" s="58" t="str">
        <f>IFERROR(__xludf.DUMMYFUNCTION("""COMPUTED_VALUE"""),"An amplicon sequencing assay in which the amplicon is derived from universal primers used to amplify the 16S ribosomal RNA gene from isolate bacterial genomic DNA or metagenomic DNA from a microbioal community. Resulting sequences are compared to referenc"&amp;"e 16S sequence databases to identify or classify bacteria present within a given sample.")</f>
        <v>An amplicon sequencing assay in which the amplicon is derived from universal primers used to amplify the 16S ribosomal RNA gene from isolate bacterial genomic DNA or metagenomic DNA from a microbioal community. Resulting sequences are compared to reference 16S sequence databases to identify or classify bacteria present within a given sample.</v>
      </c>
      <c r="E1141" s="56"/>
      <c r="F1141" s="54"/>
      <c r="G1141" s="54"/>
      <c r="H1141" s="59"/>
      <c r="I1141" s="59"/>
      <c r="J1141" s="59"/>
      <c r="K1141" s="54"/>
    </row>
    <row r="1142">
      <c r="A1142" s="57"/>
      <c r="B1142" s="57" t="str">
        <f>IFERROR(__xludf.DUMMYFUNCTION("""COMPUTED_VALUE""")," CRISPR amplicon sequencing assay [GENEPIO:0101128]   ")</f>
        <v> CRISPR amplicon sequencing assay [GENEPIO:0101128]   </v>
      </c>
      <c r="C1142" s="57" t="str">
        <f>IFERROR(__xludf.DUMMYFUNCTION("""COMPUTED_VALUE"""),"GENEPIO:0101128")</f>
        <v>GENEPIO:0101128</v>
      </c>
      <c r="D1142" s="58"/>
      <c r="E1142" s="56"/>
      <c r="F1142" s="54"/>
      <c r="G1142" s="54"/>
      <c r="H1142" s="59"/>
      <c r="I1142" s="59"/>
      <c r="J1142" s="59"/>
      <c r="K1142" s="54"/>
    </row>
    <row r="1143">
      <c r="A1143" s="57"/>
      <c r="B1143" s="57" t="str">
        <f>IFERROR(__xludf.DUMMYFUNCTION("""COMPUTED_VALUE""")," Primal tiling amplicon sequencing assay [GENEPIO:0101129]   ")</f>
        <v> Primal tiling amplicon sequencing assay [GENEPIO:0101129]   </v>
      </c>
      <c r="C1143" s="57" t="str">
        <f>IFERROR(__xludf.DUMMYFUNCTION("""COMPUTED_VALUE"""),"GENEPIO:0101129")</f>
        <v>GENEPIO:0101129</v>
      </c>
      <c r="D1143" s="58"/>
      <c r="E1143" s="56"/>
      <c r="F1143" s="54"/>
      <c r="G1143" s="54"/>
      <c r="H1143" s="59"/>
      <c r="I1143" s="59"/>
      <c r="J1143" s="59"/>
      <c r="K1143" s="54"/>
    </row>
    <row r="1144">
      <c r="A1144" s="57"/>
      <c r="B1144" s="57" t="str">
        <f>IFERROR(__xludf.DUMMYFUNCTION("""COMPUTED_VALUE"""),"Whole genome sequencing assay [OBI:0002117]    ")</f>
        <v>Whole genome sequencing assay [OBI:0002117]    </v>
      </c>
      <c r="C1144" s="57" t="str">
        <f>IFERROR(__xludf.DUMMYFUNCTION("""COMPUTED_VALUE"""),"OBI:0002117")</f>
        <v>OBI:0002117</v>
      </c>
      <c r="D1144" s="58" t="str">
        <f>IFERROR(__xludf.DUMMYFUNCTION("""COMPUTED_VALUE"""),"A DNA sequencing assay that intends to provide information about the sequence of an entire genome of an organism.")</f>
        <v>A DNA sequencing assay that intends to provide information about the sequence of an entire genome of an organism.</v>
      </c>
      <c r="E1144" s="56"/>
      <c r="F1144" s="54"/>
      <c r="G1144" s="54"/>
      <c r="H1144" s="59"/>
      <c r="I1144" s="59"/>
      <c r="J1144" s="59"/>
      <c r="K1144" s="54"/>
    </row>
    <row r="1145">
      <c r="A1145" s="57"/>
      <c r="B1145" s="57" t="str">
        <f>IFERROR(__xludf.DUMMYFUNCTION("""COMPUTED_VALUE"""),"Whole metagenome sequencing assay [OBI:0002623]    ")</f>
        <v>Whole metagenome sequencing assay [OBI:0002623]    </v>
      </c>
      <c r="C1145" s="57" t="str">
        <f>IFERROR(__xludf.DUMMYFUNCTION("""COMPUTED_VALUE"""),"OBI:0002623")</f>
        <v>OBI:0002623</v>
      </c>
      <c r="D1145" s="58" t="str">
        <f>IFERROR(__xludf.DUMMYFUNCTION("""COMPUTED_VALUE"""),"A DNA sequencing assay that intends to provide information on the DNA sequences of multiple genomes (a metagenome) from different organisms present in the same input sample.")</f>
        <v>A DNA sequencing assay that intends to provide information on the DNA sequences of multiple genomes (a metagenome) from different organisms present in the same input sample.</v>
      </c>
      <c r="E1145" s="56"/>
      <c r="F1145" s="54"/>
      <c r="G1145" s="54"/>
      <c r="H1145" s="59"/>
      <c r="I1145" s="59"/>
      <c r="J1145" s="59"/>
      <c r="K1145" s="54"/>
    </row>
    <row r="1146">
      <c r="A1146" s="57"/>
      <c r="B1146" s="57" t="str">
        <f>IFERROR(__xludf.DUMMYFUNCTION("""COMPUTED_VALUE""")," Whole virome sequencing assay [OBI:0002768]   ")</f>
        <v> Whole virome sequencing assay [OBI:0002768]   </v>
      </c>
      <c r="C1146" s="57" t="str">
        <f>IFERROR(__xludf.DUMMYFUNCTION("""COMPUTED_VALUE"""),"OBI:0002768")</f>
        <v>OBI:0002768</v>
      </c>
      <c r="D1146" s="58" t="str">
        <f>IFERROR(__xludf.DUMMYFUNCTION("""COMPUTED_VALUE"""),"A whole metagenome sequencing assay that intends to provide information on multiple genome sequences from different viruses present in the same input sample.")</f>
        <v>A whole metagenome sequencing assay that intends to provide information on multiple genome sequences from different viruses present in the same input sample.</v>
      </c>
      <c r="E1146" s="56"/>
      <c r="F1146" s="54"/>
      <c r="G1146" s="54"/>
      <c r="H1146" s="59"/>
      <c r="I1146" s="59"/>
      <c r="J1146" s="59"/>
      <c r="K1146" s="54"/>
    </row>
    <row r="1147">
      <c r="A1147" s="57" t="str">
        <f>IFERROR(__xludf.DUMMYFUNCTION("""COMPUTED_VALUE"""),"purpose_of_sequencing menu")</f>
        <v>purpose_of_sequencing menu</v>
      </c>
      <c r="B1147" s="57" t="str">
        <f>IFERROR(__xludf.DUMMYFUNCTION("""COMPUTED_VALUE"""),"    ")</f>
        <v>    </v>
      </c>
      <c r="C1147" s="57" t="str">
        <f>IFERROR(__xludf.DUMMYFUNCTION("""COMPUTED_VALUE"""),"")</f>
        <v/>
      </c>
      <c r="D1147" s="58"/>
      <c r="E1147" s="56"/>
      <c r="F1147" s="54"/>
      <c r="G1147" s="54"/>
      <c r="H1147" s="59"/>
      <c r="I1147" s="59"/>
      <c r="J1147" s="59"/>
      <c r="K1147" s="54"/>
    </row>
    <row r="1148">
      <c r="A1148" s="57"/>
      <c r="B1148" s="57" t="str">
        <f>IFERROR(__xludf.DUMMYFUNCTION("""COMPUTED_VALUE"""),"Baseline surveillance (random sampling) [GENEPIO:0100005]    ")</f>
        <v>Baseline surveillance (random sampling) [GENEPIO:0100005]    </v>
      </c>
      <c r="C1148" s="57" t="str">
        <f>IFERROR(__xludf.DUMMYFUNCTION("""COMPUTED_VALUE"""),"GENEPIO:0100005")</f>
        <v>GENEPIO:0100005</v>
      </c>
      <c r="D1148" s="58" t="str">
        <f>IFERROR(__xludf.DUMMYFUNCTION("""COMPUTED_VALUE"""),"A surveillance sampling strategy in which baseline is established at the beginning of a study or project by the selection of sample units via random sampling.")</f>
        <v>A surveillance sampling strategy in which baseline is established at the beginning of a study or project by the selection of sample units via random sampling.</v>
      </c>
      <c r="E1148" s="56"/>
      <c r="F1148" s="54"/>
      <c r="G1148" s="54"/>
      <c r="H1148" s="59"/>
      <c r="I1148" s="59"/>
      <c r="J1148" s="59"/>
      <c r="K1148" s="54"/>
    </row>
    <row r="1149">
      <c r="A1149" s="57"/>
      <c r="B1149" s="57" t="str">
        <f>IFERROR(__xludf.DUMMYFUNCTION("""COMPUTED_VALUE"""),"Targeted surveillance (non-random sampling) [GENEPIO:0100006]    ")</f>
        <v>Targeted surveillance (non-random sampling) [GENEPIO:0100006]    </v>
      </c>
      <c r="C1149" s="57" t="str">
        <f>IFERROR(__xludf.DUMMYFUNCTION("""COMPUTED_VALUE"""),"GENEPIO:0100006")</f>
        <v>GENEPIO:0100006</v>
      </c>
      <c r="D1149" s="58" t="str">
        <f>IFERROR(__xludf.DUMMYFUNCTION("""COMPUTED_VALUE"""),"A surveillance sampling strategy in which an aspired outcome is explicitly stated.")</f>
        <v>A surveillance sampling strategy in which an aspired outcome is explicitly stated.</v>
      </c>
      <c r="E1149" s="56"/>
      <c r="F1149" s="54"/>
      <c r="G1149" s="54"/>
      <c r="H1149" s="59"/>
      <c r="I1149" s="59"/>
      <c r="J1149" s="59"/>
      <c r="K1149" s="54"/>
    </row>
    <row r="1150">
      <c r="A1150" s="57"/>
      <c r="B1150" s="57" t="str">
        <f>IFERROR(__xludf.DUMMYFUNCTION("""COMPUTED_VALUE""")," Priority surveillance project [GENEPIO:0100007]   ")</f>
        <v> Priority surveillance project [GENEPIO:0100007]   </v>
      </c>
      <c r="C1150" s="57" t="str">
        <f>IFERROR(__xludf.DUMMYFUNCTION("""COMPUTED_VALUE"""),"GENEPIO:0100007")</f>
        <v>GENEPIO:0100007</v>
      </c>
      <c r="D1150" s="58" t="str">
        <f>IFERROR(__xludf.DUMMYFUNCTION("""COMPUTED_VALUE"""),"A targeted surveillance strategy which is considered important and/or urgent.")</f>
        <v>A targeted surveillance strategy which is considered important and/or urgent.</v>
      </c>
      <c r="E1150" s="56"/>
      <c r="F1150" s="54"/>
      <c r="G1150" s="54"/>
      <c r="H1150" s="59"/>
      <c r="I1150" s="59"/>
      <c r="J1150" s="59"/>
      <c r="K1150" s="54"/>
    </row>
    <row r="1151">
      <c r="A1151" s="57"/>
      <c r="B1151" s="57" t="str">
        <f>IFERROR(__xludf.DUMMYFUNCTION("""COMPUTED_VALUE"""),"  Longitudinal surveillance (repeat sampling of individuals) [GENEPIO:0100009]  ")</f>
        <v>  Longitudinal surveillance (repeat sampling of individuals) [GENEPIO:0100009]  </v>
      </c>
      <c r="C1151" s="57" t="str">
        <f>IFERROR(__xludf.DUMMYFUNCTION("""COMPUTED_VALUE"""),"GENEPIO:0100009")</f>
        <v>GENEPIO:0100009</v>
      </c>
      <c r="D1151" s="58" t="str">
        <f>IFERROR(__xludf.DUMMYFUNCTION("""COMPUTED_VALUE"""),"A surveillance strategy in which an individual or site is selected to undergo repeat sampling over a defined period of time.")</f>
        <v>A surveillance strategy in which an individual or site is selected to undergo repeat sampling over a defined period of time.</v>
      </c>
      <c r="E1151" s="56"/>
      <c r="F1151" s="54"/>
      <c r="G1151" s="54"/>
      <c r="H1151" s="59"/>
      <c r="I1151" s="59"/>
      <c r="J1151" s="59"/>
      <c r="K1151" s="54"/>
    </row>
    <row r="1152">
      <c r="A1152" s="57"/>
      <c r="B1152" s="57" t="str">
        <f>IFERROR(__xludf.DUMMYFUNCTION("""COMPUTED_VALUE"""),"Cluster/Outbreak investigation [GENEPIO:0100019]    ")</f>
        <v>Cluster/Outbreak investigation [GENEPIO:0100019]    </v>
      </c>
      <c r="C1152" s="57" t="str">
        <f>IFERROR(__xludf.DUMMYFUNCTION("""COMPUTED_VALUE"""),"GENEPIO:0100019")</f>
        <v>GENEPIO:0100019</v>
      </c>
      <c r="D1152" s="58" t="str">
        <f>IFERROR(__xludf.DUMMYFUNCTION("""COMPUTED_VALUE"""),"A sampling strategy in which individuals are chosen for investigation into a disease cluster or outbreak.")</f>
        <v>A sampling strategy in which individuals are chosen for investigation into a disease cluster or outbreak.</v>
      </c>
      <c r="E1152" s="56"/>
      <c r="F1152" s="54"/>
      <c r="G1152" s="54"/>
      <c r="H1152" s="59"/>
      <c r="I1152" s="59"/>
      <c r="J1152" s="59"/>
      <c r="K1152" s="54"/>
    </row>
    <row r="1153">
      <c r="A1153" s="57"/>
      <c r="B1153" s="57" t="str">
        <f>IFERROR(__xludf.DUMMYFUNCTION("""COMPUTED_VALUE""")," Multi-jurisdictional outbreak investigation [GENEPIO:0100020]   ")</f>
        <v> Multi-jurisdictional outbreak investigation [GENEPIO:0100020]   </v>
      </c>
      <c r="C1153" s="57" t="str">
        <f>IFERROR(__xludf.DUMMYFUNCTION("""COMPUTED_VALUE"""),"GENEPIO:0100020")</f>
        <v>GENEPIO:0100020</v>
      </c>
      <c r="D1153" s="58" t="str">
        <f>IFERROR(__xludf.DUMMYFUNCTION("""COMPUTED_VALUE"""),"An outbreak investigation sampling strategy in which individuals are chosen for investigation into a disease outbreak that has connections to two or more jurisdictions.")</f>
        <v>An outbreak investigation sampling strategy in which individuals are chosen for investigation into a disease outbreak that has connections to two or more jurisdictions.</v>
      </c>
      <c r="E1153" s="56"/>
      <c r="F1153" s="54"/>
      <c r="G1153" s="54"/>
      <c r="H1153" s="59"/>
      <c r="I1153" s="59"/>
      <c r="J1153" s="59"/>
      <c r="K1153" s="54"/>
    </row>
    <row r="1154">
      <c r="A1154" s="57"/>
      <c r="B1154" s="57" t="str">
        <f>IFERROR(__xludf.DUMMYFUNCTION("""COMPUTED_VALUE""")," Intra-jurisdictional outbreak investigation [GENEPIO:0100021]   ")</f>
        <v> Intra-jurisdictional outbreak investigation [GENEPIO:0100021]   </v>
      </c>
      <c r="C1154" s="57" t="str">
        <f>IFERROR(__xludf.DUMMYFUNCTION("""COMPUTED_VALUE"""),"GENEPIO:0100021")</f>
        <v>GENEPIO:0100021</v>
      </c>
      <c r="D1154" s="58" t="str">
        <f>IFERROR(__xludf.DUMMYFUNCTION("""COMPUTED_VALUE"""),"An outbreak investigation sampling strategy in which individuals are chosen for investigation into a disease outbreak that only has connections within a single jurisdiction.")</f>
        <v>An outbreak investigation sampling strategy in which individuals are chosen for investigation into a disease outbreak that only has connections within a single jurisdiction.</v>
      </c>
      <c r="E1154" s="56"/>
      <c r="F1154" s="54"/>
      <c r="G1154" s="54"/>
      <c r="H1154" s="59"/>
      <c r="I1154" s="59"/>
      <c r="J1154" s="59"/>
      <c r="K1154" s="54"/>
    </row>
    <row r="1155">
      <c r="A1155" s="57"/>
      <c r="B1155" s="57" t="str">
        <f>IFERROR(__xludf.DUMMYFUNCTION("""COMPUTED_VALUE"""),"Research [GENEPIO:0100022]    ")</f>
        <v>Research [GENEPIO:0100022]    </v>
      </c>
      <c r="C1155" s="57" t="str">
        <f>IFERROR(__xludf.DUMMYFUNCTION("""COMPUTED_VALUE"""),"GENEPIO:0100022")</f>
        <v>GENEPIO:0100022</v>
      </c>
      <c r="D1155" s="58" t="str">
        <f>IFERROR(__xludf.DUMMYFUNCTION("""COMPUTED_VALUE"""),"A sampling strategy in which sites are sampled in order to perform research.")</f>
        <v>A sampling strategy in which sites are sampled in order to perform research.</v>
      </c>
      <c r="E1155" s="56"/>
      <c r="F1155" s="54"/>
      <c r="G1155" s="54"/>
      <c r="H1155" s="59"/>
      <c r="I1155" s="59"/>
      <c r="J1155" s="59"/>
      <c r="K1155" s="54"/>
    </row>
    <row r="1156">
      <c r="A1156" s="57"/>
      <c r="B1156" s="57" t="str">
        <f>IFERROR(__xludf.DUMMYFUNCTION("""COMPUTED_VALUE""")," Viral passage experiment [GENEPIO:0100023]   ")</f>
        <v> Viral passage experiment [GENEPIO:0100023]   </v>
      </c>
      <c r="C1156" s="57" t="str">
        <f>IFERROR(__xludf.DUMMYFUNCTION("""COMPUTED_VALUE"""),"GENEPIO:0100023")</f>
        <v>GENEPIO:0100023</v>
      </c>
      <c r="D1156" s="58" t="str">
        <f>IFERROR(__xludf.DUMMYFUNCTION("""COMPUTED_VALUE"""),"A research sampling strategy in which samples are selected in order to perform a viral passage experiment.")</f>
        <v>A research sampling strategy in which samples are selected in order to perform a viral passage experiment.</v>
      </c>
      <c r="E1156" s="56"/>
      <c r="F1156" s="54"/>
      <c r="G1156" s="54"/>
      <c r="H1156" s="59"/>
      <c r="I1156" s="59"/>
      <c r="J1156" s="59"/>
      <c r="K1156" s="54"/>
    </row>
    <row r="1157">
      <c r="A1157" s="57"/>
      <c r="B1157" s="57" t="str">
        <f>IFERROR(__xludf.DUMMYFUNCTION("""COMPUTED_VALUE""")," Protocol testing experiment [GENEPIO:0100024]   ")</f>
        <v> Protocol testing experiment [GENEPIO:0100024]   </v>
      </c>
      <c r="C1157" s="57" t="str">
        <f>IFERROR(__xludf.DUMMYFUNCTION("""COMPUTED_VALUE"""),"GENEPIO:0100024")</f>
        <v>GENEPIO:0100024</v>
      </c>
      <c r="D1157" s="58" t="str">
        <f>IFERROR(__xludf.DUMMYFUNCTION("""COMPUTED_VALUE"""),"A research sampling strategy in which samples are collected in order to test a method or protocol.")</f>
        <v>A research sampling strategy in which samples are collected in order to test a method or protocol.</v>
      </c>
      <c r="E1157" s="56"/>
      <c r="F1157" s="54"/>
      <c r="G1157" s="54"/>
      <c r="H1157" s="59"/>
      <c r="I1157" s="59"/>
      <c r="J1157" s="59"/>
      <c r="K1157" s="54"/>
    </row>
    <row r="1158">
      <c r="A1158" s="57"/>
      <c r="B1158" s="57" t="str">
        <f>IFERROR(__xludf.DUMMYFUNCTION("""COMPUTED_VALUE"""),"Retrospective sequencing [GENEPIO:0100356]    ")</f>
        <v>Retrospective sequencing [GENEPIO:0100356]    </v>
      </c>
      <c r="C1158" s="57" t="str">
        <f>IFERROR(__xludf.DUMMYFUNCTION("""COMPUTED_VALUE"""),"GENEPIO:0100356")</f>
        <v>GENEPIO:0100356</v>
      </c>
      <c r="D1158" s="58" t="str">
        <f>IFERROR(__xludf.DUMMYFUNCTION("""COMPUTED_VALUE"""),"A sampling strategy in which stored samples from past events are sequenced.")</f>
        <v>A sampling strategy in which stored samples from past events are sequenced.</v>
      </c>
      <c r="E1158" s="56"/>
      <c r="F1158" s="54"/>
      <c r="G1158" s="54"/>
      <c r="H1158" s="59"/>
      <c r="I1158" s="59"/>
      <c r="J1158" s="59"/>
      <c r="K1158" s="54"/>
    </row>
    <row r="1159">
      <c r="A1159" s="57" t="str">
        <f>IFERROR(__xludf.DUMMYFUNCTION("""COMPUTED_VALUE"""),"geo_loc_name_(country) menu")</f>
        <v>geo_loc_name_(country) menu</v>
      </c>
      <c r="B1159" s="57" t="str">
        <f>IFERROR(__xludf.DUMMYFUNCTION("""COMPUTED_VALUE"""),"    ")</f>
        <v>    </v>
      </c>
      <c r="C1159" s="57" t="str">
        <f>IFERROR(__xludf.DUMMYFUNCTION("""COMPUTED_VALUE"""),"")</f>
        <v/>
      </c>
      <c r="D1159" s="58"/>
      <c r="E1159" s="56"/>
      <c r="F1159" s="54"/>
      <c r="G1159" s="54"/>
      <c r="H1159" s="59"/>
      <c r="I1159" s="59"/>
      <c r="J1159" s="59"/>
      <c r="K1159" s="54"/>
    </row>
    <row r="1160">
      <c r="A1160" s="57"/>
      <c r="B1160" s="57" t="str">
        <f>IFERROR(__xludf.DUMMYFUNCTION("""COMPUTED_VALUE"""),"Afghanistan [GAZ:00006882]    ")</f>
        <v>Afghanistan [GAZ:00006882]    </v>
      </c>
      <c r="C1160" s="57" t="str">
        <f>IFERROR(__xludf.DUMMYFUNCTION("""COMPUTED_VALUE"""),"GAZ:00006882")</f>
        <v>GAZ:00006882</v>
      </c>
      <c r="D1160" s="58" t="str">
        <f>IFERROR(__xludf.DUMMYFUNCTION("""COMPUTED_VALUE"""),"A landlocked country that is located approximately in the center of Asia. It is bordered by Pakistan in the south and east Iran in the west, Turkmenistan, Uzbekistan and Tajikistan in the north, and China in the far northeast. Afghanistan is administrativ"&amp;"ely divided into thirty-four (34) provinces (welayats). Each province is then divided into many provincial districts, and each district normally covers a city or several townships. [ url:http://en.wikipedia.org/wiki/Afghanistan ]")</f>
        <v>A landlocked country that is located approximately in the center of Asia. It is bordered by Pakistan in the south and east Iran in the west, Turkmenistan, Uzbekistan and Tajikistan in the north, and China in the far northeast. Afghanistan is administratively divided into thirty-four (34) provinces (welayats). Each province is then divided into many provincial districts, and each district normally covers a city or several townships. [ url:http://en.wikipedia.org/wiki/Afghanistan ]</v>
      </c>
      <c r="E1160" s="56"/>
      <c r="F1160" s="54"/>
      <c r="G1160" s="54"/>
      <c r="H1160" s="59"/>
      <c r="I1160" s="59"/>
      <c r="J1160" s="59"/>
      <c r="K1160" s="54"/>
    </row>
    <row r="1161">
      <c r="A1161" s="57"/>
      <c r="B1161" s="57" t="str">
        <f>IFERROR(__xludf.DUMMYFUNCTION("""COMPUTED_VALUE"""),"Albania [GAZ:00002953]    ")</f>
        <v>Albania [GAZ:00002953]    </v>
      </c>
      <c r="C1161" s="57" t="str">
        <f>IFERROR(__xludf.DUMMYFUNCTION("""COMPUTED_VALUE"""),"GAZ:00002953")</f>
        <v>GAZ:00002953</v>
      </c>
      <c r="D1161" s="58" t="str">
        <f>IFERROR(__xludf.DUMMYFUNCTION("""COMPUTED_VALUE"""),"A country in South Eastern Europe. Albania is bordered by Greece to the south-east, Montenegro to the north, Kosovo to the northeast, and the Republic of Macedonia to the east. It has a coast on the Adriatic Sea to the west, and on the Ionian Sea to the s"&amp;"outhwest. From the Strait of Otranto, Albania is less than 100 km from Italy. Albania is divided into 12 administrative divisions called (Albanian: official qark/qarku, but often prefekture/prefektura Counties), 36 districts (Rrethe) and 351 municipalitie"&amp;"s (Bashkia) and communes (Komuna). [ url:http://en.wikipedia.org/wiki/Albania ]")</f>
        <v>A country in South Eastern Europe. Albania is bordered by Greece to the south-east, Montenegro to the north, Kosovo to the northeast, and the Republic of Macedonia to the east. It has a coast on the Adriatic Sea to the west, and on the Ionian Sea to the southwest. From the Strait of Otranto, Albania is less than 100 km from Italy. Albania is divided into 12 administrative divisions called (Albanian: official qark/qarku, but often prefekture/prefektura Counties), 36 districts (Rrethe) and 351 municipalities (Bashkia) and communes (Komuna). [ url:http://en.wikipedia.org/wiki/Albania ]</v>
      </c>
      <c r="E1161" s="56"/>
      <c r="F1161" s="54"/>
      <c r="G1161" s="54"/>
      <c r="H1161" s="59"/>
      <c r="I1161" s="59"/>
      <c r="J1161" s="59"/>
      <c r="K1161" s="54"/>
    </row>
    <row r="1162">
      <c r="A1162" s="57"/>
      <c r="B1162" s="57" t="str">
        <f>IFERROR(__xludf.DUMMYFUNCTION("""COMPUTED_VALUE"""),"Algeria [GAZ:00000563]    ")</f>
        <v>Algeria [GAZ:00000563]    </v>
      </c>
      <c r="C1162" s="57" t="str">
        <f>IFERROR(__xludf.DUMMYFUNCTION("""COMPUTED_VALUE"""),"GAZ:00000563")</f>
        <v>GAZ:00000563</v>
      </c>
      <c r="D1162" s="58" t="str">
        <f>IFERROR(__xludf.DUMMYFUNCTION("""COMPUTED_VALUE"""),"A country in North Africa. It is bordered by Tunisia in the northeast, Libya in the east, Niger in the southeast, Mali and Mauritania in the southwest, a few km of the Western Sahara in the west, Morocco in the northwest, and the Mediterranean Sea in the "&amp;"north. It divided into 48 provinces (wilayas), 553 districts (dairas) and 1,541 municipalities (communes, baladiyahs). [ url:http://en.wikipedia.org/wiki/Algeria ]")</f>
        <v>A country in North Africa. It is bordered by Tunisia in the northeast, Libya in the east, Niger in the southeast, Mali and Mauritania in the southwest, a few km of the Western Sahara in the west, Morocco in the northwest, and the Mediterranean Sea in the north. It divided into 48 provinces (wilayas), 553 districts (dairas) and 1,541 municipalities (communes, baladiyahs). [ url:http://en.wikipedia.org/wiki/Algeria ]</v>
      </c>
      <c r="E1162" s="56"/>
      <c r="F1162" s="54"/>
      <c r="G1162" s="54"/>
      <c r="H1162" s="59"/>
      <c r="I1162" s="59"/>
      <c r="J1162" s="59"/>
      <c r="K1162" s="54"/>
    </row>
    <row r="1163">
      <c r="A1163" s="57"/>
      <c r="B1163" s="57" t="str">
        <f>IFERROR(__xludf.DUMMYFUNCTION("""COMPUTED_VALUE"""),"American Samoa [GAZ:00003957]    ")</f>
        <v>American Samoa [GAZ:00003957]    </v>
      </c>
      <c r="C1163" s="57" t="str">
        <f>IFERROR(__xludf.DUMMYFUNCTION("""COMPUTED_VALUE"""),"GAZ:00003957")</f>
        <v>GAZ:00003957</v>
      </c>
      <c r="D1163" s="58" t="str">
        <f>IFERROR(__xludf.DUMMYFUNCTION("""COMPUTED_VALUE"""),"An unincorporated territory of the United States located in the South Pacific Ocean, southeast of the sovereign State of Samoa. The main (largest and most populous) island is Tutuila, with the Manu'a Islands, Rose Atoll, and Swains Island also included in"&amp;" the territory. [ url:http://en.wikipedia.org/wiki/American_Samoa ]")</f>
        <v>An unincorporated territory of the United States located in the South Pacific Ocean, southeast of the sovereign State of Samoa. The main (largest and most populous) island is Tutuila, with the Manu'a Islands, Rose Atoll, and Swains Island also included in the territory. [ url:http://en.wikipedia.org/wiki/American_Samoa ]</v>
      </c>
      <c r="E1163" s="56"/>
      <c r="F1163" s="54"/>
      <c r="G1163" s="54"/>
      <c r="H1163" s="59"/>
      <c r="I1163" s="59"/>
      <c r="J1163" s="59"/>
      <c r="K1163" s="54"/>
    </row>
    <row r="1164">
      <c r="A1164" s="57"/>
      <c r="B1164" s="57" t="str">
        <f>IFERROR(__xludf.DUMMYFUNCTION("""COMPUTED_VALUE"""),"Andorra [GAZ:00002948]    ")</f>
        <v>Andorra [GAZ:00002948]    </v>
      </c>
      <c r="C1164" s="57" t="str">
        <f>IFERROR(__xludf.DUMMYFUNCTION("""COMPUTED_VALUE"""),"GAZ:00002948")</f>
        <v>GAZ:00002948</v>
      </c>
      <c r="D1164" s="58" t="str">
        <f>IFERROR(__xludf.DUMMYFUNCTION("""COMPUTED_VALUE"""),"A small landlocked country in western Europe, located in the eastern Pyrenees mountains and bordered by Spain (Catalonia) and France. Andorra consists of seven communities known as parishes (Catalan: parroquies, singular - parroquia). Until relatively rec"&amp;"ently, it had only six parishes; the seventh, Escaldes-Engordany, was created in 1978. Some parishes have a further territorial subdivision. Ordino, La Massana and Sant Julia de Loria are subdivided into quarts (quarters), while Canillo is subdivided into"&amp;" veinats (neighborhoods). Those mostly coincide with villages, which are found in all parishes. [ url:http://en.wikipedia.org/wiki/Andorra ]")</f>
        <v>A small landlocked country in western Europe, located in the eastern Pyrenees mountains and bordered by Spain (Catalonia) and France. Andorra consists of seven communities known as parishes (Catalan: parroquies, singular - parroquia). Until relatively recently, it had only six parishes; the seventh, Escaldes-Engordany, was created in 1978. Some parishes have a further territorial subdivision. Ordino, La Massana and Sant Julia de Loria are subdivided into quarts (quarters), while Canillo is subdivided into veinats (neighborhoods). Those mostly coincide with villages, which are found in all parishes. [ url:http://en.wikipedia.org/wiki/Andorra ]</v>
      </c>
      <c r="E1164" s="56"/>
      <c r="F1164" s="54"/>
      <c r="G1164" s="54"/>
      <c r="H1164" s="59"/>
      <c r="I1164" s="59"/>
      <c r="J1164" s="59"/>
      <c r="K1164" s="54"/>
    </row>
    <row r="1165">
      <c r="A1165" s="57"/>
      <c r="B1165" s="57" t="str">
        <f>IFERROR(__xludf.DUMMYFUNCTION("""COMPUTED_VALUE"""),"Angola [GAZ:00001095]    ")</f>
        <v>Angola [GAZ:00001095]    </v>
      </c>
      <c r="C1165" s="57" t="str">
        <f>IFERROR(__xludf.DUMMYFUNCTION("""COMPUTED_VALUE"""),"GAZ:00001095")</f>
        <v>GAZ:00001095</v>
      </c>
      <c r="D1165" s="58" t="str">
        <f>IFERROR(__xludf.DUMMYFUNCTION("""COMPUTED_VALUE"""),"A country in south-central Africa bordering Namibia to the south, Democratic Republic of the Congo to the north, and Zambia to the east, and with a west coast along the Atlantic Ocean. The exclave province Cabinda has a border with the Republic of the Con"&amp;"go and the Democratic Republic of the Congo. [ url:http://en.wikipedia.org/wiki/Angola ]")</f>
        <v>A country in south-central Africa bordering Namibia to the south, Democratic Republic of the Congo to the north, and Zambia to the east, and with a west coast along the Atlantic Ocean. The exclave province Cabinda has a border with the Republic of the Congo and the Democratic Republic of the Congo. [ url:http://en.wikipedia.org/wiki/Angola ]</v>
      </c>
      <c r="E1165" s="56"/>
      <c r="F1165" s="54"/>
      <c r="G1165" s="54"/>
      <c r="H1165" s="59"/>
      <c r="I1165" s="59"/>
      <c r="J1165" s="59"/>
      <c r="K1165" s="54"/>
    </row>
    <row r="1166">
      <c r="A1166" s="57"/>
      <c r="B1166" s="57" t="str">
        <f>IFERROR(__xludf.DUMMYFUNCTION("""COMPUTED_VALUE"""),"Anguilla [GAZ:00009159]    ")</f>
        <v>Anguilla [GAZ:00009159]    </v>
      </c>
      <c r="C1166" s="57" t="str">
        <f>IFERROR(__xludf.DUMMYFUNCTION("""COMPUTED_VALUE"""),"GAZ:00009159")</f>
        <v>GAZ:00009159</v>
      </c>
      <c r="D1166" s="58" t="str">
        <f>IFERROR(__xludf.DUMMYFUNCTION("""COMPUTED_VALUE"""),"A British overseas territory in the Caribbean, one of the most northerly of the Leeward Islands in the Lesser Antilles. It consists of the main island of Anguilla itself, approximately 26 km long by 5 km wide at its widest point, together with a number of"&amp;" much smaller islands and cays with no permanent population. [ url:http://en.wikipedia.org/wiki/Anguila ]")</f>
        <v>A British overseas territory in the Caribbean, one of the most northerly of the Leeward Islands in the Lesser Antilles. It consists of the main island of Anguilla itself, approximately 26 km long by 5 km wide at its widest point, together with a number of much smaller islands and cays with no permanent population. [ url:http://en.wikipedia.org/wiki/Anguila ]</v>
      </c>
      <c r="E1166" s="56"/>
      <c r="F1166" s="54"/>
      <c r="G1166" s="54"/>
      <c r="H1166" s="59"/>
      <c r="I1166" s="59"/>
      <c r="J1166" s="59"/>
      <c r="K1166" s="54"/>
    </row>
    <row r="1167">
      <c r="A1167" s="57"/>
      <c r="B1167" s="57" t="str">
        <f>IFERROR(__xludf.DUMMYFUNCTION("""COMPUTED_VALUE"""),"Antarctica [GAZ:00000462]    ")</f>
        <v>Antarctica [GAZ:00000462]    </v>
      </c>
      <c r="C1167" s="57" t="str">
        <f>IFERROR(__xludf.DUMMYFUNCTION("""COMPUTED_VALUE"""),"GAZ:00000462")</f>
        <v>GAZ:00000462</v>
      </c>
      <c r="D1167" s="58" t="str">
        <f>IFERROR(__xludf.DUMMYFUNCTION("""COMPUTED_VALUE"""),"The Earth's southernmost continent, overlying the South Pole. It is situated in the southern hemisphere, almost entirely south of the Antarctic Circle, and is surrounded by the Southern Ocean. [ url:http://en.wikipedia.org/wiki/Antarctica ]")</f>
        <v>The Earth's southernmost continent, overlying the South Pole. It is situated in the southern hemisphere, almost entirely south of the Antarctic Circle, and is surrounded by the Southern Ocean. [ url:http://en.wikipedia.org/wiki/Antarctica ]</v>
      </c>
      <c r="E1167" s="56"/>
      <c r="F1167" s="54"/>
      <c r="G1167" s="54"/>
      <c r="H1167" s="59"/>
      <c r="I1167" s="59"/>
      <c r="J1167" s="59"/>
      <c r="K1167" s="54"/>
    </row>
    <row r="1168">
      <c r="A1168" s="57"/>
      <c r="B1168" s="57" t="str">
        <f>IFERROR(__xludf.DUMMYFUNCTION("""COMPUTED_VALUE"""),"Antigua and Barbuda [GAZ:00006883]    ")</f>
        <v>Antigua and Barbuda [GAZ:00006883]    </v>
      </c>
      <c r="C1168" s="57" t="str">
        <f>IFERROR(__xludf.DUMMYFUNCTION("""COMPUTED_VALUE"""),"GAZ:00006883")</f>
        <v>GAZ:00006883</v>
      </c>
      <c r="D1168" s="58" t="str">
        <f>IFERROR(__xludf.DUMMYFUNCTION("""COMPUTED_VALUE"""),"An island nation located on the eastern boundary of the Caribbean Sea with the Atlantic Ocean. [ url:http://en.wikipedia.org/wiki/Antigua_and_Barbuda ]")</f>
        <v>An island nation located on the eastern boundary of the Caribbean Sea with the Atlantic Ocean. [ url:http://en.wikipedia.org/wiki/Antigua_and_Barbuda ]</v>
      </c>
      <c r="E1168" s="56"/>
      <c r="F1168" s="54"/>
      <c r="G1168" s="54"/>
      <c r="H1168" s="59"/>
      <c r="I1168" s="59"/>
      <c r="J1168" s="59"/>
      <c r="K1168" s="54"/>
    </row>
    <row r="1169">
      <c r="A1169" s="57"/>
      <c r="B1169" s="57" t="str">
        <f>IFERROR(__xludf.DUMMYFUNCTION("""COMPUTED_VALUE"""),"Argentina [GAZ:00002928]    ")</f>
        <v>Argentina [GAZ:00002928]    </v>
      </c>
      <c r="C1169" s="57" t="str">
        <f>IFERROR(__xludf.DUMMYFUNCTION("""COMPUTED_VALUE"""),"GAZ:00002928")</f>
        <v>GAZ:00002928</v>
      </c>
      <c r="D1169" s="58" t="str">
        <f>IFERROR(__xludf.DUMMYFUNCTION("""COMPUTED_VALUE"""),"A South American country, constituted as a federation of twenty-three provinces and an autonomous city. It is bordered by Paraguay and Bolivia in the north, Brazil and Uruguay in the northeast, and Chile in the west and south. The country claims the Briti"&amp;"sh controlled territories of the Falkland Islands and South Georgia and the South Sandwich Islands. Argentina also claims 969,464 km2 of Antarctica, known as Argentine Antarctica, overlapping other claims made by Chile and the United Kingdom. Argentina is"&amp;" subdivided into twenty-three provinces (Spanish: provincias, singular provincia) and one federal district (Capital de la Republica or Capital de la Nacion, informally the Capital Federal). The federal district and the provinces have their own constitutio"&amp;"ns, but exist under a federal system. Provinces are then divided into departments (Spanish: departamentos, singular departamento), except for Buenos Aires Province, which is divided into partidos. [ url:http://en.wikipedia.org/wiki/Argentina ]")</f>
        <v>A South American country, constituted as a federation of twenty-three provinces and an autonomous city. It is bordered by Paraguay and Bolivia in the north, Brazil and Uruguay in the northeast, and Chile in the west and south. The country claims the British controlled territories of the Falkland Islands and South Georgia and the South Sandwich Islands. Argentina also claims 969,464 km2 of Antarctica, known as Argentine Antarctica, overlapping other claims made by Chile and the United Kingdom. Argentina is subdivided into twenty-three provinces (Spanish: provincias, singular provincia) and one federal district (Capital de la Republica or Capital de la Nacion, informally the Capital Federal). The federal district and the provinces have their own constitutions, but exist under a federal system. Provinces are then divided into departments (Spanish: departamentos, singular departamento), except for Buenos Aires Province, which is divided into partidos. [ url:http://en.wikipedia.org/wiki/Argentina ]</v>
      </c>
      <c r="E1169" s="56"/>
      <c r="F1169" s="54"/>
      <c r="G1169" s="54"/>
      <c r="H1169" s="59"/>
      <c r="I1169" s="59"/>
      <c r="J1169" s="59"/>
      <c r="K1169" s="54"/>
    </row>
    <row r="1170">
      <c r="A1170" s="57"/>
      <c r="B1170" s="57" t="str">
        <f>IFERROR(__xludf.DUMMYFUNCTION("""COMPUTED_VALUE"""),"Armenia [GAZ:00004094]    ")</f>
        <v>Armenia [GAZ:00004094]    </v>
      </c>
      <c r="C1170" s="57" t="str">
        <f>IFERROR(__xludf.DUMMYFUNCTION("""COMPUTED_VALUE"""),"GAZ:00004094")</f>
        <v>GAZ:00004094</v>
      </c>
      <c r="D1170" s="58" t="str">
        <f>IFERROR(__xludf.DUMMYFUNCTION("""COMPUTED_VALUE"""),"A landlocked mountainous country in Eurasia between the Black Sea and the Caspian Sea in the Southern Caucasus. It borders Turkey to the west, Georgia to the north, Azerbaijan to the east, and Iran and the Nakhchivan exclave of Azerbaijan to the south. A "&amp;"transcontinental country at the juncture of Eastern Europe and Western Asia. A former republic of the Soviet Union. Armenia is divided into ten marzes (provinces, singular marz), with the city (kaghak) of Yerevan having special administrative status as th"&amp;"e country's capital. [ url:http://en.wikipedia.org/wiki/Armenia ]")</f>
        <v>A landlocked mountainous country in Eurasia between the Black Sea and the Caspian Sea in the Southern Caucasus. It borders Turkey to the west, Georgia to the north, Azerbaijan to the east, and Iran and the Nakhchivan exclave of Azerbaijan to the south. A transcontinental country at the juncture of Eastern Europe and Western Asia. A former republic of the Soviet Union. Armenia is divided into ten marzes (provinces, singular marz), with the city (kaghak) of Yerevan having special administrative status as the country's capital. [ url:http://en.wikipedia.org/wiki/Armenia ]</v>
      </c>
      <c r="E1170" s="56"/>
      <c r="F1170" s="54"/>
      <c r="G1170" s="54"/>
      <c r="H1170" s="59"/>
      <c r="I1170" s="59"/>
      <c r="J1170" s="59"/>
      <c r="K1170" s="54"/>
    </row>
    <row r="1171">
      <c r="A1171" s="57"/>
      <c r="B1171" s="57" t="str">
        <f>IFERROR(__xludf.DUMMYFUNCTION("""COMPUTED_VALUE"""),"Aruba [GAZ:00004025]    ")</f>
        <v>Aruba [GAZ:00004025]    </v>
      </c>
      <c r="C1171" s="57" t="str">
        <f>IFERROR(__xludf.DUMMYFUNCTION("""COMPUTED_VALUE"""),"GAZ:00004025")</f>
        <v>GAZ:00004025</v>
      </c>
      <c r="D1171" s="58" t="str">
        <f>IFERROR(__xludf.DUMMYFUNCTION("""COMPUTED_VALUE"""),"An autonomous region within the Kingdom of the Netherlands, Aruba has no administrative subdivisions. [ url:http://en.wikipedia.org/wiki/Aruba ]")</f>
        <v>An autonomous region within the Kingdom of the Netherlands, Aruba has no administrative subdivisions. [ url:http://en.wikipedia.org/wiki/Aruba ]</v>
      </c>
      <c r="E1171" s="56"/>
      <c r="F1171" s="54"/>
      <c r="G1171" s="54"/>
      <c r="H1171" s="59"/>
      <c r="I1171" s="59"/>
      <c r="J1171" s="59"/>
      <c r="K1171" s="54"/>
    </row>
    <row r="1172">
      <c r="A1172" s="57"/>
      <c r="B1172" s="57" t="str">
        <f>IFERROR(__xludf.DUMMYFUNCTION("""COMPUTED_VALUE"""),"Ashmore and Cartier Islands [GAZ:00005901]    ")</f>
        <v>Ashmore and Cartier Islands [GAZ:00005901]    </v>
      </c>
      <c r="C1172" s="57" t="str">
        <f>IFERROR(__xludf.DUMMYFUNCTION("""COMPUTED_VALUE"""),"GAZ:00005901")</f>
        <v>GAZ:00005901</v>
      </c>
      <c r="D1172" s="58" t="str">
        <f>IFERROR(__xludf.DUMMYFUNCTION("""COMPUTED_VALUE"""),"A Territory of Australia that includes two groups of small low-lying uninhabited tropical islands in the Indian Ocean situated on the edge of the continental shelf north-west of Australia and south of the Indonesian island of Roti. [ url:http://en.wikiped"&amp;"ia.org/wiki/Ashmore_and_Cartier_Islands ]")</f>
        <v>A Territory of Australia that includes two groups of small low-lying uninhabited tropical islands in the Indian Ocean situated on the edge of the continental shelf north-west of Australia and south of the Indonesian island of Roti. [ url:http://en.wikipedia.org/wiki/Ashmore_and_Cartier_Islands ]</v>
      </c>
      <c r="E1172" s="56"/>
      <c r="F1172" s="54"/>
      <c r="G1172" s="54"/>
      <c r="H1172" s="59"/>
      <c r="I1172" s="59"/>
      <c r="J1172" s="59"/>
      <c r="K1172" s="54"/>
    </row>
    <row r="1173">
      <c r="A1173" s="57"/>
      <c r="B1173" s="57" t="str">
        <f>IFERROR(__xludf.DUMMYFUNCTION("""COMPUTED_VALUE"""),"Australia [GAZ:00000463]    ")</f>
        <v>Australia [GAZ:00000463]    </v>
      </c>
      <c r="C1173" s="57" t="str">
        <f>IFERROR(__xludf.DUMMYFUNCTION("""COMPUTED_VALUE"""),"GAZ:00000463")</f>
        <v>GAZ:00000463</v>
      </c>
      <c r="D1173" s="58" t="str">
        <f>IFERROR(__xludf.DUMMYFUNCTION("""COMPUTED_VALUE"""),"A country in the southern hemisphere comprising the mainland of the world's smallest continent, the major island of Tasmania, and a number of other islands in the Indian and Pacific Oceans. The neighbouring countries are Indonesia, East Timor, and Papua N"&amp;"ew Guinea to the north, the Solomon Islands, Vanuatu, and New Caledonia to the north-east, and New Zealand to the south-east. Australia has six states, two major mainland territories, and other minor territories.")</f>
        <v>A country in the southern hemisphere comprising the mainland of the world's smallest continent, the major island of Tasmania, and a number of other islands in the Indian and Pacific Oceans. The neighbouring countries are Indonesia, East Timor, and Papua New Guinea to the north, the Solomon Islands, Vanuatu, and New Caledonia to the north-east, and New Zealand to the south-east. Australia has six states, two major mainland territories, and other minor territories.</v>
      </c>
      <c r="E1173" s="56"/>
      <c r="F1173" s="54"/>
      <c r="G1173" s="54"/>
      <c r="H1173" s="59"/>
      <c r="I1173" s="59"/>
      <c r="J1173" s="59"/>
      <c r="K1173" s="54"/>
    </row>
    <row r="1174">
      <c r="A1174" s="57"/>
      <c r="B1174" s="57" t="str">
        <f>IFERROR(__xludf.DUMMYFUNCTION("""COMPUTED_VALUE"""),"Austria [GAZ:00002942]    ")</f>
        <v>Austria [GAZ:00002942]    </v>
      </c>
      <c r="C1174" s="57" t="str">
        <f>IFERROR(__xludf.DUMMYFUNCTION("""COMPUTED_VALUE"""),"GAZ:00002942")</f>
        <v>GAZ:00002942</v>
      </c>
      <c r="D1174" s="58" t="str">
        <f>IFERROR(__xludf.DUMMYFUNCTION("""COMPUTED_VALUE"""),"A landlocked country in Central Europe. It borders both Germany and the Czech Republic to the north, Slovakia and Hungary to the east, Slovenia and Italy to the south, and Switzerland and Liechtenstein to the west. The capital is the city of Vienna on the"&amp;" Danube River. Austria is divided into nine states (Bundeslander). These states are then divided into districts (Bezirke) and cities (Statutarstadte). Districts are subdivided into municipalities (Gemeinden). Cities have the competencies otherwise granted"&amp;" to both districts and municipalities.")</f>
        <v>A landlocked country in Central Europe. It borders both Germany and the Czech Republic to the north, Slovakia and Hungary to the east, Slovenia and Italy to the south, and Switzerland and Liechtenstein to the west. The capital is the city of Vienna on the Danube River. Austria is divided into nine states (Bundeslander). These states are then divided into districts (Bezirke) and cities (Statutarstadte). Districts are subdivided into municipalities (Gemeinden). Cities have the competencies otherwise granted to both districts and municipalities.</v>
      </c>
      <c r="E1174" s="56"/>
      <c r="F1174" s="54"/>
      <c r="G1174" s="54"/>
      <c r="H1174" s="59"/>
      <c r="I1174" s="59"/>
      <c r="J1174" s="59"/>
      <c r="K1174" s="54"/>
    </row>
    <row r="1175">
      <c r="A1175" s="57"/>
      <c r="B1175" s="57" t="str">
        <f>IFERROR(__xludf.DUMMYFUNCTION("""COMPUTED_VALUE"""),"Azerbaijan [GAZ:00004941]    ")</f>
        <v>Azerbaijan [GAZ:00004941]    </v>
      </c>
      <c r="C1175" s="57" t="str">
        <f>IFERROR(__xludf.DUMMYFUNCTION("""COMPUTED_VALUE"""),"GAZ:00004941")</f>
        <v>GAZ:00004941</v>
      </c>
      <c r="D1175" s="58" t="str">
        <f>IFERROR(__xludf.DUMMYFUNCTION("""COMPUTED_VALUE"""),"A country in the he South Caucasus region of Eurasia, it is bounded by the Caspian Sea to the east, Russia to the north, Georgia to the northwest, Armenia to the west, and Iran to the south. The Azerbaijani exclave of Nakhchivan is bordered by Armenia to "&amp;"the north and east, Iran to the south and west, and Turkey to the northwest. Nagorno-Karabakh, along with 7 other districts in Azerbaijan's southwest, have been controlled by Armenia since the end of the Nagorno-Karabakh War in 1994. Azerbaijan is divided"&amp;" into 59 rayons 11 city districts (saharlar), and one autonomous republic (muxtar respublika).")</f>
        <v>A country in the he South Caucasus region of Eurasia, it is bounded by the Caspian Sea to the east, Russia to the north, Georgia to the northwest, Armenia to the west, and Iran to the south. The Azerbaijani exclave of Nakhchivan is bordered by Armenia to the north and east, Iran to the south and west, and Turkey to the northwest. Nagorno-Karabakh, along with 7 other districts in Azerbaijan's southwest, have been controlled by Armenia since the end of the Nagorno-Karabakh War in 1994. Azerbaijan is divided into 59 rayons 11 city districts (saharlar), and one autonomous republic (muxtar respublika).</v>
      </c>
      <c r="E1175" s="56"/>
      <c r="F1175" s="54"/>
      <c r="G1175" s="54"/>
      <c r="H1175" s="59"/>
      <c r="I1175" s="59"/>
      <c r="J1175" s="59"/>
      <c r="K1175" s="54"/>
    </row>
    <row r="1176">
      <c r="A1176" s="57"/>
      <c r="B1176" s="57" t="str">
        <f>IFERROR(__xludf.DUMMYFUNCTION("""COMPUTED_VALUE"""),"Bahamas [GAZ:00002733]    ")</f>
        <v>Bahamas [GAZ:00002733]    </v>
      </c>
      <c r="C1176" s="57" t="str">
        <f>IFERROR(__xludf.DUMMYFUNCTION("""COMPUTED_VALUE"""),"GAZ:00002733")</f>
        <v>GAZ:00002733</v>
      </c>
      <c r="D1176" s="58" t="str">
        <f>IFERROR(__xludf.DUMMYFUNCTION("""COMPUTED_VALUE"""),"A country consisting of two thousand cays and seven hundred islands that form an archipelago. It is located in the Atlantic Ocean, southeast of Florida and the United States, north of Cuba, the island of Hispanola and the Caribbean, and northwest of the B"&amp;"ritish overseas territory of the Turks and Caicos Islands. It is divided into 32 districts, plus New Providence, whose affairs are handled directly by the central government.")</f>
        <v>A country consisting of two thousand cays and seven hundred islands that form an archipelago. It is located in the Atlantic Ocean, southeast of Florida and the United States, north of Cuba, the island of Hispanola and the Caribbean, and northwest of the British overseas territory of the Turks and Caicos Islands. It is divided into 32 districts, plus New Providence, whose affairs are handled directly by the central government.</v>
      </c>
      <c r="E1176" s="56"/>
      <c r="F1176" s="54"/>
      <c r="G1176" s="54"/>
      <c r="H1176" s="59"/>
      <c r="I1176" s="59"/>
      <c r="J1176" s="59"/>
      <c r="K1176" s="54"/>
    </row>
    <row r="1177">
      <c r="A1177" s="57"/>
      <c r="B1177" s="57" t="str">
        <f>IFERROR(__xludf.DUMMYFUNCTION("""COMPUTED_VALUE"""),"Bahrain [GAZ:00005281]    ")</f>
        <v>Bahrain [GAZ:00005281]    </v>
      </c>
      <c r="C1177" s="57" t="str">
        <f>IFERROR(__xludf.DUMMYFUNCTION("""COMPUTED_VALUE"""),"GAZ:00005281")</f>
        <v>GAZ:00005281</v>
      </c>
      <c r="D1177" s="58" t="str">
        <f>IFERROR(__xludf.DUMMYFUNCTION("""COMPUTED_VALUE"""),"A borderless island country in the Persian Gulf. Saudi Arabia lies to the west and is connected to Bahrain by the King Fahd Causeway, and Qatar is to the south across the Gulf of Bahrain. Bahrain is split into five governorates.")</f>
        <v>A borderless island country in the Persian Gulf. Saudi Arabia lies to the west and is connected to Bahrain by the King Fahd Causeway, and Qatar is to the south across the Gulf of Bahrain. Bahrain is split into five governorates.</v>
      </c>
      <c r="E1177" s="56"/>
      <c r="F1177" s="54"/>
      <c r="G1177" s="54"/>
      <c r="H1177" s="59"/>
      <c r="I1177" s="59"/>
      <c r="J1177" s="59"/>
      <c r="K1177" s="54"/>
    </row>
    <row r="1178">
      <c r="A1178" s="57"/>
      <c r="B1178" s="57" t="str">
        <f>IFERROR(__xludf.DUMMYFUNCTION("""COMPUTED_VALUE"""),"Baker Island [GAZ:00007117]    ")</f>
        <v>Baker Island [GAZ:00007117]    </v>
      </c>
      <c r="C1178" s="57" t="str">
        <f>IFERROR(__xludf.DUMMYFUNCTION("""COMPUTED_VALUE"""),"GAZ:00007117")</f>
        <v>GAZ:00007117</v>
      </c>
      <c r="D1178" s="58" t="str">
        <f>IFERROR(__xludf.DUMMYFUNCTION("""COMPUTED_VALUE"""),"An uninhabited atoll located just north of the equator in the central Pacific Ocean about 3,100 km southwest of Honolulu. Baker Island is an unincorporated and unorganized territory of the US.")</f>
        <v>An uninhabited atoll located just north of the equator in the central Pacific Ocean about 3,100 km southwest of Honolulu. Baker Island is an unincorporated and unorganized territory of the US.</v>
      </c>
      <c r="E1178" s="56"/>
      <c r="F1178" s="54"/>
      <c r="G1178" s="54"/>
      <c r="H1178" s="59"/>
      <c r="I1178" s="59"/>
      <c r="J1178" s="59"/>
      <c r="K1178" s="54"/>
    </row>
    <row r="1179">
      <c r="A1179" s="57"/>
      <c r="B1179" s="57" t="str">
        <f>IFERROR(__xludf.DUMMYFUNCTION("""COMPUTED_VALUE"""),"Bangladesh [GAZ:00003750]    ")</f>
        <v>Bangladesh [GAZ:00003750]    </v>
      </c>
      <c r="C1179" s="57" t="str">
        <f>IFERROR(__xludf.DUMMYFUNCTION("""COMPUTED_VALUE"""),"GAZ:00003750")</f>
        <v>GAZ:00003750</v>
      </c>
      <c r="D1179" s="58" t="str">
        <f>IFERROR(__xludf.DUMMYFUNCTION("""COMPUTED_VALUE"""),"A country in South Asia. It is bordered by India on all sides except for a small border with Myanmar to the far southeast and by the Bay of Bengal to the south. Bangladesh is divided into six administrative divisions. Divisions are subdivided into distric"&amp;"ts (zila). There are 64 districts in Bangladesh, each further subdivided into upazila (subdistricts) or thana (""police stations"").")</f>
        <v>A country in South Asia. It is bordered by India on all sides except for a small border with Myanmar to the far southeast and by the Bay of Bengal to the south. Bangladesh is divided into six administrative divisions. Divisions are subdivided into districts (zila). There are 64 districts in Bangladesh, each further subdivided into upazila (subdistricts) or thana ("police stations").</v>
      </c>
      <c r="E1179" s="56"/>
      <c r="F1179" s="54"/>
      <c r="G1179" s="54"/>
      <c r="H1179" s="59"/>
      <c r="I1179" s="59"/>
      <c r="J1179" s="59"/>
      <c r="K1179" s="54"/>
    </row>
    <row r="1180">
      <c r="A1180" s="57"/>
      <c r="B1180" s="57" t="str">
        <f>IFERROR(__xludf.DUMMYFUNCTION("""COMPUTED_VALUE"""),"Barbados [GAZ:00001251]    ")</f>
        <v>Barbados [GAZ:00001251]    </v>
      </c>
      <c r="C1180" s="57" t="str">
        <f>IFERROR(__xludf.DUMMYFUNCTION("""COMPUTED_VALUE"""),"GAZ:00001251")</f>
        <v>GAZ:00001251</v>
      </c>
      <c r="D1180" s="58" t="str">
        <f>IFERROR(__xludf.DUMMYFUNCTION("""COMPUTED_VALUE"""),"An island country in the Lesser Antilles of the West Indies, in the Caribbean region of the Americas, and the most easterly of the Caribbean Islands. It is 34 kilometres (21 miles) in length and up to 23 km (14 mi) in width, covering an area of 432 km2 (1"&amp;"67 sq mi). It is in the western part of the North Atlantic, 100 km (62 mi) east of the Windward Islands and the Caribbean Sea.[7] Barbados is east of the Windwards, part of the Lesser Antilles, at roughly 13°N of the equator. It is about 168 km (104 mi) e"&amp;"ast of both the countries of Saint Lucia and Saint Vincent and the Grenadines and 180 km (110 mi) south-east of Martinique and 400 km (250 mi) north-east of Trinidad and Tobago. Barbados is outside the principal Atlantic hurricane belt. Its capital and la"&amp;"rgest city is Bridgetown.")</f>
        <v>An island country in the Lesser Antilles of the West Indies, in the Caribbean region of the Americas, and the most easterly of the Caribbean Islands. It is 34 kilometres (21 miles) in length and up to 23 km (14 mi) in width, covering an area of 432 km2 (167 sq mi). It is in the western part of the North Atlantic, 100 km (62 mi) east of the Windward Islands and the Caribbean Sea.[7] Barbados is east of the Windwards, part of the Lesser Antilles, at roughly 13°N of the equator. It is about 168 km (104 mi) east of both the countries of Saint Lucia and Saint Vincent and the Grenadines and 180 km (110 mi) south-east of Martinique and 400 km (250 mi) north-east of Trinidad and Tobago. Barbados is outside the principal Atlantic hurricane belt. Its capital and largest city is Bridgetown.</v>
      </c>
      <c r="E1180" s="56"/>
      <c r="F1180" s="54"/>
      <c r="G1180" s="54"/>
      <c r="H1180" s="59"/>
      <c r="I1180" s="59"/>
      <c r="J1180" s="59"/>
      <c r="K1180" s="54"/>
    </row>
    <row r="1181">
      <c r="A1181" s="57"/>
      <c r="B1181" s="57" t="str">
        <f>IFERROR(__xludf.DUMMYFUNCTION("""COMPUTED_VALUE"""),"Bassas da India [GAZ:00005810]    ")</f>
        <v>Bassas da India [GAZ:00005810]    </v>
      </c>
      <c r="C1181" s="57" t="str">
        <f>IFERROR(__xludf.DUMMYFUNCTION("""COMPUTED_VALUE"""),"GAZ:00005810")</f>
        <v>GAZ:00005810</v>
      </c>
      <c r="D1181" s="58" t="str">
        <f>IFERROR(__xludf.DUMMYFUNCTION("""COMPUTED_VALUE"""),"A roughly circular atoll about 10 km in diameter, which corresponds to a total size (including lagoon) of 80 km2. It is located in the southern Mozambique Channel, about half-way between Madagascar (which is 385 km to the east) and Mozambique, and 110 km "&amp;"northwest of Europa Island. It rises steeply from the seabed 3000 m below.")</f>
        <v>A roughly circular atoll about 10 km in diameter, which corresponds to a total size (including lagoon) of 80 km2. It is located in the southern Mozambique Channel, about half-way between Madagascar (which is 385 km to the east) and Mozambique, and 110 km northwest of Europa Island. It rises steeply from the seabed 3000 m below.</v>
      </c>
      <c r="E1181" s="56"/>
      <c r="F1181" s="54"/>
      <c r="G1181" s="54"/>
      <c r="H1181" s="59"/>
      <c r="I1181" s="59"/>
      <c r="J1181" s="59"/>
      <c r="K1181" s="54"/>
    </row>
    <row r="1182">
      <c r="A1182" s="57"/>
      <c r="B1182" s="57" t="str">
        <f>IFERROR(__xludf.DUMMYFUNCTION("""COMPUTED_VALUE"""),"Belarus [GAZ:00006886]    ")</f>
        <v>Belarus [GAZ:00006886]    </v>
      </c>
      <c r="C1182" s="57" t="str">
        <f>IFERROR(__xludf.DUMMYFUNCTION("""COMPUTED_VALUE"""),"GAZ:00006886")</f>
        <v>GAZ:00006886</v>
      </c>
      <c r="D1182" s="58" t="str">
        <f>IFERROR(__xludf.DUMMYFUNCTION("""COMPUTED_VALUE"""),"A landlocked country in Eastern Europe, that borders Russia to the north and east, Ukraine to the south, Poland to the west, and Lithuania and Latvia to the north. Its capital is Minsk. Belarus is divided into six voblasts, or provinces. Voblasts are furt"&amp;"her subdivided into raions (commonly translated as districts or regions). As of 2002, there are six voblasts, 118 raions, 102 towns and 108 urbanized settlements. Minsk is given a special status, due to the city serving as the national capital.")</f>
        <v>A landlocked country in Eastern Europe, that borders Russia to the north and east, Ukraine to the south, Poland to the west, and Lithuania and Latvia to the north. Its capital is Minsk. Belarus is divided into six voblasts, or provinces. Voblasts are further subdivided into raions (commonly translated as districts or regions). As of 2002, there are six voblasts, 118 raions, 102 towns and 108 urbanized settlements. Minsk is given a special status, due to the city serving as the national capital.</v>
      </c>
      <c r="E1182" s="56"/>
      <c r="F1182" s="54"/>
      <c r="G1182" s="54"/>
      <c r="H1182" s="59"/>
      <c r="I1182" s="59"/>
      <c r="J1182" s="59"/>
      <c r="K1182" s="54"/>
    </row>
    <row r="1183">
      <c r="A1183" s="57"/>
      <c r="B1183" s="57" t="str">
        <f>IFERROR(__xludf.DUMMYFUNCTION("""COMPUTED_VALUE"""),"Belgium [GAZ:00002938]    ")</f>
        <v>Belgium [GAZ:00002938]    </v>
      </c>
      <c r="C1183" s="57" t="str">
        <f>IFERROR(__xludf.DUMMYFUNCTION("""COMPUTED_VALUE"""),"GAZ:00002938")</f>
        <v>GAZ:00002938</v>
      </c>
      <c r="D1183" s="58" t="str">
        <f>IFERROR(__xludf.DUMMYFUNCTION("""COMPUTED_VALUE"""),"A country in northwest Europe. Belgium shares borders with France (620 km), Germany (167 km), Luxembourg (148 km) and the Netherlands (450 km). The Flemish Region (Flanders) and the Walloon Region (Wallonia) each comprise five provinces; the third region,"&amp;" Brussels-Capital Region, is not a province, nor does it contain any Together, these comprise 589 municipalities, which in general consist of several sub-municipalities (which were independent municipalities before the municipal merger operation mainly in"&amp;" 1977).")</f>
        <v>A country in northwest Europe. Belgium shares borders with France (620 km), Germany (167 km), Luxembourg (148 km) and the Netherlands (450 km). The Flemish Region (Flanders) and the Walloon Region (Wallonia) each comprise five provinces; the third region, Brussels-Capital Region, is not a province, nor does it contain any Together, these comprise 589 municipalities, which in general consist of several sub-municipalities (which were independent municipalities before the municipal merger operation mainly in 1977).</v>
      </c>
      <c r="E1183" s="56"/>
      <c r="F1183" s="54"/>
      <c r="G1183" s="54"/>
      <c r="H1183" s="59"/>
      <c r="I1183" s="59"/>
      <c r="J1183" s="59"/>
      <c r="K1183" s="54"/>
    </row>
    <row r="1184">
      <c r="A1184" s="57"/>
      <c r="B1184" s="57" t="str">
        <f>IFERROR(__xludf.DUMMYFUNCTION("""COMPUTED_VALUE"""),"Belize [GAZ:00002934]    ")</f>
        <v>Belize [GAZ:00002934]    </v>
      </c>
      <c r="C1184" s="57" t="str">
        <f>IFERROR(__xludf.DUMMYFUNCTION("""COMPUTED_VALUE"""),"GAZ:00002934")</f>
        <v>GAZ:00002934</v>
      </c>
      <c r="D1184" s="58" t="str">
        <f>IFERROR(__xludf.DUMMYFUNCTION("""COMPUTED_VALUE"""),"A country in Central America. It is the only officially English speaking country in the region. Belize was a British colony for more than a century and was known as British Honduras until 1973. It became an independent nation within The Commonwealth in 19"&amp;"81. Belize is divided into 6 districts, which are further divided into 31 constituencies.")</f>
        <v>A country in Central America. It is the only officially English speaking country in the region. Belize was a British colony for more than a century and was known as British Honduras until 1973. It became an independent nation within The Commonwealth in 1981. Belize is divided into 6 districts, which are further divided into 31 constituencies.</v>
      </c>
      <c r="E1184" s="56"/>
      <c r="F1184" s="54"/>
      <c r="G1184" s="54"/>
      <c r="H1184" s="59"/>
      <c r="I1184" s="59"/>
      <c r="J1184" s="59"/>
      <c r="K1184" s="54"/>
    </row>
    <row r="1185">
      <c r="A1185" s="57"/>
      <c r="B1185" s="57" t="str">
        <f>IFERROR(__xludf.DUMMYFUNCTION("""COMPUTED_VALUE"""),"Benin [GAZ:00000904]    ")</f>
        <v>Benin [GAZ:00000904]    </v>
      </c>
      <c r="C1185" s="57" t="str">
        <f>IFERROR(__xludf.DUMMYFUNCTION("""COMPUTED_VALUE"""),"GAZ:00000904")</f>
        <v>GAZ:00000904</v>
      </c>
      <c r="D1185" s="58" t="str">
        <f>IFERROR(__xludf.DUMMYFUNCTION("""COMPUTED_VALUE"""),"A country in Western Africa. It borders Togo to the west, Nigeria to the east and Burkina Faso and Niger to the north; its short coastline to the south leads to the Bight of Benin. Its capital is Porto Novo, but the seat of government is Cotonou. Benin is"&amp;" divided into 12 departments and subdivided into 77 communes.")</f>
        <v>A country in Western Africa. It borders Togo to the west, Nigeria to the east and Burkina Faso and Niger to the north; its short coastline to the south leads to the Bight of Benin. Its capital is Porto Novo, but the seat of government is Cotonou. Benin is divided into 12 departments and subdivided into 77 communes.</v>
      </c>
      <c r="E1185" s="56"/>
      <c r="F1185" s="54"/>
      <c r="G1185" s="54"/>
      <c r="H1185" s="59"/>
      <c r="I1185" s="59"/>
      <c r="J1185" s="59"/>
      <c r="K1185" s="54"/>
    </row>
    <row r="1186">
      <c r="A1186" s="57"/>
      <c r="B1186" s="57" t="str">
        <f>IFERROR(__xludf.DUMMYFUNCTION("""COMPUTED_VALUE"""),"Bermuda [GAZ:00001264]    ")</f>
        <v>Bermuda [GAZ:00001264]    </v>
      </c>
      <c r="C1186" s="57" t="str">
        <f>IFERROR(__xludf.DUMMYFUNCTION("""COMPUTED_VALUE"""),"GAZ:00001264")</f>
        <v>GAZ:00001264</v>
      </c>
      <c r="D1186" s="58" t="str">
        <f>IFERROR(__xludf.DUMMYFUNCTION("""COMPUTED_VALUE"""),"A British overseas territory in the North Atlantic Ocean. Located off the east coast of the United States, it is situated around 1770 km NE of Miami, Florida and 1350 km S of Halifax, Nova Scotia. Comprised of approximately 138 islands.")</f>
        <v>A British overseas territory in the North Atlantic Ocean. Located off the east coast of the United States, it is situated around 1770 km NE of Miami, Florida and 1350 km S of Halifax, Nova Scotia. Comprised of approximately 138 islands.</v>
      </c>
      <c r="E1186" s="56"/>
      <c r="F1186" s="54"/>
      <c r="G1186" s="54"/>
      <c r="H1186" s="59"/>
      <c r="I1186" s="59"/>
      <c r="J1186" s="59"/>
      <c r="K1186" s="54"/>
    </row>
    <row r="1187">
      <c r="A1187" s="57"/>
      <c r="B1187" s="57" t="str">
        <f>IFERROR(__xludf.DUMMYFUNCTION("""COMPUTED_VALUE"""),"Bhutan [GAZ:00003920]    ")</f>
        <v>Bhutan [GAZ:00003920]    </v>
      </c>
      <c r="C1187" s="57" t="str">
        <f>IFERROR(__xludf.DUMMYFUNCTION("""COMPUTED_VALUE"""),"GAZ:00003920")</f>
        <v>GAZ:00003920</v>
      </c>
      <c r="D1187" s="58" t="str">
        <f>IFERROR(__xludf.DUMMYFUNCTION("""COMPUTED_VALUE"""),"A landlocked nation in South Asia. It is located amidst the eastern end of the Himalaya Mountains and is bordered to the south, east and west by India and to the north by Tibet. Bhutan is separated from Nepal by the Indian State of Sikkim. Bhutan is divid"&amp;"ed into four dzongdey (administrative zones). Each dzongdey is further divided into dzongkhag (districts). There are twenty dzongkhag in Bhutan. Large dzongkhags are further divided into subdistricts known as dungkhag. At the basic level, groups of villag"&amp;"es form a constituency called gewog.")</f>
        <v>A landlocked nation in South Asia. It is located amidst the eastern end of the Himalaya Mountains and is bordered to the south, east and west by India and to the north by Tibet. Bhutan is separated from Nepal by the Indian State of Sikkim. Bhutan is divided into four dzongdey (administrative zones). Each dzongdey is further divided into dzongkhag (districts). There are twenty dzongkhag in Bhutan. Large dzongkhags are further divided into subdistricts known as dungkhag. At the basic level, groups of villages form a constituency called gewog.</v>
      </c>
      <c r="E1187" s="56"/>
      <c r="F1187" s="54"/>
      <c r="G1187" s="54"/>
      <c r="H1187" s="59"/>
      <c r="I1187" s="59"/>
      <c r="J1187" s="59"/>
      <c r="K1187" s="54"/>
    </row>
    <row r="1188">
      <c r="A1188" s="57"/>
      <c r="B1188" s="57" t="str">
        <f>IFERROR(__xludf.DUMMYFUNCTION("""COMPUTED_VALUE"""),"Bolivia [GAZ:00002511]    ")</f>
        <v>Bolivia [GAZ:00002511]    </v>
      </c>
      <c r="C1188" s="57" t="str">
        <f>IFERROR(__xludf.DUMMYFUNCTION("""COMPUTED_VALUE"""),"GAZ:00002511")</f>
        <v>GAZ:00002511</v>
      </c>
      <c r="D1188" s="58" t="str">
        <f>IFERROR(__xludf.DUMMYFUNCTION("""COMPUTED_VALUE"""),"A landlocked country in central South America. It is bordered by Brazil on the north and east, Paraguay and Argentina on the south, and Chile and Peru on the west. Bolivia is divided into 9 departments (Spanish: departamentos). Each of the departments is "&amp;"subdivided into provinces (provincias), which are further subdivided into municipalities (municipios).")</f>
        <v>A landlocked country in central South America. It is bordered by Brazil on the north and east, Paraguay and Argentina on the south, and Chile and Peru on the west. Bolivia is divided into 9 departments (Spanish: departamentos). Each of the departments is subdivided into provinces (provincias), which are further subdivided into municipalities (municipios).</v>
      </c>
      <c r="E1188" s="56"/>
      <c r="F1188" s="54"/>
      <c r="G1188" s="54"/>
      <c r="H1188" s="59"/>
      <c r="I1188" s="59"/>
      <c r="J1188" s="59"/>
      <c r="K1188" s="54"/>
    </row>
    <row r="1189">
      <c r="A1189" s="57"/>
      <c r="B1189" s="57" t="str">
        <f>IFERROR(__xludf.DUMMYFUNCTION("""COMPUTED_VALUE"""),"Borneo [GAZ:00025355]    ")</f>
        <v>Borneo [GAZ:00025355]    </v>
      </c>
      <c r="C1189" s="57" t="str">
        <f>IFERROR(__xludf.DUMMYFUNCTION("""COMPUTED_VALUE"""),"GAZ:00025355")</f>
        <v>GAZ:00025355</v>
      </c>
      <c r="D1189" s="58" t="str">
        <f>IFERROR(__xludf.DUMMYFUNCTION("""COMPUTED_VALUE"""),"An island at the grographic centre of Maritime Southeast Adia, in relation to major Indonesian islands, it is located north of Java, west of Sulawesi, and east of Sumatra. It is the third-largest island in the world and the larest in Asia. The island is p"&amp;"olitically divided among three countries: Malaysia and Brunei in the north, and Indonesia to the south.[1] Approximately 73% of the island is Indonesian territory. In the north, the East Malaysian states of Sabah and Sarawak make up about 26% of the islan"&amp;"d. Additionally, the Malaysian federal territory of Labuan is situated on a small island just off the coast of Borneo. The sovereign state of Brunei, located on the north coast, comprises about 1% of Borneo's land area. A little more than half of the isla"&amp;"nd is in the Northern Hemisphere, including Brunei and the Malaysian portion, while the Indonesian portion spans the Northern and Southern hemispheres.")</f>
        <v>An island at the grographic centre of Maritime Southeast Adia, in relation to major Indonesian islands, it is located north of Java, west of Sulawesi, and east of Sumatra. It is the third-largest island in the world and the larest in Asia. The island is politically divided among three countries: Malaysia and Brunei in the north, and Indonesia to the south.[1] Approximately 73% of the island is Indonesian territory. In the north, the East Malaysian states of Sabah and Sarawak make up about 26% of the island. Additionally, the Malaysian federal territory of Labuan is situated on a small island just off the coast of Borneo. The sovereign state of Brunei, located on the north coast, comprises about 1% of Borneo's land area. A little more than half of the island is in the Northern Hemisphere, including Brunei and the Malaysian portion, while the Indonesian portion spans the Northern and Southern hemispheres.</v>
      </c>
      <c r="E1189" s="56"/>
      <c r="F1189" s="54"/>
      <c r="G1189" s="54"/>
      <c r="H1189" s="59"/>
      <c r="I1189" s="59"/>
      <c r="J1189" s="59"/>
      <c r="K1189" s="54"/>
    </row>
    <row r="1190">
      <c r="A1190" s="57"/>
      <c r="B1190" s="57" t="str">
        <f>IFERROR(__xludf.DUMMYFUNCTION("""COMPUTED_VALUE"""),"Bosnia and Herzegovina [GAZ:00006887]    ")</f>
        <v>Bosnia and Herzegovina [GAZ:00006887]    </v>
      </c>
      <c r="C1190" s="57" t="str">
        <f>IFERROR(__xludf.DUMMYFUNCTION("""COMPUTED_VALUE"""),"GAZ:00006887")</f>
        <v>GAZ:00006887</v>
      </c>
      <c r="D1190" s="58" t="str">
        <f>IFERROR(__xludf.DUMMYFUNCTION("""COMPUTED_VALUE"""),"A country on the Balkan peninsula of Southern Europe. Bordered by Croatia to the north, west and south, Serbia to the east, and Montenegro to the south, Bosnia and Herzegovina is mostly landlocked, except for 26 km of the Adriatic Sea coastline. Bosnia an"&amp;"d Herzegovina is now divided into three political regions of which one, the Brcko District is part of the other two, the Federacija Bosne i Hercegovine and the Republika Srpska. All three have an equal constitutional status on the whole territory of Bosni"&amp;"a and Herzegovina.")</f>
        <v>A country on the Balkan peninsula of Southern Europe. Bordered by Croatia to the north, west and south, Serbia to the east, and Montenegro to the south, Bosnia and Herzegovina is mostly landlocked, except for 26 km of the Adriatic Sea coastline. Bosnia and Herzegovina is now divided into three political regions of which one, the Brcko District is part of the other two, the Federacija Bosne i Hercegovine and the Republika Srpska. All three have an equal constitutional status on the whole territory of Bosnia and Herzegovina.</v>
      </c>
      <c r="E1190" s="56"/>
      <c r="F1190" s="54"/>
      <c r="G1190" s="54"/>
      <c r="H1190" s="59"/>
      <c r="I1190" s="59"/>
      <c r="J1190" s="59"/>
      <c r="K1190" s="54"/>
    </row>
    <row r="1191">
      <c r="A1191" s="57"/>
      <c r="B1191" s="57" t="str">
        <f>IFERROR(__xludf.DUMMYFUNCTION("""COMPUTED_VALUE"""),"Botswana [GAZ:00001097]    ")</f>
        <v>Botswana [GAZ:00001097]    </v>
      </c>
      <c r="C1191" s="57" t="str">
        <f>IFERROR(__xludf.DUMMYFUNCTION("""COMPUTED_VALUE"""),"GAZ:00001097")</f>
        <v>GAZ:00001097</v>
      </c>
      <c r="D1191" s="58" t="str">
        <f>IFERROR(__xludf.DUMMYFUNCTION("""COMPUTED_VALUE"""),"A landlocked nation in Southern Africa. It is bordered by South Africa to the south and southeast, Namibia to the west, Zambia to the north, and Zimbabwe to the northeast. Botswana is divided into nine districts, which are subdivided into a total twenty-e"&amp;"ight subdistricts.")</f>
        <v>A landlocked nation in Southern Africa. It is bordered by South Africa to the south and southeast, Namibia to the west, Zambia to the north, and Zimbabwe to the northeast. Botswana is divided into nine districts, which are subdivided into a total twenty-eight subdistricts.</v>
      </c>
      <c r="E1191" s="56"/>
      <c r="F1191" s="54"/>
      <c r="G1191" s="54"/>
      <c r="H1191" s="59"/>
      <c r="I1191" s="59"/>
      <c r="J1191" s="59"/>
      <c r="K1191" s="54"/>
    </row>
    <row r="1192">
      <c r="A1192" s="57"/>
      <c r="B1192" s="57" t="str">
        <f>IFERROR(__xludf.DUMMYFUNCTION("""COMPUTED_VALUE"""),"Bouvet Island [GAZ:00001453]    ")</f>
        <v>Bouvet Island [GAZ:00001453]    </v>
      </c>
      <c r="C1192" s="57" t="str">
        <f>IFERROR(__xludf.DUMMYFUNCTION("""COMPUTED_VALUE"""),"GAZ:00001453")</f>
        <v>GAZ:00001453</v>
      </c>
      <c r="D1192" s="58" t="str">
        <f>IFERROR(__xludf.DUMMYFUNCTION("""COMPUTED_VALUE"""),"A sub-antarctic volcanic island in the South Atlantic Ocean, south-southwest of the Cape of Good Hope (South Africa). It is a dependent area of Norway and is not subject to the Antarctic Treaty, as it is north of the latitude south of which claims are sus"&amp;"pended.")</f>
        <v>A sub-antarctic volcanic island in the South Atlantic Ocean, south-southwest of the Cape of Good Hope (South Africa). It is a dependent area of Norway and is not subject to the Antarctic Treaty, as it is north of the latitude south of which claims are suspended.</v>
      </c>
      <c r="E1192" s="56"/>
      <c r="F1192" s="54"/>
      <c r="G1192" s="54"/>
      <c r="H1192" s="59"/>
      <c r="I1192" s="59"/>
      <c r="J1192" s="59"/>
      <c r="K1192" s="54"/>
    </row>
    <row r="1193">
      <c r="A1193" s="57"/>
      <c r="B1193" s="57" t="str">
        <f>IFERROR(__xludf.DUMMYFUNCTION("""COMPUTED_VALUE"""),"Brazil [GAZ:00002828]    ")</f>
        <v>Brazil [GAZ:00002828]    </v>
      </c>
      <c r="C1193" s="57" t="str">
        <f>IFERROR(__xludf.DUMMYFUNCTION("""COMPUTED_VALUE"""),"GAZ:00002828")</f>
        <v>GAZ:00002828</v>
      </c>
      <c r="D1193" s="58" t="str">
        <f>IFERROR(__xludf.DUMMYFUNCTION("""COMPUTED_VALUE"""),"A country in South America. Bordered by the Atlantic Ocean and by Venezuela, Suriname, Guyana and the department of French Guiana to the north, Colombia to the northwest, Bolivia and Peru to the west, Argentina and Paraguay to the southwest, and Uruguay t"&amp;"o the south. Federation of twenty-six states (estados) and one federal district (Distrito Federal). The states are subdivided into municipalities. For statistical purposes, the States are grouped into five main regions: North, Northeast, Central-West, Sou"&amp;"theast and South.")</f>
        <v>A country in South America. Bordered by the Atlantic Ocean and by Venezuela, Suriname, Guyana and the department of French Guiana to the north, Colombia to the northwest, Bolivia and Peru to the west, Argentina and Paraguay to the southwest, and Uruguay to the south. Federation of twenty-six states (estados) and one federal district (Distrito Federal). The states are subdivided into municipalities. For statistical purposes, the States are grouped into five main regions: North, Northeast, Central-West, Southeast and South.</v>
      </c>
      <c r="E1193" s="56"/>
      <c r="F1193" s="54"/>
      <c r="G1193" s="54"/>
      <c r="H1193" s="59"/>
      <c r="I1193" s="59"/>
      <c r="J1193" s="59"/>
      <c r="K1193" s="54"/>
    </row>
    <row r="1194">
      <c r="A1194" s="57"/>
      <c r="B1194" s="57" t="str">
        <f>IFERROR(__xludf.DUMMYFUNCTION("""COMPUTED_VALUE"""),"British Virgin Islands [GAZ:00003961]    ")</f>
        <v>British Virgin Islands [GAZ:00003961]    </v>
      </c>
      <c r="C1194" s="57" t="str">
        <f>IFERROR(__xludf.DUMMYFUNCTION("""COMPUTED_VALUE"""),"GAZ:00003961")</f>
        <v>GAZ:00003961</v>
      </c>
      <c r="D1194" s="58" t="str">
        <f>IFERROR(__xludf.DUMMYFUNCTION("""COMPUTED_VALUE"""),"A British overseas territory, located in the Caribbean to the east of Puerto Rico. The islands make up part of the Virgin Islands archipelago, the remaining islands constituting the US Virgin Islands. The British Virgin Islands consist of the main islands"&amp;" of Tortola, Virgin Gorda, Anegada and Jost Van Dyke, along with over fifty other smaller islands and cays. Approximately fifteen of the islands are inhabited.")</f>
        <v>A British overseas territory, located in the Caribbean to the east of Puerto Rico. The islands make up part of the Virgin Islands archipelago, the remaining islands constituting the US Virgin Islands. The British Virgin Islands consist of the main islands of Tortola, Virgin Gorda, Anegada and Jost Van Dyke, along with over fifty other smaller islands and cays. Approximately fifteen of the islands are inhabited.</v>
      </c>
      <c r="E1194" s="56"/>
      <c r="F1194" s="54"/>
      <c r="G1194" s="54"/>
      <c r="H1194" s="59"/>
      <c r="I1194" s="59"/>
      <c r="J1194" s="59"/>
      <c r="K1194" s="54"/>
    </row>
    <row r="1195">
      <c r="A1195" s="57"/>
      <c r="B1195" s="57" t="str">
        <f>IFERROR(__xludf.DUMMYFUNCTION("""COMPUTED_VALUE"""),"Brunei [GAZ:00003901]    ")</f>
        <v>Brunei [GAZ:00003901]    </v>
      </c>
      <c r="C1195" s="57" t="str">
        <f>IFERROR(__xludf.DUMMYFUNCTION("""COMPUTED_VALUE"""),"GAZ:00003901")</f>
        <v>GAZ:00003901</v>
      </c>
      <c r="D1195" s="58" t="str">
        <f>IFERROR(__xludf.DUMMYFUNCTION("""COMPUTED_VALUE"""),"A country located on the north coast of the island of Borneo, in Southeast Asia. Apart from its coastline with the South China Sea it is completely surrounded by the State of Sarawak, Malaysia, and in fact it is separated into two parts by Limbang, which "&amp;"is part of Sarawak. Brunei is divided into four districts (daerah), the districts are subdivided into thirty-eight mukims, which are then divided into kampong (villages).")</f>
        <v>A country located on the north coast of the island of Borneo, in Southeast Asia. Apart from its coastline with the South China Sea it is completely surrounded by the State of Sarawak, Malaysia, and in fact it is separated into two parts by Limbang, which is part of Sarawak. Brunei is divided into four districts (daerah), the districts are subdivided into thirty-eight mukims, which are then divided into kampong (villages).</v>
      </c>
      <c r="E1195" s="56"/>
      <c r="F1195" s="54"/>
      <c r="G1195" s="54"/>
      <c r="H1195" s="59"/>
      <c r="I1195" s="59"/>
      <c r="J1195" s="59"/>
      <c r="K1195" s="54"/>
    </row>
    <row r="1196">
      <c r="A1196" s="57"/>
      <c r="B1196" s="57" t="str">
        <f>IFERROR(__xludf.DUMMYFUNCTION("""COMPUTED_VALUE"""),"Bulgaria [GAZ:00002950]    ")</f>
        <v>Bulgaria [GAZ:00002950]    </v>
      </c>
      <c r="C1196" s="57" t="str">
        <f>IFERROR(__xludf.DUMMYFUNCTION("""COMPUTED_VALUE"""),"GAZ:00002950")</f>
        <v>GAZ:00002950</v>
      </c>
      <c r="D1196" s="58" t="str">
        <f>IFERROR(__xludf.DUMMYFUNCTION("""COMPUTED_VALUE"""),"A country in Southeastern Europe, borders five other countries; Romania to the north (mostly along the Danube), Serbia and the Republic of Macedonia to the west, and Greece and Turkey to the south. The Black Sea defines the extent of the country to the ea"&amp;"st. Since 1999, it has consisted of twenty-eight provinces. The provinces subdivide into 264 municipalities.")</f>
        <v>A country in Southeastern Europe, borders five other countries; Romania to the north (mostly along the Danube), Serbia and the Republic of Macedonia to the west, and Greece and Turkey to the south. The Black Sea defines the extent of the country to the east. Since 1999, it has consisted of twenty-eight provinces. The provinces subdivide into 264 municipalities.</v>
      </c>
      <c r="E1196" s="56"/>
      <c r="F1196" s="54"/>
      <c r="G1196" s="54"/>
      <c r="H1196" s="59"/>
      <c r="I1196" s="59"/>
      <c r="J1196" s="59"/>
      <c r="K1196" s="54"/>
    </row>
    <row r="1197">
      <c r="A1197" s="57"/>
      <c r="B1197" s="57" t="str">
        <f>IFERROR(__xludf.DUMMYFUNCTION("""COMPUTED_VALUE"""),"Burkina Faso [GAZ:00000905]    ")</f>
        <v>Burkina Faso [GAZ:00000905]    </v>
      </c>
      <c r="C1197" s="57" t="str">
        <f>IFERROR(__xludf.DUMMYFUNCTION("""COMPUTED_VALUE"""),"GAZ:00000905")</f>
        <v>GAZ:00000905</v>
      </c>
      <c r="D1197" s="58" t="str">
        <f>IFERROR(__xludf.DUMMYFUNCTION("""COMPUTED_VALUE"""),"A landlocked nation in West Africa. It is surrounded by six countries: Mali to the north, Niger to the east, Benin to the south east, Togo and Ghana to the south, and Cote d'Ivoire to the south west. Burkina Faso is divided into thirteen regions, forty-fi"&amp;"ve provinces, and 301 departments (communes).")</f>
        <v>A landlocked nation in West Africa. It is surrounded by six countries: Mali to the north, Niger to the east, Benin to the south east, Togo and Ghana to the south, and Cote d'Ivoire to the south west. Burkina Faso is divided into thirteen regions, forty-five provinces, and 301 departments (communes).</v>
      </c>
      <c r="E1197" s="56"/>
      <c r="F1197" s="54"/>
      <c r="G1197" s="54"/>
      <c r="H1197" s="59"/>
      <c r="I1197" s="59"/>
      <c r="J1197" s="59"/>
      <c r="K1197" s="54"/>
    </row>
    <row r="1198">
      <c r="A1198" s="57"/>
      <c r="B1198" s="57" t="str">
        <f>IFERROR(__xludf.DUMMYFUNCTION("""COMPUTED_VALUE"""),"Burundi [GAZ:00001090]    ")</f>
        <v>Burundi [GAZ:00001090]    </v>
      </c>
      <c r="C1198" s="57" t="str">
        <f>IFERROR(__xludf.DUMMYFUNCTION("""COMPUTED_VALUE"""),"GAZ:00001090")</f>
        <v>GAZ:00001090</v>
      </c>
      <c r="D1198" s="58" t="str">
        <f>IFERROR(__xludf.DUMMYFUNCTION("""COMPUTED_VALUE"""),"A small country in the Great Lakes region of Africa. It is bordered by Rwanda on the north, Tanzania on the south and east, and the Democratic Republic of the Congo on the west. Although the country is landlocked, much of its western border is adjacent to"&amp;" Lake Tanganyika. Burundi is divided into 17 provinces, 117 communes, and 2,638 collines.")</f>
        <v>A small country in the Great Lakes region of Africa. It is bordered by Rwanda on the north, Tanzania on the south and east, and the Democratic Republic of the Congo on the west. Although the country is landlocked, much of its western border is adjacent to Lake Tanganyika. Burundi is divided into 17 provinces, 117 communes, and 2,638 collines.</v>
      </c>
      <c r="E1198" s="56"/>
      <c r="F1198" s="54"/>
      <c r="G1198" s="54"/>
      <c r="H1198" s="59"/>
      <c r="I1198" s="59"/>
      <c r="J1198" s="59"/>
      <c r="K1198" s="54"/>
    </row>
    <row r="1199">
      <c r="A1199" s="57"/>
      <c r="B1199" s="57" t="str">
        <f>IFERROR(__xludf.DUMMYFUNCTION("""COMPUTED_VALUE"""),"Cambodia [GAZ:00006888]    ")</f>
        <v>Cambodia [GAZ:00006888]    </v>
      </c>
      <c r="C1199" s="57" t="str">
        <f>IFERROR(__xludf.DUMMYFUNCTION("""COMPUTED_VALUE"""),"GAZ:00006888")</f>
        <v>GAZ:00006888</v>
      </c>
      <c r="D1199" s="58" t="str">
        <f>IFERROR(__xludf.DUMMYFUNCTION("""COMPUTED_VALUE"""),"A country in Southeast Asia. The country borders Thailand to its west and northwest, Laos to its northeast, and Vietnam to its east and southeast. In the south it faces the Gulf of Thailand.")</f>
        <v>A country in Southeast Asia. The country borders Thailand to its west and northwest, Laos to its northeast, and Vietnam to its east and southeast. In the south it faces the Gulf of Thailand.</v>
      </c>
      <c r="E1199" s="56"/>
      <c r="F1199" s="54"/>
      <c r="G1199" s="54"/>
      <c r="H1199" s="59"/>
      <c r="I1199" s="59"/>
      <c r="J1199" s="59"/>
      <c r="K1199" s="54"/>
    </row>
    <row r="1200">
      <c r="A1200" s="57"/>
      <c r="B1200" s="57" t="str">
        <f>IFERROR(__xludf.DUMMYFUNCTION("""COMPUTED_VALUE"""),"Cameroon [GAZ:00001093]    ")</f>
        <v>Cameroon [GAZ:00001093]    </v>
      </c>
      <c r="C1200" s="57" t="str">
        <f>IFERROR(__xludf.DUMMYFUNCTION("""COMPUTED_VALUE"""),"GAZ:00001093")</f>
        <v>GAZ:00001093</v>
      </c>
      <c r="D1200" s="58" t="str">
        <f>IFERROR(__xludf.DUMMYFUNCTION("""COMPUTED_VALUE"""),"A country of central and western Africa. It borders Nigeria to the west; Chad to the northeast; the Central African Republic to the east; and Equatorial Guinea, Gabon, and the Republic of the Congo to the south. Cameroon's coastline lies on the Bight of B"&amp;"onny, part of the Gulf of Guinea and the Atlantic Ocean. The Republic of Cameroon is divided into ten provinces and 58 divisions or departments. The divisions are further sub-divided into sub-divisions (arrondissements) and districts.")</f>
        <v>A country of central and western Africa. It borders Nigeria to the west; Chad to the northeast; the Central African Republic to the east; and Equatorial Guinea, Gabon, and the Republic of the Congo to the south. Cameroon's coastline lies on the Bight of Bonny, part of the Gulf of Guinea and the Atlantic Ocean. The Republic of Cameroon is divided into ten provinces and 58 divisions or departments. The divisions are further sub-divided into sub-divisions (arrondissements) and districts.</v>
      </c>
      <c r="E1200" s="56"/>
      <c r="F1200" s="54"/>
      <c r="G1200" s="54"/>
      <c r="H1200" s="59"/>
      <c r="I1200" s="59"/>
      <c r="J1200" s="59"/>
      <c r="K1200" s="54"/>
    </row>
    <row r="1201">
      <c r="A1201" s="57"/>
      <c r="B1201" s="57" t="str">
        <f>IFERROR(__xludf.DUMMYFUNCTION("""COMPUTED_VALUE"""),"Canada [GAZ:00002560]    ")</f>
        <v>Canada [GAZ:00002560]    </v>
      </c>
      <c r="C1201" s="57" t="str">
        <f>IFERROR(__xludf.DUMMYFUNCTION("""COMPUTED_VALUE"""),"GAZ:00002560")</f>
        <v>GAZ:00002560</v>
      </c>
      <c r="D1201" s="58" t="str">
        <f>IFERROR(__xludf.DUMMYFUNCTION("""COMPUTED_VALUE"""),"A country occupying most of northern North America, extending from the Atlantic Ocean in the east to the Pacific Ocean in the west and northward into the Arctic Ocean. Canada is a federation composed of ten provinces and three territories; in turn, these "&amp;"may be grouped into regions. Western Canada consists of British Columbia and the three Prairie provinces (Alberta, Saskatchewan, and Manitoba). Central Canada consists of Quebec and Ontario. Atlantic Canada consists of the three Maritime provinces (New Br"&amp;"unswick, Prince Edward Island, and Nova Scotia), along with Newfoundland and Labrador. Eastern Canada refers to Central Canada and Atlantic Canada together. Three territories (Yukon, Northwest Territories, and Nunavut) make up Northern Canada.")</f>
        <v>A country occupying most of northern North America, extending from the Atlantic Ocean in the east to the Pacific Ocean in the west and northward into the Arctic Ocean. Canada is a federation composed of ten provinces and three territories; in turn, these may be grouped into regions. Western Canada consists of British Columbia and the three Prairie provinces (Alberta, Saskatchewan, and Manitoba). Central Canada consists of Quebec and Ontario. Atlantic Canada consists of the three Maritime provinces (New Brunswick, Prince Edward Island, and Nova Scotia), along with Newfoundland and Labrador. Eastern Canada refers to Central Canada and Atlantic Canada together. Three territories (Yukon, Northwest Territories, and Nunavut) make up Northern Canada.</v>
      </c>
      <c r="E1201" s="56"/>
      <c r="F1201" s="54"/>
      <c r="G1201" s="54"/>
      <c r="H1201" s="59"/>
      <c r="I1201" s="59"/>
      <c r="J1201" s="59"/>
      <c r="K1201" s="54"/>
    </row>
    <row r="1202">
      <c r="A1202" s="57"/>
      <c r="B1202" s="57" t="str">
        <f>IFERROR(__xludf.DUMMYFUNCTION("""COMPUTED_VALUE"""),"Cape Verde [GAZ:00001227]    ")</f>
        <v>Cape Verde [GAZ:00001227]    </v>
      </c>
      <c r="C1202" s="57" t="str">
        <f>IFERROR(__xludf.DUMMYFUNCTION("""COMPUTED_VALUE"""),"GAZ:00001227")</f>
        <v>GAZ:00001227</v>
      </c>
      <c r="D1202" s="58" t="str">
        <f>IFERROR(__xludf.DUMMYFUNCTION("""COMPUTED_VALUE"""),"A republic located on an archipelago in the Macaronesia ecoregion of the North Atlantic Ocean, off the western coast of Africa. Cape Verde is divided into 22 municipalities (concelhos), and subdivided into 32 parishes (freguesias).")</f>
        <v>A republic located on an archipelago in the Macaronesia ecoregion of the North Atlantic Ocean, off the western coast of Africa. Cape Verde is divided into 22 municipalities (concelhos), and subdivided into 32 parishes (freguesias).</v>
      </c>
      <c r="E1202" s="56"/>
      <c r="F1202" s="54"/>
      <c r="G1202" s="54"/>
      <c r="H1202" s="59"/>
      <c r="I1202" s="59"/>
      <c r="J1202" s="59"/>
      <c r="K1202" s="54"/>
    </row>
    <row r="1203">
      <c r="A1203" s="57"/>
      <c r="B1203" s="57" t="str">
        <f>IFERROR(__xludf.DUMMYFUNCTION("""COMPUTED_VALUE"""),"Cayman Islands [GAZ:00003986]    ")</f>
        <v>Cayman Islands [GAZ:00003986]    </v>
      </c>
      <c r="C1203" s="57" t="str">
        <f>IFERROR(__xludf.DUMMYFUNCTION("""COMPUTED_VALUE"""),"GAZ:00003986")</f>
        <v>GAZ:00003986</v>
      </c>
      <c r="D1203" s="58" t="str">
        <f>IFERROR(__xludf.DUMMYFUNCTION("""COMPUTED_VALUE"""),"A British overseas territory located in the western Caribbean Sea, comprising the islands of Grand Cayman, Cayman Brac, and Little Cayman. The Cayman Islands are divided into seven districts.")</f>
        <v>A British overseas territory located in the western Caribbean Sea, comprising the islands of Grand Cayman, Cayman Brac, and Little Cayman. The Cayman Islands are divided into seven districts.</v>
      </c>
      <c r="E1203" s="56"/>
      <c r="F1203" s="54"/>
      <c r="G1203" s="54"/>
      <c r="H1203" s="59"/>
      <c r="I1203" s="59"/>
      <c r="J1203" s="59"/>
      <c r="K1203" s="54"/>
    </row>
    <row r="1204">
      <c r="A1204" s="57"/>
      <c r="B1204" s="57" t="str">
        <f>IFERROR(__xludf.DUMMYFUNCTION("""COMPUTED_VALUE"""),"Central African Republic [GAZ:00001089]    ")</f>
        <v>Central African Republic [GAZ:00001089]    </v>
      </c>
      <c r="C1204" s="57" t="str">
        <f>IFERROR(__xludf.DUMMYFUNCTION("""COMPUTED_VALUE"""),"GAZ:00001089")</f>
        <v>GAZ:00001089</v>
      </c>
      <c r="D1204" s="58" t="str">
        <f>IFERROR(__xludf.DUMMYFUNCTION("""COMPUTED_VALUE"""),"A landlocked country in Central Africa. It borders Chad in the north, Sudan in the east, the Republic of the Congo and the Democratic Republic of the Congo in the south, and Cameroon in the west. The Central African Republic is divided into 14 administrat"&amp;"ive prefectures (prefectures), along with 2 economic prefectures (prefectures economiques) and one autonomous commune. The prefectures are further divided into 71 sub-prefectures (sous-prefectures).")</f>
        <v>A landlocked country in Central Africa. It borders Chad in the north, Sudan in the east, the Republic of the Congo and the Democratic Republic of the Congo in the south, and Cameroon in the west. The Central African Republic is divided into 14 administrative prefectures (prefectures), along with 2 economic prefectures (prefectures economiques) and one autonomous commune. The prefectures are further divided into 71 sub-prefectures (sous-prefectures).</v>
      </c>
      <c r="E1204" s="56"/>
      <c r="F1204" s="54"/>
      <c r="G1204" s="54"/>
      <c r="H1204" s="59"/>
      <c r="I1204" s="59"/>
      <c r="J1204" s="59"/>
      <c r="K1204" s="54"/>
    </row>
    <row r="1205">
      <c r="A1205" s="57"/>
      <c r="B1205" s="57" t="str">
        <f>IFERROR(__xludf.DUMMYFUNCTION("""COMPUTED_VALUE"""),"Chad [GAZ:00000586]    ")</f>
        <v>Chad [GAZ:00000586]    </v>
      </c>
      <c r="C1205" s="57" t="str">
        <f>IFERROR(__xludf.DUMMYFUNCTION("""COMPUTED_VALUE"""),"GAZ:00000586")</f>
        <v>GAZ:00000586</v>
      </c>
      <c r="D1205" s="58" t="str">
        <f>IFERROR(__xludf.DUMMYFUNCTION("""COMPUTED_VALUE"""),"A landlocked country in central Africa. It is bordered by Libya to the north, Sudan to the east, the Central African Republic to the south, Cameroon and Nigeria to the southwest, and Niger to the west. Chad is divided into 18 regions. The departments are "&amp;"divided into 200 sub-prefectures, which are in turn composed of 446 cantons. This is due to change.")</f>
        <v>A landlocked country in central Africa. It is bordered by Libya to the north, Sudan to the east, the Central African Republic to the south, Cameroon and Nigeria to the southwest, and Niger to the west. Chad is divided into 18 regions. The departments are divided into 200 sub-prefectures, which are in turn composed of 446 cantons. This is due to change.</v>
      </c>
      <c r="E1205" s="56"/>
      <c r="F1205" s="54"/>
      <c r="G1205" s="54"/>
      <c r="H1205" s="59"/>
      <c r="I1205" s="59"/>
      <c r="J1205" s="59"/>
      <c r="K1205" s="54"/>
    </row>
    <row r="1206">
      <c r="A1206" s="57"/>
      <c r="B1206" s="57" t="str">
        <f>IFERROR(__xludf.DUMMYFUNCTION("""COMPUTED_VALUE"""),"Chile [GAZ:00002825]    ")</f>
        <v>Chile [GAZ:00002825]    </v>
      </c>
      <c r="C1206" s="57" t="str">
        <f>IFERROR(__xludf.DUMMYFUNCTION("""COMPUTED_VALUE"""),"GAZ:00002825")</f>
        <v>GAZ:00002825</v>
      </c>
      <c r="D1206" s="58" t="str">
        <f>IFERROR(__xludf.DUMMYFUNCTION("""COMPUTED_VALUE"""),"A country in South America occupying a long and narrow coastal strip wedged between the Andes mountains and the Pacific Ocean. The Pacific forms the country's entire western border, with Peru to the north, Bolivia to the northeast, Argentina to the east, "&amp;"and the Drake Passage at the country's southernmost tip. Chile claims 1,250,000 km2 of territory in Antarctica. Chile is divided into 15 regions. Every region is further divided into provinces. Finally each province is divided into communes. Each region i"&amp;"s designated by a name and a Roman numeral, assigned from north to south. The only exception is the region housing the nation's capital, which is designated RM, that stands for Region Metropolitana (Metropolitan Region). Two new regions were created in 20"&amp;"06: Arica-Parinacota in the north, and Los Rios in the south. Both became operative in 2007-10.")</f>
        <v>A country in South America occupying a long and narrow coastal strip wedged between the Andes mountains and the Pacific Ocean. The Pacific forms the country's entire western border, with Peru to the north, Bolivia to the northeast, Argentina to the east, and the Drake Passage at the country's southernmost tip. Chile claims 1,250,000 km2 of territory in Antarctica. Chile is divided into 15 regions. Every region is further divided into provinces. Finally each province is divided into communes. Each region is designated by a name and a Roman numeral, assigned from north to south. The only exception is the region housing the nation's capital, which is designated RM, that stands for Region Metropolitana (Metropolitan Region). Two new regions were created in 2006: Arica-Parinacota in the north, and Los Rios in the south. Both became operative in 2007-10.</v>
      </c>
      <c r="E1206" s="56"/>
      <c r="F1206" s="54"/>
      <c r="G1206" s="54"/>
      <c r="H1206" s="59"/>
      <c r="I1206" s="59"/>
      <c r="J1206" s="59"/>
      <c r="K1206" s="54"/>
    </row>
    <row r="1207">
      <c r="A1207" s="57"/>
      <c r="B1207" s="57" t="str">
        <f>IFERROR(__xludf.DUMMYFUNCTION("""COMPUTED_VALUE"""),"China [GAZ:00002845]    ")</f>
        <v>China [GAZ:00002845]    </v>
      </c>
      <c r="C1207" s="57" t="str">
        <f>IFERROR(__xludf.DUMMYFUNCTION("""COMPUTED_VALUE"""),"GAZ:00002845")</f>
        <v>GAZ:00002845</v>
      </c>
      <c r="D1207" s="58" t="str">
        <f>IFERROR(__xludf.DUMMYFUNCTION("""COMPUTED_VALUE"""),"A large country in Northeast Asia. China borders 14 nations (counted clockwise from south): Vietnam, Laos, Burma, India, Bhutan, Nepal, Pakistan, Afghanistan, Tajikistan, Kyrgyzstan, Kazakhstan, Russia, Mongolia and North Korea. Additionally the border be"&amp;"tween PRC and ROC is located in territorial waters. The People's Republic of China has administrative control over twenty-two provinces and considers Taiwan to be its twenty-third province. There are also five autonomous regions, each with a designated mi"&amp;"nority group; four municipalities; and two Special Administrative Regions that enjoy considerable autonomy. The People's Republic of China administers 33 province-level regions, 333 prefecture-level regions, 2,862 county-level regions, 41,636 township-lev"&amp;"el regions, and several village-level regions.")</f>
        <v>A large country in Northeast Asia. China borders 14 nations (counted clockwise from south): Vietnam, Laos, Burma, India, Bhutan, Nepal, Pakistan, Afghanistan, Tajikistan, Kyrgyzstan, Kazakhstan, Russia, Mongolia and North Korea. Additionally the border between PRC and ROC is located in territorial waters. The People's Republic of China has administrative control over twenty-two provinces and considers Taiwan to be its twenty-third province. There are also five autonomous regions, each with a designated minority group; four municipalities; and two Special Administrative Regions that enjoy considerable autonomy. The People's Republic of China administers 33 province-level regions, 333 prefecture-level regions, 2,862 county-level regions, 41,636 township-level regions, and several village-level regions.</v>
      </c>
      <c r="E1207" s="56"/>
      <c r="F1207" s="54"/>
      <c r="G1207" s="54"/>
      <c r="H1207" s="59"/>
      <c r="I1207" s="59"/>
      <c r="J1207" s="59"/>
      <c r="K1207" s="54"/>
    </row>
    <row r="1208">
      <c r="A1208" s="57"/>
      <c r="B1208" s="57" t="str">
        <f>IFERROR(__xludf.DUMMYFUNCTION("""COMPUTED_VALUE"""),"Christmas Island [GAZ:00005915]    ")</f>
        <v>Christmas Island [GAZ:00005915]    </v>
      </c>
      <c r="C1208" s="57" t="str">
        <f>IFERROR(__xludf.DUMMYFUNCTION("""COMPUTED_VALUE"""),"GAZ:00005915")</f>
        <v>GAZ:00005915</v>
      </c>
      <c r="D1208" s="58" t="str">
        <f>IFERROR(__xludf.DUMMYFUNCTION("""COMPUTED_VALUE"""),"An island in the Indian Ocean, 500 km south of Indonesia and about 2600 km northwest of Perth. The island is the flat summit of a submarine mountain.")</f>
        <v>An island in the Indian Ocean, 500 km south of Indonesia and about 2600 km northwest of Perth. The island is the flat summit of a submarine mountain.</v>
      </c>
      <c r="E1208" s="56"/>
      <c r="F1208" s="54"/>
      <c r="G1208" s="54"/>
      <c r="H1208" s="59"/>
      <c r="I1208" s="59"/>
      <c r="J1208" s="59"/>
      <c r="K1208" s="54"/>
    </row>
    <row r="1209">
      <c r="A1209" s="57"/>
      <c r="B1209" s="57" t="str">
        <f>IFERROR(__xludf.DUMMYFUNCTION("""COMPUTED_VALUE"""),"Clipperton Island [GAZ:00005838]    ")</f>
        <v>Clipperton Island [GAZ:00005838]    </v>
      </c>
      <c r="C1209" s="57" t="str">
        <f>IFERROR(__xludf.DUMMYFUNCTION("""COMPUTED_VALUE"""),"GAZ:00005838")</f>
        <v>GAZ:00005838</v>
      </c>
      <c r="D1209" s="58" t="str">
        <f>IFERROR(__xludf.DUMMYFUNCTION("""COMPUTED_VALUE"""),"A nine-square km coral atoll in the North Pacific Ocean, southwest of Mexico and west of Costa Rica.")</f>
        <v>A nine-square km coral atoll in the North Pacific Ocean, southwest of Mexico and west of Costa Rica.</v>
      </c>
      <c r="E1209" s="56"/>
      <c r="F1209" s="54"/>
      <c r="G1209" s="54"/>
      <c r="H1209" s="59"/>
      <c r="I1209" s="59"/>
      <c r="J1209" s="59"/>
      <c r="K1209" s="54"/>
    </row>
    <row r="1210">
      <c r="A1210" s="57"/>
      <c r="B1210" s="57" t="str">
        <f>IFERROR(__xludf.DUMMYFUNCTION("""COMPUTED_VALUE"""),"Cocos Islands [GAZ:00009721]    ")</f>
        <v>Cocos Islands [GAZ:00009721]    </v>
      </c>
      <c r="C1210" s="57" t="str">
        <f>IFERROR(__xludf.DUMMYFUNCTION("""COMPUTED_VALUE"""),"GAZ:00009721")</f>
        <v>GAZ:00009721</v>
      </c>
      <c r="D1210" s="58" t="str">
        <f>IFERROR(__xludf.DUMMYFUNCTION("""COMPUTED_VALUE"""),"Islands that located in the Indian Ocean, about halfway between Australia and Sri Lanka. A territory of Australia. There are two atolls and twenty-seven coral islands in the group.")</f>
        <v>Islands that located in the Indian Ocean, about halfway between Australia and Sri Lanka. A territory of Australia. There are two atolls and twenty-seven coral islands in the group.</v>
      </c>
      <c r="E1210" s="56"/>
      <c r="F1210" s="54"/>
      <c r="G1210" s="54"/>
      <c r="H1210" s="59"/>
      <c r="I1210" s="59"/>
      <c r="J1210" s="59"/>
      <c r="K1210" s="54"/>
    </row>
    <row r="1211">
      <c r="A1211" s="57"/>
      <c r="B1211" s="57" t="str">
        <f>IFERROR(__xludf.DUMMYFUNCTION("""COMPUTED_VALUE"""),"Colombia [GAZ:00002929]    ")</f>
        <v>Colombia [GAZ:00002929]    </v>
      </c>
      <c r="C1211" s="57" t="str">
        <f>IFERROR(__xludf.DUMMYFUNCTION("""COMPUTED_VALUE"""),"GAZ:00002929")</f>
        <v>GAZ:00002929</v>
      </c>
      <c r="D1211" s="58" t="str">
        <f>IFERROR(__xludf.DUMMYFUNCTION("""COMPUTED_VALUE"""),"A country located in the northwestern region of South America. Colombia is bordered to the east by Venezuela and Brazil; to the south by Ecuador and Peru; to the North by the Atlantic Ocean, through the Caribbean Sea; to the north-west by Panama; and to t"&amp;"he west by the Pacific Ocean. Besides the countries in South America, the Republic of Colombia is recognized to share maritime borders with the Caribbean countries of Jamaica, Haiti, the Dominican Republic and the Central American countries of Honduras, N"&amp;"icaragua, and Costa Rica. Colombia is divided into 32 departments and one capital district which is treated as a department. There are in total 10 districts assigned to cities in Colombia including Bogota, Barranquilla, Cartagena, Santa Marta, Tunja, Cucu"&amp;"ta, Popayan, Buenaventura, Tumaco and Turbo. Colombia is also subdivided into some municipalities which form departments, each with a municipal seat capital city assigned. Colombia is also subdivided into corregimientos which form municipalities.")</f>
        <v>A country located in the northwestern region of South America. Colombia is bordered to the east by Venezuela and Brazil; to the south by Ecuador and Peru; to the North by the Atlantic Ocean, through the Caribbean Sea; to the north-west by Panama; and to the west by the Pacific Ocean. Besides the countries in South America, the Republic of Colombia is recognized to share maritime borders with the Caribbean countries of Jamaica, Haiti, the Dominican Republic and the Central American countries of Honduras, Nicaragua, and Costa Rica. Colombia is divided into 32 departments and one capital district which is treated as a department. There are in total 10 districts assigned to cities in Colombia including Bogota, Barranquilla, Cartagena, Santa Marta, Tunja, Cucuta, Popayan, Buenaventura, Tumaco and Turbo. Colombia is also subdivided into some municipalities which form departments, each with a municipal seat capital city assigned. Colombia is also subdivided into corregimientos which form municipalities.</v>
      </c>
      <c r="E1211" s="56"/>
      <c r="F1211" s="54"/>
      <c r="G1211" s="54"/>
      <c r="H1211" s="59"/>
      <c r="I1211" s="59"/>
      <c r="J1211" s="59"/>
      <c r="K1211" s="54"/>
    </row>
    <row r="1212">
      <c r="A1212" s="57"/>
      <c r="B1212" s="57" t="str">
        <f>IFERROR(__xludf.DUMMYFUNCTION("""COMPUTED_VALUE"""),"Comoros [GAZ:00005820]    ")</f>
        <v>Comoros [GAZ:00005820]    </v>
      </c>
      <c r="C1212" s="57" t="str">
        <f>IFERROR(__xludf.DUMMYFUNCTION("""COMPUTED_VALUE"""),"GAZ:00005820")</f>
        <v>GAZ:00005820</v>
      </c>
      <c r="D1212" s="58" t="str">
        <f>IFERROR(__xludf.DUMMYFUNCTION("""COMPUTED_VALUE"""),"An island nation in the Indian Ocean, located off the eastern coast of Africa on the northern end of the Mozambique Channel between northern Madagascar and northeastern Mozambique.")</f>
        <v>An island nation in the Indian Ocean, located off the eastern coast of Africa on the northern end of the Mozambique Channel between northern Madagascar and northeastern Mozambique.</v>
      </c>
      <c r="E1212" s="56"/>
      <c r="F1212" s="54"/>
      <c r="G1212" s="54"/>
      <c r="H1212" s="59"/>
      <c r="I1212" s="59"/>
      <c r="J1212" s="59"/>
      <c r="K1212" s="54"/>
    </row>
    <row r="1213">
      <c r="A1213" s="57"/>
      <c r="B1213" s="57" t="str">
        <f>IFERROR(__xludf.DUMMYFUNCTION("""COMPUTED_VALUE"""),"Cook Islands [GAZ:00053798]    ")</f>
        <v>Cook Islands [GAZ:00053798]    </v>
      </c>
      <c r="C1213" s="57" t="str">
        <f>IFERROR(__xludf.DUMMYFUNCTION("""COMPUTED_VALUE"""),"GAZ:00053798")</f>
        <v>GAZ:00053798</v>
      </c>
      <c r="D1213" s="58" t="str">
        <f>IFERROR(__xludf.DUMMYFUNCTION("""COMPUTED_VALUE"""),"A self-governing parliamentary democracy in free association with New Zealand. The fifteen small islands in this South Pacific Ocean country have a total land area of 240 km2, but the Cook Islands Exclusive Economic Zone (EEZ) covers 1.8 million km2 of oc"&amp;"ean.")</f>
        <v>A self-governing parliamentary democracy in free association with New Zealand. The fifteen small islands in this South Pacific Ocean country have a total land area of 240 km2, but the Cook Islands Exclusive Economic Zone (EEZ) covers 1.8 million km2 of ocean.</v>
      </c>
      <c r="E1213" s="56"/>
      <c r="F1213" s="54"/>
      <c r="G1213" s="54"/>
      <c r="H1213" s="59"/>
      <c r="I1213" s="59"/>
      <c r="J1213" s="59"/>
      <c r="K1213" s="54"/>
    </row>
    <row r="1214">
      <c r="A1214" s="57"/>
      <c r="B1214" s="57" t="str">
        <f>IFERROR(__xludf.DUMMYFUNCTION("""COMPUTED_VALUE"""),"Coral Sea Islands [GAZ:00005917]    ")</f>
        <v>Coral Sea Islands [GAZ:00005917]    </v>
      </c>
      <c r="C1214" s="57" t="str">
        <f>IFERROR(__xludf.DUMMYFUNCTION("""COMPUTED_VALUE"""),"GAZ:00005917")</f>
        <v>GAZ:00005917</v>
      </c>
      <c r="D1214" s="58" t="str">
        <f>IFERROR(__xludf.DUMMYFUNCTION("""COMPUTED_VALUE"""),"A Territory of Australia which includes a group of small and mostly uninhabited tropical islands and reefs in the Coral Sea, northeast of Queensland, Australia. The only inhabited island is Willis Island. The territory covers 780,000 km2, extending east a"&amp;"nd south from the outer edge of the Great Barrier Reef, and including Heralds Beacon Island, Osprey Reef, the Willis Group, and fifteen other reef/island groups.")</f>
        <v>A Territory of Australia which includes a group of small and mostly uninhabited tropical islands and reefs in the Coral Sea, northeast of Queensland, Australia. The only inhabited island is Willis Island. The territory covers 780,000 km2, extending east and south from the outer edge of the Great Barrier Reef, and including Heralds Beacon Island, Osprey Reef, the Willis Group, and fifteen other reef/island groups.</v>
      </c>
      <c r="E1214" s="56"/>
      <c r="F1214" s="54"/>
      <c r="G1214" s="54"/>
      <c r="H1214" s="59"/>
      <c r="I1214" s="59"/>
      <c r="J1214" s="59"/>
      <c r="K1214" s="54"/>
    </row>
    <row r="1215">
      <c r="A1215" s="57"/>
      <c r="B1215" s="57" t="str">
        <f>IFERROR(__xludf.DUMMYFUNCTION("""COMPUTED_VALUE"""),"Costa Rica [GAZ:00002901]    ")</f>
        <v>Costa Rica [GAZ:00002901]    </v>
      </c>
      <c r="C1215" s="57" t="str">
        <f>IFERROR(__xludf.DUMMYFUNCTION("""COMPUTED_VALUE"""),"GAZ:00002901")</f>
        <v>GAZ:00002901</v>
      </c>
      <c r="D1215" s="58" t="str">
        <f>IFERROR(__xludf.DUMMYFUNCTION("""COMPUTED_VALUE"""),"A republic in Central America, bordered by Nicaragua to the north, Panama to the east-southeast, the Pacific Ocean to the west and south, and the Caribbean Sea to the east. Costa Rica is composed of seven provinces, which in turn are divided into 81 canto"&amp;"ns.")</f>
        <v>A republic in Central America, bordered by Nicaragua to the north, Panama to the east-southeast, the Pacific Ocean to the west and south, and the Caribbean Sea to the east. Costa Rica is composed of seven provinces, which in turn are divided into 81 cantons.</v>
      </c>
      <c r="E1215" s="56"/>
      <c r="F1215" s="54"/>
      <c r="G1215" s="54"/>
      <c r="H1215" s="59"/>
      <c r="I1215" s="59"/>
      <c r="J1215" s="59"/>
      <c r="K1215" s="54"/>
    </row>
    <row r="1216">
      <c r="A1216" s="57"/>
      <c r="B1216" s="57" t="str">
        <f>IFERROR(__xludf.DUMMYFUNCTION("""COMPUTED_VALUE"""),"Cote d'Ivoire [GAZ:00000906]    ")</f>
        <v>Cote d'Ivoire [GAZ:00000906]    </v>
      </c>
      <c r="C1216" s="57" t="str">
        <f>IFERROR(__xludf.DUMMYFUNCTION("""COMPUTED_VALUE"""),"GAZ:00000906")</f>
        <v>GAZ:00000906</v>
      </c>
      <c r="D1216" s="58" t="str">
        <f>IFERROR(__xludf.DUMMYFUNCTION("""COMPUTED_VALUE"""),"A country in West Africa. It borders Liberia and Guinea to the west, Mali and Burkina Faso to the north, Ghana to the east, and the Gulf of Guinea to the south. Cote d'Ivoire is divided into nineteen regions (regions). The regions are further divided into"&amp;" 58 departments.")</f>
        <v>A country in West Africa. It borders Liberia and Guinea to the west, Mali and Burkina Faso to the north, Ghana to the east, and the Gulf of Guinea to the south. Cote d'Ivoire is divided into nineteen regions (regions). The regions are further divided into 58 departments.</v>
      </c>
      <c r="E1216" s="56"/>
      <c r="F1216" s="54"/>
      <c r="G1216" s="54"/>
      <c r="H1216" s="59"/>
      <c r="I1216" s="59"/>
      <c r="J1216" s="59"/>
      <c r="K1216" s="54"/>
    </row>
    <row r="1217">
      <c r="A1217" s="57"/>
      <c r="B1217" s="57" t="str">
        <f>IFERROR(__xludf.DUMMYFUNCTION("""COMPUTED_VALUE"""),"Croatia [GAZ:00002719]    ")</f>
        <v>Croatia [GAZ:00002719]    </v>
      </c>
      <c r="C1217" s="57" t="str">
        <f>IFERROR(__xludf.DUMMYFUNCTION("""COMPUTED_VALUE"""),"GAZ:00002719")</f>
        <v>GAZ:00002719</v>
      </c>
      <c r="D1217" s="58" t="str">
        <f>IFERROR(__xludf.DUMMYFUNCTION("""COMPUTED_VALUE"""),"A country at the crossroads of the Mediterranean, Central Europe, and the Balkans. Its capital is Zagreb. Croatia borders with Slovenia and Hungary to the north, Serbia to the northeast, Bosnia and Herzegovina to the east, Montenegro to the far southeast,"&amp;" and the Adriatic Sea to the south. Croatia is divided into 21 counties (zupanija) and the capital Zagreb's city district.")</f>
        <v>A country at the crossroads of the Mediterranean, Central Europe, and the Balkans. Its capital is Zagreb. Croatia borders with Slovenia and Hungary to the north, Serbia to the northeast, Bosnia and Herzegovina to the east, Montenegro to the far southeast, and the Adriatic Sea to the south. Croatia is divided into 21 counties (zupanija) and the capital Zagreb's city district.</v>
      </c>
      <c r="E1217" s="56"/>
      <c r="F1217" s="54"/>
      <c r="G1217" s="54"/>
      <c r="H1217" s="59"/>
      <c r="I1217" s="59"/>
      <c r="J1217" s="59"/>
      <c r="K1217" s="54"/>
    </row>
    <row r="1218">
      <c r="A1218" s="57"/>
      <c r="B1218" s="57" t="str">
        <f>IFERROR(__xludf.DUMMYFUNCTION("""COMPUTED_VALUE"""),"Cuba [GAZ:00003762]    ")</f>
        <v>Cuba [GAZ:00003762]    </v>
      </c>
      <c r="C1218" s="57" t="str">
        <f>IFERROR(__xludf.DUMMYFUNCTION("""COMPUTED_VALUE"""),"GAZ:00003762")</f>
        <v>GAZ:00003762</v>
      </c>
      <c r="D1218" s="58" t="str">
        <f>IFERROR(__xludf.DUMMYFUNCTION("""COMPUTED_VALUE"""),"A country that consists of the island of Cuba (the largest and second-most populous island of the Greater Antilles), Isla de la Juventud and several adjacent small islands. Fourteen provinces and one special municipality (the Isla de la Juventud) now comp"&amp;"ose Cuba.")</f>
        <v>A country that consists of the island of Cuba (the largest and second-most populous island of the Greater Antilles), Isla de la Juventud and several adjacent small islands. Fourteen provinces and one special municipality (the Isla de la Juventud) now compose Cuba.</v>
      </c>
      <c r="E1218" s="56"/>
      <c r="F1218" s="54"/>
      <c r="G1218" s="54"/>
      <c r="H1218" s="59"/>
      <c r="I1218" s="59"/>
      <c r="J1218" s="59"/>
      <c r="K1218" s="54"/>
    </row>
    <row r="1219">
      <c r="A1219" s="57"/>
      <c r="B1219" s="57" t="str">
        <f>IFERROR(__xludf.DUMMYFUNCTION("""COMPUTED_VALUE"""),"Curacao [GAZ:00012582]    ")</f>
        <v>Curacao [GAZ:00012582]    </v>
      </c>
      <c r="C1219" s="57" t="str">
        <f>IFERROR(__xludf.DUMMYFUNCTION("""COMPUTED_VALUE"""),"GAZ:00012582")</f>
        <v>GAZ:00012582</v>
      </c>
      <c r="D1219" s="58" t="str">
        <f>IFERROR(__xludf.DUMMYFUNCTION("""COMPUTED_VALUE"""),"One of five island areas of the Netherlands Antilles.")</f>
        <v>One of five island areas of the Netherlands Antilles.</v>
      </c>
      <c r="E1219" s="56"/>
      <c r="F1219" s="54"/>
      <c r="G1219" s="54"/>
      <c r="H1219" s="59"/>
      <c r="I1219" s="59"/>
      <c r="J1219" s="59"/>
      <c r="K1219" s="54"/>
    </row>
    <row r="1220">
      <c r="A1220" s="57"/>
      <c r="B1220" s="57" t="str">
        <f>IFERROR(__xludf.DUMMYFUNCTION("""COMPUTED_VALUE"""),"Cyprus [GAZ:00004006]    ")</f>
        <v>Cyprus [GAZ:00004006]    </v>
      </c>
      <c r="C1220" s="57" t="str">
        <f>IFERROR(__xludf.DUMMYFUNCTION("""COMPUTED_VALUE"""),"GAZ:00004006")</f>
        <v>GAZ:00004006</v>
      </c>
      <c r="D1220" s="58" t="str">
        <f>IFERROR(__xludf.DUMMYFUNCTION("""COMPUTED_VALUE"""),"The third largest island in the Mediterranean Sea (after Sicily and Sardinia), Cyprus is situated in the eastern Mediterranean, just south of the Anatolian peninsula (or Asia Minor) of the Asian mainland; thus, it is often included in the Middle East (see"&amp;" also Western Asia and Near East). Turkey is 75 km north; other neighbouring countries include Syria and Lebanon to the east, Israel to the southeast, Egypt to the south, and Greece to the west-north-west.")</f>
        <v>The third largest island in the Mediterranean Sea (after Sicily and Sardinia), Cyprus is situated in the eastern Mediterranean, just south of the Anatolian peninsula (or Asia Minor) of the Asian mainland; thus, it is often included in the Middle East (see also Western Asia and Near East). Turkey is 75 km north; other neighbouring countries include Syria and Lebanon to the east, Israel to the southeast, Egypt to the south, and Greece to the west-north-west.</v>
      </c>
      <c r="E1220" s="56"/>
      <c r="F1220" s="54"/>
      <c r="G1220" s="54"/>
      <c r="H1220" s="59"/>
      <c r="I1220" s="59"/>
      <c r="J1220" s="59"/>
      <c r="K1220" s="54"/>
    </row>
    <row r="1221">
      <c r="A1221" s="57"/>
      <c r="B1221" s="57" t="str">
        <f>IFERROR(__xludf.DUMMYFUNCTION("""COMPUTED_VALUE"""),"Czech Republic [GAZ:00002954]    ")</f>
        <v>Czech Republic [GAZ:00002954]    </v>
      </c>
      <c r="C1221" s="57" t="str">
        <f>IFERROR(__xludf.DUMMYFUNCTION("""COMPUTED_VALUE"""),"GAZ:00002954")</f>
        <v>GAZ:00002954</v>
      </c>
      <c r="D1221" s="58" t="str">
        <f>IFERROR(__xludf.DUMMYFUNCTION("""COMPUTED_VALUE"""),"A landlocked country in Central Europe. It has borders with Poland to the north, Germany to the northwest and southwest, Austria to the south, and Slovakia to the east. The capital and largest city is Prague. The country is composed of the historic region"&amp;"s of Bohemia and Moravia, as well as parts of Silesia. Since 2000, the Czech Republic is divided into thirteen regions (kraje, singular kraj) and the capital city of Prague. The older seventy-six districts (okresy, singular okres) including three 'statuto"&amp;"ry cities' (without Prague, which had special status) were disbanded in 1999 in an administrative reform; they remain as territorial division and seats of various branches of state administration. Since 2003-01-01, the regions have been divided into aroun"&amp;"d 203 Municipalities with Extended Competence (unofficially named ""Little Districts"" (Czech: 'male okresy') which took over most of the administration of the former District Authorities. Some of these are further divided into Municipalities with Commiss"&amp;"ioned Local Authority. However, the old districts still exist as territorial units and remain as seats of some of the offices.")</f>
        <v>A landlocked country in Central Europe. It has borders with Poland to the north, Germany to the northwest and southwest, Austria to the south, and Slovakia to the east. The capital and largest city is Prague. The country is composed of the historic regions of Bohemia and Moravia, as well as parts of Silesia. Since 2000, the Czech Republic is divided into thirteen regions (kraje, singular kraj) and the capital city of Prague. The older seventy-six districts (okresy, singular okres) including three 'statutory cities' (without Prague, which had special status) were disbanded in 1999 in an administrative reform; they remain as territorial division and seats of various branches of state administration. Since 2003-01-01, the regions have been divided into around 203 Municipalities with Extended Competence (unofficially named "Little Districts" (Czech: 'male okresy') which took over most of the administration of the former District Authorities. Some of these are further divided into Municipalities with Commissioned Local Authority. However, the old districts still exist as territorial units and remain as seats of some of the offices.</v>
      </c>
      <c r="E1221" s="56"/>
      <c r="F1221" s="54"/>
      <c r="G1221" s="54"/>
      <c r="H1221" s="59"/>
      <c r="I1221" s="59"/>
      <c r="J1221" s="59"/>
      <c r="K1221" s="54"/>
    </row>
    <row r="1222">
      <c r="A1222" s="57"/>
      <c r="B1222" s="57" t="str">
        <f>IFERROR(__xludf.DUMMYFUNCTION("""COMPUTED_VALUE"""),"Democratic Republic of the Congo [GAZ:00001086]    ")</f>
        <v>Democratic Republic of the Congo [GAZ:00001086]    </v>
      </c>
      <c r="C1222" s="57" t="str">
        <f>IFERROR(__xludf.DUMMYFUNCTION("""COMPUTED_VALUE"""),"GAZ:00001086")</f>
        <v>GAZ:00001086</v>
      </c>
      <c r="D1222" s="58" t="str">
        <f>IFERROR(__xludf.DUMMYFUNCTION("""COMPUTED_VALUE"""),"A country of central Africa. It borders the Central African Republic and Sudan on the north, Uganda, Rwanda, and Burundi on the east, Zambia and Angola on the south, the Republic of the Congo on the west, and is separated from Tanzania by Lake Tanganyika "&amp;"on the east. The country enjoys access to the ocean through a 40 km stretch of Atlantic coastline at Muanda and the roughly 9 km wide mouth of the Congo river which opens into the Gulf of Guinea. Congo Kinshasa is now divided into 11 Provinces, to be redi"&amp;"stributed into 25 Provinces from 2.2009. Each Province is divided into Zones.")</f>
        <v>A country of central Africa. It borders the Central African Republic and Sudan on the north, Uganda, Rwanda, and Burundi on the east, Zambia and Angola on the south, the Republic of the Congo on the west, and is separated from Tanzania by Lake Tanganyika on the east. The country enjoys access to the ocean through a 40 km stretch of Atlantic coastline at Muanda and the roughly 9 km wide mouth of the Congo river which opens into the Gulf of Guinea. Congo Kinshasa is now divided into 11 Provinces, to be redistributed into 25 Provinces from 2.2009. Each Province is divided into Zones.</v>
      </c>
      <c r="E1222" s="56"/>
      <c r="F1222" s="54"/>
      <c r="G1222" s="54"/>
      <c r="H1222" s="59"/>
      <c r="I1222" s="59"/>
      <c r="J1222" s="59"/>
      <c r="K1222" s="54"/>
    </row>
    <row r="1223">
      <c r="A1223" s="57"/>
      <c r="B1223" s="57" t="str">
        <f>IFERROR(__xludf.DUMMYFUNCTION("""COMPUTED_VALUE"""),"Denmark [GAZ:00005852]    ")</f>
        <v>Denmark [GAZ:00005852]    </v>
      </c>
      <c r="C1223" s="57" t="str">
        <f>IFERROR(__xludf.DUMMYFUNCTION("""COMPUTED_VALUE"""),"GAZ:00005852")</f>
        <v>GAZ:00005852</v>
      </c>
      <c r="D1223" s="58" t="str">
        <f>IFERROR(__xludf.DUMMYFUNCTION("""COMPUTED_VALUE"""),"That part of the Kingdom of Denmark located in continental Europe. The mainland is bordered to the south by Germany; Denmark is located to the southwest of Sweden and the south of Norway. Denmark borders both the Baltic and the North Sea. The country cons"&amp;"ists of a large peninsula, Jutland (Jylland) and a large number of islands, most notably Zealand (Sjaelland), Funen (Fyn), Vendsyssel-Thy, Lolland, Falster and Bornholm as well as hundreds of minor islands often referred to as the Danish Archipelago.")</f>
        <v>That part of the Kingdom of Denmark located in continental Europe. The mainland is bordered to the south by Germany; Denmark is located to the southwest of Sweden and the south of Norway. Denmark borders both the Baltic and the North Sea. The country consists of a large peninsula, Jutland (Jylland) and a large number of islands, most notably Zealand (Sjaelland), Funen (Fyn), Vendsyssel-Thy, Lolland, Falster and Bornholm as well as hundreds of minor islands often referred to as the Danish Archipelago.</v>
      </c>
      <c r="E1223" s="56"/>
      <c r="F1223" s="54"/>
      <c r="G1223" s="54"/>
      <c r="H1223" s="59"/>
      <c r="I1223" s="59"/>
      <c r="J1223" s="59"/>
      <c r="K1223" s="54"/>
    </row>
    <row r="1224">
      <c r="A1224" s="57"/>
      <c r="B1224" s="57" t="str">
        <f>IFERROR(__xludf.DUMMYFUNCTION("""COMPUTED_VALUE"""),"Djibouti [GAZ:00000582]    ")</f>
        <v>Djibouti [GAZ:00000582]    </v>
      </c>
      <c r="C1224" s="57" t="str">
        <f>IFERROR(__xludf.DUMMYFUNCTION("""COMPUTED_VALUE"""),"GAZ:00000582")</f>
        <v>GAZ:00000582</v>
      </c>
      <c r="D1224" s="58" t="str">
        <f>IFERROR(__xludf.DUMMYFUNCTION("""COMPUTED_VALUE"""),"A country in eastern Africa. Djibouti is bordered by Eritrea in the north, Ethiopia in the west and south, and Somalia in the southeast. The remainder of the border is formed by the Red Sea and the Gulf of Aden. On the other side of the Red Sea, on the Ar"&amp;"abian Peninsula, 20 km from the coast of Djibouti, is Yemen. The capital of Djibouti is the city of Djibouti. Djibouti is divided into 5 regions and one city. It is further subdivided into 11 districts.")</f>
        <v>A country in eastern Africa. Djibouti is bordered by Eritrea in the north, Ethiopia in the west and south, and Somalia in the southeast. The remainder of the border is formed by the Red Sea and the Gulf of Aden. On the other side of the Red Sea, on the Arabian Peninsula, 20 km from the coast of Djibouti, is Yemen. The capital of Djibouti is the city of Djibouti. Djibouti is divided into 5 regions and one city. It is further subdivided into 11 districts.</v>
      </c>
      <c r="E1224" s="56"/>
      <c r="F1224" s="54"/>
      <c r="G1224" s="54"/>
      <c r="H1224" s="59"/>
      <c r="I1224" s="59"/>
      <c r="J1224" s="59"/>
      <c r="K1224" s="54"/>
    </row>
    <row r="1225">
      <c r="A1225" s="57"/>
      <c r="B1225" s="57" t="str">
        <f>IFERROR(__xludf.DUMMYFUNCTION("""COMPUTED_VALUE"""),"Dominica [GAZ:00006890]    ")</f>
        <v>Dominica [GAZ:00006890]    </v>
      </c>
      <c r="C1225" s="57" t="str">
        <f>IFERROR(__xludf.DUMMYFUNCTION("""COMPUTED_VALUE"""),"GAZ:00006890")</f>
        <v>GAZ:00006890</v>
      </c>
      <c r="D1225" s="58" t="str">
        <f>IFERROR(__xludf.DUMMYFUNCTION("""COMPUTED_VALUE"""),"An island nation in the Caribbean Sea. Dominica is divided into ten parishes.")</f>
        <v>An island nation in the Caribbean Sea. Dominica is divided into ten parishes.</v>
      </c>
      <c r="E1225" s="56"/>
      <c r="F1225" s="54"/>
      <c r="G1225" s="54"/>
      <c r="H1225" s="59"/>
      <c r="I1225" s="59"/>
      <c r="J1225" s="59"/>
      <c r="K1225" s="54"/>
    </row>
    <row r="1226">
      <c r="A1226" s="57"/>
      <c r="B1226" s="57" t="str">
        <f>IFERROR(__xludf.DUMMYFUNCTION("""COMPUTED_VALUE"""),"Dominican Republic [GAZ:00003952]    ")</f>
        <v>Dominican Republic [GAZ:00003952]    </v>
      </c>
      <c r="C1226" s="57" t="str">
        <f>IFERROR(__xludf.DUMMYFUNCTION("""COMPUTED_VALUE"""),"GAZ:00003952")</f>
        <v>GAZ:00003952</v>
      </c>
      <c r="D1226" s="58" t="str">
        <f>IFERROR(__xludf.DUMMYFUNCTION("""COMPUTED_VALUE"""),"A country in the West Indies that occupies the E two-thirds of the Hispaniola island. The Dominican Republic's shores are washed by the Atlantic Ocean to the north and the Caribbean Sea to the south. The Mona Passage, a channel about 130 km wide, separate"&amp;"s the country (and the Hispaniola) from Puerto Rico. The Dominican Republic is divided into 31 provinces. Additionally, the national capital, Santo Domingo, is contained within its own Distrito Nacional (National District). The provinces are divided into "&amp;"municipalities (municipios; singular municipio).")</f>
        <v>A country in the West Indies that occupies the E two-thirds of the Hispaniola island. The Dominican Republic's shores are washed by the Atlantic Ocean to the north and the Caribbean Sea to the south. The Mona Passage, a channel about 130 km wide, separates the country (and the Hispaniola) from Puerto Rico. The Dominican Republic is divided into 31 provinces. Additionally, the national capital, Santo Domingo, is contained within its own Distrito Nacional (National District). The provinces are divided into municipalities (municipios; singular municipio).</v>
      </c>
      <c r="E1226" s="56"/>
      <c r="F1226" s="54"/>
      <c r="G1226" s="54"/>
      <c r="H1226" s="59"/>
      <c r="I1226" s="59"/>
      <c r="J1226" s="59"/>
      <c r="K1226" s="54"/>
    </row>
    <row r="1227">
      <c r="A1227" s="57"/>
      <c r="B1227" s="57" t="str">
        <f>IFERROR(__xludf.DUMMYFUNCTION("""COMPUTED_VALUE"""),"Ecuador [GAZ:00002912]    ")</f>
        <v>Ecuador [GAZ:00002912]    </v>
      </c>
      <c r="C1227" s="57" t="str">
        <f>IFERROR(__xludf.DUMMYFUNCTION("""COMPUTED_VALUE"""),"GAZ:00002912")</f>
        <v>GAZ:00002912</v>
      </c>
      <c r="D1227" s="58" t="str">
        <f>IFERROR(__xludf.DUMMYFUNCTION("""COMPUTED_VALUE"""),"A country in South America, bordered by Colombia on the north, by Peru on the east and south, and by the Pacific Ocean to the west. The country also includes the Galapagos Islands (Archipelago de Colon) in the Pacific, about 965 km west of the mainland. E"&amp;"cuador is divided into 24 provinces, divided into 199 cantons and subdivided into parishes (or parroquias).")</f>
        <v>A country in South America, bordered by Colombia on the north, by Peru on the east and south, and by the Pacific Ocean to the west. The country also includes the Galapagos Islands (Archipelago de Colon) in the Pacific, about 965 km west of the mainland. Ecuador is divided into 24 provinces, divided into 199 cantons and subdivided into parishes (or parroquias).</v>
      </c>
      <c r="E1227" s="56"/>
      <c r="F1227" s="54"/>
      <c r="G1227" s="54"/>
      <c r="H1227" s="59"/>
      <c r="I1227" s="59"/>
      <c r="J1227" s="59"/>
      <c r="K1227" s="54"/>
    </row>
    <row r="1228">
      <c r="A1228" s="57"/>
      <c r="B1228" s="57" t="str">
        <f>IFERROR(__xludf.DUMMYFUNCTION("""COMPUTED_VALUE"""),"Egypt [GAZ:00003934]    ")</f>
        <v>Egypt [GAZ:00003934]    </v>
      </c>
      <c r="C1228" s="57" t="str">
        <f>IFERROR(__xludf.DUMMYFUNCTION("""COMPUTED_VALUE"""),"GAZ:00003934")</f>
        <v>GAZ:00003934</v>
      </c>
      <c r="D1228" s="58" t="str">
        <f>IFERROR(__xludf.DUMMYFUNCTION("""COMPUTED_VALUE"""),"A country in North Africa that includes the Sinai Peninsula, a land bridge to Asia. Egypt borders Libya to the west, Sudan to the south, and the Gaza Strip and Israel to the east. The northern coast borders the Mediterranean Sea and the island of Cyprus; "&amp;"the eastern coast borders the Red Sea. Egypt is divided into 26 governorates (in Arabic, called muhafazat, singular muhafazah). The governorates are further divided into regions (markazes).")</f>
        <v>A country in North Africa that includes the Sinai Peninsula, a land bridge to Asia. Egypt borders Libya to the west, Sudan to the south, and the Gaza Strip and Israel to the east. The northern coast borders the Mediterranean Sea and the island of Cyprus; the eastern coast borders the Red Sea. Egypt is divided into 26 governorates (in Arabic, called muhafazat, singular muhafazah). The governorates are further divided into regions (markazes).</v>
      </c>
      <c r="E1228" s="56"/>
      <c r="F1228" s="54"/>
      <c r="G1228" s="54"/>
      <c r="H1228" s="59"/>
      <c r="I1228" s="59"/>
      <c r="J1228" s="59"/>
      <c r="K1228" s="54"/>
    </row>
    <row r="1229">
      <c r="A1229" s="57"/>
      <c r="B1229" s="57" t="str">
        <f>IFERROR(__xludf.DUMMYFUNCTION("""COMPUTED_VALUE"""),"El Salvador [GAZ:00002935]    ")</f>
        <v>El Salvador [GAZ:00002935]    </v>
      </c>
      <c r="C1229" s="57" t="str">
        <f>IFERROR(__xludf.DUMMYFUNCTION("""COMPUTED_VALUE"""),"GAZ:00002935")</f>
        <v>GAZ:00002935</v>
      </c>
      <c r="D1229" s="58" t="str">
        <f>IFERROR(__xludf.DUMMYFUNCTION("""COMPUTED_VALUE"""),"A country in Central America, bordering the Pacific Ocean between Guatemala and Honduras. El Salvador is divided into 14 departments (departamentos), which, in turn, are subdivided into 267 municipalities (municipios).")</f>
        <v>A country in Central America, bordering the Pacific Ocean between Guatemala and Honduras. El Salvador is divided into 14 departments (departamentos), which, in turn, are subdivided into 267 municipalities (municipios).</v>
      </c>
      <c r="E1229" s="56"/>
      <c r="F1229" s="54"/>
      <c r="G1229" s="54"/>
      <c r="H1229" s="59"/>
      <c r="I1229" s="59"/>
      <c r="J1229" s="59"/>
      <c r="K1229" s="54"/>
    </row>
    <row r="1230">
      <c r="A1230" s="57"/>
      <c r="B1230" s="57" t="str">
        <f>IFERROR(__xludf.DUMMYFUNCTION("""COMPUTED_VALUE"""),"Equatorial Guinea [GAZ:00001091]    ")</f>
        <v>Equatorial Guinea [GAZ:00001091]    </v>
      </c>
      <c r="C1230" s="57" t="str">
        <f>IFERROR(__xludf.DUMMYFUNCTION("""COMPUTED_VALUE"""),"GAZ:00001091")</f>
        <v>GAZ:00001091</v>
      </c>
      <c r="D1230" s="58" t="str">
        <f>IFERROR(__xludf.DUMMYFUNCTION("""COMPUTED_VALUE"""),"A country in Central Africa. It is one of the smallest countries in continental Africa, and comprises two regions: Rio Muni, continental region including several offshore islands; and Insular Region containing Annobon island in the South Atlantic Ocean, a"&amp;"nd Bioko island (formerly Fernando Po) that contains the capital, Malabo. Equatorial Guinea is divided into seven provinces which are divided into districts.")</f>
        <v>A country in Central Africa. It is one of the smallest countries in continental Africa, and comprises two regions: Rio Muni, continental region including several offshore islands; and Insular Region containing Annobon island in the South Atlantic Ocean, and Bioko island (formerly Fernando Po) that contains the capital, Malabo. Equatorial Guinea is divided into seven provinces which are divided into districts.</v>
      </c>
      <c r="E1230" s="56"/>
      <c r="F1230" s="54"/>
      <c r="G1230" s="54"/>
      <c r="H1230" s="59"/>
      <c r="I1230" s="59"/>
      <c r="J1230" s="59"/>
      <c r="K1230" s="54"/>
    </row>
    <row r="1231">
      <c r="A1231" s="57"/>
      <c r="B1231" s="57" t="str">
        <f>IFERROR(__xludf.DUMMYFUNCTION("""COMPUTED_VALUE"""),"Eritrea [GAZ:00000581]    ")</f>
        <v>Eritrea [GAZ:00000581]    </v>
      </c>
      <c r="C1231" s="57" t="str">
        <f>IFERROR(__xludf.DUMMYFUNCTION("""COMPUTED_VALUE"""),"GAZ:00000581")</f>
        <v>GAZ:00000581</v>
      </c>
      <c r="D1231" s="58" t="str">
        <f>IFERROR(__xludf.DUMMYFUNCTION("""COMPUTED_VALUE"""),"A country situated in northern East Africa. It is bordered by Sudan in the west, Ethiopia in the south, and Djibouti in the southeast. The east and northeast of the country have an extensive coastline on the Red Sea, directly across from Saudi Arabia and "&amp;"Yemen. The Dahlak Archipelago and several of the Hanish Islands are part of Eritrea. Eritrea is divided into six regions (zobas) and subdivided into districts (""sub-zobas"").")</f>
        <v>A country situated in northern East Africa. It is bordered by Sudan in the west, Ethiopia in the south, and Djibouti in the southeast. The east and northeast of the country have an extensive coastline on the Red Sea, directly across from Saudi Arabia and Yemen. The Dahlak Archipelago and several of the Hanish Islands are part of Eritrea. Eritrea is divided into six regions (zobas) and subdivided into districts ("sub-zobas").</v>
      </c>
      <c r="E1231" s="56"/>
      <c r="F1231" s="54"/>
      <c r="G1231" s="54"/>
      <c r="H1231" s="59"/>
      <c r="I1231" s="59"/>
      <c r="J1231" s="59"/>
      <c r="K1231" s="54"/>
    </row>
    <row r="1232">
      <c r="A1232" s="57"/>
      <c r="B1232" s="57" t="str">
        <f>IFERROR(__xludf.DUMMYFUNCTION("""COMPUTED_VALUE"""),"Estonia [GAZ:00002959]    ")</f>
        <v>Estonia [GAZ:00002959]    </v>
      </c>
      <c r="C1232" s="57" t="str">
        <f>IFERROR(__xludf.DUMMYFUNCTION("""COMPUTED_VALUE"""),"GAZ:00002959")</f>
        <v>GAZ:00002959</v>
      </c>
      <c r="D1232" s="58" t="str">
        <f>IFERROR(__xludf.DUMMYFUNCTION("""COMPUTED_VALUE"""),"A country in Northern Europe. Estonia has land borders to the south with Latvia and to the east with Russia. It is separated from Finland in the north by the Gulf of Finland and from Sweden in the west by the Baltic Sea. Estonia is divided into 15 countie"&amp;"s. (maakonnad; sing. - maakond). Estonian counties are divided into rural (vallad, singular vald) and urban (linnad, singular linn; alevid, singular alev; alevikud, singular alevik) municipalities. The municipalities comprise populated places (asula or as"&amp;"ustusuksus) - various settlements and territorial units that have no administrative function. A group of populated places form a rural municipality with local administration. Most towns constitute separate urban municipalities, while some have joined with"&amp;" surrounding rural municipalities.")</f>
        <v>A country in Northern Europe. Estonia has land borders to the south with Latvia and to the east with Russia. It is separated from Finland in the north by the Gulf of Finland and from Sweden in the west by the Baltic Sea. Estonia is divided into 15 counties. (maakonnad; sing. - maakond). Estonian counties are divided into rural (vallad, singular vald) and urban (linnad, singular linn; alevid, singular alev; alevikud, singular alevik) municipalities. The municipalities comprise populated places (asula or asustusuksus) - various settlements and territorial units that have no administrative function. A group of populated places form a rural municipality with local administration. Most towns constitute separate urban municipalities, while some have joined with surrounding rural municipalities.</v>
      </c>
      <c r="E1232" s="56"/>
      <c r="F1232" s="54"/>
      <c r="G1232" s="54"/>
      <c r="H1232" s="59"/>
      <c r="I1232" s="59"/>
      <c r="J1232" s="59"/>
      <c r="K1232" s="54"/>
    </row>
    <row r="1233">
      <c r="A1233" s="57"/>
      <c r="B1233" s="57" t="str">
        <f>IFERROR(__xludf.DUMMYFUNCTION("""COMPUTED_VALUE"""),"Eswatini [GAZ:00001099]    ")</f>
        <v>Eswatini [GAZ:00001099]    </v>
      </c>
      <c r="C1233" s="57" t="str">
        <f>IFERROR(__xludf.DUMMYFUNCTION("""COMPUTED_VALUE"""),"GAZ:00001099")</f>
        <v>GAZ:00001099</v>
      </c>
      <c r="D1233" s="58" t="str">
        <f>IFERROR(__xludf.DUMMYFUNCTION("""COMPUTED_VALUE"""),"A small, landlocked country in Africa embedded between South Africa in the west, north and south and Mozambique in the east. Swaziland is divided into four districts, each of which is divided into Tinkhundla (singular, Inkhundla).")</f>
        <v>A small, landlocked country in Africa embedded between South Africa in the west, north and south and Mozambique in the east. Swaziland is divided into four districts, each of which is divided into Tinkhundla (singular, Inkhundla).</v>
      </c>
      <c r="E1233" s="56"/>
      <c r="F1233" s="54"/>
      <c r="G1233" s="54"/>
      <c r="H1233" s="59"/>
      <c r="I1233" s="59"/>
      <c r="J1233" s="59"/>
      <c r="K1233" s="54"/>
    </row>
    <row r="1234">
      <c r="A1234" s="57"/>
      <c r="B1234" s="57" t="str">
        <f>IFERROR(__xludf.DUMMYFUNCTION("""COMPUTED_VALUE"""),"Ethiopia [GAZ:00000567]    ")</f>
        <v>Ethiopia [GAZ:00000567]    </v>
      </c>
      <c r="C1234" s="57" t="str">
        <f>IFERROR(__xludf.DUMMYFUNCTION("""COMPUTED_VALUE"""),"GAZ:00000567")</f>
        <v>GAZ:00000567</v>
      </c>
      <c r="D1234" s="58" t="str">
        <f>IFERROR(__xludf.DUMMYFUNCTION("""COMPUTED_VALUE"""),"A country situated in the Horn of Africa that has been landlocked since the independence of its northern neighbor Eritrea in 1993. Apart from Eritrea to the north, Ethiopia is bordered by Sudan to the west, Kenya to the south, Djibouti to the northeast, a"&amp;"nd Somalia to the east. Since 1996 Ethiopia has had a tiered government system consisting of a federal government overseeing ethnically-based regional states, zones, districts (woredas), and neighborhoods (kebele). It is divided into nine ethnically-based"&amp;" administrative states (kililoch, singular kilil) and subdivided into sixty-eight zones and two chartered cities (astedader akababiwoch, singular astedader akababi): Addis Ababa and Dire Dawa. It is further subdivided into 550 woredas and six special wore"&amp;"das.")</f>
        <v>A country situated in the Horn of Africa that has been landlocked since the independence of its northern neighbor Eritrea in 1993. Apart from Eritrea to the north, Ethiopia is bordered by Sudan to the west, Kenya to the south, Djibouti to the northeast, and Somalia to the east. Since 1996 Ethiopia has had a tiered government system consisting of a federal government overseeing ethnically-based regional states, zones, districts (woredas), and neighborhoods (kebele). It is divided into nine ethnically-based administrative states (kililoch, singular kilil) and subdivided into sixty-eight zones and two chartered cities (astedader akababiwoch, singular astedader akababi): Addis Ababa and Dire Dawa. It is further subdivided into 550 woredas and six special woredas.</v>
      </c>
      <c r="E1234" s="56"/>
      <c r="F1234" s="54"/>
      <c r="G1234" s="54"/>
      <c r="H1234" s="59"/>
      <c r="I1234" s="59"/>
      <c r="J1234" s="59"/>
      <c r="K1234" s="54"/>
    </row>
    <row r="1235">
      <c r="A1235" s="57"/>
      <c r="B1235" s="57" t="str">
        <f>IFERROR(__xludf.DUMMYFUNCTION("""COMPUTED_VALUE"""),"Europa Island [GAZ:00005811]    ")</f>
        <v>Europa Island [GAZ:00005811]    </v>
      </c>
      <c r="C1235" s="57" t="str">
        <f>IFERROR(__xludf.DUMMYFUNCTION("""COMPUTED_VALUE"""),"GAZ:00005811")</f>
        <v>GAZ:00005811</v>
      </c>
      <c r="D1235" s="58" t="str">
        <f>IFERROR(__xludf.DUMMYFUNCTION("""COMPUTED_VALUE"""),"A 28 km2 low-lying tropical island in the Mozambique Channel, about a third of the way from southern Madagascar to southern Mozambique.")</f>
        <v>A 28 km2 low-lying tropical island in the Mozambique Channel, about a third of the way from southern Madagascar to southern Mozambique.</v>
      </c>
      <c r="E1235" s="56"/>
      <c r="F1235" s="54"/>
      <c r="G1235" s="54"/>
      <c r="H1235" s="59"/>
      <c r="I1235" s="59"/>
      <c r="J1235" s="59"/>
      <c r="K1235" s="54"/>
    </row>
    <row r="1236">
      <c r="A1236" s="57"/>
      <c r="B1236" s="57" t="str">
        <f>IFERROR(__xludf.DUMMYFUNCTION("""COMPUTED_VALUE"""),"Falkland Islands (Islas Malvinas) [GAZ:00001412]    ")</f>
        <v>Falkland Islands (Islas Malvinas) [GAZ:00001412]    </v>
      </c>
      <c r="C1236" s="57" t="str">
        <f>IFERROR(__xludf.DUMMYFUNCTION("""COMPUTED_VALUE"""),"GAZ:00001412")</f>
        <v>GAZ:00001412</v>
      </c>
      <c r="D1236" s="58" t="str">
        <f>IFERROR(__xludf.DUMMYFUNCTION("""COMPUTED_VALUE"""),"An archipelago in the South Atlantic Ocean, located 483 km from the coast of Argentina, 1,080 km west of the Shag Rocks (South Georgia), and 940 km north of Antarctica (Elephant Island). They consist of two main islands, East Falkland and West Falkland, t"&amp;"ogether with 776 smaller islands.")</f>
        <v>An archipelago in the South Atlantic Ocean, located 483 km from the coast of Argentina, 1,080 km west of the Shag Rocks (South Georgia), and 940 km north of Antarctica (Elephant Island). They consist of two main islands, East Falkland and West Falkland, together with 776 smaller islands.</v>
      </c>
      <c r="E1236" s="56"/>
      <c r="F1236" s="54"/>
      <c r="G1236" s="54"/>
      <c r="H1236" s="59"/>
      <c r="I1236" s="59"/>
      <c r="J1236" s="59"/>
      <c r="K1236" s="54"/>
    </row>
    <row r="1237">
      <c r="A1237" s="57"/>
      <c r="B1237" s="57" t="str">
        <f>IFERROR(__xludf.DUMMYFUNCTION("""COMPUTED_VALUE"""),"Faroe Islands [GAZ:00059206]    ")</f>
        <v>Faroe Islands [GAZ:00059206]    </v>
      </c>
      <c r="C1237" s="57" t="str">
        <f>IFERROR(__xludf.DUMMYFUNCTION("""COMPUTED_VALUE"""),"GAZ:00059206")</f>
        <v>GAZ:00059206</v>
      </c>
      <c r="D1237" s="58" t="str">
        <f>IFERROR(__xludf.DUMMYFUNCTION("""COMPUTED_VALUE"""),"An autonomous province of the Kingdom of Denmark since 1948 located in the Faroes. Administratively, the islands are divided into 34 municipalities (kommunur) within which 120 or so cities and villages lie.")</f>
        <v>An autonomous province of the Kingdom of Denmark since 1948 located in the Faroes. Administratively, the islands are divided into 34 municipalities (kommunur) within which 120 or so cities and villages lie.</v>
      </c>
      <c r="E1237" s="56"/>
      <c r="F1237" s="54"/>
      <c r="G1237" s="54"/>
      <c r="H1237" s="59"/>
      <c r="I1237" s="59"/>
      <c r="J1237" s="59"/>
      <c r="K1237" s="54"/>
    </row>
    <row r="1238">
      <c r="A1238" s="57"/>
      <c r="B1238" s="57" t="str">
        <f>IFERROR(__xludf.DUMMYFUNCTION("""COMPUTED_VALUE"""),"Fiji [GAZ:00006891]    ")</f>
        <v>Fiji [GAZ:00006891]    </v>
      </c>
      <c r="C1238" s="57" t="str">
        <f>IFERROR(__xludf.DUMMYFUNCTION("""COMPUTED_VALUE"""),"GAZ:00006891")</f>
        <v>GAZ:00006891</v>
      </c>
      <c r="D1238" s="58" t="str">
        <f>IFERROR(__xludf.DUMMYFUNCTION("""COMPUTED_VALUE"""),"An island nation in the South Pacific Ocean east of Vanuatu, west of Tonga and south of Tuvalu. The country occupies an archipelago of about 322 islands, of which 106 are permanently inhabited, and 522 islets. The two major islands, Viti Levu and Vanua Le"&amp;"vu, account for 87% of the population.")</f>
        <v>An island nation in the South Pacific Ocean east of Vanuatu, west of Tonga and south of Tuvalu. The country occupies an archipelago of about 322 islands, of which 106 are permanently inhabited, and 522 islets. The two major islands, Viti Levu and Vanua Levu, account for 87% of the population.</v>
      </c>
      <c r="E1238" s="56"/>
      <c r="F1238" s="54"/>
      <c r="G1238" s="54"/>
      <c r="H1238" s="59"/>
      <c r="I1238" s="59"/>
      <c r="J1238" s="59"/>
      <c r="K1238" s="54"/>
    </row>
    <row r="1239">
      <c r="A1239" s="57"/>
      <c r="B1239" s="57" t="str">
        <f>IFERROR(__xludf.DUMMYFUNCTION("""COMPUTED_VALUE"""),"Finland [GAZ:00002937]    ")</f>
        <v>Finland [GAZ:00002937]    </v>
      </c>
      <c r="C1239" s="57" t="str">
        <f>IFERROR(__xludf.DUMMYFUNCTION("""COMPUTED_VALUE"""),"GAZ:00002937")</f>
        <v>GAZ:00002937</v>
      </c>
      <c r="D1239" s="58" t="str">
        <f>IFERROR(__xludf.DUMMYFUNCTION("""COMPUTED_VALUE"""),"A Nordic country situated in the Fennoscandian region of Northern Europe. It has borders with Sweden to the west, Russia to the east, and Norway to the north, while Estonia lies to its south across the Gulf of Finland. The capital city is Helsinki. Finlan"&amp;"d is divided into six administrative provinces (laani, plural laanit). These are divided into 20 regions (maakunt), 77 subregions (seutukunta) and then into municipalities (kunta).")</f>
        <v>A Nordic country situated in the Fennoscandian region of Northern Europe. It has borders with Sweden to the west, Russia to the east, and Norway to the north, while Estonia lies to its south across the Gulf of Finland. The capital city is Helsinki. Finland is divided into six administrative provinces (laani, plural laanit). These are divided into 20 regions (maakunt), 77 subregions (seutukunta) and then into municipalities (kunta).</v>
      </c>
      <c r="E1239" s="56"/>
      <c r="F1239" s="54"/>
      <c r="G1239" s="54"/>
      <c r="H1239" s="59"/>
      <c r="I1239" s="59"/>
      <c r="J1239" s="59"/>
      <c r="K1239" s="54"/>
    </row>
    <row r="1240">
      <c r="A1240" s="57"/>
      <c r="B1240" s="57" t="str">
        <f>IFERROR(__xludf.DUMMYFUNCTION("""COMPUTED_VALUE"""),"France [GAZ:00003940]    ")</f>
        <v>France [GAZ:00003940]    </v>
      </c>
      <c r="C1240" s="57" t="str">
        <f>IFERROR(__xludf.DUMMYFUNCTION("""COMPUTED_VALUE"""),"GAZ:00003940")</f>
        <v>GAZ:00003940</v>
      </c>
      <c r="D1240" s="58" t="str">
        <f>IFERROR(__xludf.DUMMYFUNCTION("""COMPUTED_VALUE"""),"A part of the country of France that extends from the Mediterranean Sea to the English Channel and the North Sea, and from the Rhine to the Atlantic Ocean. Metropolitan France is bordered by Belgium, Luxembourg, Germany, Switzerland, Italy, Monaco, Andorr"&amp;"a, and Spain. Due to its overseas departments.")</f>
        <v>A part of the country of France that extends from the Mediterranean Sea to the English Channel and the North Sea, and from the Rhine to the Atlantic Ocean. Metropolitan France is bordered by Belgium, Luxembourg, Germany, Switzerland, Italy, Monaco, Andorra, and Spain. Due to its overseas departments.</v>
      </c>
      <c r="E1240" s="56"/>
      <c r="F1240" s="54"/>
      <c r="G1240" s="54"/>
      <c r="H1240" s="59"/>
      <c r="I1240" s="59"/>
      <c r="J1240" s="59"/>
      <c r="K1240" s="54"/>
    </row>
    <row r="1241">
      <c r="A1241" s="57"/>
      <c r="B1241" s="57" t="str">
        <f>IFERROR(__xludf.DUMMYFUNCTION("""COMPUTED_VALUE"""),"French Guiana [GAZ:00002516]    ")</f>
        <v>French Guiana [GAZ:00002516]    </v>
      </c>
      <c r="C1241" s="57" t="str">
        <f>IFERROR(__xludf.DUMMYFUNCTION("""COMPUTED_VALUE"""),"GAZ:00002516")</f>
        <v>GAZ:00002516</v>
      </c>
      <c r="D1241" s="58" t="str">
        <f>IFERROR(__xludf.DUMMYFUNCTION("""COMPUTED_VALUE"""),"An overseas department (departement d'outre-mer) of France, located on the northern coast of South America. It is bordered by Suriname, to the E, and Brazil, to the S and W, and by the North Atlantic Ocean, to the N. French Guiana is divided into 2 depart"&amp;"mental arrondissements, 19 cantons and 22 communes.")</f>
        <v>An overseas department (departement d'outre-mer) of France, located on the northern coast of South America. It is bordered by Suriname, to the E, and Brazil, to the S and W, and by the North Atlantic Ocean, to the N. French Guiana is divided into 2 departmental arrondissements, 19 cantons and 22 communes.</v>
      </c>
      <c r="E1241" s="56"/>
      <c r="F1241" s="54"/>
      <c r="G1241" s="54"/>
      <c r="H1241" s="59"/>
      <c r="I1241" s="59"/>
      <c r="J1241" s="59"/>
      <c r="K1241" s="54"/>
    </row>
    <row r="1242">
      <c r="A1242" s="57"/>
      <c r="B1242" s="57" t="str">
        <f>IFERROR(__xludf.DUMMYFUNCTION("""COMPUTED_VALUE"""),"French Polynesia [GAZ:00002918]    ")</f>
        <v>French Polynesia [GAZ:00002918]    </v>
      </c>
      <c r="C1242" s="57" t="str">
        <f>IFERROR(__xludf.DUMMYFUNCTION("""COMPUTED_VALUE"""),"GAZ:00002918")</f>
        <v>GAZ:00002918</v>
      </c>
      <c r="D1242" s="58" t="str">
        <f>IFERROR(__xludf.DUMMYFUNCTION("""COMPUTED_VALUE"""),"A French overseas collectivity in the southern Pacific Ocean. It is made up of several groups of Polynesian islands. French Polynesia has five administrative subdivisions (French: subdivisions administratives).")</f>
        <v>A French overseas collectivity in the southern Pacific Ocean. It is made up of several groups of Polynesian islands. French Polynesia has five administrative subdivisions (French: subdivisions administratives).</v>
      </c>
      <c r="E1242" s="56"/>
      <c r="F1242" s="54"/>
      <c r="G1242" s="54"/>
      <c r="H1242" s="59"/>
      <c r="I1242" s="59"/>
      <c r="J1242" s="59"/>
      <c r="K1242" s="54"/>
    </row>
    <row r="1243">
      <c r="A1243" s="57"/>
      <c r="B1243" s="57" t="str">
        <f>IFERROR(__xludf.DUMMYFUNCTION("""COMPUTED_VALUE"""),"French Southern and Antarctic Lands [GAZ:00003753]    ")</f>
        <v>French Southern and Antarctic Lands [GAZ:00003753]    </v>
      </c>
      <c r="C1243" s="57" t="str">
        <f>IFERROR(__xludf.DUMMYFUNCTION("""COMPUTED_VALUE"""),"GAZ:00003753")</f>
        <v>GAZ:00003753</v>
      </c>
      <c r="D1243" s="58" t="str">
        <f>IFERROR(__xludf.DUMMYFUNCTION("""COMPUTED_VALUE"""),"The French Southern and Antarctic Lands have formed a territoire d'outre-mer (an overseas territory) of France since 1955. The territory is divided into five districts.")</f>
        <v>The French Southern and Antarctic Lands have formed a territoire d'outre-mer (an overseas territory) of France since 1955. The territory is divided into five districts.</v>
      </c>
      <c r="E1243" s="56"/>
      <c r="F1243" s="54"/>
      <c r="G1243" s="54"/>
      <c r="H1243" s="59"/>
      <c r="I1243" s="59"/>
      <c r="J1243" s="59"/>
      <c r="K1243" s="54"/>
    </row>
    <row r="1244">
      <c r="A1244" s="57"/>
      <c r="B1244" s="57" t="str">
        <f>IFERROR(__xludf.DUMMYFUNCTION("""COMPUTED_VALUE"""),"Gabon [GAZ:00001092]    ")</f>
        <v>Gabon [GAZ:00001092]    </v>
      </c>
      <c r="C1244" s="57" t="str">
        <f>IFERROR(__xludf.DUMMYFUNCTION("""COMPUTED_VALUE"""),"GAZ:00001092")</f>
        <v>GAZ:00001092</v>
      </c>
      <c r="D1244" s="58" t="str">
        <f>IFERROR(__xludf.DUMMYFUNCTION("""COMPUTED_VALUE"""),"A country in west central Africa sharing borders with Equatorial Guinea, Cameroon, Republic of the Congo and the Gulf of Guinea. The capital and largest city is Libreville. Gabon is divided into 9 provinces and further divided into 37 departments.")</f>
        <v>A country in west central Africa sharing borders with Equatorial Guinea, Cameroon, Republic of the Congo and the Gulf of Guinea. The capital and largest city is Libreville. Gabon is divided into 9 provinces and further divided into 37 departments.</v>
      </c>
      <c r="E1244" s="56"/>
      <c r="F1244" s="54"/>
      <c r="G1244" s="54"/>
      <c r="H1244" s="59"/>
      <c r="I1244" s="59"/>
      <c r="J1244" s="59"/>
      <c r="K1244" s="54"/>
    </row>
    <row r="1245">
      <c r="A1245" s="57"/>
      <c r="B1245" s="57" t="str">
        <f>IFERROR(__xludf.DUMMYFUNCTION("""COMPUTED_VALUE"""),"Gambia [GAZ:00000907]    ")</f>
        <v>Gambia [GAZ:00000907]    </v>
      </c>
      <c r="C1245" s="57" t="str">
        <f>IFERROR(__xludf.DUMMYFUNCTION("""COMPUTED_VALUE"""),"GAZ:00000907")</f>
        <v>GAZ:00000907</v>
      </c>
      <c r="D1245" s="58" t="str">
        <f>IFERROR(__xludf.DUMMYFUNCTION("""COMPUTED_VALUE"""),"A country in Western Africa. It is the smallest country on the African continental mainland and is bordered to the north, east, and south by Senegal, and has a small coast on the Atlantic Ocean in the west. Flowing through the centre of the country and di"&amp;"scharging to the Atlantic Ocean is the Gambia River. The Gambia is divided into five divisions and one city (Banjul). The divisions are further subdivided into 37 districts.")</f>
        <v>A country in Western Africa. It is the smallest country on the African continental mainland and is bordered to the north, east, and south by Senegal, and has a small coast on the Atlantic Ocean in the west. Flowing through the centre of the country and discharging to the Atlantic Ocean is the Gambia River. The Gambia is divided into five divisions and one city (Banjul). The divisions are further subdivided into 37 districts.</v>
      </c>
      <c r="E1245" s="56"/>
      <c r="F1245" s="54"/>
      <c r="G1245" s="54"/>
      <c r="H1245" s="59"/>
      <c r="I1245" s="59"/>
      <c r="J1245" s="59"/>
      <c r="K1245" s="54"/>
    </row>
    <row r="1246">
      <c r="A1246" s="57"/>
      <c r="B1246" s="57" t="str">
        <f>IFERROR(__xludf.DUMMYFUNCTION("""COMPUTED_VALUE"""),"Gaza Strip [GAZ:00009571]    ")</f>
        <v>Gaza Strip [GAZ:00009571]    </v>
      </c>
      <c r="C1246" s="57" t="str">
        <f>IFERROR(__xludf.DUMMYFUNCTION("""COMPUTED_VALUE"""),"GAZ:00009571")</f>
        <v>GAZ:00009571</v>
      </c>
      <c r="D1246" s="58" t="str">
        <f>IFERROR(__xludf.DUMMYFUNCTION("""COMPUTED_VALUE"""),"A Palestinian enclave on the eastern coast of the Mediterranean Sea. It borders Egypt on the southwest for 11 kilometers (6.8 mi) and Israel on the east and north along a 51 km (32 mi) border. Gaza and the West Bank are claimed by the de jure sovereign St"&amp;"ate of Palestine.")</f>
        <v>A Palestinian enclave on the eastern coast of the Mediterranean Sea. It borders Egypt on the southwest for 11 kilometers (6.8 mi) and Israel on the east and north along a 51 km (32 mi) border. Gaza and the West Bank are claimed by the de jure sovereign State of Palestine.</v>
      </c>
      <c r="E1246" s="56"/>
      <c r="F1246" s="54"/>
      <c r="G1246" s="54"/>
      <c r="H1246" s="59"/>
      <c r="I1246" s="59"/>
      <c r="J1246" s="59"/>
      <c r="K1246" s="54"/>
    </row>
    <row r="1247">
      <c r="A1247" s="57"/>
      <c r="B1247" s="57" t="str">
        <f>IFERROR(__xludf.DUMMYFUNCTION("""COMPUTED_VALUE"""),"Georgia [GAZ:00004942]    ")</f>
        <v>Georgia [GAZ:00004942]    </v>
      </c>
      <c r="C1247" s="57" t="str">
        <f>IFERROR(__xludf.DUMMYFUNCTION("""COMPUTED_VALUE"""),"GAZ:00004942")</f>
        <v>GAZ:00004942</v>
      </c>
      <c r="D1247" s="58" t="str">
        <f>IFERROR(__xludf.DUMMYFUNCTION("""COMPUTED_VALUE"""),"A Eurasian country in the Caucasus located at the east coast of the Black Sea. In the north, Georgia has a 723 km common border with Russia, specifically with the Northern Caucasus federal district. The following Russian republics/subdivisions: from west "&amp;"to east: border Georgia: Krasnodar Krai, Karachay-Cherkessia, Kabardino-Balkaria, North Ossetia-Alania, Ingushetia, Chechnya, Dagestan. Georgia also shares borders with Azerbaijan (322 km) to the south-east, Armenia (164 km) to the south, and Turkey (252 "&amp;"km) to the south-west. It is a transcontinental country, located at the juncture of Eastern Europe and Western Asia. Georgia is divided into 9 regions, 2 autonomous republics (avtonomiuri respublika), and 1 city (k'alak'i). The regions are further subdivi"&amp;"ded into 69 districts (raioni).")</f>
        <v>A Eurasian country in the Caucasus located at the east coast of the Black Sea. In the north, Georgia has a 723 km common border with Russia, specifically with the Northern Caucasus federal district. The following Russian republics/subdivisions: from west to east: border Georgia: Krasnodar Krai, Karachay-Cherkessia, Kabardino-Balkaria, North Ossetia-Alania, Ingushetia, Chechnya, Dagestan. Georgia also shares borders with Azerbaijan (322 km) to the south-east, Armenia (164 km) to the south, and Turkey (252 km) to the south-west. It is a transcontinental country, located at the juncture of Eastern Europe and Western Asia. Georgia is divided into 9 regions, 2 autonomous republics (avtonomiuri respublika), and 1 city (k'alak'i). The regions are further subdivided into 69 districts (raioni).</v>
      </c>
      <c r="E1247" s="56"/>
      <c r="F1247" s="54"/>
      <c r="G1247" s="54"/>
      <c r="H1247" s="59"/>
      <c r="I1247" s="59"/>
      <c r="J1247" s="59"/>
      <c r="K1247" s="54"/>
    </row>
    <row r="1248">
      <c r="A1248" s="57"/>
      <c r="B1248" s="57" t="str">
        <f>IFERROR(__xludf.DUMMYFUNCTION("""COMPUTED_VALUE"""),"Germany [GAZ:00002646]    ")</f>
        <v>Germany [GAZ:00002646]    </v>
      </c>
      <c r="C1248" s="57" t="str">
        <f>IFERROR(__xludf.DUMMYFUNCTION("""COMPUTED_VALUE"""),"GAZ:00002646")</f>
        <v>GAZ:00002646</v>
      </c>
      <c r="D1248" s="58" t="str">
        <f>IFERROR(__xludf.DUMMYFUNCTION("""COMPUTED_VALUE"""),"A country in Central Europe. It is bordered to the north by the North Sea, Denmark, and the Baltic Sea; to the east by Poland and the Czech Republic; to the south by Austria and Switzerland; and to the west by France, Luxembourg, Belgium, and the Netherla"&amp;"nds. Germany comprises 16 states (Lander, Bundeslander), which are further subdivided into 439 districts (Kreise/Landkreise) and cities (kreisfreie Stadte).")</f>
        <v>A country in Central Europe. It is bordered to the north by the North Sea, Denmark, and the Baltic Sea; to the east by Poland and the Czech Republic; to the south by Austria and Switzerland; and to the west by France, Luxembourg, Belgium, and the Netherlands. Germany comprises 16 states (Lander, Bundeslander), which are further subdivided into 439 districts (Kreise/Landkreise) and cities (kreisfreie Stadte).</v>
      </c>
      <c r="E1248" s="56"/>
      <c r="F1248" s="54"/>
      <c r="G1248" s="54"/>
      <c r="H1248" s="59"/>
      <c r="I1248" s="59"/>
      <c r="J1248" s="59"/>
      <c r="K1248" s="54"/>
    </row>
    <row r="1249">
      <c r="A1249" s="57"/>
      <c r="B1249" s="57" t="str">
        <f>IFERROR(__xludf.DUMMYFUNCTION("""COMPUTED_VALUE"""),"Ghana [GAZ:00000908]    ")</f>
        <v>Ghana [GAZ:00000908]    </v>
      </c>
      <c r="C1249" s="57" t="str">
        <f>IFERROR(__xludf.DUMMYFUNCTION("""COMPUTED_VALUE"""),"GAZ:00000908")</f>
        <v>GAZ:00000908</v>
      </c>
      <c r="D1249" s="58" t="str">
        <f>IFERROR(__xludf.DUMMYFUNCTION("""COMPUTED_VALUE"""),"A country in West Africa. It borders Cote d'Ivoire to the west, Burkina Faso to the north, Togo to the east, and the Gulf of Guinea to the south. Ghana is a divided into 10 regions, subdivided into a total of 138 districts.")</f>
        <v>A country in West Africa. It borders Cote d'Ivoire to the west, Burkina Faso to the north, Togo to the east, and the Gulf of Guinea to the south. Ghana is a divided into 10 regions, subdivided into a total of 138 districts.</v>
      </c>
      <c r="E1249" s="56"/>
      <c r="F1249" s="54"/>
      <c r="G1249" s="54"/>
      <c r="H1249" s="59"/>
      <c r="I1249" s="59"/>
      <c r="J1249" s="59"/>
      <c r="K1249" s="54"/>
    </row>
    <row r="1250">
      <c r="A1250" s="57"/>
      <c r="B1250" s="57" t="str">
        <f>IFERROR(__xludf.DUMMYFUNCTION("""COMPUTED_VALUE"""),"Gibraltar [GAZ:00003987]    ")</f>
        <v>Gibraltar [GAZ:00003987]    </v>
      </c>
      <c r="C1250" s="57" t="str">
        <f>IFERROR(__xludf.DUMMYFUNCTION("""COMPUTED_VALUE"""),"GAZ:00003987")</f>
        <v>GAZ:00003987</v>
      </c>
      <c r="D1250" s="58" t="str">
        <f>IFERROR(__xludf.DUMMYFUNCTION("""COMPUTED_VALUE"""),"A British overseas territory located near the southernmost tip of the Iberian Peninsula overlooking the Strait of Gibraltar. The territory shares a border with Spain to the north.")</f>
        <v>A British overseas territory located near the southernmost tip of the Iberian Peninsula overlooking the Strait of Gibraltar. The territory shares a border with Spain to the north.</v>
      </c>
      <c r="E1250" s="56"/>
      <c r="F1250" s="54"/>
      <c r="G1250" s="54"/>
      <c r="H1250" s="59"/>
      <c r="I1250" s="59"/>
      <c r="J1250" s="59"/>
      <c r="K1250" s="54"/>
    </row>
    <row r="1251">
      <c r="A1251" s="57"/>
      <c r="B1251" s="57" t="str">
        <f>IFERROR(__xludf.DUMMYFUNCTION("""COMPUTED_VALUE"""),"Glorioso Islands [GAZ:00005808]    ")</f>
        <v>Glorioso Islands [GAZ:00005808]    </v>
      </c>
      <c r="C1251" s="57" t="str">
        <f>IFERROR(__xludf.DUMMYFUNCTION("""COMPUTED_VALUE"""),"GAZ:00005808")</f>
        <v>GAZ:00005808</v>
      </c>
      <c r="D1251" s="58" t="str">
        <f>IFERROR(__xludf.DUMMYFUNCTION("""COMPUTED_VALUE"""),"A group of islands and rocks totalling 5 km2, in the northern Mozambique channel, about 160 km northwest of Madagascar.")</f>
        <v>A group of islands and rocks totalling 5 km2, in the northern Mozambique channel, about 160 km northwest of Madagascar.</v>
      </c>
      <c r="E1251" s="56"/>
      <c r="F1251" s="54"/>
      <c r="G1251" s="54"/>
      <c r="H1251" s="59"/>
      <c r="I1251" s="59"/>
      <c r="J1251" s="59"/>
      <c r="K1251" s="54"/>
    </row>
    <row r="1252">
      <c r="A1252" s="57"/>
      <c r="B1252" s="57" t="str">
        <f>IFERROR(__xludf.DUMMYFUNCTION("""COMPUTED_VALUE"""),"Greece [GAZ:00002945]    ")</f>
        <v>Greece [GAZ:00002945]    </v>
      </c>
      <c r="C1252" s="57" t="str">
        <f>IFERROR(__xludf.DUMMYFUNCTION("""COMPUTED_VALUE"""),"GAZ:00002945")</f>
        <v>GAZ:00002945</v>
      </c>
      <c r="D1252" s="58" t="str">
        <f>IFERROR(__xludf.DUMMYFUNCTION("""COMPUTED_VALUE"""),"A country in southeastern Europe, situated on the southern end of the Balkan Peninsula. It has borders with Albania, the former Yugoslav Republic of Macedonia and Bulgaria to the north, and Turkey to the east. The Aegean Sea lies to the east and south of "&amp;"mainland Greece, while the Ionian Sea lies to the west. Both parts of the Eastern Mediterranean basin feature a vast number of islands. Greece consists of thirteen peripheries subdivided into a total of fifty-one prefectures (nomoi, singular nomos). There"&amp;" is also one autonomous area, Mount Athos, which borders the periphery of Central Macedonia.")</f>
        <v>A country in southeastern Europe, situated on the southern end of the Balkan Peninsula. It has borders with Albania, the former Yugoslav Republic of Macedonia and Bulgaria to the north, and Turkey to the east. The Aegean Sea lies to the east and south of mainland Greece, while the Ionian Sea lies to the west. Both parts of the Eastern Mediterranean basin feature a vast number of islands. Greece consists of thirteen peripheries subdivided into a total of fifty-one prefectures (nomoi, singular nomos). There is also one autonomous area, Mount Athos, which borders the periphery of Central Macedonia.</v>
      </c>
      <c r="E1252" s="56"/>
      <c r="F1252" s="54"/>
      <c r="G1252" s="54"/>
      <c r="H1252" s="59"/>
      <c r="I1252" s="59"/>
      <c r="J1252" s="59"/>
      <c r="K1252" s="54"/>
    </row>
    <row r="1253">
      <c r="A1253" s="57"/>
      <c r="B1253" s="57" t="str">
        <f>IFERROR(__xludf.DUMMYFUNCTION("""COMPUTED_VALUE"""),"Greenland [GAZ:00001507]    ")</f>
        <v>Greenland [GAZ:00001507]    </v>
      </c>
      <c r="C1253" s="57" t="str">
        <f>IFERROR(__xludf.DUMMYFUNCTION("""COMPUTED_VALUE"""),"GAZ:00001507")</f>
        <v>GAZ:00001507</v>
      </c>
      <c r="D1253" s="58" t="str">
        <f>IFERROR(__xludf.DUMMYFUNCTION("""COMPUTED_VALUE"""),"A self-governing Danish province located between the Arctic and Atlantic Oceans, east of the Canadian Arctic Archipelago.")</f>
        <v>A self-governing Danish province located between the Arctic and Atlantic Oceans, east of the Canadian Arctic Archipelago.</v>
      </c>
      <c r="E1253" s="56"/>
      <c r="F1253" s="54"/>
      <c r="G1253" s="54"/>
      <c r="H1253" s="59"/>
      <c r="I1253" s="59"/>
      <c r="J1253" s="59"/>
      <c r="K1253" s="54"/>
    </row>
    <row r="1254">
      <c r="A1254" s="57"/>
      <c r="B1254" s="57" t="str">
        <f>IFERROR(__xludf.DUMMYFUNCTION("""COMPUTED_VALUE"""),"Grenada [GAZ:02000573]    ")</f>
        <v>Grenada [GAZ:02000573]    </v>
      </c>
      <c r="C1254" s="57" t="str">
        <f>IFERROR(__xludf.DUMMYFUNCTION("""COMPUTED_VALUE"""),"GAZ:02000573")</f>
        <v>GAZ:02000573</v>
      </c>
      <c r="D1254" s="58" t="str">
        <f>IFERROR(__xludf.DUMMYFUNCTION("""COMPUTED_VALUE"""),"An island country in the West Indies in the Caribbean Sea at the southern end of the Grenadines island chain. Grenada consists of the island of Grenada itself, two smaller islands, Carriacou and Petite Martinique, and several small islands which lie to th"&amp;"e north of the main island and are a part of the Grenadines. It is located northwest of Trinidad and Tobago, northeast of Venezuela and southwest of Saint Vincent and the Grenadines. Its size is 348.5 square kilometres (134.6 sq mi), and it had an estimat"&amp;"ed population of 112,523 in July 2020.")</f>
        <v>An island country in the West Indies in the Caribbean Sea at the southern end of the Grenadines island chain. Grenada consists of the island of Grenada itself, two smaller islands, Carriacou and Petite Martinique, and several small islands which lie to the north of the main island and are a part of the Grenadines. It is located northwest of Trinidad and Tobago, northeast of Venezuela and southwest of Saint Vincent and the Grenadines. Its size is 348.5 square kilometres (134.6 sq mi), and it had an estimated population of 112,523 in July 2020.</v>
      </c>
      <c r="E1254" s="56"/>
      <c r="F1254" s="54"/>
      <c r="G1254" s="54"/>
      <c r="H1254" s="59"/>
      <c r="I1254" s="59"/>
      <c r="J1254" s="59"/>
      <c r="K1254" s="54"/>
    </row>
    <row r="1255">
      <c r="A1255" s="57"/>
      <c r="B1255" s="57" t="str">
        <f>IFERROR(__xludf.DUMMYFUNCTION("""COMPUTED_VALUE"""),"Guadeloupe [GAZ:00067142]    ")</f>
        <v>Guadeloupe [GAZ:00067142]    </v>
      </c>
      <c r="C1255" s="57" t="str">
        <f>IFERROR(__xludf.DUMMYFUNCTION("""COMPUTED_VALUE"""),"GAZ:00067142")</f>
        <v>GAZ:00067142</v>
      </c>
      <c r="D1255" s="58" t="str">
        <f>IFERROR(__xludf.DUMMYFUNCTION("""COMPUTED_VALUE"""),"An archipelago and overseas department and region of France in the Caribbean. It consists of six inhabited islands—Basse-Terre, Grande-Terre, Marie-Galante, La Désirade, and the two inhabited Îles des Saintes—as well as many uninhabited islands and outcro"&amp;"ppings. It is south of Antigua and Barbuda and Montserrat, and north of Dominica.")</f>
        <v>An archipelago and overseas department and region of France in the Caribbean. It consists of six inhabited islands—Basse-Terre, Grande-Terre, Marie-Galante, La Désirade, and the two inhabited Îles des Saintes—as well as many uninhabited islands and outcroppings. It is south of Antigua and Barbuda and Montserrat, and north of Dominica.</v>
      </c>
      <c r="E1255" s="56"/>
      <c r="F1255" s="54"/>
      <c r="G1255" s="54"/>
      <c r="H1255" s="59"/>
      <c r="I1255" s="59"/>
      <c r="J1255" s="59"/>
      <c r="K1255" s="54"/>
    </row>
    <row r="1256">
      <c r="A1256" s="57"/>
      <c r="B1256" s="57" t="str">
        <f>IFERROR(__xludf.DUMMYFUNCTION("""COMPUTED_VALUE"""),"Guam [GAZ:00003706]    ")</f>
        <v>Guam [GAZ:00003706]    </v>
      </c>
      <c r="C1256" s="57" t="str">
        <f>IFERROR(__xludf.DUMMYFUNCTION("""COMPUTED_VALUE"""),"GAZ:00003706")</f>
        <v>GAZ:00003706</v>
      </c>
      <c r="D1256" s="58" t="str">
        <f>IFERROR(__xludf.DUMMYFUNCTION("""COMPUTED_VALUE"""),"An organized, unincorporated territory of the United States in the Micronesia subregion of the western Pacific Ocean. It is the westernmost point and territory of the United States (reckoned from the geographic center of the U.S.); in Oceania, it is the l"&amp;"argest and southernmost of the Mariana Islands and the largest island in Micronesia.")</f>
        <v>An organized, unincorporated territory of the United States in the Micronesia subregion of the western Pacific Ocean. It is the westernmost point and territory of the United States (reckoned from the geographic center of the U.S.); in Oceania, it is the largest and southernmost of the Mariana Islands and the largest island in Micronesia.</v>
      </c>
      <c r="E1256" s="56"/>
      <c r="F1256" s="54"/>
      <c r="G1256" s="54"/>
      <c r="H1256" s="59"/>
      <c r="I1256" s="59"/>
      <c r="J1256" s="59"/>
      <c r="K1256" s="54"/>
    </row>
    <row r="1257">
      <c r="A1257" s="57"/>
      <c r="B1257" s="57" t="str">
        <f>IFERROR(__xludf.DUMMYFUNCTION("""COMPUTED_VALUE"""),"Guatemala [GAZ:00002936]    ")</f>
        <v>Guatemala [GAZ:00002936]    </v>
      </c>
      <c r="C1257" s="57" t="str">
        <f>IFERROR(__xludf.DUMMYFUNCTION("""COMPUTED_VALUE"""),"GAZ:00002936")</f>
        <v>GAZ:00002936</v>
      </c>
      <c r="D1257" s="58" t="str">
        <f>IFERROR(__xludf.DUMMYFUNCTION("""COMPUTED_VALUE"""),"A country in Central America bordered by Mexico to the northwest, the Pacific Ocean to the southwest, Belize and the Caribbean Sea to the northeast, and Honduras and El Salvador to the southeast. Guatemala is divided into 22 departments (departamentos) an"&amp;"d sub-divided into about 332 municipalities (municipios).")</f>
        <v>A country in Central America bordered by Mexico to the northwest, the Pacific Ocean to the southwest, Belize and the Caribbean Sea to the northeast, and Honduras and El Salvador to the southeast. Guatemala is divided into 22 departments (departamentos) and sub-divided into about 332 municipalities (municipios).</v>
      </c>
      <c r="E1257" s="56"/>
      <c r="F1257" s="54"/>
      <c r="G1257" s="54"/>
      <c r="H1257" s="59"/>
      <c r="I1257" s="59"/>
      <c r="J1257" s="59"/>
      <c r="K1257" s="54"/>
    </row>
    <row r="1258">
      <c r="A1258" s="57"/>
      <c r="B1258" s="57" t="str">
        <f>IFERROR(__xludf.DUMMYFUNCTION("""COMPUTED_VALUE"""),"Guernsey [GAZ:00001550]    ")</f>
        <v>Guernsey [GAZ:00001550]    </v>
      </c>
      <c r="C1258" s="57" t="str">
        <f>IFERROR(__xludf.DUMMYFUNCTION("""COMPUTED_VALUE"""),"GAZ:00001550")</f>
        <v>GAZ:00001550</v>
      </c>
      <c r="D1258" s="58" t="str">
        <f>IFERROR(__xludf.DUMMYFUNCTION("""COMPUTED_VALUE"""),"A British Crown Dependency in the English Channel off the coast of Normandy.")</f>
        <v>A British Crown Dependency in the English Channel off the coast of Normandy.</v>
      </c>
      <c r="E1258" s="56"/>
      <c r="F1258" s="54"/>
      <c r="G1258" s="54"/>
      <c r="H1258" s="59"/>
      <c r="I1258" s="59"/>
      <c r="J1258" s="59"/>
      <c r="K1258" s="54"/>
    </row>
    <row r="1259">
      <c r="A1259" s="57"/>
      <c r="B1259" s="57" t="str">
        <f>IFERROR(__xludf.DUMMYFUNCTION("""COMPUTED_VALUE"""),"Guinea [GAZ:00000909]    ")</f>
        <v>Guinea [GAZ:00000909]    </v>
      </c>
      <c r="C1259" s="57" t="str">
        <f>IFERROR(__xludf.DUMMYFUNCTION("""COMPUTED_VALUE"""),"GAZ:00000909")</f>
        <v>GAZ:00000909</v>
      </c>
      <c r="D1259" s="58" t="str">
        <f>IFERROR(__xludf.DUMMYFUNCTION("""COMPUTED_VALUE"""),"A nation in West Africa, formerly known as French Guinea. Guinea's territory has a curved shape, with its base at the Atlantic Ocean, inland to the east, and turning south. The base borders Guinea-Bissau and Senegal to the north, and Mali to the north and"&amp;" north-east; the inland part borders Cote d'Ivoire to the south-east, Liberia to the south, and Sierra Leone to the west of the southern tip.")</f>
        <v>A nation in West Africa, formerly known as French Guinea. Guinea's territory has a curved shape, with its base at the Atlantic Ocean, inland to the east, and turning south. The base borders Guinea-Bissau and Senegal to the north, and Mali to the north and north-east; the inland part borders Cote d'Ivoire to the south-east, Liberia to the south, and Sierra Leone to the west of the southern tip.</v>
      </c>
      <c r="E1259" s="56"/>
      <c r="F1259" s="54"/>
      <c r="G1259" s="54"/>
      <c r="H1259" s="59"/>
      <c r="I1259" s="59"/>
      <c r="J1259" s="59"/>
      <c r="K1259" s="54"/>
    </row>
    <row r="1260">
      <c r="A1260" s="57"/>
      <c r="B1260" s="57" t="str">
        <f>IFERROR(__xludf.DUMMYFUNCTION("""COMPUTED_VALUE"""),"Guinea-Bissau [GAZ:00000910]    ")</f>
        <v>Guinea-Bissau [GAZ:00000910]    </v>
      </c>
      <c r="C1260" s="57" t="str">
        <f>IFERROR(__xludf.DUMMYFUNCTION("""COMPUTED_VALUE"""),"GAZ:00000910")</f>
        <v>GAZ:00000910</v>
      </c>
      <c r="D1260" s="58" t="str">
        <f>IFERROR(__xludf.DUMMYFUNCTION("""COMPUTED_VALUE"""),"A country in western Africa, and one of the smallest nations in continental Africa. It is bordered by Senegal to the north, and Guinea to the south and east, with the Atlantic Ocean to its west. Formerly the Portuguese colony of Portuguese Guinea, upon in"&amp;"dependence, the name of its capital, Bissau, was added to the country's name in order to prevent confusion between itself and the Republic of Guinea.")</f>
        <v>A country in western Africa, and one of the smallest nations in continental Africa. It is bordered by Senegal to the north, and Guinea to the south and east, with the Atlantic Ocean to its west. Formerly the Portuguese colony of Portuguese Guinea, upon independence, the name of its capital, Bissau, was added to the country's name in order to prevent confusion between itself and the Republic of Guinea.</v>
      </c>
      <c r="E1260" s="56"/>
      <c r="F1260" s="54"/>
      <c r="G1260" s="54"/>
      <c r="H1260" s="59"/>
      <c r="I1260" s="59"/>
      <c r="J1260" s="59"/>
      <c r="K1260" s="54"/>
    </row>
    <row r="1261">
      <c r="A1261" s="57"/>
      <c r="B1261" s="57" t="str">
        <f>IFERROR(__xludf.DUMMYFUNCTION("""COMPUTED_VALUE"""),"Guyana [GAZ:00002522]    ")</f>
        <v>Guyana [GAZ:00002522]    </v>
      </c>
      <c r="C1261" s="57" t="str">
        <f>IFERROR(__xludf.DUMMYFUNCTION("""COMPUTED_VALUE"""),"GAZ:00002522")</f>
        <v>GAZ:00002522</v>
      </c>
      <c r="D1261" s="58" t="str">
        <f>IFERROR(__xludf.DUMMYFUNCTION("""COMPUTED_VALUE"""),"A country in the N of South America. Guyana lies north of the equator, in the tropics, and is located on the Atlantic Ocean. Guyana is bordered to the east by Suriname, to the south and southwest by Brazil and to the west by Venezuela. Guyana is divided i"&amp;"nto 10 regions. The regions of Guyana are divided into 27 neighborhood councils.")</f>
        <v>A country in the N of South America. Guyana lies north of the equator, in the tropics, and is located on the Atlantic Ocean. Guyana is bordered to the east by Suriname, to the south and southwest by Brazil and to the west by Venezuela. Guyana is divided into 10 regions. The regions of Guyana are divided into 27 neighborhood councils.</v>
      </c>
      <c r="E1261" s="56"/>
      <c r="F1261" s="54"/>
      <c r="G1261" s="54"/>
      <c r="H1261" s="59"/>
      <c r="I1261" s="59"/>
      <c r="J1261" s="59"/>
      <c r="K1261" s="54"/>
    </row>
    <row r="1262">
      <c r="A1262" s="57"/>
      <c r="B1262" s="57" t="str">
        <f>IFERROR(__xludf.DUMMYFUNCTION("""COMPUTED_VALUE"""),"Haiti [GAZ:00003953]    ")</f>
        <v>Haiti [GAZ:00003953]    </v>
      </c>
      <c r="C1262" s="57" t="str">
        <f>IFERROR(__xludf.DUMMYFUNCTION("""COMPUTED_VALUE"""),"GAZ:00003953")</f>
        <v>GAZ:00003953</v>
      </c>
      <c r="D1262" s="58" t="str">
        <f>IFERROR(__xludf.DUMMYFUNCTION("""COMPUTED_VALUE"""),"A country located in the Greater Antilles archipelago on the Caribbean island of Hispaniola, which it shares with the Dominican Republic. Haiti is divided into 10 departments. The departments are further divided into 41 arrondissements, and 133 communes w"&amp;"hich serve as second and third level administrative divisions.")</f>
        <v>A country located in the Greater Antilles archipelago on the Caribbean island of Hispaniola, which it shares with the Dominican Republic. Haiti is divided into 10 departments. The departments are further divided into 41 arrondissements, and 133 communes which serve as second and third level administrative divisions.</v>
      </c>
      <c r="E1262" s="56"/>
      <c r="F1262" s="54"/>
      <c r="G1262" s="54"/>
      <c r="H1262" s="59"/>
      <c r="I1262" s="59"/>
      <c r="J1262" s="59"/>
      <c r="K1262" s="54"/>
    </row>
    <row r="1263">
      <c r="A1263" s="57"/>
      <c r="B1263" s="57" t="str">
        <f>IFERROR(__xludf.DUMMYFUNCTION("""COMPUTED_VALUE"""),"Heard Island and McDonald Islands [GAZ:00009718]    ")</f>
        <v>Heard Island and McDonald Islands [GAZ:00009718]    </v>
      </c>
      <c r="C1263" s="57" t="str">
        <f>IFERROR(__xludf.DUMMYFUNCTION("""COMPUTED_VALUE"""),"GAZ:00009718")</f>
        <v>GAZ:00009718</v>
      </c>
      <c r="D1263" s="58" t="str">
        <f>IFERROR(__xludf.DUMMYFUNCTION("""COMPUTED_VALUE"""),"An Australian external territory comprising a volcanic group of mostly barren Antarctic islands, about two-thirds of the way from Madagascar to Antarctica.")</f>
        <v>An Australian external territory comprising a volcanic group of mostly barren Antarctic islands, about two-thirds of the way from Madagascar to Antarctica.</v>
      </c>
      <c r="E1263" s="56"/>
      <c r="F1263" s="54"/>
      <c r="G1263" s="54"/>
      <c r="H1263" s="59"/>
      <c r="I1263" s="59"/>
      <c r="J1263" s="59"/>
      <c r="K1263" s="54"/>
    </row>
    <row r="1264">
      <c r="A1264" s="57"/>
      <c r="B1264" s="57" t="str">
        <f>IFERROR(__xludf.DUMMYFUNCTION("""COMPUTED_VALUE"""),"Honduras [GAZ:00002894]    ")</f>
        <v>Honduras [GAZ:00002894]    </v>
      </c>
      <c r="C1264" s="57" t="str">
        <f>IFERROR(__xludf.DUMMYFUNCTION("""COMPUTED_VALUE"""),"GAZ:00002894")</f>
        <v>GAZ:00002894</v>
      </c>
      <c r="D1264" s="58" t="str">
        <f>IFERROR(__xludf.DUMMYFUNCTION("""COMPUTED_VALUE"""),"A republic in Central America. The country is bordered to the west by Guatemala, to the southwest by El Salvador, to the southeast by Nicaragua, to the south by the Pacific Ocean at the Gulf of Fonseca, and to the north by the Gulf of Honduras, a large in"&amp;"let of the Caribbean Sea. Honduras is divided into 18 departments. The capital city is Tegucigalpa Central District of the department of Francisco Morazan.")</f>
        <v>A republic in Central America. The country is bordered to the west by Guatemala, to the southwest by El Salvador, to the southeast by Nicaragua, to the south by the Pacific Ocean at the Gulf of Fonseca, and to the north by the Gulf of Honduras, a large inlet of the Caribbean Sea. Honduras is divided into 18 departments. The capital city is Tegucigalpa Central District of the department of Francisco Morazan.</v>
      </c>
      <c r="E1264" s="56"/>
      <c r="F1264" s="54"/>
      <c r="G1264" s="54"/>
      <c r="H1264" s="59"/>
      <c r="I1264" s="59"/>
      <c r="J1264" s="59"/>
      <c r="K1264" s="54"/>
    </row>
    <row r="1265">
      <c r="A1265" s="57"/>
      <c r="B1265" s="57" t="str">
        <f>IFERROR(__xludf.DUMMYFUNCTION("""COMPUTED_VALUE"""),"Hong Kong [GAZ:00003203]    ")</f>
        <v>Hong Kong [GAZ:00003203]    </v>
      </c>
      <c r="C1265" s="57" t="str">
        <f>IFERROR(__xludf.DUMMYFUNCTION("""COMPUTED_VALUE"""),"GAZ:00003203")</f>
        <v>GAZ:00003203</v>
      </c>
      <c r="D1265" s="58" t="str">
        <f>IFERROR(__xludf.DUMMYFUNCTION("""COMPUTED_VALUE"""),"A special administrative region of the People's Republic of China (PRC). The territory lies on the eastern side of the Pearl River Delta, bordering Guangdong province in the north and facing the South China Sea in the east, west and south. Hong Kong was a"&amp;" crown colony of the United Kingdom from 1842 until the transfer of its sovereignty to the People's Republic of China in 1997.")</f>
        <v>A special administrative region of the People's Republic of China (PRC). The territory lies on the eastern side of the Pearl River Delta, bordering Guangdong province in the north and facing the South China Sea in the east, west and south. Hong Kong was a crown colony of the United Kingdom from 1842 until the transfer of its sovereignty to the People's Republic of China in 1997.</v>
      </c>
      <c r="E1265" s="56"/>
      <c r="F1265" s="54"/>
      <c r="G1265" s="54"/>
      <c r="H1265" s="59"/>
      <c r="I1265" s="59"/>
      <c r="J1265" s="59"/>
      <c r="K1265" s="54"/>
    </row>
    <row r="1266">
      <c r="A1266" s="57"/>
      <c r="B1266" s="57" t="str">
        <f>IFERROR(__xludf.DUMMYFUNCTION("""COMPUTED_VALUE"""),"Howland Island [GAZ:00007120]    ")</f>
        <v>Howland Island [GAZ:00007120]    </v>
      </c>
      <c r="C1266" s="57" t="str">
        <f>IFERROR(__xludf.DUMMYFUNCTION("""COMPUTED_VALUE"""),"GAZ:00007120")</f>
        <v>GAZ:00007120</v>
      </c>
      <c r="D1266" s="58" t="str">
        <f>IFERROR(__xludf.DUMMYFUNCTION("""COMPUTED_VALUE"""),"An uninhabited coral island located just north of the equator in the central Pacific Ocean, about 3,100 km (1,670 nm) southwest of Honolulu. The island is almost half way between Hawaii and Australia and is an unincorporated, unorganized territory of the "&amp;"United States, and is often included as one of the Phoenix Islands. For statistical purposes, Howland is grouped as one of the United States Minor Outlying Islands.")</f>
        <v>An uninhabited coral island located just north of the equator in the central Pacific Ocean, about 3,100 km (1,670 nm) southwest of Honolulu. The island is almost half way between Hawaii and Australia and is an unincorporated, unorganized territory of the United States, and is often included as one of the Phoenix Islands. For statistical purposes, Howland is grouped as one of the United States Minor Outlying Islands.</v>
      </c>
      <c r="E1266" s="56"/>
      <c r="F1266" s="54"/>
      <c r="G1266" s="54"/>
      <c r="H1266" s="59"/>
      <c r="I1266" s="59"/>
      <c r="J1266" s="59"/>
      <c r="K1266" s="54"/>
    </row>
    <row r="1267">
      <c r="A1267" s="57"/>
      <c r="B1267" s="57" t="str">
        <f>IFERROR(__xludf.DUMMYFUNCTION("""COMPUTED_VALUE"""),"Hungary [GAZ:00002952]    ")</f>
        <v>Hungary [GAZ:00002952]    </v>
      </c>
      <c r="C1267" s="57" t="str">
        <f>IFERROR(__xludf.DUMMYFUNCTION("""COMPUTED_VALUE"""),"GAZ:00002952")</f>
        <v>GAZ:00002952</v>
      </c>
      <c r="D1267" s="58" t="str">
        <f>IFERROR(__xludf.DUMMYFUNCTION("""COMPUTED_VALUE"""),"A landlocked country in the Carpathian Basin of Central Europe, bordered by Austria, Slovakia, Ukraine, Romania, Serbia, Croatia, and Slovenia. Its capital is Budapest. Hungary is divided into 19 counties (megyek, singular: megye). In addition, the capita"&amp;"l city (fovaros), Budapest, is independent of any county government. The counties are further subdivided into 173 subregions (kistersegek), and Budapest is comprised of its own subregion. Since 1996, the counties and City of Budapest have been grouped int"&amp;"o 7 regions for statistical and development purposes. These seven regions constitute NUTS second-level units of Hungary.")</f>
        <v>A landlocked country in the Carpathian Basin of Central Europe, bordered by Austria, Slovakia, Ukraine, Romania, Serbia, Croatia, and Slovenia. Its capital is Budapest. Hungary is divided into 19 counties (megyek, singular: megye). In addition, the capital city (fovaros), Budapest, is independent of any county government. The counties are further subdivided into 173 subregions (kistersegek), and Budapest is comprised of its own subregion. Since 1996, the counties and City of Budapest have been grouped into 7 regions for statistical and development purposes. These seven regions constitute NUTS second-level units of Hungary.</v>
      </c>
      <c r="E1267" s="56"/>
      <c r="F1267" s="54"/>
      <c r="G1267" s="54"/>
      <c r="H1267" s="59"/>
      <c r="I1267" s="59"/>
      <c r="J1267" s="59"/>
      <c r="K1267" s="54"/>
    </row>
    <row r="1268">
      <c r="A1268" s="57"/>
      <c r="B1268" s="57" t="str">
        <f>IFERROR(__xludf.DUMMYFUNCTION("""COMPUTED_VALUE"""),"Iceland [GAZ:00000843]    ")</f>
        <v>Iceland [GAZ:00000843]    </v>
      </c>
      <c r="C1268" s="57" t="str">
        <f>IFERROR(__xludf.DUMMYFUNCTION("""COMPUTED_VALUE"""),"GAZ:00000843")</f>
        <v>GAZ:00000843</v>
      </c>
      <c r="D1268" s="58" t="str">
        <f>IFERROR(__xludf.DUMMYFUNCTION("""COMPUTED_VALUE"""),"A country in northern Europe, comprising the island of Iceland and its outlying islands in the North Atlantic Ocean between the rest of Europe and Greenland.")</f>
        <v>A country in northern Europe, comprising the island of Iceland and its outlying islands in the North Atlantic Ocean between the rest of Europe and Greenland.</v>
      </c>
      <c r="E1268" s="56"/>
      <c r="F1268" s="54"/>
      <c r="G1268" s="54"/>
      <c r="H1268" s="59"/>
      <c r="I1268" s="59"/>
      <c r="J1268" s="59"/>
      <c r="K1268" s="54"/>
    </row>
    <row r="1269">
      <c r="A1269" s="57"/>
      <c r="B1269" s="57" t="str">
        <f>IFERROR(__xludf.DUMMYFUNCTION("""COMPUTED_VALUE"""),"India [GAZ:00002839]    ")</f>
        <v>India [GAZ:00002839]    </v>
      </c>
      <c r="C1269" s="57" t="str">
        <f>IFERROR(__xludf.DUMMYFUNCTION("""COMPUTED_VALUE"""),"GAZ:00002839")</f>
        <v>GAZ:00002839</v>
      </c>
      <c r="D1269" s="58" t="str">
        <f>IFERROR(__xludf.DUMMYFUNCTION("""COMPUTED_VALUE"""),"A country in South Asia. Bounded by the Indian Ocean on the south, the Arabian Sea on the west, and the Bay of Bengal on the east, India has a coastline of 7,517 km. It borders Pakistan to the west; China, Nepal, and Bhutan to the north-east; and Banglade"&amp;"sh and Burma to the east. India is in the vicinity of Sri Lanka, the Maldives, and Indonesia in the Indian Ocean. India is a federal republic of twenty-eight states and seven Union Territories. Each state or union territory is divided into basic units of "&amp;"government and administration called districts. There are nearly 600 districts in India. The districts in turn are further divided into tehsils and eventually into villages.")</f>
        <v>A country in South Asia. Bounded by the Indian Ocean on the south, the Arabian Sea on the west, and the Bay of Bengal on the east, India has a coastline of 7,517 km. It borders Pakistan to the west; China, Nepal, and Bhutan to the north-east; and Bangladesh and Burma to the east. India is in the vicinity of Sri Lanka, the Maldives, and Indonesia in the Indian Ocean. India is a federal republic of twenty-eight states and seven Union Territories. Each state or union territory is divided into basic units of government and administration called districts. There are nearly 600 districts in India. The districts in turn are further divided into tehsils and eventually into villages.</v>
      </c>
      <c r="E1269" s="56"/>
      <c r="F1269" s="54"/>
      <c r="G1269" s="54"/>
      <c r="H1269" s="59"/>
      <c r="I1269" s="59"/>
      <c r="J1269" s="59"/>
      <c r="K1269" s="54"/>
    </row>
    <row r="1270">
      <c r="A1270" s="57"/>
      <c r="B1270" s="57" t="str">
        <f>IFERROR(__xludf.DUMMYFUNCTION("""COMPUTED_VALUE"""),"Indonesia [GAZ:00003727]    ")</f>
        <v>Indonesia [GAZ:00003727]    </v>
      </c>
      <c r="C1270" s="57" t="str">
        <f>IFERROR(__xludf.DUMMYFUNCTION("""COMPUTED_VALUE"""),"GAZ:00003727")</f>
        <v>GAZ:00003727</v>
      </c>
      <c r="D1270" s="58" t="str">
        <f>IFERROR(__xludf.DUMMYFUNCTION("""COMPUTED_VALUE"""),"An archipelagic state in Southeast Asia. The country shares land borders with Papua New Guinea, East Timor and Malaysia. Other neighboring countries include Singapore, the Philippines, Australia, and the Indian territory of the Andaman and Nicobar Islands"&amp;". Indonesia consists of 33 provinces, five of which have special status. The provinces are subdivided into regencies (kabupaten, distrik in Papua and West Papua Provinces) and cities (kota), which are further subdivided into subdistricts (kecamatan), and "&amp;"again into village groupings (either desa or kelurahan).")</f>
        <v>An archipelagic state in Southeast Asia. The country shares land borders with Papua New Guinea, East Timor and Malaysia. Other neighboring countries include Singapore, the Philippines, Australia, and the Indian territory of the Andaman and Nicobar Islands. Indonesia consists of 33 provinces, five of which have special status. The provinces are subdivided into regencies (kabupaten, distrik in Papua and West Papua Provinces) and cities (kota), which are further subdivided into subdistricts (kecamatan), and again into village groupings (either desa or kelurahan).</v>
      </c>
      <c r="E1270" s="56"/>
      <c r="F1270" s="54"/>
      <c r="G1270" s="54"/>
      <c r="H1270" s="59"/>
      <c r="I1270" s="59"/>
      <c r="J1270" s="59"/>
      <c r="K1270" s="54"/>
    </row>
    <row r="1271">
      <c r="A1271" s="57"/>
      <c r="B1271" s="57" t="str">
        <f>IFERROR(__xludf.DUMMYFUNCTION("""COMPUTED_VALUE"""),"Iran [GAZ:00004474]    ")</f>
        <v>Iran [GAZ:00004474]    </v>
      </c>
      <c r="C1271" s="57" t="str">
        <f>IFERROR(__xludf.DUMMYFUNCTION("""COMPUTED_VALUE"""),"GAZ:00004474")</f>
        <v>GAZ:00004474</v>
      </c>
      <c r="D1271" s="58" t="str">
        <f>IFERROR(__xludf.DUMMYFUNCTION("""COMPUTED_VALUE"""),"A country in Central Eurasia. Iran is bounded by the Gulf of Oman and the Persian Gulf to the south and the Caspian Sea to its north. It borders Armenia, Azerbaijan, Turkmenistan to the north, Afghanistan and Pakistan to the east, and Turkey and Iraq to t"&amp;"he west. Iran is divided into 30 provinces (ostan). The provinces are divided into counties (shahrestan), and subdivided into districts (bakhsh) and sub-districts (dehestan).")</f>
        <v>A country in Central Eurasia. Iran is bounded by the Gulf of Oman and the Persian Gulf to the south and the Caspian Sea to its north. It borders Armenia, Azerbaijan, Turkmenistan to the north, Afghanistan and Pakistan to the east, and Turkey and Iraq to the west. Iran is divided into 30 provinces (ostan). The provinces are divided into counties (shahrestan), and subdivided into districts (bakhsh) and sub-districts (dehestan).</v>
      </c>
      <c r="E1271" s="56"/>
      <c r="F1271" s="54"/>
      <c r="G1271" s="54"/>
      <c r="H1271" s="59"/>
      <c r="I1271" s="59"/>
      <c r="J1271" s="59"/>
      <c r="K1271" s="54"/>
    </row>
    <row r="1272">
      <c r="A1272" s="57"/>
      <c r="B1272" s="57" t="str">
        <f>IFERROR(__xludf.DUMMYFUNCTION("""COMPUTED_VALUE"""),"Iraq [GAZ:00004483]    ")</f>
        <v>Iraq [GAZ:00004483]    </v>
      </c>
      <c r="C1272" s="57" t="str">
        <f>IFERROR(__xludf.DUMMYFUNCTION("""COMPUTED_VALUE"""),"GAZ:00004483")</f>
        <v>GAZ:00004483</v>
      </c>
      <c r="D1272" s="58" t="str">
        <f>IFERROR(__xludf.DUMMYFUNCTION("""COMPUTED_VALUE"""),"A country in the Middle East spanning most of the northwestern end of the Zagros mountain range, the eastern part of the Syrian Desert and the northern part of the Arabian Desert. It shares borders with Kuwait and Saudi Arabia to the south, Jordan to the "&amp;"west, Syria to the northwest, Turkey to the north, and Iran to the east. It has a very narrow section of coastline at Umm Qasr on the Persian Gulf. There are two major flowing rivers: the Tigris and the Euphrates. Iraq is divided into 18 governorates (or "&amp;"provinces) (muhafazah). The governorates are divided into qadhas (or districts).")</f>
        <v>A country in the Middle East spanning most of the northwestern end of the Zagros mountain range, the eastern part of the Syrian Desert and the northern part of the Arabian Desert. It shares borders with Kuwait and Saudi Arabia to the south, Jordan to the west, Syria to the northwest, Turkey to the north, and Iran to the east. It has a very narrow section of coastline at Umm Qasr on the Persian Gulf. There are two major flowing rivers: the Tigris and the Euphrates. Iraq is divided into 18 governorates (or provinces) (muhafazah). The governorates are divided into qadhas (or districts).</v>
      </c>
      <c r="E1272" s="56"/>
      <c r="F1272" s="54"/>
      <c r="G1272" s="54"/>
      <c r="H1272" s="59"/>
      <c r="I1272" s="59"/>
      <c r="J1272" s="59"/>
      <c r="K1272" s="54"/>
    </row>
    <row r="1273">
      <c r="A1273" s="57"/>
      <c r="B1273" s="57" t="str">
        <f>IFERROR(__xludf.DUMMYFUNCTION("""COMPUTED_VALUE"""),"Ireland [GAZ:00002943]    ")</f>
        <v>Ireland [GAZ:00002943]    </v>
      </c>
      <c r="C1273" s="57" t="str">
        <f>IFERROR(__xludf.DUMMYFUNCTION("""COMPUTED_VALUE"""),"GAZ:00002943")</f>
        <v>GAZ:00002943</v>
      </c>
      <c r="D1273" s="58" t="str">
        <f>IFERROR(__xludf.DUMMYFUNCTION("""COMPUTED_VALUE"""),"A country in north-western Europe. The modern sovereign state occupies five-sixths of the island of Ireland, which was partitioned in 1921. It is bordered by Northern Ireland (part of the United Kingdom) to the north, by the Atlantic Ocean to the west and"&amp;" by the Irish Sea to the east. Administration follows the 34 ""county-level"" counties and cities of Ireland. Of these twenty-nine are counties, governed by county councils while the five cities of Dublin, Cork, Limerick, Galway and Waterford have city co"&amp;"uncils, (previously known as corporations), and are administered separately from the counties bearing those names. The City of Kilkenny is the only city in the republic which does not have a ""city council""; it is still a borough but not a county borough"&amp;" and is administered as part of County Kilkenny. Ireland is split into eight regions for NUTS statistical purposes. These are not related to the four traditional provinces but are based on the administrative counties.")</f>
        <v>A country in north-western Europe. The modern sovereign state occupies five-sixths of the island of Ireland, which was partitioned in 1921. It is bordered by Northern Ireland (part of the United Kingdom) to the north, by the Atlantic Ocean to the west and by the Irish Sea to the east. Administration follows the 34 "county-level" counties and cities of Ireland. Of these twenty-nine are counties, governed by county councils while the five cities of Dublin, Cork, Limerick, Galway and Waterford have city councils, (previously known as corporations), and are administered separately from the counties bearing those names. The City of Kilkenny is the only city in the republic which does not have a "city council"; it is still a borough but not a county borough and is administered as part of County Kilkenny. Ireland is split into eight regions for NUTS statistical purposes. These are not related to the four traditional provinces but are based on the administrative counties.</v>
      </c>
      <c r="E1273" s="56"/>
      <c r="F1273" s="54"/>
      <c r="G1273" s="54"/>
      <c r="H1273" s="59"/>
      <c r="I1273" s="59"/>
      <c r="J1273" s="59"/>
      <c r="K1273" s="54"/>
    </row>
    <row r="1274">
      <c r="A1274" s="57"/>
      <c r="B1274" s="57" t="str">
        <f>IFERROR(__xludf.DUMMYFUNCTION("""COMPUTED_VALUE"""),"Isle of Man [GAZ:00052477]    ")</f>
        <v>Isle of Man [GAZ:00052477]    </v>
      </c>
      <c r="C1274" s="57" t="str">
        <f>IFERROR(__xludf.DUMMYFUNCTION("""COMPUTED_VALUE"""),"GAZ:00052477")</f>
        <v>GAZ:00052477</v>
      </c>
      <c r="D1274" s="58" t="str">
        <f>IFERROR(__xludf.DUMMYFUNCTION("""COMPUTED_VALUE"""),"A Crown dependency of the United Kingdom in the centre of the Irish Sea. It is not part of the United Kingdom, European Union or United Nations.")</f>
        <v>A Crown dependency of the United Kingdom in the centre of the Irish Sea. It is not part of the United Kingdom, European Union or United Nations.</v>
      </c>
      <c r="E1274" s="56"/>
      <c r="F1274" s="54"/>
      <c r="G1274" s="54"/>
      <c r="H1274" s="59"/>
      <c r="I1274" s="59"/>
      <c r="J1274" s="59"/>
      <c r="K1274" s="54"/>
    </row>
    <row r="1275">
      <c r="A1275" s="57"/>
      <c r="B1275" s="57" t="str">
        <f>IFERROR(__xludf.DUMMYFUNCTION("""COMPUTED_VALUE"""),"Israel [GAZ:00002476]    ")</f>
        <v>Israel [GAZ:00002476]    </v>
      </c>
      <c r="C1275" s="57" t="str">
        <f>IFERROR(__xludf.DUMMYFUNCTION("""COMPUTED_VALUE"""),"GAZ:00002476")</f>
        <v>GAZ:00002476</v>
      </c>
      <c r="D1275" s="58" t="str">
        <f>IFERROR(__xludf.DUMMYFUNCTION("""COMPUTED_VALUE"""),"A country in Western Asia located on the eastern edge of the Mediterranean Sea. It borders Lebanon in the north, Syria in the northeast, Jordan in the east, and Egypt on the southwest. The West Bank and Gaza Strip, which are partially administrated by the"&amp;" Palestinian National Authority, are also adjacent. The State of Israel is divided into six main administrative districts, known as mehozot (singular mahoz). Districts are further divided into fifteen sub-districts known as nafot (singular: nafa), which a"&amp;"re themselves partitioned into fifty natural regions.")</f>
        <v>A country in Western Asia located on the eastern edge of the Mediterranean Sea. It borders Lebanon in the north, Syria in the northeast, Jordan in the east, and Egypt on the southwest. The West Bank and Gaza Strip, which are partially administrated by the Palestinian National Authority, are also adjacent. The State of Israel is divided into six main administrative districts, known as mehozot (singular mahoz). Districts are further divided into fifteen sub-districts known as nafot (singular: nafa), which are themselves partitioned into fifty natural regions.</v>
      </c>
      <c r="E1275" s="56"/>
      <c r="F1275" s="54"/>
      <c r="G1275" s="54"/>
      <c r="H1275" s="59"/>
      <c r="I1275" s="59"/>
      <c r="J1275" s="59"/>
      <c r="K1275" s="54"/>
    </row>
    <row r="1276">
      <c r="A1276" s="57"/>
      <c r="B1276" s="57" t="str">
        <f>IFERROR(__xludf.DUMMYFUNCTION("""COMPUTED_VALUE"""),"Italy [GAZ:00002650]    ")</f>
        <v>Italy [GAZ:00002650]    </v>
      </c>
      <c r="C1276" s="57" t="str">
        <f>IFERROR(__xludf.DUMMYFUNCTION("""COMPUTED_VALUE"""),"GAZ:00002650")</f>
        <v>GAZ:00002650</v>
      </c>
      <c r="D1276" s="58" t="str">
        <f>IFERROR(__xludf.DUMMYFUNCTION("""COMPUTED_VALUE"""),"A country located on the Italian Peninsula in Southern Europe, and on the two largest islands in the Mediterranean Sea, Sicily and Sardinia. Italy shares its northern Alpine boundary with France, Switzerland, Austria and Slovenia. The independent states o"&amp;"f San Marino and the Vatican City are enclaves within the Italian Peninsula, while Campione d'Italia is an Italian exclave in Switzerland. Italy is subdivided into 20 regions (regioni, singular regione). Five of these regions have a special autonomous sta"&amp;"tus that enables them to enact legislation on some of their local matters. It is further divided into 109 provinces (province) and 8,101 municipalities (comuni).")</f>
        <v>A country located on the Italian Peninsula in Southern Europe, and on the two largest islands in the Mediterranean Sea, Sicily and Sardinia. Italy shares its northern Alpine boundary with France, Switzerland, Austria and Slovenia. The independent states of San Marino and the Vatican City are enclaves within the Italian Peninsula, while Campione d'Italia is an Italian exclave in Switzerland. Italy is subdivided into 20 regions (regioni, singular regione). Five of these regions have a special autonomous status that enables them to enact legislation on some of their local matters. It is further divided into 109 provinces (province) and 8,101 municipalities (comuni).</v>
      </c>
      <c r="E1276" s="56"/>
      <c r="F1276" s="54"/>
      <c r="G1276" s="54"/>
      <c r="H1276" s="59"/>
      <c r="I1276" s="59"/>
      <c r="J1276" s="59"/>
      <c r="K1276" s="54"/>
    </row>
    <row r="1277">
      <c r="A1277" s="57"/>
      <c r="B1277" s="57" t="str">
        <f>IFERROR(__xludf.DUMMYFUNCTION("""COMPUTED_VALUE"""),"Jamaica [GAZ:00003781]    ")</f>
        <v>Jamaica [GAZ:00003781]    </v>
      </c>
      <c r="C1277" s="57" t="str">
        <f>IFERROR(__xludf.DUMMYFUNCTION("""COMPUTED_VALUE"""),"GAZ:00003781")</f>
        <v>GAZ:00003781</v>
      </c>
      <c r="D1277" s="58" t="str">
        <f>IFERROR(__xludf.DUMMYFUNCTION("""COMPUTED_VALUE"""),"A nation of the Greater Antilles. Jamaica is divided into 14 parishes, which are grouped into three historic counties that have no administrative relevance.")</f>
        <v>A nation of the Greater Antilles. Jamaica is divided into 14 parishes, which are grouped into three historic counties that have no administrative relevance.</v>
      </c>
      <c r="E1277" s="56"/>
      <c r="F1277" s="54"/>
      <c r="G1277" s="54"/>
      <c r="H1277" s="59"/>
      <c r="I1277" s="59"/>
      <c r="J1277" s="59"/>
      <c r="K1277" s="54"/>
    </row>
    <row r="1278">
      <c r="A1278" s="57"/>
      <c r="B1278" s="57" t="str">
        <f>IFERROR(__xludf.DUMMYFUNCTION("""COMPUTED_VALUE"""),"Jan Mayen [GAZ:00005853]    ")</f>
        <v>Jan Mayen [GAZ:00005853]    </v>
      </c>
      <c r="C1278" s="57" t="str">
        <f>IFERROR(__xludf.DUMMYFUNCTION("""COMPUTED_VALUE"""),"GAZ:00005853")</f>
        <v>GAZ:00005853</v>
      </c>
      <c r="D1278" s="58" t="str">
        <f>IFERROR(__xludf.DUMMYFUNCTION("""COMPUTED_VALUE"""),"A volcanic island that is part of the Kingdom of Norway, It has two parts: larger Nord-Jan and smaller Sor-Jan, linked by an isthmus 2.5 km wide. It lies 600 km north of Iceland, 500 km east of Greenland and 1,000 km west of the Norwegian mainland. The is"&amp;"land is mountainous, the highest summit being the Beerenberg volcano in the north. The isthmus is the location of the two largest lakes of the island, Sorlaguna (South Lagoon), and Nordlaguna (North Lagoon). A third lake is called Ullerenglaguna (Ullereng"&amp;" Lagoon). Jan Mayen was formed by the Jan Mayen hotspot.")</f>
        <v>A volcanic island that is part of the Kingdom of Norway, It has two parts: larger Nord-Jan and smaller Sor-Jan, linked by an isthmus 2.5 km wide. It lies 600 km north of Iceland, 500 km east of Greenland and 1,000 km west of the Norwegian mainland. The island is mountainous, the highest summit being the Beerenberg volcano in the north. The isthmus is the location of the two largest lakes of the island, Sorlaguna (South Lagoon), and Nordlaguna (North Lagoon). A third lake is called Ullerenglaguna (Ullereng Lagoon). Jan Mayen was formed by the Jan Mayen hotspot.</v>
      </c>
      <c r="E1278" s="56"/>
      <c r="F1278" s="54"/>
      <c r="G1278" s="54"/>
      <c r="H1278" s="59"/>
      <c r="I1278" s="59"/>
      <c r="J1278" s="59"/>
      <c r="K1278" s="54"/>
    </row>
    <row r="1279">
      <c r="A1279" s="57"/>
      <c r="B1279" s="57" t="str">
        <f>IFERROR(__xludf.DUMMYFUNCTION("""COMPUTED_VALUE"""),"Japan [GAZ:00002747]    ")</f>
        <v>Japan [GAZ:00002747]    </v>
      </c>
      <c r="C1279" s="57" t="str">
        <f>IFERROR(__xludf.DUMMYFUNCTION("""COMPUTED_VALUE"""),"GAZ:00002747")</f>
        <v>GAZ:00002747</v>
      </c>
      <c r="D1279" s="58" t="str">
        <f>IFERROR(__xludf.DUMMYFUNCTION("""COMPUTED_VALUE"""),"An island country in East Asia. Located in the Pacific Ocean, it lies to the east of China, Korea and Russia, stretching from the Sea of Okhotsk in the north to the East China Sea in the south.")</f>
        <v>An island country in East Asia. Located in the Pacific Ocean, it lies to the east of China, Korea and Russia, stretching from the Sea of Okhotsk in the north to the East China Sea in the south.</v>
      </c>
      <c r="E1279" s="56"/>
      <c r="F1279" s="54"/>
      <c r="G1279" s="54"/>
      <c r="H1279" s="59"/>
      <c r="I1279" s="59"/>
      <c r="J1279" s="59"/>
      <c r="K1279" s="54"/>
    </row>
    <row r="1280">
      <c r="A1280" s="57"/>
      <c r="B1280" s="57" t="str">
        <f>IFERROR(__xludf.DUMMYFUNCTION("""COMPUTED_VALUE"""),"Jarvis Island [GAZ:00007118]    ")</f>
        <v>Jarvis Island [GAZ:00007118]    </v>
      </c>
      <c r="C1280" s="57" t="str">
        <f>IFERROR(__xludf.DUMMYFUNCTION("""COMPUTED_VALUE"""),"GAZ:00007118")</f>
        <v>GAZ:00007118</v>
      </c>
      <c r="D1280" s="58" t="str">
        <f>IFERROR(__xludf.DUMMYFUNCTION("""COMPUTED_VALUE"""),"An uninhabited 4.5 km2 coral atoll located in the South Pacific Ocean about halfway between Hawaii and the Cook Islands. It is an unincorporated territory of the United States administered from Washington, DC by the United States Fish and Wildlife Service"&amp;" of the United States Department of the Interior as part of the National Wildlife Refuge system. Jarvis is one of the southern Line Islands and for statistical purposes is also grouped as one of the United States Minor Outlying Islands. Sits atop the Jarv"&amp;"is Seamount.")</f>
        <v>An uninhabited 4.5 km2 coral atoll located in the South Pacific Ocean about halfway between Hawaii and the Cook Islands. It is an unincorporated territory of the United States administered from Washington, DC by the United States Fish and Wildlife Service of the United States Department of the Interior as part of the National Wildlife Refuge system. Jarvis is one of the southern Line Islands and for statistical purposes is also grouped as one of the United States Minor Outlying Islands. Sits atop the Jarvis Seamount.</v>
      </c>
      <c r="E1280" s="56"/>
      <c r="F1280" s="54"/>
      <c r="G1280" s="54"/>
      <c r="H1280" s="59"/>
      <c r="I1280" s="59"/>
      <c r="J1280" s="59"/>
      <c r="K1280" s="54"/>
    </row>
    <row r="1281">
      <c r="A1281" s="57"/>
      <c r="B1281" s="57" t="str">
        <f>IFERROR(__xludf.DUMMYFUNCTION("""COMPUTED_VALUE"""),"Jersey [GAZ:00001551]    ")</f>
        <v>Jersey [GAZ:00001551]    </v>
      </c>
      <c r="C1281" s="57" t="str">
        <f>IFERROR(__xludf.DUMMYFUNCTION("""COMPUTED_VALUE"""),"GAZ:00001551")</f>
        <v>GAZ:00001551</v>
      </c>
      <c r="D1281" s="58" t="str">
        <f>IFERROR(__xludf.DUMMYFUNCTION("""COMPUTED_VALUE"""),"A British Crown Dependency[6] off the coast of Normandy, France. As well as the island of Jersey itself, the bailiwick includes two groups of small islands that are no longer permanently inhabited, the Minquiers and Ecrehous, and the Pierres de Lecq.")</f>
        <v>A British Crown Dependency[6] off the coast of Normandy, France. As well as the island of Jersey itself, the bailiwick includes two groups of small islands that are no longer permanently inhabited, the Minquiers and Ecrehous, and the Pierres de Lecq.</v>
      </c>
      <c r="E1281" s="56"/>
      <c r="F1281" s="54"/>
      <c r="G1281" s="54"/>
      <c r="H1281" s="59"/>
      <c r="I1281" s="59"/>
      <c r="J1281" s="59"/>
      <c r="K1281" s="54"/>
    </row>
    <row r="1282">
      <c r="A1282" s="57"/>
      <c r="B1282" s="57" t="str">
        <f>IFERROR(__xludf.DUMMYFUNCTION("""COMPUTED_VALUE"""),"Johnston Atoll [GAZ:00007114]    ")</f>
        <v>Johnston Atoll [GAZ:00007114]    </v>
      </c>
      <c r="C1282" s="57" t="str">
        <f>IFERROR(__xludf.DUMMYFUNCTION("""COMPUTED_VALUE"""),"GAZ:00007114")</f>
        <v>GAZ:00007114</v>
      </c>
      <c r="D1282" s="58" t="str">
        <f>IFERROR(__xludf.DUMMYFUNCTION("""COMPUTED_VALUE"""),"A 130 km2 atoll in the North Pacific Ocean about 1400 km (750 nm) west of Hawaii. There are four islands located on the coral reef platform, two natural islands, Johnston Island and Sand Island, which have been expanded by coral dredging, as well as North"&amp;" Island (Akau) and East Island (Hikina), artificial islands formed from coral dredging. Johnston is an unincorporated territory of the United States, administered by the US Fish and Wildlife Service of the Department of the Interior as part of the United "&amp;"States Pacific Island Wildlife Refuges. Sits atop Johnston Seamount.")</f>
        <v>A 130 km2 atoll in the North Pacific Ocean about 1400 km (750 nm) west of Hawaii. There are four islands located on the coral reef platform, two natural islands, Johnston Island and Sand Island, which have been expanded by coral dredging, as well as North Island (Akau) and East Island (Hikina), artificial islands formed from coral dredging. Johnston is an unincorporated territory of the United States, administered by the US Fish and Wildlife Service of the Department of the Interior as part of the United States Pacific Island Wildlife Refuges. Sits atop Johnston Seamount.</v>
      </c>
      <c r="E1282" s="56"/>
      <c r="F1282" s="54"/>
      <c r="G1282" s="54"/>
      <c r="H1282" s="59"/>
      <c r="I1282" s="59"/>
      <c r="J1282" s="59"/>
      <c r="K1282" s="54"/>
    </row>
    <row r="1283">
      <c r="A1283" s="57"/>
      <c r="B1283" s="57" t="str">
        <f>IFERROR(__xludf.DUMMYFUNCTION("""COMPUTED_VALUE"""),"Jordan [GAZ:00002473]    ")</f>
        <v>Jordan [GAZ:00002473]    </v>
      </c>
      <c r="C1283" s="57" t="str">
        <f>IFERROR(__xludf.DUMMYFUNCTION("""COMPUTED_VALUE"""),"GAZ:00002473")</f>
        <v>GAZ:00002473</v>
      </c>
      <c r="D1283" s="58" t="str">
        <f>IFERROR(__xludf.DUMMYFUNCTION("""COMPUTED_VALUE"""),"A country in Southwest Asia, bordered by Syria to the north, Iraq to the north-east, Israel and the West Bank to the west, and Saudi Arabia to the east and south. It shares the coastlines of the Dead Sea, and the Gulf of Aqaba with Israel, Saudi Arabia, a"&amp;"nd Egypt. Jordan is divided into 12 provinces called governorates. The Governorates are subdivided into approximately fifty-two nahias.")</f>
        <v>A country in Southwest Asia, bordered by Syria to the north, Iraq to the north-east, Israel and the West Bank to the west, and Saudi Arabia to the east and south. It shares the coastlines of the Dead Sea, and the Gulf of Aqaba with Israel, Saudi Arabia, and Egypt. Jordan is divided into 12 provinces called governorates. The Governorates are subdivided into approximately fifty-two nahias.</v>
      </c>
      <c r="E1283" s="56"/>
      <c r="F1283" s="54"/>
      <c r="G1283" s="54"/>
      <c r="H1283" s="59"/>
      <c r="I1283" s="59"/>
      <c r="J1283" s="59"/>
      <c r="K1283" s="54"/>
    </row>
    <row r="1284">
      <c r="A1284" s="57"/>
      <c r="B1284" s="57" t="str">
        <f>IFERROR(__xludf.DUMMYFUNCTION("""COMPUTED_VALUE"""),"Juan de Nova Island [GAZ:00005809]    ")</f>
        <v>Juan de Nova Island [GAZ:00005809]    </v>
      </c>
      <c r="C1284" s="57" t="str">
        <f>IFERROR(__xludf.DUMMYFUNCTION("""COMPUTED_VALUE"""),"GAZ:00005809")</f>
        <v>GAZ:00005809</v>
      </c>
      <c r="D1284" s="58" t="str">
        <f>IFERROR(__xludf.DUMMYFUNCTION("""COMPUTED_VALUE"""),"A 4.4 km2 low, flat, tropical island in the narrowest part of the Mozambique Channel, about one-third of the way between Madagascar and Mozambique.")</f>
        <v>A 4.4 km2 low, flat, tropical island in the narrowest part of the Mozambique Channel, about one-third of the way between Madagascar and Mozambique.</v>
      </c>
      <c r="E1284" s="56"/>
      <c r="F1284" s="54"/>
      <c r="G1284" s="54"/>
      <c r="H1284" s="59"/>
      <c r="I1284" s="59"/>
      <c r="J1284" s="59"/>
      <c r="K1284" s="54"/>
    </row>
    <row r="1285">
      <c r="A1285" s="57"/>
      <c r="B1285" s="57" t="str">
        <f>IFERROR(__xludf.DUMMYFUNCTION("""COMPUTED_VALUE"""),"Kazakhstan [GAZ:00004999]    ")</f>
        <v>Kazakhstan [GAZ:00004999]    </v>
      </c>
      <c r="C1285" s="57" t="str">
        <f>IFERROR(__xludf.DUMMYFUNCTION("""COMPUTED_VALUE"""),"GAZ:00004999")</f>
        <v>GAZ:00004999</v>
      </c>
      <c r="D1285" s="58" t="str">
        <f>IFERROR(__xludf.DUMMYFUNCTION("""COMPUTED_VALUE"""),"A country in Central Asia and Europe. It is bordered by Russia, Kyrgyzstan, Turkmenistan, Uzbekistan and China. The country also borders on a significant part of the Caspian Sea. Kazakhstan is divided into 14 provinces and two municipal districts. The pro"&amp;"vinces of Kazakhstan are divided into raions.")</f>
        <v>A country in Central Asia and Europe. It is bordered by Russia, Kyrgyzstan, Turkmenistan, Uzbekistan and China. The country also borders on a significant part of the Caspian Sea. Kazakhstan is divided into 14 provinces and two municipal districts. The provinces of Kazakhstan are divided into raions.</v>
      </c>
      <c r="E1285" s="56"/>
      <c r="F1285" s="54"/>
      <c r="G1285" s="54"/>
      <c r="H1285" s="59"/>
      <c r="I1285" s="59"/>
      <c r="J1285" s="59"/>
      <c r="K1285" s="54"/>
    </row>
    <row r="1286">
      <c r="A1286" s="57"/>
      <c r="B1286" s="57" t="str">
        <f>IFERROR(__xludf.DUMMYFUNCTION("""COMPUTED_VALUE"""),"Kenya [GAZ:00001101]    ")</f>
        <v>Kenya [GAZ:00001101]    </v>
      </c>
      <c r="C1286" s="57" t="str">
        <f>IFERROR(__xludf.DUMMYFUNCTION("""COMPUTED_VALUE"""),"GAZ:00001101")</f>
        <v>GAZ:00001101</v>
      </c>
      <c r="D1286" s="58" t="str">
        <f>IFERROR(__xludf.DUMMYFUNCTION("""COMPUTED_VALUE"""),"A country in Eastern Africa. It is bordered by Ethiopia to the north, Somalia to the east, Tanzania to the south, Uganda to the west, and Sudan to the northwest, with the Indian Ocean running along the southeast border. Kenya comprises eight provinces eac"&amp;"h headed by a Provincial Commissioner (centrally appointed by the president). The provinces (mkoa singular mikoa plural in Swahili) are subdivided into districts (wilaya). There were 69 districts as of 1999 census. Districts are then subdivided into 497 d"&amp;"ivisions (taarafa). The divisions are then subdivided into 2,427 locations (kata) and then 6,612 sublocations (kata ndogo). The City of Nairobi enjoys the status of a full administrative province.")</f>
        <v>A country in Eastern Africa. It is bordered by Ethiopia to the north, Somalia to the east, Tanzania to the south, Uganda to the west, and Sudan to the northwest, with the Indian Ocean running along the southeast border. Kenya comprises eight provinces each headed by a Provincial Commissioner (centrally appointed by the president). The provinces (mkoa singular mikoa plural in Swahili) are subdivided into districts (wilaya). There were 69 districts as of 1999 census. Districts are then subdivided into 497 divisions (taarafa). The divisions are then subdivided into 2,427 locations (kata) and then 6,612 sublocations (kata ndogo). The City of Nairobi enjoys the status of a full administrative province.</v>
      </c>
      <c r="E1286" s="56"/>
      <c r="F1286" s="54"/>
      <c r="G1286" s="54"/>
      <c r="H1286" s="59"/>
      <c r="I1286" s="59"/>
      <c r="J1286" s="59"/>
      <c r="K1286" s="54"/>
    </row>
    <row r="1287">
      <c r="A1287" s="57"/>
      <c r="B1287" s="57" t="str">
        <f>IFERROR(__xludf.DUMMYFUNCTION("""COMPUTED_VALUE"""),"Kerguelen Archipelago [GAZ:00005682]    ")</f>
        <v>Kerguelen Archipelago [GAZ:00005682]    </v>
      </c>
      <c r="C1287" s="57" t="str">
        <f>IFERROR(__xludf.DUMMYFUNCTION("""COMPUTED_VALUE"""),"GAZ:00005682")</f>
        <v>GAZ:00005682</v>
      </c>
      <c r="D1287" s="58" t="str">
        <f>IFERROR(__xludf.DUMMYFUNCTION("""COMPUTED_VALUE"""),"A group of islands in the southern Indian Ocean. It is a territory of France. They are composed primarily of Tertiary flood basalts and a complex of plutonic rocks. The trachybasaltic-to-trachytic Mount Ross stratovolcano at the southern end was active du"&amp;"ring the late Pleistocene. The Rallier du Baty Peninsula on the SW tip of the island contains two youthful subglacial eruptive centers, Mont St. Allouarn and Mont Henri Rallier du Baty. An active fumarole field is related to a series of Holocene trachytic"&amp;" lava flows and lahars that extend beyond the icecap.")</f>
        <v>A group of islands in the southern Indian Ocean. It is a territory of France. They are composed primarily of Tertiary flood basalts and a complex of plutonic rocks. The trachybasaltic-to-trachytic Mount Ross stratovolcano at the southern end was active during the late Pleistocene. The Rallier du Baty Peninsula on the SW tip of the island contains two youthful subglacial eruptive centers, Mont St. Allouarn and Mont Henri Rallier du Baty. An active fumarole field is related to a series of Holocene trachytic lava flows and lahars that extend beyond the icecap.</v>
      </c>
      <c r="E1287" s="56"/>
      <c r="F1287" s="54"/>
      <c r="G1287" s="54"/>
      <c r="H1287" s="59"/>
      <c r="I1287" s="59"/>
      <c r="J1287" s="59"/>
      <c r="K1287" s="54"/>
    </row>
    <row r="1288">
      <c r="A1288" s="57"/>
      <c r="B1288" s="57" t="str">
        <f>IFERROR(__xludf.DUMMYFUNCTION("""COMPUTED_VALUE"""),"Kingman Reef [GAZ:00007116]    ")</f>
        <v>Kingman Reef [GAZ:00007116]    </v>
      </c>
      <c r="C1288" s="57" t="str">
        <f>IFERROR(__xludf.DUMMYFUNCTION("""COMPUTED_VALUE"""),"GAZ:00007116")</f>
        <v>GAZ:00007116</v>
      </c>
      <c r="D1288" s="58" t="str">
        <f>IFERROR(__xludf.DUMMYFUNCTION("""COMPUTED_VALUE"""),"A largely submerged, uninhabited tropical atoll located in the North Pacific Ocean, roughly half way between Hawaiian Islands and American Samoa. It is the northernmost of the Northern Line Islands and lies 65 km NNW of Palmyra Atoll, the next closest isl"&amp;"and, and has the status of an unincorporated territory of the United States, administered from Washington, DC by the US Navy. Sits atop Kingman Reef Seamount.")</f>
        <v>A largely submerged, uninhabited tropical atoll located in the North Pacific Ocean, roughly half way between Hawaiian Islands and American Samoa. It is the northernmost of the Northern Line Islands and lies 65 km NNW of Palmyra Atoll, the next closest island, and has the status of an unincorporated territory of the United States, administered from Washington, DC by the US Navy. Sits atop Kingman Reef Seamount.</v>
      </c>
      <c r="E1288" s="56"/>
      <c r="F1288" s="54"/>
      <c r="G1288" s="54"/>
      <c r="H1288" s="59"/>
      <c r="I1288" s="59"/>
      <c r="J1288" s="59"/>
      <c r="K1288" s="54"/>
    </row>
    <row r="1289">
      <c r="A1289" s="57"/>
      <c r="B1289" s="57" t="str">
        <f>IFERROR(__xludf.DUMMYFUNCTION("""COMPUTED_VALUE"""),"Kiribati [GAZ:00006894]    ")</f>
        <v>Kiribati [GAZ:00006894]    </v>
      </c>
      <c r="C1289" s="57" t="str">
        <f>IFERROR(__xludf.DUMMYFUNCTION("""COMPUTED_VALUE"""),"GAZ:00006894")</f>
        <v>GAZ:00006894</v>
      </c>
      <c r="D1289" s="58" t="str">
        <f>IFERROR(__xludf.DUMMYFUNCTION("""COMPUTED_VALUE"""),"An island nation located in the central tropical Pacific Ocean. It is composed of 32 atolls and one raised coral island dispersed over 3,500,000 km2 straddling the equator and bordering the International Date Line to the east. It is divided into three isl"&amp;"and groups which have no administrative function, including a group which unites the Line Islands and the Phoenix Islands (ministry at London, Christmas). Each inhabited island has its own council (three councils on Tarawa: Betio, South-Tarawa, North-Tara"&amp;"wa; two councils on Tabiteuea).")</f>
        <v>An island nation located in the central tropical Pacific Ocean. It is composed of 32 atolls and one raised coral island dispersed over 3,500,000 km2 straddling the equator and bordering the International Date Line to the east. It is divided into three island groups which have no administrative function, including a group which unites the Line Islands and the Phoenix Islands (ministry at London, Christmas). Each inhabited island has its own council (three councils on Tarawa: Betio, South-Tarawa, North-Tarawa; two councils on Tabiteuea).</v>
      </c>
      <c r="E1289" s="56"/>
      <c r="F1289" s="54"/>
      <c r="G1289" s="54"/>
      <c r="H1289" s="59"/>
      <c r="I1289" s="59"/>
      <c r="J1289" s="59"/>
      <c r="K1289" s="54"/>
    </row>
    <row r="1290">
      <c r="A1290" s="57"/>
      <c r="B1290" s="57" t="str">
        <f>IFERROR(__xludf.DUMMYFUNCTION("""COMPUTED_VALUE"""),"Kosovo [GAZ:00011337]    ")</f>
        <v>Kosovo [GAZ:00011337]    </v>
      </c>
      <c r="C1290" s="57" t="str">
        <f>IFERROR(__xludf.DUMMYFUNCTION("""COMPUTED_VALUE"""),"GAZ:00011337")</f>
        <v>GAZ:00011337</v>
      </c>
      <c r="D1290" s="58" t="str">
        <f>IFERROR(__xludf.DUMMYFUNCTION("""COMPUTED_VALUE"""),"A country on the Balkan Peninsula. Kosovo borders Central Serbia to the north and east, Montenegro to the northwest, Albania to the west and the Republic of Macedonia to the south. Kosovo is divided into 7 districts (Rreth) and 30 municipalities. Serbia d"&amp;"oes not recognise the unilateral secession of Kosovo[8] and considers it a United Nations-governed entity within its sovereign territory, the Autonomous Province of Kosovo and Metohija.")</f>
        <v>A country on the Balkan Peninsula. Kosovo borders Central Serbia to the north and east, Montenegro to the northwest, Albania to the west and the Republic of Macedonia to the south. Kosovo is divided into 7 districts (Rreth) and 30 municipalities. Serbia does not recognise the unilateral secession of Kosovo[8] and considers it a United Nations-governed entity within its sovereign territory, the Autonomous Province of Kosovo and Metohija.</v>
      </c>
      <c r="E1290" s="56"/>
      <c r="F1290" s="54"/>
      <c r="G1290" s="54"/>
      <c r="H1290" s="59"/>
      <c r="I1290" s="59"/>
      <c r="J1290" s="59"/>
      <c r="K1290" s="54"/>
    </row>
    <row r="1291">
      <c r="A1291" s="57"/>
      <c r="B1291" s="57" t="str">
        <f>IFERROR(__xludf.DUMMYFUNCTION("""COMPUTED_VALUE"""),"Kuwait [GAZ:00005285]    ")</f>
        <v>Kuwait [GAZ:00005285]    </v>
      </c>
      <c r="C1291" s="57" t="str">
        <f>IFERROR(__xludf.DUMMYFUNCTION("""COMPUTED_VALUE"""),"GAZ:00005285")</f>
        <v>GAZ:00005285</v>
      </c>
      <c r="D1291" s="58" t="str">
        <f>IFERROR(__xludf.DUMMYFUNCTION("""COMPUTED_VALUE"""),"A sovereign emirate on the coast of the Persian Gulf, enclosed by Saudi Arabia to the south and Iraq to the north and west. Kuwait is divided into six governorates (muhafazat, singular muhafadhah).")</f>
        <v>A sovereign emirate on the coast of the Persian Gulf, enclosed by Saudi Arabia to the south and Iraq to the north and west. Kuwait is divided into six governorates (muhafazat, singular muhafadhah).</v>
      </c>
      <c r="E1291" s="56"/>
      <c r="F1291" s="54"/>
      <c r="G1291" s="54"/>
      <c r="H1291" s="59"/>
      <c r="I1291" s="59"/>
      <c r="J1291" s="59"/>
      <c r="K1291" s="54"/>
    </row>
    <row r="1292">
      <c r="A1292" s="57"/>
      <c r="B1292" s="57" t="str">
        <f>IFERROR(__xludf.DUMMYFUNCTION("""COMPUTED_VALUE"""),"Kyrgyzstan [GAZ:00006893]    ")</f>
        <v>Kyrgyzstan [GAZ:00006893]    </v>
      </c>
      <c r="C1292" s="57" t="str">
        <f>IFERROR(__xludf.DUMMYFUNCTION("""COMPUTED_VALUE"""),"GAZ:00006893")</f>
        <v>GAZ:00006893</v>
      </c>
      <c r="D1292" s="58" t="str">
        <f>IFERROR(__xludf.DUMMYFUNCTION("""COMPUTED_VALUE"""),"A country in Central Asia. Landlocked and mountainous, it is bordered by Kazakhstan to the north, Uzbekistan to the west, Tajikistan to the southwest and China to the east. Kyrgyzstan is divided into seven provinces (oblast. The capital, Bishkek, and the "&amp;"second large city Osh are administratively the independent cities (shaar) with a status equal to a province. Each province comprises a number of districts (raions).")</f>
        <v>A country in Central Asia. Landlocked and mountainous, it is bordered by Kazakhstan to the north, Uzbekistan to the west, Tajikistan to the southwest and China to the east. Kyrgyzstan is divided into seven provinces (oblast. The capital, Bishkek, and the second large city Osh are administratively the independent cities (shaar) with a status equal to a province. Each province comprises a number of districts (raions).</v>
      </c>
      <c r="E1292" s="56"/>
      <c r="F1292" s="54"/>
      <c r="G1292" s="54"/>
      <c r="H1292" s="59"/>
      <c r="I1292" s="59"/>
      <c r="J1292" s="59"/>
      <c r="K1292" s="54"/>
    </row>
    <row r="1293">
      <c r="A1293" s="57"/>
      <c r="B1293" s="57" t="str">
        <f>IFERROR(__xludf.DUMMYFUNCTION("""COMPUTED_VALUE"""),"Laos [GAZ:00006889]    ")</f>
        <v>Laos [GAZ:00006889]    </v>
      </c>
      <c r="C1293" s="57" t="str">
        <f>IFERROR(__xludf.DUMMYFUNCTION("""COMPUTED_VALUE"""),"GAZ:00006889")</f>
        <v>GAZ:00006889</v>
      </c>
      <c r="D1293" s="58" t="str">
        <f>IFERROR(__xludf.DUMMYFUNCTION("""COMPUTED_VALUE"""),"A landlocked country in southeast Asia, bordered by Burma (Myanmar) and China to the northwest, Vietnam to the east, Cambodia to the south, and Thailand to the west. Laos is divided into sixteen provinces (qwang) and Vientiane Capital (Na Kone Luang Vient"&amp;"iane). The provinces further divided into districts (muang).")</f>
        <v>A landlocked country in southeast Asia, bordered by Burma (Myanmar) and China to the northwest, Vietnam to the east, Cambodia to the south, and Thailand to the west. Laos is divided into sixteen provinces (qwang) and Vientiane Capital (Na Kone Luang Vientiane). The provinces further divided into districts (muang).</v>
      </c>
      <c r="E1293" s="56"/>
      <c r="F1293" s="54"/>
      <c r="G1293" s="54"/>
      <c r="H1293" s="59"/>
      <c r="I1293" s="59"/>
      <c r="J1293" s="59"/>
      <c r="K1293" s="54"/>
    </row>
    <row r="1294">
      <c r="A1294" s="57"/>
      <c r="B1294" s="57" t="str">
        <f>IFERROR(__xludf.DUMMYFUNCTION("""COMPUTED_VALUE"""),"Latvia [GAZ:00002958]    ")</f>
        <v>Latvia [GAZ:00002958]    </v>
      </c>
      <c r="C1294" s="57" t="str">
        <f>IFERROR(__xludf.DUMMYFUNCTION("""COMPUTED_VALUE"""),"GAZ:00002958")</f>
        <v>GAZ:00002958</v>
      </c>
      <c r="D1294" s="58" t="str">
        <f>IFERROR(__xludf.DUMMYFUNCTION("""COMPUTED_VALUE"""),"A country in Northern Europe. Latvia shares land borders with Estonia to the north and Lithuania to the south, and both Russia and Belarus to the east. It is separated from Sweden in the west by the Baltic Sea. The capital of Latvia is Riga. Latvia is div"&amp;"ided into 26 districts (raioni). There are also seven cities (lielpilsetas) that have a separate status. Latvia is also historically, culturally and constitutionally divided in four or more distinct regions.")</f>
        <v>A country in Northern Europe. Latvia shares land borders with Estonia to the north and Lithuania to the south, and both Russia and Belarus to the east. It is separated from Sweden in the west by the Baltic Sea. The capital of Latvia is Riga. Latvia is divided into 26 districts (raioni). There are also seven cities (lielpilsetas) that have a separate status. Latvia is also historically, culturally and constitutionally divided in four or more distinct regions.</v>
      </c>
      <c r="E1294" s="56"/>
      <c r="F1294" s="54"/>
      <c r="G1294" s="54"/>
      <c r="H1294" s="59"/>
      <c r="I1294" s="59"/>
      <c r="J1294" s="59"/>
      <c r="K1294" s="54"/>
    </row>
    <row r="1295">
      <c r="A1295" s="57"/>
      <c r="B1295" s="57" t="str">
        <f>IFERROR(__xludf.DUMMYFUNCTION("""COMPUTED_VALUE"""),"Lebanon [GAZ:00002478]    ")</f>
        <v>Lebanon [GAZ:00002478]    </v>
      </c>
      <c r="C1295" s="57" t="str">
        <f>IFERROR(__xludf.DUMMYFUNCTION("""COMPUTED_VALUE"""),"GAZ:00002478")</f>
        <v>GAZ:00002478</v>
      </c>
      <c r="D1295" s="58" t="str">
        <f>IFERROR(__xludf.DUMMYFUNCTION("""COMPUTED_VALUE"""),"A small, mostly mountainous country in Western Asia, on the eastern shore of the Mediterranean Sea. It is bordered by Syria to the north and east, and Israel to the south. Lebanon is divided into six governorates (mohaafazaat, which are further subdivided"&amp;" into twenty-five districts (aqdya, singular: qadaa).")</f>
        <v>A small, mostly mountainous country in Western Asia, on the eastern shore of the Mediterranean Sea. It is bordered by Syria to the north and east, and Israel to the south. Lebanon is divided into six governorates (mohaafazaat, which are further subdivided into twenty-five districts (aqdya, singular: qadaa).</v>
      </c>
      <c r="E1295" s="56"/>
      <c r="F1295" s="54"/>
      <c r="G1295" s="54"/>
      <c r="H1295" s="59"/>
      <c r="I1295" s="59"/>
      <c r="J1295" s="59"/>
      <c r="K1295" s="54"/>
    </row>
    <row r="1296">
      <c r="A1296" s="57"/>
      <c r="B1296" s="57" t="str">
        <f>IFERROR(__xludf.DUMMYFUNCTION("""COMPUTED_VALUE"""),"Lesotho [GAZ:00001098]    ")</f>
        <v>Lesotho [GAZ:00001098]    </v>
      </c>
      <c r="C1296" s="57" t="str">
        <f>IFERROR(__xludf.DUMMYFUNCTION("""COMPUTED_VALUE"""),"GAZ:00001098")</f>
        <v>GAZ:00001098</v>
      </c>
      <c r="D1296" s="58" t="str">
        <f>IFERROR(__xludf.DUMMYFUNCTION("""COMPUTED_VALUE"""),"A land-locked country, entirely surrounded by the Republic of South Africa. Lesotho is divided into ten districts; these are further subdivided into 80 constituencies, which consists of 129 local community councils.")</f>
        <v>A land-locked country, entirely surrounded by the Republic of South Africa. Lesotho is divided into ten districts; these are further subdivided into 80 constituencies, which consists of 129 local community councils.</v>
      </c>
      <c r="E1296" s="56"/>
      <c r="F1296" s="54"/>
      <c r="G1296" s="54"/>
      <c r="H1296" s="59"/>
      <c r="I1296" s="59"/>
      <c r="J1296" s="59"/>
      <c r="K1296" s="54"/>
    </row>
    <row r="1297">
      <c r="A1297" s="57"/>
      <c r="B1297" s="57" t="str">
        <f>IFERROR(__xludf.DUMMYFUNCTION("""COMPUTED_VALUE"""),"Liberia [GAZ:00000911]    ")</f>
        <v>Liberia [GAZ:00000911]    </v>
      </c>
      <c r="C1297" s="57" t="str">
        <f>IFERROR(__xludf.DUMMYFUNCTION("""COMPUTED_VALUE"""),"GAZ:00000911")</f>
        <v>GAZ:00000911</v>
      </c>
      <c r="D1297" s="58" t="str">
        <f>IFERROR(__xludf.DUMMYFUNCTION("""COMPUTED_VALUE"""),"A country on the west coast of Africa, bordered by Sierra Leone, Guinea, Cote d'Ivoire, and the Atlantic Ocean.")</f>
        <v>A country on the west coast of Africa, bordered by Sierra Leone, Guinea, Cote d'Ivoire, and the Atlantic Ocean.</v>
      </c>
      <c r="E1297" s="56"/>
      <c r="F1297" s="54"/>
      <c r="G1297" s="54"/>
      <c r="H1297" s="59"/>
      <c r="I1297" s="59"/>
      <c r="J1297" s="59"/>
      <c r="K1297" s="54"/>
    </row>
    <row r="1298">
      <c r="A1298" s="57"/>
      <c r="B1298" s="57" t="str">
        <f>IFERROR(__xludf.DUMMYFUNCTION("""COMPUTED_VALUE"""),"Libya [GAZ:00000566]    ")</f>
        <v>Libya [GAZ:00000566]    </v>
      </c>
      <c r="C1298" s="57" t="str">
        <f>IFERROR(__xludf.DUMMYFUNCTION("""COMPUTED_VALUE"""),"GAZ:00000566")</f>
        <v>GAZ:00000566</v>
      </c>
      <c r="D1298" s="58" t="str">
        <f>IFERROR(__xludf.DUMMYFUNCTION("""COMPUTED_VALUE"""),"A country in North Africa. Bordering the Mediterranean Sea to the north, Libya lies between Egypt to the east, Sudan to the southeast, Chad and Niger to the south, and Algeria and Tunisia to the west. There are thirty-four municipalities of Libya, known b"&amp;"y the Arabic term sha'biyat (singular sha'biyah). These came recently (in the 1990s to replaced old Baladiyat systam. The Baladiyat system in turn was introduced to replace the system of muhafazah (governorates or provinces) that existed from the 1960s to"&amp;" the 1970s.")</f>
        <v>A country in North Africa. Bordering the Mediterranean Sea to the north, Libya lies between Egypt to the east, Sudan to the southeast, Chad and Niger to the south, and Algeria and Tunisia to the west. There are thirty-four municipalities of Libya, known by the Arabic term sha'biyat (singular sha'biyah). These came recently (in the 1990s to replaced old Baladiyat systam. The Baladiyat system in turn was introduced to replace the system of muhafazah (governorates or provinces) that existed from the 1960s to the 1970s.</v>
      </c>
      <c r="E1298" s="56"/>
      <c r="F1298" s="54"/>
      <c r="G1298" s="54"/>
      <c r="H1298" s="59"/>
      <c r="I1298" s="59"/>
      <c r="J1298" s="59"/>
      <c r="K1298" s="54"/>
    </row>
    <row r="1299">
      <c r="A1299" s="57"/>
      <c r="B1299" s="57" t="str">
        <f>IFERROR(__xludf.DUMMYFUNCTION("""COMPUTED_VALUE"""),"Liechtenstein [GAZ:00003858]    ")</f>
        <v>Liechtenstein [GAZ:00003858]    </v>
      </c>
      <c r="C1299" s="57" t="str">
        <f>IFERROR(__xludf.DUMMYFUNCTION("""COMPUTED_VALUE"""),"GAZ:00003858")</f>
        <v>GAZ:00003858</v>
      </c>
      <c r="D1299" s="58" t="str">
        <f>IFERROR(__xludf.DUMMYFUNCTION("""COMPUTED_VALUE"""),"A tiny, doubly landlocked alpine country in Western Europe, bordered by Switzerland to its west and by Austria to its east. The principality of Liechtenstein is divided into 11 municipalities called Gemeinden (singular Gemeinde). The Gemeinden mostly cons"&amp;"ist only of a single town. Five of them fall within the electoral district Unterland (the lower county), and the remainder within Oberland (the upper county).")</f>
        <v>A tiny, doubly landlocked alpine country in Western Europe, bordered by Switzerland to its west and by Austria to its east. The principality of Liechtenstein is divided into 11 municipalities called Gemeinden (singular Gemeinde). The Gemeinden mostly consist only of a single town. Five of them fall within the electoral district Unterland (the lower county), and the remainder within Oberland (the upper county).</v>
      </c>
      <c r="E1299" s="56"/>
      <c r="F1299" s="54"/>
      <c r="G1299" s="54"/>
      <c r="H1299" s="59"/>
      <c r="I1299" s="59"/>
      <c r="J1299" s="59"/>
      <c r="K1299" s="54"/>
    </row>
    <row r="1300">
      <c r="A1300" s="57"/>
      <c r="B1300" s="57" t="str">
        <f>IFERROR(__xludf.DUMMYFUNCTION("""COMPUTED_VALUE"""),"Line Islands [GAZ:00007144]    ")</f>
        <v>Line Islands [GAZ:00007144]    </v>
      </c>
      <c r="C1300" s="57" t="str">
        <f>IFERROR(__xludf.DUMMYFUNCTION("""COMPUTED_VALUE"""),"GAZ:00007144")</f>
        <v>GAZ:00007144</v>
      </c>
      <c r="D1300" s="58" t="str">
        <f>IFERROR(__xludf.DUMMYFUNCTION("""COMPUTED_VALUE"""),"A group of eleven atolls and low coral islands in the central Pacific Ocean south of the Hawaiian Islands, eight of which belong to Kiribati, while three are United States territories that are grouped with the United States Minor Outlying Islands.")</f>
        <v>A group of eleven atolls and low coral islands in the central Pacific Ocean south of the Hawaiian Islands, eight of which belong to Kiribati, while three are United States territories that are grouped with the United States Minor Outlying Islands.</v>
      </c>
      <c r="E1300" s="56"/>
      <c r="F1300" s="54"/>
      <c r="G1300" s="54"/>
      <c r="H1300" s="59"/>
      <c r="I1300" s="59"/>
      <c r="J1300" s="59"/>
      <c r="K1300" s="54"/>
    </row>
    <row r="1301">
      <c r="A1301" s="57"/>
      <c r="B1301" s="57" t="str">
        <f>IFERROR(__xludf.DUMMYFUNCTION("""COMPUTED_VALUE"""),"Lithuania [GAZ:00002960]    ")</f>
        <v>Lithuania [GAZ:00002960]    </v>
      </c>
      <c r="C1301" s="57" t="str">
        <f>IFERROR(__xludf.DUMMYFUNCTION("""COMPUTED_VALUE"""),"GAZ:00002960")</f>
        <v>GAZ:00002960</v>
      </c>
      <c r="D1301" s="58" t="str">
        <f>IFERROR(__xludf.DUMMYFUNCTION("""COMPUTED_VALUE"""),"A country located along the south-eastern shore of the Baltic Sea, sharing borders with Latvia to the north, Belarus to the southeast, Poland, and the Russian exclave of the Kaliningrad Oblast to the southwest. Lithuania has a three-tier administrative di"&amp;"vision: the country is divided into 10 counties (singular apskritis, plural, apskritys) that are further subdivided into 60 municipalities (singular savivaldybe, plural savivaldybes) which consist of over 500 elderates (singular seniunija, plural seniunij"&amp;"os).")</f>
        <v>A country located along the south-eastern shore of the Baltic Sea, sharing borders with Latvia to the north, Belarus to the southeast, Poland, and the Russian exclave of the Kaliningrad Oblast to the southwest. Lithuania has a three-tier administrative division: the country is divided into 10 counties (singular apskritis, plural, apskritys) that are further subdivided into 60 municipalities (singular savivaldybe, plural savivaldybes) which consist of over 500 elderates (singular seniunija, plural seniunijos).</v>
      </c>
      <c r="E1301" s="56"/>
      <c r="F1301" s="54"/>
      <c r="G1301" s="54"/>
      <c r="H1301" s="59"/>
      <c r="I1301" s="59"/>
      <c r="J1301" s="59"/>
      <c r="K1301" s="54"/>
    </row>
    <row r="1302">
      <c r="A1302" s="57"/>
      <c r="B1302" s="57" t="str">
        <f>IFERROR(__xludf.DUMMYFUNCTION("""COMPUTED_VALUE"""),"Luxembourg [GAZ:00002947]    ")</f>
        <v>Luxembourg [GAZ:00002947]    </v>
      </c>
      <c r="C1302" s="57" t="str">
        <f>IFERROR(__xludf.DUMMYFUNCTION("""COMPUTED_VALUE"""),"GAZ:00002947")</f>
        <v>GAZ:00002947</v>
      </c>
      <c r="D1302" s="58" t="str">
        <f>IFERROR(__xludf.DUMMYFUNCTION("""COMPUTED_VALUE"""),"A small landlocked country in western Europe, bordered by Belgium, France, and Germany. Luxembourg is divided into 3 districts, which are further divided into 12 cantons and then 116 communes. Twelve of the communes have city status, of which the city of "&amp;"Luxembourg is the largest.")</f>
        <v>A small landlocked country in western Europe, bordered by Belgium, France, and Germany. Luxembourg is divided into 3 districts, which are further divided into 12 cantons and then 116 communes. Twelve of the communes have city status, of which the city of Luxembourg is the largest.</v>
      </c>
      <c r="E1302" s="56"/>
      <c r="F1302" s="54"/>
      <c r="G1302" s="54"/>
      <c r="H1302" s="59"/>
      <c r="I1302" s="59"/>
      <c r="J1302" s="59"/>
      <c r="K1302" s="54"/>
    </row>
    <row r="1303">
      <c r="A1303" s="57"/>
      <c r="B1303" s="57" t="str">
        <f>IFERROR(__xludf.DUMMYFUNCTION("""COMPUTED_VALUE"""),"Macau [GAZ:00003202]    ")</f>
        <v>Macau [GAZ:00003202]    </v>
      </c>
      <c r="C1303" s="57" t="str">
        <f>IFERROR(__xludf.DUMMYFUNCTION("""COMPUTED_VALUE"""),"GAZ:00003202")</f>
        <v>GAZ:00003202</v>
      </c>
      <c r="D1303" s="58" t="str">
        <f>IFERROR(__xludf.DUMMYFUNCTION("""COMPUTED_VALUE"""),"One of the two special administrative regions of the People's Republic of China, the other being Hong Kong. Macau lies on the western side of the Pearl River Delta, bordering Guangdong province in the north and facing the South China Sea in the east and s"&amp;"outh. Macau is situated 60 kmsouthwest of Hong Kong and 145 km from Guangzhou. It consists of the Macau Peninsula itself and the islands of Taipa and Coloane. The peninsula is formed by the Zhujiang (Pearl River) estuary on the east and the Xijiang (West "&amp;"River) on the west. It borders the Zhuhai Special Economic Zone in mainland China.")</f>
        <v>One of the two special administrative regions of the People's Republic of China, the other being Hong Kong. Macau lies on the western side of the Pearl River Delta, bordering Guangdong province in the north and facing the South China Sea in the east and south. Macau is situated 60 kmsouthwest of Hong Kong and 145 km from Guangzhou. It consists of the Macau Peninsula itself and the islands of Taipa and Coloane. The peninsula is formed by the Zhujiang (Pearl River) estuary on the east and the Xijiang (West River) on the west. It borders the Zhuhai Special Economic Zone in mainland China.</v>
      </c>
      <c r="E1303" s="56"/>
      <c r="F1303" s="54"/>
      <c r="G1303" s="54"/>
      <c r="H1303" s="59"/>
      <c r="I1303" s="59"/>
      <c r="J1303" s="59"/>
      <c r="K1303" s="54"/>
    </row>
    <row r="1304">
      <c r="A1304" s="57"/>
      <c r="B1304" s="57" t="str">
        <f>IFERROR(__xludf.DUMMYFUNCTION("""COMPUTED_VALUE"""),"Madagascar [GAZ:00001108]    ")</f>
        <v>Madagascar [GAZ:00001108]    </v>
      </c>
      <c r="C1304" s="57" t="str">
        <f>IFERROR(__xludf.DUMMYFUNCTION("""COMPUTED_VALUE"""),"GAZ:00001108")</f>
        <v>GAZ:00001108</v>
      </c>
      <c r="D1304" s="58" t="str">
        <f>IFERROR(__xludf.DUMMYFUNCTION("""COMPUTED_VALUE"""),"An island nation in the Indian Ocean off the southeastern coast of Africa. The main island, also called Madagascar, is the fourth largest island in the world, and is home to 5% of the world's plant and animal species, of which more than 80% are endemic to"&amp;" Madagascar. Most notable are the lemur infraorder of primates, the carnivorous fossa, three endemic bird families and six endemic baobab species. Madagascar is divided into six autonomous provinces (faritany mizakatena), and 22 regions. The regions are f"&amp;"urther subdivided into 116 districts, 1,548 communes, and 16,969 fokontany.")</f>
        <v>An island nation in the Indian Ocean off the southeastern coast of Africa. The main island, also called Madagascar, is the fourth largest island in the world, and is home to 5% of the world's plant and animal species, of which more than 80% are endemic to Madagascar. Most notable are the lemur infraorder of primates, the carnivorous fossa, three endemic bird families and six endemic baobab species. Madagascar is divided into six autonomous provinces (faritany mizakatena), and 22 regions. The regions are further subdivided into 116 districts, 1,548 communes, and 16,969 fokontany.</v>
      </c>
      <c r="E1304" s="56"/>
      <c r="F1304" s="54"/>
      <c r="G1304" s="54"/>
      <c r="H1304" s="59"/>
      <c r="I1304" s="59"/>
      <c r="J1304" s="59"/>
      <c r="K1304" s="54"/>
    </row>
    <row r="1305">
      <c r="A1305" s="57"/>
      <c r="B1305" s="57" t="str">
        <f>IFERROR(__xludf.DUMMYFUNCTION("""COMPUTED_VALUE"""),"Malawi [GAZ:00001105]    ")</f>
        <v>Malawi [GAZ:00001105]    </v>
      </c>
      <c r="C1305" s="57" t="str">
        <f>IFERROR(__xludf.DUMMYFUNCTION("""COMPUTED_VALUE"""),"GAZ:00001105")</f>
        <v>GAZ:00001105</v>
      </c>
      <c r="D1305" s="58" t="str">
        <f>IFERROR(__xludf.DUMMYFUNCTION("""COMPUTED_VALUE"""),"A country in southeastern Africa. It is bordered by Zambia to the north-west, Tanzania to the north and Mozambique, which surrounds it on the east, south and west. Malawi is divided into three regions (the Northern, Central and Southern regions), which ar"&amp;"e further divided into twenty-seven districts, which in turn are further divided into 137 traditional authorities and 68 sub-chiefdoms.")</f>
        <v>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v>
      </c>
      <c r="E1305" s="56"/>
      <c r="F1305" s="54"/>
      <c r="G1305" s="54"/>
      <c r="H1305" s="59"/>
      <c r="I1305" s="59"/>
      <c r="J1305" s="59"/>
      <c r="K1305" s="54"/>
    </row>
    <row r="1306">
      <c r="A1306" s="57"/>
      <c r="B1306" s="57" t="str">
        <f>IFERROR(__xludf.DUMMYFUNCTION("""COMPUTED_VALUE"""),"Malaysia [GAZ:00003902]    ")</f>
        <v>Malaysia [GAZ:00003902]    </v>
      </c>
      <c r="C1306" s="57" t="str">
        <f>IFERROR(__xludf.DUMMYFUNCTION("""COMPUTED_VALUE"""),"GAZ:00003902")</f>
        <v>GAZ:00003902</v>
      </c>
      <c r="D1306" s="58" t="str">
        <f>IFERROR(__xludf.DUMMYFUNCTION("""COMPUTED_VALUE"""),"A country in southeastern Africa. It is bordered by Zambia to the north-west, Tanzania to the north and Mozambique, which surrounds it on the east, south and west. Malawi is divided into three regions (the Northern, Central and Southern regions), which ar"&amp;"e further divided into twenty-seven districts, which in turn are further divided into 137 traditional authorities and 68 sub-chiefdoms.")</f>
        <v>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v>
      </c>
      <c r="E1306" s="56"/>
      <c r="F1306" s="54"/>
      <c r="G1306" s="54"/>
      <c r="H1306" s="59"/>
      <c r="I1306" s="59"/>
      <c r="J1306" s="59"/>
      <c r="K1306" s="54"/>
    </row>
    <row r="1307">
      <c r="A1307" s="57"/>
      <c r="B1307" s="57" t="str">
        <f>IFERROR(__xludf.DUMMYFUNCTION("""COMPUTED_VALUE"""),"Maldives [GAZ:00006924]    ")</f>
        <v>Maldives [GAZ:00006924]    </v>
      </c>
      <c r="C1307" s="57" t="str">
        <f>IFERROR(__xludf.DUMMYFUNCTION("""COMPUTED_VALUE"""),"GAZ:00006924")</f>
        <v>GAZ:00006924</v>
      </c>
      <c r="D1307" s="58" t="str">
        <f>IFERROR(__xludf.DUMMYFUNCTION("""COMPUTED_VALUE"""),"An archipelago which consists of approximately 1,196 coral islands grouped in a double chain of 27 atolls, spread over roughly 90,000 km2.")</f>
        <v>An archipelago which consists of approximately 1,196 coral islands grouped in a double chain of 27 atolls, spread over roughly 90,000 km2.</v>
      </c>
      <c r="E1307" s="56"/>
      <c r="F1307" s="54"/>
      <c r="G1307" s="54"/>
      <c r="H1307" s="59"/>
      <c r="I1307" s="59"/>
      <c r="J1307" s="59"/>
      <c r="K1307" s="54"/>
    </row>
    <row r="1308">
      <c r="A1308" s="57"/>
      <c r="B1308" s="57" t="str">
        <f>IFERROR(__xludf.DUMMYFUNCTION("""COMPUTED_VALUE"""),"Mali [GAZ:00000584]    ")</f>
        <v>Mali [GAZ:00000584]    </v>
      </c>
      <c r="C1308" s="57" t="str">
        <f>IFERROR(__xludf.DUMMYFUNCTION("""COMPUTED_VALUE"""),"GAZ:00000584")</f>
        <v>GAZ:00000584</v>
      </c>
      <c r="D1308" s="58" t="str">
        <f>IFERROR(__xludf.DUMMYFUNCTION("""COMPUTED_VALUE"""),"A landlocked country in northern Africa. It borders Algeria on the north, Niger on the east, Burkina Faso and the Cote d'Ivoire on the south, Guinea on the south-west, and Senegal and Mauritania on the west. Mali is divided into 8 regions (regions) and 1 "&amp;"district, and subdivided into 49 cercles, totalling 288 arrondissements.")</f>
        <v>A landlocked country in northern Africa. It borders Algeria on the north, Niger on the east, Burkina Faso and the Cote d'Ivoire on the south, Guinea on the south-west, and Senegal and Mauritania on the west. Mali is divided into 8 regions (regions) and 1 district, and subdivided into 49 cercles, totalling 288 arrondissements.</v>
      </c>
      <c r="E1308" s="56"/>
      <c r="F1308" s="54"/>
      <c r="G1308" s="54"/>
      <c r="H1308" s="59"/>
      <c r="I1308" s="59"/>
      <c r="J1308" s="59"/>
      <c r="K1308" s="54"/>
    </row>
    <row r="1309">
      <c r="A1309" s="57"/>
      <c r="B1309" s="57" t="str">
        <f>IFERROR(__xludf.DUMMYFUNCTION("""COMPUTED_VALUE"""),"Malta [GAZ:00004017]    ")</f>
        <v>Malta [GAZ:00004017]    </v>
      </c>
      <c r="C1309" s="57" t="str">
        <f>IFERROR(__xludf.DUMMYFUNCTION("""COMPUTED_VALUE"""),"GAZ:00004017")</f>
        <v>GAZ:00004017</v>
      </c>
      <c r="D1309" s="58" t="str">
        <f>IFERROR(__xludf.DUMMYFUNCTION("""COMPUTED_VALUE"""),"A Southern European country and consists of an archipelago situated centrally in the Mediterranean.")</f>
        <v>A Southern European country and consists of an archipelago situated centrally in the Mediterranean.</v>
      </c>
      <c r="E1309" s="56"/>
      <c r="F1309" s="54"/>
      <c r="G1309" s="54"/>
      <c r="H1309" s="59"/>
      <c r="I1309" s="59"/>
      <c r="J1309" s="59"/>
      <c r="K1309" s="54"/>
    </row>
    <row r="1310">
      <c r="A1310" s="57"/>
      <c r="B1310" s="57" t="str">
        <f>IFERROR(__xludf.DUMMYFUNCTION("""COMPUTED_VALUE"""),"Marshall Islands [GAZ:00007161]    ")</f>
        <v>Marshall Islands [GAZ:00007161]    </v>
      </c>
      <c r="C1310" s="57" t="str">
        <f>IFERROR(__xludf.DUMMYFUNCTION("""COMPUTED_VALUE"""),"GAZ:00007161")</f>
        <v>GAZ:00007161</v>
      </c>
      <c r="D1310" s="58" t="str">
        <f>IFERROR(__xludf.DUMMYFUNCTION("""COMPUTED_VALUE"""),"An archipelago that consists of twenty-nine atolls and five isolated islands. The most important atolls and islands form two groups: the Ratak Chain and the Ralik Chain (meaning ""sunrise"" and ""sunset"" chains). Two-thirds of the nation's population liv"&amp;"es on Majuro (which is also the capital) and Ebeye. The outer islands are sparsely populated.")</f>
        <v>An archipelago that consists of twenty-nine atolls and five isolated islands. The most important atolls and islands form two groups: the Ratak Chain and the Ralik Chain (meaning "sunrise" and "sunset" chains). Two-thirds of the nation's population lives on Majuro (which is also the capital) and Ebeye. The outer islands are sparsely populated.</v>
      </c>
      <c r="E1310" s="56"/>
      <c r="F1310" s="54"/>
      <c r="G1310" s="54"/>
      <c r="H1310" s="59"/>
      <c r="I1310" s="59"/>
      <c r="J1310" s="59"/>
      <c r="K1310" s="54"/>
    </row>
    <row r="1311">
      <c r="A1311" s="57"/>
      <c r="B1311" s="57" t="str">
        <f>IFERROR(__xludf.DUMMYFUNCTION("""COMPUTED_VALUE"""),"Martinique [GAZ:00067143]    ")</f>
        <v>Martinique [GAZ:00067143]    </v>
      </c>
      <c r="C1311" s="57" t="str">
        <f>IFERROR(__xludf.DUMMYFUNCTION("""COMPUTED_VALUE"""),"GAZ:00067143")</f>
        <v>GAZ:00067143</v>
      </c>
      <c r="D1311" s="58" t="str">
        <f>IFERROR(__xludf.DUMMYFUNCTION("""COMPUTED_VALUE"""),"An island and an overseas department/region and single territorial collectivity of France.")</f>
        <v>An island and an overseas department/region and single territorial collectivity of France.</v>
      </c>
      <c r="E1311" s="56"/>
      <c r="F1311" s="54"/>
      <c r="G1311" s="54"/>
      <c r="H1311" s="59"/>
      <c r="I1311" s="59"/>
      <c r="J1311" s="59"/>
      <c r="K1311" s="54"/>
    </row>
    <row r="1312">
      <c r="A1312" s="57"/>
      <c r="B1312" s="57" t="str">
        <f>IFERROR(__xludf.DUMMYFUNCTION("""COMPUTED_VALUE"""),"Mauritania [GAZ:00000583]    ")</f>
        <v>Mauritania [GAZ:00000583]    </v>
      </c>
      <c r="C1312" s="57" t="str">
        <f>IFERROR(__xludf.DUMMYFUNCTION("""COMPUTED_VALUE"""),"GAZ:00000583")</f>
        <v>GAZ:00000583</v>
      </c>
      <c r="D1312" s="58" t="str">
        <f>IFERROR(__xludf.DUMMYFUNCTION("""COMPUTED_VALUE"""),"A country in North-West Africa. It is bordered by the Atlantic Ocean on the west, by Senegal on the southwest, by Mali on the east and southeast, by Algeria on the northeast, and by Western Sahara on the northwest (most of which is occupied by Morocco). T"&amp;"he capital and largest city is Nouakchott, located on the Atlantic coast. Mauritania is divided into 12 regions (regions) and one capital district, which in turn are subdivided into 44 departments (departements).")</f>
        <v>A country in North-West Africa. It is bordered by the Atlantic Ocean on the west, by Senegal on the southwest, by Mali on the east and southeast, by Algeria on the northeast, and by Western Sahara on the northwest (most of which is occupied by Morocco). The capital and largest city is Nouakchott, located on the Atlantic coast. Mauritania is divided into 12 regions (regions) and one capital district, which in turn are subdivided into 44 departments (departements).</v>
      </c>
      <c r="E1312" s="56"/>
      <c r="F1312" s="54"/>
      <c r="G1312" s="54"/>
      <c r="H1312" s="59"/>
      <c r="I1312" s="59"/>
      <c r="J1312" s="59"/>
      <c r="K1312" s="54"/>
    </row>
    <row r="1313">
      <c r="A1313" s="57"/>
      <c r="B1313" s="57" t="str">
        <f>IFERROR(__xludf.DUMMYFUNCTION("""COMPUTED_VALUE"""),"Mauritius [GAZ:00003745]    ")</f>
        <v>Mauritius [GAZ:00003745]    </v>
      </c>
      <c r="C1313" s="57" t="str">
        <f>IFERROR(__xludf.DUMMYFUNCTION("""COMPUTED_VALUE"""),"GAZ:00003745")</f>
        <v>GAZ:00003745</v>
      </c>
      <c r="D1313" s="58" t="str">
        <f>IFERROR(__xludf.DUMMYFUNCTION("""COMPUTED_VALUE"""),"An island nation off the coast of the African continent in the southwest Indian Ocean, about 900 km east of Madagascar. In addition to the island of Mauritius, the republic includes the islands of St. Brandon, Rodrigues and the Agalega Islands.")</f>
        <v>An island nation off the coast of the African continent in the southwest Indian Ocean, about 900 km east of Madagascar. In addition to the island of Mauritius, the republic includes the islands of St. Brandon, Rodrigues and the Agalega Islands.</v>
      </c>
      <c r="E1313" s="56"/>
      <c r="F1313" s="54"/>
      <c r="G1313" s="54"/>
      <c r="H1313" s="59"/>
      <c r="I1313" s="59"/>
      <c r="J1313" s="59"/>
      <c r="K1313" s="54"/>
    </row>
    <row r="1314">
      <c r="A1314" s="57"/>
      <c r="B1314" s="57" t="str">
        <f>IFERROR(__xludf.DUMMYFUNCTION("""COMPUTED_VALUE"""),"Mayotte [GAZ:00003943]    ")</f>
        <v>Mayotte [GAZ:00003943]    </v>
      </c>
      <c r="C1314" s="57" t="str">
        <f>IFERROR(__xludf.DUMMYFUNCTION("""COMPUTED_VALUE"""),"GAZ:00003943")</f>
        <v>GAZ:00003943</v>
      </c>
      <c r="D1314" s="58" t="str">
        <f>IFERROR(__xludf.DUMMYFUNCTION("""COMPUTED_VALUE"""),"An overseas collectivity of France consisting of a main island, Grande-Terre (or Mahore), a smaller island, Petite-Terre (or Pamanzi), and several islets around these two.")</f>
        <v>An overseas collectivity of France consisting of a main island, Grande-Terre (or Mahore), a smaller island, Petite-Terre (or Pamanzi), and several islets around these two.</v>
      </c>
      <c r="E1314" s="56"/>
      <c r="F1314" s="54"/>
      <c r="G1314" s="54"/>
      <c r="H1314" s="59"/>
      <c r="I1314" s="59"/>
      <c r="J1314" s="59"/>
      <c r="K1314" s="54"/>
    </row>
    <row r="1315">
      <c r="A1315" s="57"/>
      <c r="B1315" s="57" t="str">
        <f>IFERROR(__xludf.DUMMYFUNCTION("""COMPUTED_VALUE"""),"Mexico [GAZ:00002852]    ")</f>
        <v>Mexico [GAZ:00002852]    </v>
      </c>
      <c r="C1315" s="57" t="str">
        <f>IFERROR(__xludf.DUMMYFUNCTION("""COMPUTED_VALUE"""),"GAZ:00002852")</f>
        <v>GAZ:00002852</v>
      </c>
      <c r="D1315" s="58" t="str">
        <f>IFERROR(__xludf.DUMMYFUNCTION("""COMPUTED_VALUE"""),"A federal constitutional republic in North America. It is bounded on the north by the United States; on the south and west by the North Pacific Ocean; on the southeast by Guatemala, Belize, and the Caribbean Sea; and on the east by the Gulf of Mexico. The"&amp;" United Mexican States comprise a federation of thirty-one states and a federal district, the capital Mexico City.")</f>
        <v>A federal constitutional republic in North America. It is bounded on the north by the United States; on the south and west by the North Pacific Ocean; on the southeast by Guatemala, Belize, and the Caribbean Sea; and on the east by the Gulf of Mexico. The United Mexican States comprise a federation of thirty-one states and a federal district, the capital Mexico City.</v>
      </c>
      <c r="E1315" s="56"/>
      <c r="F1315" s="54"/>
      <c r="G1315" s="54"/>
      <c r="H1315" s="59"/>
      <c r="I1315" s="59"/>
      <c r="J1315" s="59"/>
      <c r="K1315" s="54"/>
    </row>
    <row r="1316">
      <c r="A1316" s="57"/>
      <c r="B1316" s="57" t="str">
        <f>IFERROR(__xludf.DUMMYFUNCTION("""COMPUTED_VALUE"""),"Micronesia [GAZ:00005862]    ")</f>
        <v>Micronesia [GAZ:00005862]    </v>
      </c>
      <c r="C1316" s="57" t="str">
        <f>IFERROR(__xludf.DUMMYFUNCTION("""COMPUTED_VALUE"""),"GAZ:00005862")</f>
        <v>GAZ:00005862</v>
      </c>
      <c r="D1316" s="58" t="str">
        <f>IFERROR(__xludf.DUMMYFUNCTION("""COMPUTED_VALUE"""),"A subregion of Oceania, comprising hundreds of small islands in the Pacific Ocean. The Philippines lie to the northwest, Indonesia, Papua New Guinea and Melanesia to the west and southwest, and Polynesia to the east.")</f>
        <v>A subregion of Oceania, comprising hundreds of small islands in the Pacific Ocean. The Philippines lie to the northwest, Indonesia, Papua New Guinea and Melanesia to the west and southwest, and Polynesia to the east.</v>
      </c>
      <c r="E1316" s="56"/>
      <c r="F1316" s="54"/>
      <c r="G1316" s="54"/>
      <c r="H1316" s="59"/>
      <c r="I1316" s="59"/>
      <c r="J1316" s="59"/>
      <c r="K1316" s="54"/>
    </row>
    <row r="1317">
      <c r="A1317" s="57"/>
      <c r="B1317" s="57" t="str">
        <f>IFERROR(__xludf.DUMMYFUNCTION("""COMPUTED_VALUE"""),"Midway Islands [GAZ:00007112]    ")</f>
        <v>Midway Islands [GAZ:00007112]    </v>
      </c>
      <c r="C1317" s="57" t="str">
        <f>IFERROR(__xludf.DUMMYFUNCTION("""COMPUTED_VALUE"""),"GAZ:00007112")</f>
        <v>GAZ:00007112</v>
      </c>
      <c r="D1317" s="58" t="str">
        <f>IFERROR(__xludf.DUMMYFUNCTION("""COMPUTED_VALUE"""),"A 6.2 km2 atoll located in the North Pacific Ocean (near the northwestern end of the Hawaiian archipelago). It is an unincorporated territory of the United States, designated an insular area under the authority of the US Department of the Interior.")</f>
        <v>A 6.2 km2 atoll located in the North Pacific Ocean (near the northwestern end of the Hawaiian archipelago). It is an unincorporated territory of the United States, designated an insular area under the authority of the US Department of the Interior.</v>
      </c>
      <c r="E1317" s="56"/>
      <c r="F1317" s="54"/>
      <c r="G1317" s="54"/>
      <c r="H1317" s="59"/>
      <c r="I1317" s="59"/>
      <c r="J1317" s="59"/>
      <c r="K1317" s="54"/>
    </row>
    <row r="1318">
      <c r="A1318" s="57"/>
      <c r="B1318" s="57" t="str">
        <f>IFERROR(__xludf.DUMMYFUNCTION("""COMPUTED_VALUE"""),"Moldova [GAZ:00003897]    ")</f>
        <v>Moldova [GAZ:00003897]    </v>
      </c>
      <c r="C1318" s="57" t="str">
        <f>IFERROR(__xludf.DUMMYFUNCTION("""COMPUTED_VALUE"""),"GAZ:00003897")</f>
        <v>GAZ:00003897</v>
      </c>
      <c r="D1318" s="58" t="str">
        <f>IFERROR(__xludf.DUMMYFUNCTION("""COMPUTED_VALUE"""),"A landlocked country in Eastern Europe, located between Romania to the west and Ukraine to the north, east and south. Moldova is divided into thirty-two districts (raioane, singular raion); three municipalities (Balti, Chisinau, Tighina); and two autonomo"&amp;"us regions (Gagauzia and Transnistria). The cities of Comrat and Tiraspol also have municipality status, however not as first-tier subdivisions of Moldova, but as parts of the regions of Gagauzia and Transnistria, respectively. The status of Transnistria "&amp;"is however under dispute. Although it is de jure part of Moldova and is recognized as such by the international community, Transnistria is not de facto under the control of the central government of Moldova. It is administered by an unrecognized breakaway"&amp;" authority under the name Pridnestrovian Moldovan Republic.")</f>
        <v>A landlocked country in Eastern Europe, located between Romania to the west and Ukraine to the north, east and south. Moldova is divided into thirty-two districts (raioane, singular raion); three municipalities (Balti, Chisinau, Tighina); and two autonomous regions (Gagauzia and Transnistria). The cities of Comrat and Tiraspol also have municipality status, however not as first-tier subdivisions of Moldova, but as parts of the regions of Gagauzia and Transnistria, respectively. The status of Transnistria is however under dispute. Although it is de jure part of Moldova and is recognized as such by the international community, Transnistria is not de facto under the control of the central government of Moldova. It is administered by an unrecognized breakaway authority under the name Pridnestrovian Moldovan Republic.</v>
      </c>
      <c r="E1318" s="56"/>
      <c r="F1318" s="54"/>
      <c r="G1318" s="54"/>
      <c r="H1318" s="59"/>
      <c r="I1318" s="59"/>
      <c r="J1318" s="59"/>
      <c r="K1318" s="54"/>
    </row>
    <row r="1319">
      <c r="A1319" s="57"/>
      <c r="B1319" s="57" t="str">
        <f>IFERROR(__xludf.DUMMYFUNCTION("""COMPUTED_VALUE"""),"Monaco [GAZ:00003857]    ")</f>
        <v>Monaco [GAZ:00003857]    </v>
      </c>
      <c r="C1319" s="57" t="str">
        <f>IFERROR(__xludf.DUMMYFUNCTION("""COMPUTED_VALUE"""),"GAZ:00003857")</f>
        <v>GAZ:00003857</v>
      </c>
      <c r="D1319" s="58" t="str">
        <f>IFERROR(__xludf.DUMMYFUNCTION("""COMPUTED_VALUE"""),"A small country that is completely bordered by France to the north, west, and south; to the east it is bordered by the Mediterranean Sea. It consists of a single municipality (commune) currently divided into 4 quartiers and 10 wards.")</f>
        <v>A small country that is completely bordered by France to the north, west, and south; to the east it is bordered by the Mediterranean Sea. It consists of a single municipality (commune) currently divided into 4 quartiers and 10 wards.</v>
      </c>
      <c r="E1319" s="56"/>
      <c r="F1319" s="54"/>
      <c r="G1319" s="54"/>
      <c r="H1319" s="59"/>
      <c r="I1319" s="59"/>
      <c r="J1319" s="59"/>
      <c r="K1319" s="54"/>
    </row>
    <row r="1320">
      <c r="A1320" s="57"/>
      <c r="B1320" s="57" t="str">
        <f>IFERROR(__xludf.DUMMYFUNCTION("""COMPUTED_VALUE"""),"Mongolia [GAZ:00008744]    ")</f>
        <v>Mongolia [GAZ:00008744]    </v>
      </c>
      <c r="C1320" s="57" t="str">
        <f>IFERROR(__xludf.DUMMYFUNCTION("""COMPUTED_VALUE"""),"GAZ:00008744")</f>
        <v>GAZ:00008744</v>
      </c>
      <c r="D1320" s="58" t="str">
        <f>IFERROR(__xludf.DUMMYFUNCTION("""COMPUTED_VALUE"""),"A country in East-Central Asia. The landlocked country borders Russia to the north and China to the south. The capital and largest city is Ulan Bator. Mongolia is divided into 21 aimags (provinces), which are in turn divided into 315 sums (districts). The"&amp;" capital Ulan Bator is administrated separately as a khot (municipality) with provincial status.")</f>
        <v>A country in East-Central Asia. The landlocked country borders Russia to the north and China to the south. The capital and largest city is Ulan Bator. Mongolia is divided into 21 aimags (provinces), which are in turn divided into 315 sums (districts). The capital Ulan Bator is administrated separately as a khot (municipality) with provincial status.</v>
      </c>
      <c r="E1320" s="56"/>
      <c r="F1320" s="54"/>
      <c r="G1320" s="54"/>
      <c r="H1320" s="59"/>
      <c r="I1320" s="59"/>
      <c r="J1320" s="59"/>
      <c r="K1320" s="54"/>
    </row>
    <row r="1321">
      <c r="A1321" s="57"/>
      <c r="B1321" s="57" t="str">
        <f>IFERROR(__xludf.DUMMYFUNCTION("""COMPUTED_VALUE"""),"Montenegro [GAZ:00006898]    ")</f>
        <v>Montenegro [GAZ:00006898]    </v>
      </c>
      <c r="C1321" s="57" t="str">
        <f>IFERROR(__xludf.DUMMYFUNCTION("""COMPUTED_VALUE"""),"GAZ:00006898")</f>
        <v>GAZ:00006898</v>
      </c>
      <c r="D1321" s="58" t="str">
        <f>IFERROR(__xludf.DUMMYFUNCTION("""COMPUTED_VALUE"""),"A country located in Southeastern Europe. It has a coast on the Adriatic Sea to the south and borders Croatia to the west, Bosnia and Herzegovina to the northwest, Serbia and its partially recognized breakaway southern province of Kosovo to the northeast "&amp;"and Albania to the southeast. Its capital and largest city is Podgorica. Montenegro is divided into twenty-one municipalities (opstina), and two urban municipalities, subdivisions of Podgorica municipality.")</f>
        <v>A country located in Southeastern Europe. It has a coast on the Adriatic Sea to the south and borders Croatia to the west, Bosnia and Herzegovina to the northwest, Serbia and its partially recognized breakaway southern province of Kosovo to the northeast and Albania to the southeast. Its capital and largest city is Podgorica. Montenegro is divided into twenty-one municipalities (opstina), and two urban municipalities, subdivisions of Podgorica municipality.</v>
      </c>
      <c r="E1321" s="56"/>
      <c r="F1321" s="54"/>
      <c r="G1321" s="54"/>
      <c r="H1321" s="59"/>
      <c r="I1321" s="59"/>
      <c r="J1321" s="59"/>
      <c r="K1321" s="54"/>
    </row>
    <row r="1322">
      <c r="A1322" s="57"/>
      <c r="B1322" s="57" t="str">
        <f>IFERROR(__xludf.DUMMYFUNCTION("""COMPUTED_VALUE"""),"Montserrat [GAZ:00003988]    ")</f>
        <v>Montserrat [GAZ:00003988]    </v>
      </c>
      <c r="C1322" s="57" t="str">
        <f>IFERROR(__xludf.DUMMYFUNCTION("""COMPUTED_VALUE"""),"GAZ:00003988")</f>
        <v>GAZ:00003988</v>
      </c>
      <c r="D1322" s="58" t="str">
        <f>IFERROR(__xludf.DUMMYFUNCTION("""COMPUTED_VALUE"""),"A British overseas territory located in the Leeward Islands. Montserrat is divided into three parishes.")</f>
        <v>A British overseas territory located in the Leeward Islands. Montserrat is divided into three parishes.</v>
      </c>
      <c r="E1322" s="56"/>
      <c r="F1322" s="54"/>
      <c r="G1322" s="54"/>
      <c r="H1322" s="59"/>
      <c r="I1322" s="59"/>
      <c r="J1322" s="59"/>
      <c r="K1322" s="54"/>
    </row>
    <row r="1323">
      <c r="A1323" s="57"/>
      <c r="B1323" s="57" t="str">
        <f>IFERROR(__xludf.DUMMYFUNCTION("""COMPUTED_VALUE"""),"Morocco [GAZ:00000565]    ")</f>
        <v>Morocco [GAZ:00000565]    </v>
      </c>
      <c r="C1323" s="57" t="str">
        <f>IFERROR(__xludf.DUMMYFUNCTION("""COMPUTED_VALUE"""),"GAZ:00000565")</f>
        <v>GAZ:00000565</v>
      </c>
      <c r="D1323" s="58" t="str">
        <f>IFERROR(__xludf.DUMMYFUNCTION("""COMPUTED_VALUE"""),"A country in North Africa. It has a coast on the Atlantic Ocean that reaches past the Strait of Gibraltar into the Mediterranean Sea. Morocco has international borders with Algeria to the east, Spain to the north (a water border through the Strait and lan"&amp;"d borders with two small Spanish autonomous cities, Ceuta and Melilla), and Mauritania to the south. Morocco is divided into 16 regions, and subdivided into 62 prefectures and provinces. Because of the conflict over Western Sahara, the status of both regi"&amp;"ons of ""Saguia el-Hamra"" and ""Rio de Oro"" is disputed.")</f>
        <v>A country in North Africa. It has a coast on the Atlantic Ocean that reaches past the Strait of Gibraltar into the Mediterranean Sea. Morocco has international borders with Algeria to the east, Spain to the north (a water border through the Strait and land borders with two small Spanish autonomous cities, Ceuta and Melilla), and Mauritania to the south. Morocco is divided into 16 regions, and subdivided into 62 prefectures and provinces. Because of the conflict over Western Sahara, the status of both regions of "Saguia el-Hamra" and "Rio de Oro" is disputed.</v>
      </c>
      <c r="E1323" s="56"/>
      <c r="F1323" s="54"/>
      <c r="G1323" s="54"/>
      <c r="H1323" s="59"/>
      <c r="I1323" s="59"/>
      <c r="J1323" s="59"/>
      <c r="K1323" s="54"/>
    </row>
    <row r="1324">
      <c r="A1324" s="57"/>
      <c r="B1324" s="57" t="str">
        <f>IFERROR(__xludf.DUMMYFUNCTION("""COMPUTED_VALUE"""),"Mozambique [GAZ:00001100]    ")</f>
        <v>Mozambique [GAZ:00001100]    </v>
      </c>
      <c r="C1324" s="57" t="str">
        <f>IFERROR(__xludf.DUMMYFUNCTION("""COMPUTED_VALUE"""),"GAZ:00001100")</f>
        <v>GAZ:00001100</v>
      </c>
      <c r="D1324" s="58" t="str">
        <f>IFERROR(__xludf.DUMMYFUNCTION("""COMPUTED_VALUE"""),"A country in southeastern Africa bordered by the Indian Ocean to the east, Tanzania to the north, Malawi and Zambia to the northwest, Zimbabwe to the west and Swaziland and South Africa to the southwest. Mozambique is divided into ten provinces (provincia"&amp;"s) and one capital city (cidade capital) with provincial status. The provinces are subdivided into 129 districts (distritos). Districts are further divided in ""Postos Administrativos"" (Administrative Posts) and these in Localidades (Localities) the lowe"&amp;"st geographical level of central state administration.")</f>
        <v>A country in southeastern Africa bordered by the Indian Ocean to the east, Tanzania to the north, Malawi and Zambia to the northwest, Zimbabwe to the west and Swaziland and South Africa to the southwest. Mozambique is divided into ten provinces (provincias) and one capital city (cidade capital) with provincial status. The provinces are subdivided into 129 districts (distritos). Districts are further divided in "Postos Administrativos" (Administrative Posts) and these in Localidades (Localities) the lowest geographical level of central state administration.</v>
      </c>
      <c r="E1324" s="56"/>
      <c r="F1324" s="54"/>
      <c r="G1324" s="54"/>
      <c r="H1324" s="59"/>
      <c r="I1324" s="59"/>
      <c r="J1324" s="59"/>
      <c r="K1324" s="54"/>
    </row>
    <row r="1325">
      <c r="A1325" s="57"/>
      <c r="B1325" s="57" t="str">
        <f>IFERROR(__xludf.DUMMYFUNCTION("""COMPUTED_VALUE"""),"Myanmar [GAZ:00006899]    ")</f>
        <v>Myanmar [GAZ:00006899]    </v>
      </c>
      <c r="C1325" s="57" t="str">
        <f>IFERROR(__xludf.DUMMYFUNCTION("""COMPUTED_VALUE"""),"GAZ:00006899")</f>
        <v>GAZ:00006899</v>
      </c>
      <c r="D1325" s="58" t="str">
        <f>IFERROR(__xludf.DUMMYFUNCTION("""COMPUTED_VALUE"""),"A country in SE Asia that is bordered by China on the north, Laos on the east, Thailand on the southeast, Bangladesh on the west, and India on the northwest, with the Bay of Bengal to the southwest. Myanmar is divided into seven states and seven divisions"&amp;". The administrative divisions are further subdivided into districts, which are further subdivided into townships, wards, and villages.")</f>
        <v>A country in SE Asia that is bordered by China on the north, Laos on the east, Thailand on the southeast, Bangladesh on the west, and India on the northwest, with the Bay of Bengal to the southwest. Myanmar is divided into seven states and seven divisions. The administrative divisions are further subdivided into districts, which are further subdivided into townships, wards, and villages.</v>
      </c>
      <c r="E1325" s="56"/>
      <c r="F1325" s="54"/>
      <c r="G1325" s="54"/>
      <c r="H1325" s="59"/>
      <c r="I1325" s="59"/>
      <c r="J1325" s="59"/>
      <c r="K1325" s="54"/>
    </row>
    <row r="1326">
      <c r="A1326" s="57"/>
      <c r="B1326" s="57" t="str">
        <f>IFERROR(__xludf.DUMMYFUNCTION("""COMPUTED_VALUE"""),"Namibia [GAZ:00001096]    ")</f>
        <v>Namibia [GAZ:00001096]    </v>
      </c>
      <c r="C1326" s="57" t="str">
        <f>IFERROR(__xludf.DUMMYFUNCTION("""COMPUTED_VALUE"""),"GAZ:00001096")</f>
        <v>GAZ:00001096</v>
      </c>
      <c r="D1326" s="58" t="str">
        <f>IFERROR(__xludf.DUMMYFUNCTION("""COMPUTED_VALUE"""),"A country in southern Africa on the Atlantic coast. It shares borders with Angola and Zambia to the north, Botswana to the east, and South Africa to the south. Namibia is divided into 13 regions and subdivided into 102 constituencies.")</f>
        <v>A country in southern Africa on the Atlantic coast. It shares borders with Angola and Zambia to the north, Botswana to the east, and South Africa to the south. Namibia is divided into 13 regions and subdivided into 102 constituencies.</v>
      </c>
      <c r="E1326" s="56"/>
      <c r="F1326" s="54"/>
      <c r="G1326" s="54"/>
      <c r="H1326" s="59"/>
      <c r="I1326" s="59"/>
      <c r="J1326" s="59"/>
      <c r="K1326" s="54"/>
    </row>
    <row r="1327">
      <c r="A1327" s="57"/>
      <c r="B1327" s="57" t="str">
        <f>IFERROR(__xludf.DUMMYFUNCTION("""COMPUTED_VALUE"""),"Nauru [GAZ:00006900]    ")</f>
        <v>Nauru [GAZ:00006900]    </v>
      </c>
      <c r="C1327" s="57" t="str">
        <f>IFERROR(__xludf.DUMMYFUNCTION("""COMPUTED_VALUE"""),"GAZ:00006900")</f>
        <v>GAZ:00006900</v>
      </c>
      <c r="D1327" s="58" t="str">
        <f>IFERROR(__xludf.DUMMYFUNCTION("""COMPUTED_VALUE"""),"An island nation in the Micronesian South Pacific. The nearest neighbour is Banaba Island in the Republic of Kiribati, 300 km due east. Nauru is divided into fourteen administrative districts which are grouped into eight electoral constituencies.")</f>
        <v>An island nation in the Micronesian South Pacific. The nearest neighbour is Banaba Island in the Republic of Kiribati, 300 km due east. Nauru is divided into fourteen administrative districts which are grouped into eight electoral constituencies.</v>
      </c>
      <c r="E1327" s="56"/>
      <c r="F1327" s="54"/>
      <c r="G1327" s="54"/>
      <c r="H1327" s="59"/>
      <c r="I1327" s="59"/>
      <c r="J1327" s="59"/>
      <c r="K1327" s="54"/>
    </row>
    <row r="1328">
      <c r="A1328" s="57"/>
      <c r="B1328" s="57" t="str">
        <f>IFERROR(__xludf.DUMMYFUNCTION("""COMPUTED_VALUE"""),"Navassa Island [GAZ:00007119]    ")</f>
        <v>Navassa Island [GAZ:00007119]    </v>
      </c>
      <c r="C1328" s="57" t="str">
        <f>IFERROR(__xludf.DUMMYFUNCTION("""COMPUTED_VALUE"""),"GAZ:00007119")</f>
        <v>GAZ:00007119</v>
      </c>
      <c r="D1328" s="58" t="str">
        <f>IFERROR(__xludf.DUMMYFUNCTION("""COMPUTED_VALUE"""),"A small, uninhabited island in the Caribbean Sea, and is an unorganized unincorporated territory of the United States, which administers it through the US Fish and Wildlife Service. The island is also claimed by Haiti.")</f>
        <v>A small, uninhabited island in the Caribbean Sea, and is an unorganized unincorporated territory of the United States, which administers it through the US Fish and Wildlife Service. The island is also claimed by Haiti.</v>
      </c>
      <c r="E1328" s="56"/>
      <c r="F1328" s="54"/>
      <c r="G1328" s="54"/>
      <c r="H1328" s="59"/>
      <c r="I1328" s="59"/>
      <c r="J1328" s="59"/>
      <c r="K1328" s="54"/>
    </row>
    <row r="1329">
      <c r="A1329" s="57"/>
      <c r="B1329" s="57" t="str">
        <f>IFERROR(__xludf.DUMMYFUNCTION("""COMPUTED_VALUE"""),"Nepal [GAZ:00004399]    ")</f>
        <v>Nepal [GAZ:00004399]    </v>
      </c>
      <c r="C1329" s="57" t="str">
        <f>IFERROR(__xludf.DUMMYFUNCTION("""COMPUTED_VALUE"""),"GAZ:00004399")</f>
        <v>GAZ:00004399</v>
      </c>
      <c r="D1329" s="58" t="str">
        <f>IFERROR(__xludf.DUMMYFUNCTION("""COMPUTED_VALUE"""),"A landlocked nation in South Asia. It is bordered by the Tibet Autonomous Region of the People's Republic of China to the northeast and India to the south and west; it is separated from Bhutan by the Indian State of Sikkim and from Bangladesh by a small s"&amp;"trip of the Indian State of West Bengal, known as the ""Chicken's Neck"". The Himalaya mountain range runs across Nepal's north and western parts, and eight of the world's ten highest mountains, including the highest, Mount Everest are situated within its"&amp;" territory. Nepal is divided into 14 zones and 75 districts, grouped into 5 development regions.")</f>
        <v>A landlocked nation in South Asia. It is bordered by the Tibet Autonomous Region of the People's Republic of China to the northeast and India to the south and west; it is separated from Bhutan by the Indian State of Sikkim and from Bangladesh by a small strip of the Indian State of West Bengal, known as the "Chicken's Neck". The Himalaya mountain range runs across Nepal's north and western parts, and eight of the world's ten highest mountains, including the highest, Mount Everest are situated within its territory. Nepal is divided into 14 zones and 75 districts, grouped into 5 development regions.</v>
      </c>
      <c r="E1329" s="56"/>
      <c r="F1329" s="54"/>
      <c r="G1329" s="54"/>
      <c r="H1329" s="59"/>
      <c r="I1329" s="59"/>
      <c r="J1329" s="59"/>
      <c r="K1329" s="54"/>
    </row>
    <row r="1330">
      <c r="A1330" s="57"/>
      <c r="B1330" s="57" t="str">
        <f>IFERROR(__xludf.DUMMYFUNCTION("""COMPUTED_VALUE"""),"Netherlands [GAZ:00002946]    ")</f>
        <v>Netherlands [GAZ:00002946]    </v>
      </c>
      <c r="C1330" s="57" t="str">
        <f>IFERROR(__xludf.DUMMYFUNCTION("""COMPUTED_VALUE"""),"GAZ:00002946")</f>
        <v>GAZ:00002946</v>
      </c>
      <c r="D1330" s="58" t="str">
        <f>IFERROR(__xludf.DUMMYFUNCTION("""COMPUTED_VALUE"""),"The European part of the Kingdom of the Netherlands. It is bordered by the North Sea to the north and west, Belgium to the south, and Germany to the east. The Netherlands is divided into twelve administrative regions, called provinces. All provinces of th"&amp;"e Netherlands are divided into municipalities (gemeenten), together 443 (2007).")</f>
        <v>The European part of the Kingdom of the Netherlands. It is bordered by the North Sea to the north and west, Belgium to the south, and Germany to the east. The Netherlands is divided into twelve administrative regions, called provinces. All provinces of the Netherlands are divided into municipalities (gemeenten), together 443 (2007).</v>
      </c>
      <c r="E1330" s="56"/>
      <c r="F1330" s="54"/>
      <c r="G1330" s="54"/>
      <c r="H1330" s="59"/>
      <c r="I1330" s="59"/>
      <c r="J1330" s="59"/>
      <c r="K1330" s="54"/>
    </row>
    <row r="1331">
      <c r="A1331" s="57"/>
      <c r="B1331" s="57" t="str">
        <f>IFERROR(__xludf.DUMMYFUNCTION("""COMPUTED_VALUE"""),"New Caledonia [GAZ:00005206]    ")</f>
        <v>New Caledonia [GAZ:00005206]    </v>
      </c>
      <c r="C1331" s="57" t="str">
        <f>IFERROR(__xludf.DUMMYFUNCTION("""COMPUTED_VALUE"""),"GAZ:00005206")</f>
        <v>GAZ:00005206</v>
      </c>
      <c r="D1331" s="58" t="str">
        <f>IFERROR(__xludf.DUMMYFUNCTION("""COMPUTED_VALUE"""),"A ""sui generis collectivity"" (in practice an overseas territory) of France, made up of a main island (Grande Terre), the Loyalty Islands, and several smaller islands. It is located in the region of Melanesia in the southwest Pacific. Administratively, t"&amp;"he archipelago is divided into three provinces, and then into 33 communes.")</f>
        <v>A "sui generis collectivity" (in practice an overseas territory) of France, made up of a main island (Grande Terre), the Loyalty Islands, and several smaller islands. It is located in the region of Melanesia in the southwest Pacific. Administratively, the archipelago is divided into three provinces, and then into 33 communes.</v>
      </c>
      <c r="E1331" s="56"/>
      <c r="F1331" s="54"/>
      <c r="G1331" s="54"/>
      <c r="H1331" s="59"/>
      <c r="I1331" s="59"/>
      <c r="J1331" s="59"/>
      <c r="K1331" s="54"/>
    </row>
    <row r="1332">
      <c r="A1332" s="57"/>
      <c r="B1332" s="57" t="str">
        <f>IFERROR(__xludf.DUMMYFUNCTION("""COMPUTED_VALUE"""),"New Zealand [GAZ:00000469]    ")</f>
        <v>New Zealand [GAZ:00000469]    </v>
      </c>
      <c r="C1332" s="57" t="str">
        <f>IFERROR(__xludf.DUMMYFUNCTION("""COMPUTED_VALUE"""),"GAZ:00000469")</f>
        <v>GAZ:00000469</v>
      </c>
      <c r="D1332" s="58" t="str">
        <f>IFERROR(__xludf.DUMMYFUNCTION("""COMPUTED_VALUE"""),"A nation in the south-western Pacific Ocean comprising two large islands (the North Island and the South Island) and numerous smaller islands, most notably Stewart Island/Rakiura and the Chatham Islands.")</f>
        <v>A nation in the south-western Pacific Ocean comprising two large islands (the North Island and the South Island) and numerous smaller islands, most notably Stewart Island/Rakiura and the Chatham Islands.</v>
      </c>
      <c r="E1332" s="56"/>
      <c r="F1332" s="54"/>
      <c r="G1332" s="54"/>
      <c r="H1332" s="59"/>
      <c r="I1332" s="59"/>
      <c r="J1332" s="59"/>
      <c r="K1332" s="54"/>
    </row>
    <row r="1333">
      <c r="A1333" s="57"/>
      <c r="B1333" s="57" t="str">
        <f>IFERROR(__xludf.DUMMYFUNCTION("""COMPUTED_VALUE"""),"Nicaragua [GAZ:00002978]    ")</f>
        <v>Nicaragua [GAZ:00002978]    </v>
      </c>
      <c r="C1333" s="57" t="str">
        <f>IFERROR(__xludf.DUMMYFUNCTION("""COMPUTED_VALUE"""),"GAZ:00002978")</f>
        <v>GAZ:00002978</v>
      </c>
      <c r="D1333" s="58" t="str">
        <f>IFERROR(__xludf.DUMMYFUNCTION("""COMPUTED_VALUE"""),"A republic in Central America. It is also the least densely populated with a demographic similar in size to its smaller neighbors. The country is bordered by Honduras to the north and by Costa Rica to the south. The Pacific Ocean lies to the west of the c"&amp;"ountry, while the Caribbean Sea lies to the east. For administrative purposes it is divided into 15 departments (departamentos) and two self-governing regions (autonomous communities) based on the Spanish model. The departments are then subdivided into 15"&amp;"3 municipios (municipalities). The two autonomous regions are Region Autonoma del Atlantico Norte and Region Autonoma del Atlantico Sur, often referred to as RAAN and RAAS, respectively. Until they were granted autonomy in 1985 they formed the single depa"&amp;"rtment of Zelaya.")</f>
        <v>A republic in Central America. It is also the least densely populated with a demographic similar in size to its smaller neighbors. The country is bordered by Honduras to the north and by Costa Rica to the south. The Pacific Ocean lies to the west of the country, while the Caribbean Sea lies to the east. For administrative purposes it is divided into 15 departments (departamentos) and two self-governing regions (autonomous communities) based on the Spanish model. The departments are then subdivided into 153 municipios (municipalities). The two autonomous regions are Region Autonoma del Atlantico Norte and Region Autonoma del Atlantico Sur, often referred to as RAAN and RAAS, respectively. Until they were granted autonomy in 1985 they formed the single department of Zelaya.</v>
      </c>
      <c r="E1333" s="56"/>
      <c r="F1333" s="54"/>
      <c r="G1333" s="54"/>
      <c r="H1333" s="59"/>
      <c r="I1333" s="59"/>
      <c r="J1333" s="59"/>
      <c r="K1333" s="54"/>
    </row>
    <row r="1334">
      <c r="A1334" s="57"/>
      <c r="B1334" s="57" t="str">
        <f>IFERROR(__xludf.DUMMYFUNCTION("""COMPUTED_VALUE"""),"Niger [GAZ:00000585]    ")</f>
        <v>Niger [GAZ:00000585]    </v>
      </c>
      <c r="C1334" s="57" t="str">
        <f>IFERROR(__xludf.DUMMYFUNCTION("""COMPUTED_VALUE"""),"GAZ:00000585")</f>
        <v>GAZ:00000585</v>
      </c>
      <c r="D1334" s="58" t="str">
        <f>IFERROR(__xludf.DUMMYFUNCTION("""COMPUTED_VALUE"""),"A landlocked country in Western Africa, named after the Niger River. It borders Nigeria and Benin to the south, Burkina Faso and Mali to the west, Algeria and Libya to the north and Chad to the east. The capital city is Niamey. Niger is divided into 7 dep"&amp;"artments and one capital district. The departments are subdivided into 36 arrondissements and further subdivided into 129 communes.")</f>
        <v>A landlocked country in Western Africa, named after the Niger River. It borders Nigeria and Benin to the south, Burkina Faso and Mali to the west, Algeria and Libya to the north and Chad to the east. The capital city is Niamey. Niger is divided into 7 departments and one capital district. The departments are subdivided into 36 arrondissements and further subdivided into 129 communes.</v>
      </c>
      <c r="E1334" s="56"/>
      <c r="F1334" s="54"/>
      <c r="G1334" s="54"/>
      <c r="H1334" s="59"/>
      <c r="I1334" s="59"/>
      <c r="J1334" s="59"/>
      <c r="K1334" s="54"/>
    </row>
    <row r="1335">
      <c r="A1335" s="57"/>
      <c r="B1335" s="57" t="str">
        <f>IFERROR(__xludf.DUMMYFUNCTION("""COMPUTED_VALUE"""),"Nigeria [GAZ:00000912]    ")</f>
        <v>Nigeria [GAZ:00000912]    </v>
      </c>
      <c r="C1335" s="57" t="str">
        <f>IFERROR(__xludf.DUMMYFUNCTION("""COMPUTED_VALUE"""),"GAZ:00000912")</f>
        <v>GAZ:00000912</v>
      </c>
      <c r="D1335" s="58" t="str">
        <f>IFERROR(__xludf.DUMMYFUNCTION("""COMPUTED_VALUE"""),"A federal constitutional republic comprising thirty-six states and one Federal Capital Territory. The country is located in West Africa and shares land borders with the Republic of Benin in the west, Chad and Cameroon in the east, and Niger in the north. "&amp;"Its coast lies on the Gulf of Guinea, part of the Atlantic Ocean, in the south. The capital city is Abuja. Nigeria is divided into thirty-six states and one Federal Capital Territory, which are further sub-divided into 774 Local Government Areas (LGAs).")</f>
        <v>A federal constitutional republic comprising thirty-six states and one Federal Capital Territory. The country is located in West Africa and shares land borders with the Republic of Benin in the west, Chad and Cameroon in the east, and Niger in the north. Its coast lies on the Gulf of Guinea, part of the Atlantic Ocean, in the south. The capital city is Abuja. Nigeria is divided into thirty-six states and one Federal Capital Territory, which are further sub-divided into 774 Local Government Areas (LGAs).</v>
      </c>
      <c r="E1335" s="56"/>
      <c r="F1335" s="54"/>
      <c r="G1335" s="54"/>
      <c r="H1335" s="59"/>
      <c r="I1335" s="59"/>
      <c r="J1335" s="59"/>
      <c r="K1335" s="54"/>
    </row>
    <row r="1336">
      <c r="A1336" s="57"/>
      <c r="B1336" s="57" t="str">
        <f>IFERROR(__xludf.DUMMYFUNCTION("""COMPUTED_VALUE"""),"Niue [GAZ:00006902]    ")</f>
        <v>Niue [GAZ:00006902]    </v>
      </c>
      <c r="C1336" s="57" t="str">
        <f>IFERROR(__xludf.DUMMYFUNCTION("""COMPUTED_VALUE"""),"GAZ:00006902")</f>
        <v>GAZ:00006902</v>
      </c>
      <c r="D1336" s="58" t="str">
        <f>IFERROR(__xludf.DUMMYFUNCTION("""COMPUTED_VALUE"""),"An island nation located in the South Pacific Ocean. Although self-governing, Niue is in free association with New Zealand, meaning that the Sovereign in Right of New Zealand is also Niue's head of state.")</f>
        <v>An island nation located in the South Pacific Ocean. Although self-governing, Niue is in free association with New Zealand, meaning that the Sovereign in Right of New Zealand is also Niue's head of state.</v>
      </c>
      <c r="E1336" s="56"/>
      <c r="F1336" s="54"/>
      <c r="G1336" s="54"/>
      <c r="H1336" s="59"/>
      <c r="I1336" s="59"/>
      <c r="J1336" s="59"/>
      <c r="K1336" s="54"/>
    </row>
    <row r="1337">
      <c r="A1337" s="57"/>
      <c r="B1337" s="57" t="str">
        <f>IFERROR(__xludf.DUMMYFUNCTION("""COMPUTED_VALUE"""),"Norfolk Island [GAZ:00005908]    ")</f>
        <v>Norfolk Island [GAZ:00005908]    </v>
      </c>
      <c r="C1337" s="57" t="str">
        <f>IFERROR(__xludf.DUMMYFUNCTION("""COMPUTED_VALUE"""),"GAZ:00005908")</f>
        <v>GAZ:00005908</v>
      </c>
      <c r="D1337" s="58" t="str">
        <f>IFERROR(__xludf.DUMMYFUNCTION("""COMPUTED_VALUE"""),"A Territory of Australia that includes Norfolk Island and neighboring islands.")</f>
        <v>A Territory of Australia that includes Norfolk Island and neighboring islands.</v>
      </c>
      <c r="E1337" s="56"/>
      <c r="F1337" s="54"/>
      <c r="G1337" s="54"/>
      <c r="H1337" s="59"/>
      <c r="I1337" s="59"/>
      <c r="J1337" s="59"/>
      <c r="K1337" s="54"/>
    </row>
    <row r="1338">
      <c r="A1338" s="57"/>
      <c r="B1338" s="57" t="str">
        <f>IFERROR(__xludf.DUMMYFUNCTION("""COMPUTED_VALUE"""),"North Korea [GAZ:00002801]    ")</f>
        <v>North Korea [GAZ:00002801]    </v>
      </c>
      <c r="C1338" s="57" t="str">
        <f>IFERROR(__xludf.DUMMYFUNCTION("""COMPUTED_VALUE"""),"GAZ:00002801")</f>
        <v>GAZ:00002801</v>
      </c>
      <c r="D1338" s="58" t="str">
        <f>IFERROR(__xludf.DUMMYFUNCTION("""COMPUTED_VALUE"""),"A state in East Asia in the northern half of the Korean Peninsula, with its capital in the city of Pyongyang. To the south and separated by the Korean Demilitarized Zone is South Korea, with which it formed one nation until division following World War II"&amp;". At its northern Amnok River border are China and, separated by the Tumen River in the extreme north-east, Russia.")</f>
        <v>A state in East Asia in the northern half of the Korean Peninsula, with its capital in the city of Pyongyang. To the south and separated by the Korean Demilitarized Zone is South Korea, with which it formed one nation until division following World War II. At its northern Amnok River border are China and, separated by the Tumen River in the extreme north-east, Russia.</v>
      </c>
      <c r="E1338" s="56"/>
      <c r="F1338" s="54"/>
      <c r="G1338" s="54"/>
      <c r="H1338" s="59"/>
      <c r="I1338" s="59"/>
      <c r="J1338" s="59"/>
      <c r="K1338" s="54"/>
    </row>
    <row r="1339">
      <c r="A1339" s="57"/>
      <c r="B1339" s="57" t="str">
        <f>IFERROR(__xludf.DUMMYFUNCTION("""COMPUTED_VALUE"""),"North Macedonia [GAZ:00006895]    ")</f>
        <v>North Macedonia [GAZ:00006895]    </v>
      </c>
      <c r="C1339" s="57" t="str">
        <f>IFERROR(__xludf.DUMMYFUNCTION("""COMPUTED_VALUE"""),"GAZ:00006895")</f>
        <v>GAZ:00006895</v>
      </c>
      <c r="D1339" s="58" t="str">
        <f>IFERROR(__xludf.DUMMYFUNCTION("""COMPUTED_VALUE"""),"A landlocked country on the Balkan peninsula in southeastern Europe. It is bordered by Serbia and Kosovo to the north, Albania to the west, Greece to the south, and Bulgaria to the east. In 2004-08, the Republic of Macedonia was reorganised into 85 munici"&amp;"palities (opstini; singular opstina), 10 of which comprise Greater Skopje. This is reduced from the previous 123 municipalities established in 1996-09. Prior to this, local government was organised into 34 administrative districts.")</f>
        <v>A landlocked country on the Balkan peninsula in southeastern Europe. It is bordered by Serbia and Kosovo to the north, Albania to the west, Greece to the south, and Bulgaria to the east. In 2004-08, the Republic of Macedonia was reorganised into 85 municipalities (opstini; singular opstina), 10 of which comprise Greater Skopje. This is reduced from the previous 123 municipalities established in 1996-09. Prior to this, local government was organised into 34 administrative districts.</v>
      </c>
      <c r="E1339" s="56"/>
      <c r="F1339" s="54"/>
      <c r="G1339" s="54"/>
      <c r="H1339" s="59"/>
      <c r="I1339" s="59"/>
      <c r="J1339" s="59"/>
      <c r="K1339" s="54"/>
    </row>
    <row r="1340">
      <c r="A1340" s="57"/>
      <c r="B1340" s="57" t="str">
        <f>IFERROR(__xludf.DUMMYFUNCTION("""COMPUTED_VALUE"""),"North Sea [GAZ:00002284]    ")</f>
        <v>North Sea [GAZ:00002284]    </v>
      </c>
      <c r="C1340" s="57" t="str">
        <f>IFERROR(__xludf.DUMMYFUNCTION("""COMPUTED_VALUE"""),"GAZ:00002284")</f>
        <v>GAZ:00002284</v>
      </c>
      <c r="D1340" s="58" t="str">
        <f>IFERROR(__xludf.DUMMYFUNCTION("""COMPUTED_VALUE"""),"A sea situated between the eastern coasts of the British Isles and the western coast of Europe.")</f>
        <v>A sea situated between the eastern coasts of the British Isles and the western coast of Europe.</v>
      </c>
      <c r="E1340" s="56"/>
      <c r="F1340" s="54"/>
      <c r="G1340" s="54"/>
      <c r="H1340" s="59"/>
      <c r="I1340" s="59"/>
      <c r="J1340" s="59"/>
      <c r="K1340" s="54"/>
    </row>
    <row r="1341">
      <c r="A1341" s="57"/>
      <c r="B1341" s="57" t="str">
        <f>IFERROR(__xludf.DUMMYFUNCTION("""COMPUTED_VALUE"""),"Northern Mariana Islands [GAZ:00003958]    ")</f>
        <v>Northern Mariana Islands [GAZ:00003958]    </v>
      </c>
      <c r="C1341" s="57" t="str">
        <f>IFERROR(__xludf.DUMMYFUNCTION("""COMPUTED_VALUE"""),"GAZ:00003958")</f>
        <v>GAZ:00003958</v>
      </c>
      <c r="D1341" s="58" t="str">
        <f>IFERROR(__xludf.DUMMYFUNCTION("""COMPUTED_VALUE"""),"A group of 15 islands about three-quarters of the way from Hawaii to the Philippines.")</f>
        <v>A group of 15 islands about three-quarters of the way from Hawaii to the Philippines.</v>
      </c>
      <c r="E1341" s="56"/>
      <c r="F1341" s="54"/>
      <c r="G1341" s="54"/>
      <c r="H1341" s="59"/>
      <c r="I1341" s="59"/>
      <c r="J1341" s="59"/>
      <c r="K1341" s="54"/>
    </row>
    <row r="1342">
      <c r="A1342" s="57"/>
      <c r="B1342" s="57" t="str">
        <f>IFERROR(__xludf.DUMMYFUNCTION("""COMPUTED_VALUE"""),"Norway [GAZ:00002699]    ")</f>
        <v>Norway [GAZ:00002699]    </v>
      </c>
      <c r="C1342" s="57" t="str">
        <f>IFERROR(__xludf.DUMMYFUNCTION("""COMPUTED_VALUE"""),"GAZ:00002699")</f>
        <v>GAZ:00002699</v>
      </c>
      <c r="D1342" s="58" t="str">
        <f>IFERROR(__xludf.DUMMYFUNCTION("""COMPUTED_VALUE"""),"A country and constitutional monarchy in Northern Europe that occupies the western portion of the Scandinavian Peninsula. It is bordered by Sweden, Finland, and Russia. The Kingdom of Norway also includes the Arctic island territories of Svalbard and Jan "&amp;"Mayen. Norwegian sovereignty over Svalbard is based upon the Svalbard Treaty, but that treaty does not apply to Jan Mayen. Bouvet Island in the South Atlantic Ocean and Peter I Island and Queen Maud Land in Antarctica are external dependencies, but those "&amp;"three entities do not form part of the kingdom.")</f>
        <v>A country and constitutional monarchy in Northern Europe that occupies the western portion of the Scandinavian Peninsula. It is bordered by Sweden, Finland, and Russia. The Kingdom of Norway also includes the Arctic island territories of Svalbard and Jan Mayen. Norwegian sovereignty over Svalbard is based upon the Svalbard Treaty, but that treaty does not apply to Jan Mayen. Bouvet Island in the South Atlantic Ocean and Peter I Island and Queen Maud Land in Antarctica are external dependencies, but those three entities do not form part of the kingdom.</v>
      </c>
      <c r="E1342" s="56"/>
      <c r="F1342" s="54"/>
      <c r="G1342" s="54"/>
      <c r="H1342" s="59"/>
      <c r="I1342" s="59"/>
      <c r="J1342" s="59"/>
      <c r="K1342" s="54"/>
    </row>
    <row r="1343">
      <c r="A1343" s="57"/>
      <c r="B1343" s="57" t="str">
        <f>IFERROR(__xludf.DUMMYFUNCTION("""COMPUTED_VALUE"""),"Oman [GAZ:00005283]    ")</f>
        <v>Oman [GAZ:00005283]    </v>
      </c>
      <c r="C1343" s="57" t="str">
        <f>IFERROR(__xludf.DUMMYFUNCTION("""COMPUTED_VALUE"""),"GAZ:00005283")</f>
        <v>GAZ:00005283</v>
      </c>
      <c r="D1343" s="58" t="str">
        <f>IFERROR(__xludf.DUMMYFUNCTION("""COMPUTED_VALUE"""),"A country in southwest Asia, on the southeast coast of the Arabian Peninsula. It borders the United Arab Emirates on the northwest, Saudi Arabia on the west, and Yemen on the southwest. The coast is formed by the Arabian Sea on the south and east, and the"&amp;" Gulf of Oman on the northeast. The country also contains Madha, an exclave enclosed by the United Arab Emirates, and Musandam, an exclave also separated by Emirati territory. Oman is divided into four governorates (muhafazah) and five regions (mintaqat)."&amp;" The regions are subdivided into provinces (wilayat).")</f>
        <v>A country in southwest Asia, on the southeast coast of the Arabian Peninsula. It borders the United Arab Emirates on the northwest, Saudi Arabia on the west, and Yemen on the southwest. The coast is formed by the Arabian Sea on the south and east, and the Gulf of Oman on the northeast. The country also contains Madha, an exclave enclosed by the United Arab Emirates, and Musandam, an exclave also separated by Emirati territory. Oman is divided into four governorates (muhafazah) and five regions (mintaqat). The regions are subdivided into provinces (wilayat).</v>
      </c>
      <c r="E1343" s="56"/>
      <c r="F1343" s="54"/>
      <c r="G1343" s="54"/>
      <c r="H1343" s="59"/>
      <c r="I1343" s="59"/>
      <c r="J1343" s="59"/>
      <c r="K1343" s="54"/>
    </row>
    <row r="1344">
      <c r="A1344" s="57"/>
      <c r="B1344" s="57" t="str">
        <f>IFERROR(__xludf.DUMMYFUNCTION("""COMPUTED_VALUE"""),"Pakistan [GAZ:00005246]    ")</f>
        <v>Pakistan [GAZ:00005246]    </v>
      </c>
      <c r="C1344" s="57" t="str">
        <f>IFERROR(__xludf.DUMMYFUNCTION("""COMPUTED_VALUE"""),"GAZ:00005246")</f>
        <v>GAZ:00005246</v>
      </c>
      <c r="D1344" s="58" t="str">
        <f>IFERROR(__xludf.DUMMYFUNCTION("""COMPUTED_VALUE"""),"A country in Middle East which lies on the Iranian Plateau and some parts of South Asia. It is located in the region where South Asia converges with Central Asia and the Middle East. It has a 1,046 km coastline along the Arabian Sea in the south, and is b"&amp;"ordered by Afghanistan and Iran in the west, India in the east and China in the far northeast. Pakistan is subdivided into four provinces and two territories. In addition, the portion of Kashmir that is administered by the Pakistani government is divided "&amp;"into two separate administrative units. The provinces are divided into a total of 105 zillas (districts). A zilla is further subdivided into tehsils (roughly equivalent to counties). Tehsils may contain villages or municipalities. There are over five thou"&amp;"sand local governments in Pakistan.")</f>
        <v>A country in Middle East which lies on the Iranian Plateau and some parts of South Asia. It is located in the region where South Asia converges with Central Asia and the Middle East. It has a 1,046 km coastline along the Arabian Sea in the south, and is bordered by Afghanistan and Iran in the west, India in the east and China in the far northeast. Pakistan is subdivided into four provinces and two territories. In addition, the portion of Kashmir that is administered by the Pakistani government is divided into two separate administrative units. The provinces are divided into a total of 105 zillas (districts). A zilla is further subdivided into tehsils (roughly equivalent to counties). Tehsils may contain villages or municipalities. There are over five thousand local governments in Pakistan.</v>
      </c>
      <c r="E1344" s="56"/>
      <c r="F1344" s="54"/>
      <c r="G1344" s="54"/>
      <c r="H1344" s="59"/>
      <c r="I1344" s="59"/>
      <c r="J1344" s="59"/>
      <c r="K1344" s="54"/>
    </row>
    <row r="1345">
      <c r="A1345" s="57"/>
      <c r="B1345" s="57" t="str">
        <f>IFERROR(__xludf.DUMMYFUNCTION("""COMPUTED_VALUE"""),"Palau [GAZ:00006905]    ")</f>
        <v>Palau [GAZ:00006905]    </v>
      </c>
      <c r="C1345" s="57" t="str">
        <f>IFERROR(__xludf.DUMMYFUNCTION("""COMPUTED_VALUE"""),"GAZ:00006905")</f>
        <v>GAZ:00006905</v>
      </c>
      <c r="D1345" s="58" t="str">
        <f>IFERROR(__xludf.DUMMYFUNCTION("""COMPUTED_VALUE"""),"A nation that consists of eight principal islands and more than 250 smaller ones lying roughly 500 miles southeast of the Philippines.")</f>
        <v>A nation that consists of eight principal islands and more than 250 smaller ones lying roughly 500 miles southeast of the Philippines.</v>
      </c>
      <c r="E1345" s="56"/>
      <c r="F1345" s="54"/>
      <c r="G1345" s="54"/>
      <c r="H1345" s="59"/>
      <c r="I1345" s="59"/>
      <c r="J1345" s="59"/>
      <c r="K1345" s="54"/>
    </row>
    <row r="1346">
      <c r="A1346" s="57"/>
      <c r="B1346" s="57" t="str">
        <f>IFERROR(__xludf.DUMMYFUNCTION("""COMPUTED_VALUE"""),"Panama [GAZ:00002892]    ")</f>
        <v>Panama [GAZ:00002892]    </v>
      </c>
      <c r="C1346" s="57" t="str">
        <f>IFERROR(__xludf.DUMMYFUNCTION("""COMPUTED_VALUE"""),"GAZ:00002892")</f>
        <v>GAZ:00002892</v>
      </c>
      <c r="D1346" s="58" t="str">
        <f>IFERROR(__xludf.DUMMYFUNCTION("""COMPUTED_VALUE"""),"The southernmost country of Central America. Situated on an isthmus, some categorize it as a transcontinental nation connecting the north and south part of America. It borders Costa Rica to the north-west, Colombia to the south-east, the Caribbean Sea to "&amp;"the north and the Pacific Ocean to the south. Panama's major divisions are nine provinces and five indigenous territories (comarcas indigenas). The provincial borders have not changed since they were determined at independence in 1903. The provinces are d"&amp;"ivided into districts, which in turn are subdivided into sections called corregimientos. Configurations of the corregimientos are changed periodically to accommodate population changes as revealed in the census reports.")</f>
        <v>The southernmost country of Central America. Situated on an isthmus, some categorize it as a transcontinental nation connecting the north and south part of America. It borders Costa Rica to the north-west, Colombia to the south-east, the Caribbean Sea to the north and the Pacific Ocean to the south. Panama's major divisions are nine provinces and five indigenous territories (comarcas indigenas). The provincial borders have not changed since they were determined at independence in 1903. The provinces are divided into districts, which in turn are subdivided into sections called corregimientos. Configurations of the corregimientos are changed periodically to accommodate population changes as revealed in the census reports.</v>
      </c>
      <c r="E1346" s="56"/>
      <c r="F1346" s="54"/>
      <c r="G1346" s="54"/>
      <c r="H1346" s="59"/>
      <c r="I1346" s="59"/>
      <c r="J1346" s="59"/>
      <c r="K1346" s="54"/>
    </row>
    <row r="1347">
      <c r="A1347" s="57"/>
      <c r="B1347" s="57" t="str">
        <f>IFERROR(__xludf.DUMMYFUNCTION("""COMPUTED_VALUE"""),"Papua New Guinea [GAZ:00003922]    ")</f>
        <v>Papua New Guinea [GAZ:00003922]    </v>
      </c>
      <c r="C1347" s="57" t="str">
        <f>IFERROR(__xludf.DUMMYFUNCTION("""COMPUTED_VALUE"""),"GAZ:00003922")</f>
        <v>GAZ:00003922</v>
      </c>
      <c r="D1347" s="58" t="str">
        <f>IFERROR(__xludf.DUMMYFUNCTION("""COMPUTED_VALUE"""),"A country in Oceania that comprises the eastern half of the island of New Guinea and its offshore islands in Melanesia (a region of the southwestern Pacific Ocean north of Australia).")</f>
        <v>A country in Oceania that comprises the eastern half of the island of New Guinea and its offshore islands in Melanesia (a region of the southwestern Pacific Ocean north of Australia).</v>
      </c>
      <c r="E1347" s="56"/>
      <c r="F1347" s="54"/>
      <c r="G1347" s="54"/>
      <c r="H1347" s="59"/>
      <c r="I1347" s="59"/>
      <c r="J1347" s="59"/>
      <c r="K1347" s="54"/>
    </row>
    <row r="1348">
      <c r="A1348" s="57"/>
      <c r="B1348" s="57" t="str">
        <f>IFERROR(__xludf.DUMMYFUNCTION("""COMPUTED_VALUE"""),"Paracel Islands [GAZ:00010832]    ")</f>
        <v>Paracel Islands [GAZ:00010832]    </v>
      </c>
      <c r="C1348" s="57" t="str">
        <f>IFERROR(__xludf.DUMMYFUNCTION("""COMPUTED_VALUE"""),"GAZ:00010832")</f>
        <v>GAZ:00010832</v>
      </c>
      <c r="D1348" s="58" t="str">
        <f>IFERROR(__xludf.DUMMYFUNCTION("""COMPUTED_VALUE"""),"A group of small islands and reefs in the South China Sea, about one-third of the way from Vietnam to the Philippines.")</f>
        <v>A group of small islands and reefs in the South China Sea, about one-third of the way from Vietnam to the Philippines.</v>
      </c>
      <c r="E1348" s="56"/>
      <c r="F1348" s="54"/>
      <c r="G1348" s="54"/>
      <c r="H1348" s="59"/>
      <c r="I1348" s="59"/>
      <c r="J1348" s="59"/>
      <c r="K1348" s="54"/>
    </row>
    <row r="1349">
      <c r="A1349" s="57"/>
      <c r="B1349" s="57" t="str">
        <f>IFERROR(__xludf.DUMMYFUNCTION("""COMPUTED_VALUE"""),"Paraguay [GAZ:00002933]    ")</f>
        <v>Paraguay [GAZ:00002933]    </v>
      </c>
      <c r="C1349" s="57" t="str">
        <f>IFERROR(__xludf.DUMMYFUNCTION("""COMPUTED_VALUE"""),"GAZ:00002933")</f>
        <v>GAZ:00002933</v>
      </c>
      <c r="D1349" s="58" t="str">
        <f>IFERROR(__xludf.DUMMYFUNCTION("""COMPUTED_VALUE"""),"A landlocked country in South America. It lies on both banks of the Paraguay River, bordering Argentina to the south and southwest, Brazil to the east and northeast, and Bolivia to the northwest, and is located in the very heart of South America. Paraguay"&amp;" consists of seventeen departments and one capital district (distrito capital). Each department is divided into districts.")</f>
        <v>A landlocked country in South America. It lies on both banks of the Paraguay River, bordering Argentina to the south and southwest, Brazil to the east and northeast, and Bolivia to the northwest, and is located in the very heart of South America. Paraguay consists of seventeen departments and one capital district (distrito capital). Each department is divided into districts.</v>
      </c>
      <c r="E1349" s="56"/>
      <c r="F1349" s="54"/>
      <c r="G1349" s="54"/>
      <c r="H1349" s="59"/>
      <c r="I1349" s="59"/>
      <c r="J1349" s="59"/>
      <c r="K1349" s="54"/>
    </row>
    <row r="1350">
      <c r="A1350" s="57"/>
      <c r="B1350" s="57" t="str">
        <f>IFERROR(__xludf.DUMMYFUNCTION("""COMPUTED_VALUE"""),"Peru [GAZ:00002932]    ")</f>
        <v>Peru [GAZ:00002932]    </v>
      </c>
      <c r="C1350" s="57" t="str">
        <f>IFERROR(__xludf.DUMMYFUNCTION("""COMPUTED_VALUE"""),"GAZ:00002932")</f>
        <v>GAZ:00002932</v>
      </c>
      <c r="D1350" s="58" t="str">
        <f>IFERROR(__xludf.DUMMYFUNCTION("""COMPUTED_VALUE"""),"A country in western South America. It is bordered on the north by Ecuador and Colombia, on the east by Brazil, on the southeast by Bolivia, on the south by Chile, and on the west by the Pacific Ocean. Peru is divided into 25 regions and the province of L"&amp;"ima. These regions are subdivided into provinces, which are composed of districts (provincias and distritos). There are 195 provinces and 1833 districts in Peru. The Lima Province, located in the central coast of the country, is unique in that it doesn't "&amp;"belong to any of the twenty-five regions. The city of Lima, which is the nation's capital, is located in this province. Callao is its own region, even though it only contains one province, the Constitutional Province of Callao.")</f>
        <v>A country in western South America. It is bordered on the north by Ecuador and Colombia, on the east by Brazil, on the southeast by Bolivia, on the south by Chile, and on the west by the Pacific Ocean. Peru is divided into 25 regions and the province of Lima. These regions are subdivided into provinces, which are composed of districts (provincias and distritos). There are 195 provinces and 1833 districts in Peru. The Lima Province, located in the central coast of the country, is unique in that it doesn't belong to any of the twenty-five regions. The city of Lima, which is the nation's capital, is located in this province. Callao is its own region, even though it only contains one province, the Constitutional Province of Callao.</v>
      </c>
      <c r="E1350" s="56"/>
      <c r="F1350" s="54"/>
      <c r="G1350" s="54"/>
      <c r="H1350" s="59"/>
      <c r="I1350" s="59"/>
      <c r="J1350" s="59"/>
      <c r="K1350" s="54"/>
    </row>
    <row r="1351">
      <c r="A1351" s="57"/>
      <c r="B1351" s="57" t="str">
        <f>IFERROR(__xludf.DUMMYFUNCTION("""COMPUTED_VALUE"""),"Philippines [GAZ:00004525]    ")</f>
        <v>Philippines [GAZ:00004525]    </v>
      </c>
      <c r="C1351" s="57" t="str">
        <f>IFERROR(__xludf.DUMMYFUNCTION("""COMPUTED_VALUE"""),"GAZ:00004525")</f>
        <v>GAZ:00004525</v>
      </c>
      <c r="D1351" s="58" t="str">
        <f>IFERROR(__xludf.DUMMYFUNCTION("""COMPUTED_VALUE"""),"An archipelagic nation located in Southeast Asia. The Philippine archipelago comprises 7,107 islands in the western Pacific Ocean, bordering countries such as Indonesia, Malaysia, Palau and the Republic of China, although it is the only Southeast Asian co"&amp;"untry to share no land borders with its neighbors. The Philippines is divided into three island groups: Luzon, Visayas, and Mindanao. These are divided into 17 regions, 81 provinces, 136 cities, 1,494 municipalities and 41,995 barangays.")</f>
        <v>An archipelagic nation located in Southeast Asia. The Philippine archipelago comprises 7,107 islands in the western Pacific Ocean, bordering countries such as Indonesia, Malaysia, Palau and the Republic of China, although it is the only Southeast Asian country to share no land borders with its neighbors. The Philippines is divided into three island groups: Luzon, Visayas, and Mindanao. These are divided into 17 regions, 81 provinces, 136 cities, 1,494 municipalities and 41,995 barangays.</v>
      </c>
      <c r="E1351" s="56"/>
      <c r="F1351" s="54"/>
      <c r="G1351" s="54"/>
      <c r="H1351" s="59"/>
      <c r="I1351" s="59"/>
      <c r="J1351" s="59"/>
      <c r="K1351" s="54"/>
    </row>
    <row r="1352">
      <c r="A1352" s="57"/>
      <c r="B1352" s="57" t="str">
        <f>IFERROR(__xludf.DUMMYFUNCTION("""COMPUTED_VALUE"""),"Pitcairn Islands [GAZ:00005867]    ")</f>
        <v>Pitcairn Islands [GAZ:00005867]    </v>
      </c>
      <c r="C1352" s="57" t="str">
        <f>IFERROR(__xludf.DUMMYFUNCTION("""COMPUTED_VALUE"""),"GAZ:00005867")</f>
        <v>GAZ:00005867</v>
      </c>
      <c r="D1352" s="58" t="str">
        <f>IFERROR(__xludf.DUMMYFUNCTION("""COMPUTED_VALUE"""),"A group of four islands in the southern Pacific Ocean. The Pitcairn Islands form the southeasternmost extension of the geological archipelago of the Tuamotus of French Polynesia.")</f>
        <v>A group of four islands in the southern Pacific Ocean. The Pitcairn Islands form the southeasternmost extension of the geological archipelago of the Tuamotus of French Polynesia.</v>
      </c>
      <c r="E1352" s="56"/>
      <c r="F1352" s="54"/>
      <c r="G1352" s="54"/>
      <c r="H1352" s="59"/>
      <c r="I1352" s="59"/>
      <c r="J1352" s="59"/>
      <c r="K1352" s="54"/>
    </row>
    <row r="1353">
      <c r="A1353" s="57"/>
      <c r="B1353" s="57" t="str">
        <f>IFERROR(__xludf.DUMMYFUNCTION("""COMPUTED_VALUE"""),"Poland [GAZ:00002939]    ")</f>
        <v>Poland [GAZ:00002939]    </v>
      </c>
      <c r="C1353" s="57" t="str">
        <f>IFERROR(__xludf.DUMMYFUNCTION("""COMPUTED_VALUE"""),"GAZ:00002939")</f>
        <v>GAZ:00002939</v>
      </c>
      <c r="D1353" s="58" t="str">
        <f>IFERROR(__xludf.DUMMYFUNCTION("""COMPUTED_VALUE"""),"A country in Central Europe. Poland is bordered by Germany to the west; the Czech Republic and Slovakia to the south; Ukraine, Belarus and Lithuania to the east; and the Baltic Sea and Kaliningrad Oblast, a Russian exclave, to the north. The administrativ"&amp;"e division of Poland since 1999 has been based on three levels of subdivision. The territory of Poland is divided into voivodeships (provinces); these are further divided into powiats (counties), and these in turn are divided into gminas (communes or muni"&amp;"cipalities). Major cities normally have the status of both gmina and powiat. Poland currently has 16 voivodeships, 379 powiats (including 65 cities with powiat status), and 2,478 gminas.")</f>
        <v>A country in Central Europe. Poland is bordered by Germany to the west; the Czech Republic and Slovakia to the south; Ukraine, Belarus and Lithuania to the east; and the Baltic Sea and Kaliningrad Oblast, a Russian exclave, to the north. The administrative division of Poland since 1999 has been based on three levels of subdivision. The territory of Poland is divided into voivodeships (provinces); these are further divided into powiats (counties), and these in turn are divided into gminas (communes or municipalities). Major cities normally have the status of both gmina and powiat. Poland currently has 16 voivodeships, 379 powiats (including 65 cities with powiat status), and 2,478 gminas.</v>
      </c>
      <c r="E1353" s="56"/>
      <c r="F1353" s="54"/>
      <c r="G1353" s="54"/>
      <c r="H1353" s="59"/>
      <c r="I1353" s="59"/>
      <c r="J1353" s="59"/>
      <c r="K1353" s="54"/>
    </row>
    <row r="1354">
      <c r="A1354" s="57"/>
      <c r="B1354" s="57" t="str">
        <f>IFERROR(__xludf.DUMMYFUNCTION("""COMPUTED_VALUE"""),"Portugal [GAZ:00004126]    ")</f>
        <v>Portugal [GAZ:00004126]    </v>
      </c>
      <c r="C1354" s="57" t="str">
        <f>IFERROR(__xludf.DUMMYFUNCTION("""COMPUTED_VALUE"""),"GAZ:00004126")</f>
        <v>GAZ:00004126</v>
      </c>
      <c r="D1354" s="58" t="str">
        <f>IFERROR(__xludf.DUMMYFUNCTION("""COMPUTED_VALUE"""),"That part of the Portugese Republic that occupies the W part of the Iberian Peninsula, and immediately adjacent islands.")</f>
        <v>That part of the Portugese Republic that occupies the W part of the Iberian Peninsula, and immediately adjacent islands.</v>
      </c>
      <c r="E1354" s="56"/>
      <c r="F1354" s="54"/>
      <c r="G1354" s="54"/>
      <c r="H1354" s="59"/>
      <c r="I1354" s="59"/>
      <c r="J1354" s="59"/>
      <c r="K1354" s="54"/>
    </row>
    <row r="1355">
      <c r="A1355" s="57"/>
      <c r="B1355" s="57" t="str">
        <f>IFERROR(__xludf.DUMMYFUNCTION("""COMPUTED_VALUE"""),"Puerto Rico [GAZ:00006935]    ")</f>
        <v>Puerto Rico [GAZ:00006935]    </v>
      </c>
      <c r="C1355" s="57" t="str">
        <f>IFERROR(__xludf.DUMMYFUNCTION("""COMPUTED_VALUE"""),"GAZ:00006935")</f>
        <v>GAZ:00006935</v>
      </c>
      <c r="D1355" s="58" t="str">
        <f>IFERROR(__xludf.DUMMYFUNCTION("""COMPUTED_VALUE"""),"A semi-autonomous territory composed of an archipelago in the northeastern Caribbean, east of the Dominican Republic and west of the Virgin Islands, approximately 2,000 km off the coast of Florida (the nearest of the mainland United States).")</f>
        <v>A semi-autonomous territory composed of an archipelago in the northeastern Caribbean, east of the Dominican Republic and west of the Virgin Islands, approximately 2,000 km off the coast of Florida (the nearest of the mainland United States).</v>
      </c>
      <c r="E1355" s="56"/>
      <c r="F1355" s="54"/>
      <c r="G1355" s="54"/>
      <c r="H1355" s="59"/>
      <c r="I1355" s="59"/>
      <c r="J1355" s="59"/>
      <c r="K1355" s="54"/>
    </row>
    <row r="1356">
      <c r="A1356" s="57"/>
      <c r="B1356" s="57" t="str">
        <f>IFERROR(__xludf.DUMMYFUNCTION("""COMPUTED_VALUE"""),"Qatar [GAZ:00005286]    ")</f>
        <v>Qatar [GAZ:00005286]    </v>
      </c>
      <c r="C1356" s="57" t="str">
        <f>IFERROR(__xludf.DUMMYFUNCTION("""COMPUTED_VALUE"""),"GAZ:00005286")</f>
        <v>GAZ:00005286</v>
      </c>
      <c r="D1356" s="58" t="str">
        <f>IFERROR(__xludf.DUMMYFUNCTION("""COMPUTED_VALUE"""),"An Arab emirate in Southwest Asia, occupying the small Qatar Peninsula on the northeasterly coast of the larger Arabian Peninsula. It is bordered by Saudi Arabia to the south; otherwise the Persian Gulf surrounds the state. Qatar is divided into ten munic"&amp;"ipalities (Arabic: baladiyah), which are further divided into zones (districts).")</f>
        <v>An Arab emirate in Southwest Asia, occupying the small Qatar Peninsula on the northeasterly coast of the larger Arabian Peninsula. It is bordered by Saudi Arabia to the south; otherwise the Persian Gulf surrounds the state. Qatar is divided into ten municipalities (Arabic: baladiyah), which are further divided into zones (districts).</v>
      </c>
      <c r="E1356" s="56"/>
      <c r="F1356" s="54"/>
      <c r="G1356" s="54"/>
      <c r="H1356" s="59"/>
      <c r="I1356" s="59"/>
      <c r="J1356" s="59"/>
      <c r="K1356" s="54"/>
    </row>
    <row r="1357">
      <c r="A1357" s="57"/>
      <c r="B1357" s="57" t="str">
        <f>IFERROR(__xludf.DUMMYFUNCTION("""COMPUTED_VALUE"""),"Republic of the Congo [GAZ:00001088]    ")</f>
        <v>Republic of the Congo [GAZ:00001088]    </v>
      </c>
      <c r="C1357" s="57" t="str">
        <f>IFERROR(__xludf.DUMMYFUNCTION("""COMPUTED_VALUE"""),"GAZ:00001088")</f>
        <v>GAZ:00001088</v>
      </c>
      <c r="D1357" s="58" t="str">
        <f>IFERROR(__xludf.DUMMYFUNCTION("""COMPUTED_VALUE"""),"A country in Central Africa. It is bordered by Gabon, Cameroon, the Central African Republic, the Democratic Republic of the Congo, the Angolan exclave province of Cabinda, and the Gulf of Guinea. The Republic of the Congo is divided into 10 regions (regi"&amp;"ons) and one commune, the capital Brazzaville. The regions are subdivided into forty-six districts.")</f>
        <v>A country in Central Africa. It is bordered by Gabon, Cameroon, the Central African Republic, the Democratic Republic of the Congo, the Angolan exclave province of Cabinda, and the Gulf of Guinea. The Republic of the Congo is divided into 10 regions (regions) and one commune, the capital Brazzaville. The regions are subdivided into forty-six districts.</v>
      </c>
      <c r="E1357" s="56"/>
      <c r="F1357" s="54"/>
      <c r="G1357" s="54"/>
      <c r="H1357" s="59"/>
      <c r="I1357" s="59"/>
      <c r="J1357" s="59"/>
      <c r="K1357" s="54"/>
    </row>
    <row r="1358">
      <c r="A1358" s="57"/>
      <c r="B1358" s="57" t="str">
        <f>IFERROR(__xludf.DUMMYFUNCTION("""COMPUTED_VALUE"""),"Reunion [GAZ:00003945]    ")</f>
        <v>Reunion [GAZ:00003945]    </v>
      </c>
      <c r="C1358" s="57" t="str">
        <f>IFERROR(__xludf.DUMMYFUNCTION("""COMPUTED_VALUE"""),"GAZ:00003945")</f>
        <v>GAZ:00003945</v>
      </c>
      <c r="D1358" s="58" t="str">
        <f>IFERROR(__xludf.DUMMYFUNCTION("""COMPUTED_VALUE"""),"An island, located in the Indian Ocean east of Madagascar, about 200 km south west of Mauritius, the nearest island.")</f>
        <v>An island, located in the Indian Ocean east of Madagascar, about 200 km south west of Mauritius, the nearest island.</v>
      </c>
      <c r="E1358" s="56"/>
      <c r="F1358" s="54"/>
      <c r="G1358" s="54"/>
      <c r="H1358" s="59"/>
      <c r="I1358" s="59"/>
      <c r="J1358" s="59"/>
      <c r="K1358" s="54"/>
    </row>
    <row r="1359">
      <c r="A1359" s="57"/>
      <c r="B1359" s="57" t="str">
        <f>IFERROR(__xludf.DUMMYFUNCTION("""COMPUTED_VALUE"""),"Romania [GAZ:00002951]    ")</f>
        <v>Romania [GAZ:00002951]    </v>
      </c>
      <c r="C1359" s="57" t="str">
        <f>IFERROR(__xludf.DUMMYFUNCTION("""COMPUTED_VALUE"""),"GAZ:00002951")</f>
        <v>GAZ:00002951</v>
      </c>
      <c r="D1359" s="58" t="str">
        <f>IFERROR(__xludf.DUMMYFUNCTION("""COMPUTED_VALUE"""),"A country in Southeastern Europe. It shares a border with Hungary and Serbia to the west, Ukraine and the Republic of Moldova to the northeast, and Bulgaria to the south. Romania has a stretch of sea coast along the Black Sea. It is located roughly in the"&amp;" lower basin of the Danube and almost all of the Danube Delta is located within its territory. Romania is divided into forty-one counties (judete), as well as the municipality of Bucharest (Bucuresti) - which is its own administrative unit. The country is"&amp;" further subdivided into 319 cities and 2686 communes (rural localities).")</f>
        <v>A country in Southeastern Europe. It shares a border with Hungary and Serbia to the west, Ukraine and the Republic of Moldova to the northeast, and Bulgaria to the south. Romania has a stretch of sea coast along the Black Sea. It is located roughly in the lower basin of the Danube and almost all of the Danube Delta is located within its territory. Romania is divided into forty-one counties (judete), as well as the municipality of Bucharest (Bucuresti) - which is its own administrative unit. The country is further subdivided into 319 cities and 2686 communes (rural localities).</v>
      </c>
      <c r="E1359" s="56"/>
      <c r="F1359" s="54"/>
      <c r="G1359" s="54"/>
      <c r="H1359" s="59"/>
      <c r="I1359" s="59"/>
      <c r="J1359" s="59"/>
      <c r="K1359" s="54"/>
    </row>
    <row r="1360">
      <c r="A1360" s="57"/>
      <c r="B1360" s="57" t="str">
        <f>IFERROR(__xludf.DUMMYFUNCTION("""COMPUTED_VALUE"""),"Ross Sea [GAZ:00023304]    ")</f>
        <v>Ross Sea [GAZ:00023304]    </v>
      </c>
      <c r="C1360" s="57" t="str">
        <f>IFERROR(__xludf.DUMMYFUNCTION("""COMPUTED_VALUE"""),"GAZ:00023304")</f>
        <v>GAZ:00023304</v>
      </c>
      <c r="D1360" s="58" t="str">
        <f>IFERROR(__xludf.DUMMYFUNCTION("""COMPUTED_VALUE"""),"A large embayment of the Southern Ocean, extending deeply into Antarctica between Cape Adare, at 170degE, on the west and Cape Colbeck on the east, at 158degW.")</f>
        <v>A large embayment of the Southern Ocean, extending deeply into Antarctica between Cape Adare, at 170degE, on the west and Cape Colbeck on the east, at 158degW.</v>
      </c>
      <c r="E1360" s="56"/>
      <c r="F1360" s="54"/>
      <c r="G1360" s="54"/>
      <c r="H1360" s="59"/>
      <c r="I1360" s="59"/>
      <c r="J1360" s="59"/>
      <c r="K1360" s="54"/>
    </row>
    <row r="1361">
      <c r="A1361" s="57"/>
      <c r="B1361" s="57" t="str">
        <f>IFERROR(__xludf.DUMMYFUNCTION("""COMPUTED_VALUE"""),"Russia [GAZ:00002721]    ")</f>
        <v>Russia [GAZ:00002721]    </v>
      </c>
      <c r="C1361" s="57" t="str">
        <f>IFERROR(__xludf.DUMMYFUNCTION("""COMPUTED_VALUE"""),"GAZ:00002721")</f>
        <v>GAZ:00002721</v>
      </c>
      <c r="D1361" s="58" t="str">
        <f>IFERROR(__xludf.DUMMYFUNCTION("""COMPUTED_VALUE"""),"A transcontinental country extending over much of northern Eurasia. Russia shares land borders with the following countries (counter-clockwise from northwest to southeast): Norway, Finland, Estonia, Latvia, Lithuania (Kaliningrad Oblast), Poland (Kalining"&amp;"rad Oblast), Belarus, Ukraine, Georgia, Azerbaijan, Kazakhstan, China, Mongolia and North Korea. The Russian Federation comprises 83 federal subjectsm 46 oblasts(provinces), 21 republics, 9 krais (territories), 4 autonomous okrugs (autonomous districts), "&amp;"one autonomous oblast, and two federal cities. The federal subjects are grouped into seven federal districts. These subjects are divided into districts (raions), cities/towns and urban-type settlements, and, at level 4, selsovets (rural councils), towns a"&amp;"nd urban-type settlements under the jurisdiction of the district and city districts.")</f>
        <v>A transcontinental country extending over much of northern Eurasia. Russia shares land borders with the following countries (counter-clockwise from northwest to southeast): Norway, Finland, Estonia, Latvia, Lithuania (Kaliningrad Oblast), Poland (Kaliningrad Oblast), Belarus, Ukraine, Georgia, Azerbaijan, Kazakhstan, China, Mongolia and North Korea. The Russian Federation comprises 83 federal subjectsm 46 oblasts(provinces), 21 republics, 9 krais (territories), 4 autonomous okrugs (autonomous districts), one autonomous oblast, and two federal cities. The federal subjects are grouped into seven federal districts. These subjects are divided into districts (raions), cities/towns and urban-type settlements, and, at level 4, selsovets (rural councils), towns and urban-type settlements under the jurisdiction of the district and city districts.</v>
      </c>
      <c r="E1361" s="56"/>
      <c r="F1361" s="54"/>
      <c r="G1361" s="54"/>
      <c r="H1361" s="59"/>
      <c r="I1361" s="59"/>
      <c r="J1361" s="59"/>
      <c r="K1361" s="54"/>
    </row>
    <row r="1362">
      <c r="A1362" s="57"/>
      <c r="B1362" s="57" t="str">
        <f>IFERROR(__xludf.DUMMYFUNCTION("""COMPUTED_VALUE"""),"Rwanda [GAZ:00001087]    ")</f>
        <v>Rwanda [GAZ:00001087]    </v>
      </c>
      <c r="C1362" s="57" t="str">
        <f>IFERROR(__xludf.DUMMYFUNCTION("""COMPUTED_VALUE"""),"GAZ:00001087")</f>
        <v>GAZ:00001087</v>
      </c>
      <c r="D1362" s="58" t="str">
        <f>IFERROR(__xludf.DUMMYFUNCTION("""COMPUTED_VALUE"""),"A small landlocked country in the Great Lakes region of east-central Africa, bordered by Uganda, Burundi, the Democratic Republic of the Congo and Tanzania. Rwanda is divided into five provinces (intara) and subdivided into thirty districts (akarere). The"&amp;" districts are divided into sectors (imirenge).")</f>
        <v>A small landlocked country in the Great Lakes region of east-central Africa, bordered by Uganda, Burundi, the Democratic Republic of the Congo and Tanzania. Rwanda is divided into five provinces (intara) and subdivided into thirty districts (akarere). The districts are divided into sectors (imirenge).</v>
      </c>
      <c r="E1362" s="56"/>
      <c r="F1362" s="54"/>
      <c r="G1362" s="54"/>
      <c r="H1362" s="59"/>
      <c r="I1362" s="59"/>
      <c r="J1362" s="59"/>
      <c r="K1362" s="54"/>
    </row>
    <row r="1363">
      <c r="A1363" s="57"/>
      <c r="B1363" s="57" t="str">
        <f>IFERROR(__xludf.DUMMYFUNCTION("""COMPUTED_VALUE"""),"Saint Helena [GAZ:00000849]    ")</f>
        <v>Saint Helena [GAZ:00000849]    </v>
      </c>
      <c r="C1363" s="57" t="str">
        <f>IFERROR(__xludf.DUMMYFUNCTION("""COMPUTED_VALUE"""),"GAZ:00000849")</f>
        <v>GAZ:00000849</v>
      </c>
      <c r="D1363" s="58" t="str">
        <f>IFERROR(__xludf.DUMMYFUNCTION("""COMPUTED_VALUE"""),"An island of volcanic origin and a British overseas territory in the South Atlantic Ocean.")</f>
        <v>An island of volcanic origin and a British overseas territory in the South Atlantic Ocean.</v>
      </c>
      <c r="E1363" s="56"/>
      <c r="F1363" s="54"/>
      <c r="G1363" s="54"/>
      <c r="H1363" s="59"/>
      <c r="I1363" s="59"/>
      <c r="J1363" s="59"/>
      <c r="K1363" s="54"/>
    </row>
    <row r="1364">
      <c r="A1364" s="57"/>
      <c r="B1364" s="57" t="str">
        <f>IFERROR(__xludf.DUMMYFUNCTION("""COMPUTED_VALUE"""),"Saint Kitts and Nevis [GAZ:00006906]    ")</f>
        <v>Saint Kitts and Nevis [GAZ:00006906]    </v>
      </c>
      <c r="C1364" s="57" t="str">
        <f>IFERROR(__xludf.DUMMYFUNCTION("""COMPUTED_VALUE"""),"GAZ:00006906")</f>
        <v>GAZ:00006906</v>
      </c>
      <c r="D1364" s="58" t="str">
        <f>IFERROR(__xludf.DUMMYFUNCTION("""COMPUTED_VALUE"""),"A federal two-island nation in the West Indies. Located in the Leeward Islands. Saint Kitts and Nevis are geographically part of the Leeward Islands. To the north-northwest lie the islands of Saint Eustatius, Saba, Saint Barthelemy, and Saint-Martin/Sint "&amp;"Maarten. To the east and northeast are Antigua and Barbuda, and to the southeast is the small uninhabited island of Redonda, and the island of Montserrat. The federation of Saint Kitts and Nevis is divided into fourteen parishes: nine divisions on Saint K"&amp;"itts and five on Nevis.")</f>
        <v>A federal two-island nation in the West Indies. Located in the Leeward Islands. Saint Kitts and Nevis are geographically part of the Leeward Islands. To the north-northwest lie the islands of Saint Eustatius, Saba, Saint Barthelemy, and Saint-Martin/Sint Maarten. To the east and northeast are Antigua and Barbuda, and to the southeast is the small uninhabited island of Redonda, and the island of Montserrat. The federation of Saint Kitts and Nevis is divided into fourteen parishes: nine divisions on Saint Kitts and five on Nevis.</v>
      </c>
      <c r="E1364" s="56"/>
      <c r="F1364" s="54"/>
      <c r="G1364" s="54"/>
      <c r="H1364" s="59"/>
      <c r="I1364" s="59"/>
      <c r="J1364" s="59"/>
      <c r="K1364" s="54"/>
    </row>
    <row r="1365">
      <c r="A1365" s="57"/>
      <c r="B1365" s="57" t="str">
        <f>IFERROR(__xludf.DUMMYFUNCTION("""COMPUTED_VALUE"""),"Saint Lucia [GAZ:00006909]    ")</f>
        <v>Saint Lucia [GAZ:00006909]    </v>
      </c>
      <c r="C1365" s="57" t="str">
        <f>IFERROR(__xludf.DUMMYFUNCTION("""COMPUTED_VALUE"""),"GAZ:00006909")</f>
        <v>GAZ:00006909</v>
      </c>
      <c r="D1365" s="58" t="str">
        <f>IFERROR(__xludf.DUMMYFUNCTION("""COMPUTED_VALUE"""),"An island nation in the eastern Caribbean Sea on the boundary with the Atlantic Ocean.")</f>
        <v>An island nation in the eastern Caribbean Sea on the boundary with the Atlantic Ocean.</v>
      </c>
      <c r="E1365" s="56"/>
      <c r="F1365" s="54"/>
      <c r="G1365" s="54"/>
      <c r="H1365" s="59"/>
      <c r="I1365" s="59"/>
      <c r="J1365" s="59"/>
      <c r="K1365" s="54"/>
    </row>
    <row r="1366">
      <c r="A1366" s="57"/>
      <c r="B1366" s="57" t="str">
        <f>IFERROR(__xludf.DUMMYFUNCTION("""COMPUTED_VALUE"""),"Saint Pierre and Miquelon [GAZ:00003942]    ")</f>
        <v>Saint Pierre and Miquelon [GAZ:00003942]    </v>
      </c>
      <c r="C1366" s="57" t="str">
        <f>IFERROR(__xludf.DUMMYFUNCTION("""COMPUTED_VALUE"""),"GAZ:00003942")</f>
        <v>GAZ:00003942</v>
      </c>
      <c r="D1366" s="58" t="str">
        <f>IFERROR(__xludf.DUMMYFUNCTION("""COMPUTED_VALUE"""),"An Overseas Collectivity of France located in a group of small islands in the North Atlantic Ocean, the main ones being Saint Pierre and Miquelon, 25 km off the coast of Newfoundland, Canada. Saint Pierre and Miquelon became an overseas department in 1976"&amp;", but its status changed to that of an Overseas collectivity in 1985.")</f>
        <v>An Overseas Collectivity of France located in a group of small islands in the North Atlantic Ocean, the main ones being Saint Pierre and Miquelon, 25 km off the coast of Newfoundland, Canada. Saint Pierre and Miquelon became an overseas department in 1976, but its status changed to that of an Overseas collectivity in 1985.</v>
      </c>
      <c r="E1366" s="56"/>
      <c r="F1366" s="54"/>
      <c r="G1366" s="54"/>
      <c r="H1366" s="59"/>
      <c r="I1366" s="59"/>
      <c r="J1366" s="59"/>
      <c r="K1366" s="54"/>
    </row>
    <row r="1367">
      <c r="A1367" s="57"/>
      <c r="B1367" s="57" t="str">
        <f>IFERROR(__xludf.DUMMYFUNCTION("""COMPUTED_VALUE"""),"Saint Martin [GAZ:00005841]    ")</f>
        <v>Saint Martin [GAZ:00005841]    </v>
      </c>
      <c r="C1367" s="57" t="str">
        <f>IFERROR(__xludf.DUMMYFUNCTION("""COMPUTED_VALUE"""),"GAZ:00005841")</f>
        <v>GAZ:00005841</v>
      </c>
      <c r="D1367" s="58" t="str">
        <f>IFERROR(__xludf.DUMMYFUNCTION("""COMPUTED_VALUE"""),"An overseas collectivity of France that came into being on 2007-02-22, encompassing the northern parts of the island of Saint Martin and neighboring islets. The southern part of the island, Sint Maarten, is part of the Netherlands Antilles. Formerly, with"&amp;" Saint-Barthelemy, an arrondissement of Guadeloupe.")</f>
        <v>An overseas collectivity of France that came into being on 2007-02-22, encompassing the northern parts of the island of Saint Martin and neighboring islets. The southern part of the island, Sint Maarten, is part of the Netherlands Antilles. Formerly, with Saint-Barthelemy, an arrondissement of Guadeloupe.</v>
      </c>
      <c r="E1367" s="56"/>
      <c r="F1367" s="54"/>
      <c r="G1367" s="54"/>
      <c r="H1367" s="59"/>
      <c r="I1367" s="59"/>
      <c r="J1367" s="59"/>
      <c r="K1367" s="54"/>
    </row>
    <row r="1368">
      <c r="A1368" s="57"/>
      <c r="B1368" s="57" t="str">
        <f>IFERROR(__xludf.DUMMYFUNCTION("""COMPUTED_VALUE"""),"Saint Vincent and the Grenadines [GAZ:02000565]    ")</f>
        <v>Saint Vincent and the Grenadines [GAZ:02000565]    </v>
      </c>
      <c r="C1368" s="57" t="str">
        <f>IFERROR(__xludf.DUMMYFUNCTION("""COMPUTED_VALUE"""),"GAZ:02000565")</f>
        <v>GAZ:02000565</v>
      </c>
      <c r="D1368" s="58" t="str">
        <f>IFERROR(__xludf.DUMMYFUNCTION("""COMPUTED_VALUE"""),"An island nation in the Lesser Antilles chain of the Caribbean Sea.")</f>
        <v>An island nation in the Lesser Antilles chain of the Caribbean Sea.</v>
      </c>
      <c r="E1368" s="56"/>
      <c r="F1368" s="54"/>
      <c r="G1368" s="54"/>
      <c r="H1368" s="59"/>
      <c r="I1368" s="59"/>
      <c r="J1368" s="59"/>
      <c r="K1368" s="54"/>
    </row>
    <row r="1369">
      <c r="A1369" s="57"/>
      <c r="B1369" s="57" t="str">
        <f>IFERROR(__xludf.DUMMYFUNCTION("""COMPUTED_VALUE"""),"Samoa [GAZ:00006910]    ")</f>
        <v>Samoa [GAZ:00006910]    </v>
      </c>
      <c r="C1369" s="57" t="str">
        <f>IFERROR(__xludf.DUMMYFUNCTION("""COMPUTED_VALUE"""),"GAZ:00006910")</f>
        <v>GAZ:00006910</v>
      </c>
      <c r="D1369" s="58" t="str">
        <f>IFERROR(__xludf.DUMMYFUNCTION("""COMPUTED_VALUE"""),"A country governing the western part of the Samoan Islands archipelago in the South Pacific Ocean. Samoa is made up of eleven itumalo (political districts).")</f>
        <v>A country governing the western part of the Samoan Islands archipelago in the South Pacific Ocean. Samoa is made up of eleven itumalo (political districts).</v>
      </c>
      <c r="E1369" s="56"/>
      <c r="F1369" s="54"/>
      <c r="G1369" s="54"/>
      <c r="H1369" s="59"/>
      <c r="I1369" s="59"/>
      <c r="J1369" s="59"/>
      <c r="K1369" s="54"/>
    </row>
    <row r="1370">
      <c r="A1370" s="57"/>
      <c r="B1370" s="57" t="str">
        <f>IFERROR(__xludf.DUMMYFUNCTION("""COMPUTED_VALUE"""),"San Marino [GAZ:00003102]    ")</f>
        <v>San Marino [GAZ:00003102]    </v>
      </c>
      <c r="C1370" s="57" t="str">
        <f>IFERROR(__xludf.DUMMYFUNCTION("""COMPUTED_VALUE"""),"GAZ:00003102")</f>
        <v>GAZ:00003102</v>
      </c>
      <c r="D1370" s="58" t="str">
        <f>IFERROR(__xludf.DUMMYFUNCTION("""COMPUTED_VALUE"""),"A country in the Apennine Mountains. It is a landlocked enclave, completely surrounded by Italy. San Marino is an enclave in Italy, on the border between the regioni of Emilia Romagna and Marche. Its topography is dominated by the Apennines mountain range"&amp;". San Marino is divided into nine municipalities, known locally as Castelli (singular castello).")</f>
        <v>A country in the Apennine Mountains. It is a landlocked enclave, completely surrounded by Italy. San Marino is an enclave in Italy, on the border between the regioni of Emilia Romagna and Marche. Its topography is dominated by the Apennines mountain range. San Marino is divided into nine municipalities, known locally as Castelli (singular castello).</v>
      </c>
      <c r="E1370" s="56"/>
      <c r="F1370" s="54"/>
      <c r="G1370" s="54"/>
      <c r="H1370" s="59"/>
      <c r="I1370" s="59"/>
      <c r="J1370" s="59"/>
      <c r="K1370" s="54"/>
    </row>
    <row r="1371">
      <c r="A1371" s="57"/>
      <c r="B1371" s="57" t="str">
        <f>IFERROR(__xludf.DUMMYFUNCTION("""COMPUTED_VALUE"""),"Sao Tome and Principe [GAZ:00006927]    ")</f>
        <v>Sao Tome and Principe [GAZ:00006927]    </v>
      </c>
      <c r="C1371" s="57" t="str">
        <f>IFERROR(__xludf.DUMMYFUNCTION("""COMPUTED_VALUE"""),"GAZ:00006927")</f>
        <v>GAZ:00006927</v>
      </c>
      <c r="D1371" s="58" t="str">
        <f>IFERROR(__xludf.DUMMYFUNCTION("""COMPUTED_VALUE"""),"An island nation in the Gulf of Guinea, off the western equatorial coast of Africa. It consists of two islands: Sao Tome and Principe, located about 140 km apart and about 250 and 225 km respectively, off of the northwestern coast of Gabon. Both islands a"&amp;"re part of an extinct volcanic mountain range. Sao Tome and Principe is divided into 2 provinces: Principe, Sao Tome. The provinces are further divided into seven districts, six on Sao Tome and one on Principe (with Principe having self-government since 1"&amp;"995-04-29).")</f>
        <v>An island nation in the Gulf of Guinea, off the western equatorial coast of Africa. It consists of two islands: Sao Tome and Principe, located about 140 km apart and about 250 and 225 km respectively, off of the northwestern coast of Gabon. Both islands are part of an extinct volcanic mountain range. Sao Tome and Principe is divided into 2 provinces: Principe, Sao Tome. The provinces are further divided into seven districts, six on Sao Tome and one on Principe (with Principe having self-government since 1995-04-29).</v>
      </c>
      <c r="E1371" s="56"/>
      <c r="F1371" s="54"/>
      <c r="G1371" s="54"/>
      <c r="H1371" s="59"/>
      <c r="I1371" s="59"/>
      <c r="J1371" s="59"/>
      <c r="K1371" s="54"/>
    </row>
    <row r="1372">
      <c r="A1372" s="57"/>
      <c r="B1372" s="57" t="str">
        <f>IFERROR(__xludf.DUMMYFUNCTION("""COMPUTED_VALUE"""),"Saudi Arabia [GAZ:00005279]    ")</f>
        <v>Saudi Arabia [GAZ:00005279]    </v>
      </c>
      <c r="C1372" s="57" t="str">
        <f>IFERROR(__xludf.DUMMYFUNCTION("""COMPUTED_VALUE"""),"GAZ:00005279")</f>
        <v>GAZ:00005279</v>
      </c>
      <c r="D1372" s="58" t="str">
        <f>IFERROR(__xludf.DUMMYFUNCTION("""COMPUTED_VALUE"""),"A country on the Arabian Peninsula. It is bordered by Jordan on the northwest, Iraq on the north and northeast, Kuwait, Qatar, Bahrain, and the United Arab Emirates on the east, Oman on the southeast, and Yemen on the south. The Persian Gulf lies to the n"&amp;"ortheast and the Red Sea to its west. Saudi Arabia is divided into 13 provinces or regions (manatiq; singular mintaqah). Each is then divided into Governorates.")</f>
        <v>A country on the Arabian Peninsula. It is bordered by Jordan on the northwest, Iraq on the north and northeast, Kuwait, Qatar, Bahrain, and the United Arab Emirates on the east, Oman on the southeast, and Yemen on the south. The Persian Gulf lies to the northeast and the Red Sea to its west. Saudi Arabia is divided into 13 provinces or regions (manatiq; singular mintaqah). Each is then divided into Governorates.</v>
      </c>
      <c r="E1372" s="56"/>
      <c r="F1372" s="54"/>
      <c r="G1372" s="54"/>
      <c r="H1372" s="59"/>
      <c r="I1372" s="59"/>
      <c r="J1372" s="59"/>
      <c r="K1372" s="54"/>
    </row>
    <row r="1373">
      <c r="A1373" s="57"/>
      <c r="B1373" s="57" t="str">
        <f>IFERROR(__xludf.DUMMYFUNCTION("""COMPUTED_VALUE"""),"Senegal [GAZ:00000913]    ")</f>
        <v>Senegal [GAZ:00000913]    </v>
      </c>
      <c r="C1373" s="57" t="str">
        <f>IFERROR(__xludf.DUMMYFUNCTION("""COMPUTED_VALUE"""),"GAZ:00000913")</f>
        <v>GAZ:00000913</v>
      </c>
      <c r="D1373" s="58" t="str">
        <f>IFERROR(__xludf.DUMMYFUNCTION("""COMPUTED_VALUE"""),"A country south of the Senegal River in western Africa. Senegal is bounded by the Atlantic Ocean to the west, Mauritania to the north, Mali to the east, and Guinea and Guinea-Bissau to the south. The Gambia lies almost entirely within Senegal, surrounded "&amp;"on the north, east and south; from its western coast Gambia's territory follows the Gambia River more than 300 km inland. Dakar is the capital city of Senegal, located on the Cape Verde Peninsula on the country's Atlantic coast. Senegal is subdivided into"&amp;" 11 regions and further subdivided into 34 Departements, 103 Arrondissements (neither of which have administrative function) and by Collectivites Locales.")</f>
        <v>A country south of the Senegal River in western Africa. Senegal is bounded by the Atlantic Ocean to the west, Mauritania to the north, Mali to the east, and Guinea and Guinea-Bissau to the south. The Gambia lies almost entirely within Senegal, surrounded on the north, east and south; from its western coast Gambia's territory follows the Gambia River more than 300 km inland. Dakar is the capital city of Senegal, located on the Cape Verde Peninsula on the country's Atlantic coast. Senegal is subdivided into 11 regions and further subdivided into 34 Departements, 103 Arrondissements (neither of which have administrative function) and by Collectivites Locales.</v>
      </c>
      <c r="E1373" s="56"/>
      <c r="F1373" s="54"/>
      <c r="G1373" s="54"/>
      <c r="H1373" s="59"/>
      <c r="I1373" s="59"/>
      <c r="J1373" s="59"/>
      <c r="K1373" s="54"/>
    </row>
    <row r="1374">
      <c r="A1374" s="57"/>
      <c r="B1374" s="57" t="str">
        <f>IFERROR(__xludf.DUMMYFUNCTION("""COMPUTED_VALUE"""),"Serbia [GAZ:00002957]    ")</f>
        <v>Serbia [GAZ:00002957]    </v>
      </c>
      <c r="C1374" s="57" t="str">
        <f>IFERROR(__xludf.DUMMYFUNCTION("""COMPUTED_VALUE"""),"GAZ:00002957")</f>
        <v>GAZ:00002957</v>
      </c>
      <c r="D1374" s="58" t="str">
        <f>IFERROR(__xludf.DUMMYFUNCTION("""COMPUTED_VALUE"""),"A landlocked country in Central and Southeastern Europe, covering the southern part of the Pannonian Plain and the central part of the Balkan Peninsula. It is bordered by Hungary to the north; Romania and Bulgaria to the east; Republic of Macedonia, Monte"&amp;"negro to the south; Croatia and Bosnia and Herzegovina to the west. The capital is Belgrade. Serbia is divided into 29 districts plus the City of Belgrade. The districts and the city of Belgrade are further divided into municipalities. Serbia has two auto"&amp;"nomous provinces: Kosovo and Metohija in the south (5 districts, 30 municipalities), and Vojvodina in the north (7 districts, 46 municipalities).")</f>
        <v>A landlocked country in Central and Southeastern Europe, covering the southern part of the Pannonian Plain and the central part of the Balkan Peninsula. It is bordered by Hungary to the north; Romania and Bulgaria to the east; Republic of Macedonia, Montenegro to the south; Croatia and Bosnia and Herzegovina to the west. The capital is Belgrade. Serbia is divided into 29 districts plus the City of Belgrade. The districts and the city of Belgrade are further divided into municipalities. Serbia has two autonomous provinces: Kosovo and Metohija in the south (5 districts, 30 municipalities), and Vojvodina in the north (7 districts, 46 municipalities).</v>
      </c>
      <c r="E1374" s="56"/>
      <c r="F1374" s="54"/>
      <c r="G1374" s="54"/>
      <c r="H1374" s="59"/>
      <c r="I1374" s="59"/>
      <c r="J1374" s="59"/>
      <c r="K1374" s="54"/>
    </row>
    <row r="1375">
      <c r="A1375" s="57"/>
      <c r="B1375" s="57" t="str">
        <f>IFERROR(__xludf.DUMMYFUNCTION("""COMPUTED_VALUE"""),"Seychelles [GAZ:00006922]    ")</f>
        <v>Seychelles [GAZ:00006922]    </v>
      </c>
      <c r="C1375" s="57" t="str">
        <f>IFERROR(__xludf.DUMMYFUNCTION("""COMPUTED_VALUE"""),"GAZ:00006922")</f>
        <v>GAZ:00006922</v>
      </c>
      <c r="D1375" s="58" t="str">
        <f>IFERROR(__xludf.DUMMYFUNCTION("""COMPUTED_VALUE"""),"An archipelagic island country in the Indian Ocean at the eastern edge of the Somali Sea. It consists of 115 islands.")</f>
        <v>An archipelagic island country in the Indian Ocean at the eastern edge of the Somali Sea. It consists of 115 islands.</v>
      </c>
      <c r="E1375" s="56"/>
      <c r="F1375" s="54"/>
      <c r="G1375" s="54"/>
      <c r="H1375" s="59"/>
      <c r="I1375" s="59"/>
      <c r="J1375" s="59"/>
      <c r="K1375" s="54"/>
    </row>
    <row r="1376">
      <c r="A1376" s="57"/>
      <c r="B1376" s="57" t="str">
        <f>IFERROR(__xludf.DUMMYFUNCTION("""COMPUTED_VALUE"""),"Sierra Leone [GAZ:00000914]    ")</f>
        <v>Sierra Leone [GAZ:00000914]    </v>
      </c>
      <c r="C1376" s="57" t="str">
        <f>IFERROR(__xludf.DUMMYFUNCTION("""COMPUTED_VALUE"""),"GAZ:00000914")</f>
        <v>GAZ:00000914</v>
      </c>
      <c r="D1376" s="58" t="str">
        <f>IFERROR(__xludf.DUMMYFUNCTION("""COMPUTED_VALUE"""),"A country in West Africa. It is bordered by Guinea in the north and east, Liberia in the southeast, and the Atlantic Ocean in the southwest and west. The Republic of Sierra Leone is composed of 3 provinces and one area called the Western Area; the provinc"&amp;"es are further divided into 12 districts. The Western Area is also divided into 2 districts.")</f>
        <v>A country in West Africa. It is bordered by Guinea in the north and east, Liberia in the southeast, and the Atlantic Ocean in the southwest and west. The Republic of Sierra Leone is composed of 3 provinces and one area called the Western Area; the provinces are further divided into 12 districts. The Western Area is also divided into 2 districts.</v>
      </c>
      <c r="E1376" s="56"/>
      <c r="F1376" s="54"/>
      <c r="G1376" s="54"/>
      <c r="H1376" s="59"/>
      <c r="I1376" s="59"/>
      <c r="J1376" s="59"/>
      <c r="K1376" s="54"/>
    </row>
    <row r="1377">
      <c r="A1377" s="57"/>
      <c r="B1377" s="57" t="str">
        <f>IFERROR(__xludf.DUMMYFUNCTION("""COMPUTED_VALUE"""),"Singapore [GAZ:00003923]    ")</f>
        <v>Singapore [GAZ:00003923]    </v>
      </c>
      <c r="C1377" s="57" t="str">
        <f>IFERROR(__xludf.DUMMYFUNCTION("""COMPUTED_VALUE"""),"GAZ:00003923")</f>
        <v>GAZ:00003923</v>
      </c>
      <c r="D1377" s="58" t="str">
        <f>IFERROR(__xludf.DUMMYFUNCTION("""COMPUTED_VALUE"""),"An island nation located at the southern tip of the Malay Peninsula. It lies 137 km north of the Equator, south of the Malaysian State of Johor and north of Indonesia's Riau Islands. Singapore consists of 63 islands, including mainland Singapore. There ar"&amp;"e two man-made connections to Johor, Malaysia, Johor-Singapore Causeway in the north, and Tuas Second Link in the west. Since 2001-11-24, Singapore has had an administrative subdivision into 5 districts. It is also divided into five Regions, urban plannin"&amp;"g subdivisions with no administrative role.")</f>
        <v>An island nation located at the southern tip of the Malay Peninsula. It lies 137 km north of the Equator, south of the Malaysian State of Johor and north of Indonesia's Riau Islands. Singapore consists of 63 islands, including mainland Singapore. There are two man-made connections to Johor, Malaysia, Johor-Singapore Causeway in the north, and Tuas Second Link in the west. Since 2001-11-24, Singapore has had an administrative subdivision into 5 districts. It is also divided into five Regions, urban planning subdivisions with no administrative role.</v>
      </c>
      <c r="E1377" s="56"/>
      <c r="F1377" s="54"/>
      <c r="G1377" s="54"/>
      <c r="H1377" s="59"/>
      <c r="I1377" s="59"/>
      <c r="J1377" s="59"/>
      <c r="K1377" s="54"/>
    </row>
    <row r="1378">
      <c r="A1378" s="57"/>
      <c r="B1378" s="57" t="str">
        <f>IFERROR(__xludf.DUMMYFUNCTION("""COMPUTED_VALUE"""),"Sint Maarten [GAZ:00012579]    ")</f>
        <v>Sint Maarten [GAZ:00012579]    </v>
      </c>
      <c r="C1378" s="57" t="str">
        <f>IFERROR(__xludf.DUMMYFUNCTION("""COMPUTED_VALUE"""),"GAZ:00012579")</f>
        <v>GAZ:00012579</v>
      </c>
      <c r="D1378" s="58" t="str">
        <f>IFERROR(__xludf.DUMMYFUNCTION("""COMPUTED_VALUE"""),"One of five island areas (Eilandgebieden) of the Netherlands Antilles, encompassing the southern half of the island of Saint Martin/Sint Maarten.")</f>
        <v>One of five island areas (Eilandgebieden) of the Netherlands Antilles, encompassing the southern half of the island of Saint Martin/Sint Maarten.</v>
      </c>
      <c r="E1378" s="56"/>
      <c r="F1378" s="54"/>
      <c r="G1378" s="54"/>
      <c r="H1378" s="59"/>
      <c r="I1378" s="59"/>
      <c r="J1378" s="59"/>
      <c r="K1378" s="54"/>
    </row>
    <row r="1379">
      <c r="A1379" s="57"/>
      <c r="B1379" s="57" t="str">
        <f>IFERROR(__xludf.DUMMYFUNCTION("""COMPUTED_VALUE"""),"Slovakia [GAZ:00002956]    ")</f>
        <v>Slovakia [GAZ:00002956]    </v>
      </c>
      <c r="C1379" s="57" t="str">
        <f>IFERROR(__xludf.DUMMYFUNCTION("""COMPUTED_VALUE"""),"GAZ:00002956")</f>
        <v>GAZ:00002956</v>
      </c>
      <c r="D1379" s="58" t="str">
        <f>IFERROR(__xludf.DUMMYFUNCTION("""COMPUTED_VALUE"""),"A landlocked country in Central Europe. The Slovak Republic borders the Czech Republic and Austria to the west, Poland to the north, Ukraine to the east and Hungary to the south. The largest city is its capital, Bratislava. Slovakia is subdivided into 8 k"&amp;"raje (singular - kraj, usually translated as regions. The kraje are subdivided into many okresy (singular okres, usually translated as districts). Slovakia currently has 79 districts.")</f>
        <v>A landlocked country in Central Europe. The Slovak Republic borders the Czech Republic and Austria to the west, Poland to the north, Ukraine to the east and Hungary to the south. The largest city is its capital, Bratislava. Slovakia is subdivided into 8 kraje (singular - kraj, usually translated as regions. The kraje are subdivided into many okresy (singular okres, usually translated as districts). Slovakia currently has 79 districts.</v>
      </c>
      <c r="E1379" s="56"/>
      <c r="F1379" s="54"/>
      <c r="G1379" s="54"/>
      <c r="H1379" s="59"/>
      <c r="I1379" s="59"/>
      <c r="J1379" s="59"/>
      <c r="K1379" s="54"/>
    </row>
    <row r="1380">
      <c r="A1380" s="57"/>
      <c r="B1380" s="57" t="str">
        <f>IFERROR(__xludf.DUMMYFUNCTION("""COMPUTED_VALUE"""),"Slovenia [GAZ:00002955]    ")</f>
        <v>Slovenia [GAZ:00002955]    </v>
      </c>
      <c r="C1380" s="57" t="str">
        <f>IFERROR(__xludf.DUMMYFUNCTION("""COMPUTED_VALUE"""),"GAZ:00002955")</f>
        <v>GAZ:00002955</v>
      </c>
      <c r="D1380" s="58" t="str">
        <f>IFERROR(__xludf.DUMMYFUNCTION("""COMPUTED_VALUE"""),"A country in southern Central Europe bordering Italy to the west, the Adriatic Sea to the southwest, Croatia to the south and east, Hungary to the northeast, and Austria to the north. The capital of Slovenia is Ljubljana. As of 2005-05 Slovenia is divided"&amp;" into 12 statistical regions for legal and statistical purposes. Slovenia is divided into 210 local municipalities, eleven of which have urban status.")</f>
        <v>A country in southern Central Europe bordering Italy to the west, the Adriatic Sea to the southwest, Croatia to the south and east, Hungary to the northeast, and Austria to the north. The capital of Slovenia is Ljubljana. As of 2005-05 Slovenia is divided into 12 statistical regions for legal and statistical purposes. Slovenia is divided into 210 local municipalities, eleven of which have urban status.</v>
      </c>
      <c r="E1380" s="56"/>
      <c r="F1380" s="54"/>
      <c r="G1380" s="54"/>
      <c r="H1380" s="59"/>
      <c r="I1380" s="59"/>
      <c r="J1380" s="59"/>
      <c r="K1380" s="54"/>
    </row>
    <row r="1381">
      <c r="A1381" s="57"/>
      <c r="B1381" s="57" t="str">
        <f>IFERROR(__xludf.DUMMYFUNCTION("""COMPUTED_VALUE"""),"Solomon Islands [GAZ:00005275]    ")</f>
        <v>Solomon Islands [GAZ:00005275]    </v>
      </c>
      <c r="C1381" s="57" t="str">
        <f>IFERROR(__xludf.DUMMYFUNCTION("""COMPUTED_VALUE"""),"GAZ:00005275")</f>
        <v>GAZ:00005275</v>
      </c>
      <c r="D1381" s="58" t="str">
        <f>IFERROR(__xludf.DUMMYFUNCTION("""COMPUTED_VALUE"""),"A nation in Melanesia, east of Papua New Guinea, consisting of nearly one thousand islands. Together they cover a land mass of 28,400 km2. The capital is Honiara, located on the island of Guadalcanal.")</f>
        <v>A nation in Melanesia, east of Papua New Guinea, consisting of nearly one thousand islands. Together they cover a land mass of 28,400 km2. The capital is Honiara, located on the island of Guadalcanal.</v>
      </c>
      <c r="E1381" s="56"/>
      <c r="F1381" s="54"/>
      <c r="G1381" s="54"/>
      <c r="H1381" s="59"/>
      <c r="I1381" s="59"/>
      <c r="J1381" s="59"/>
      <c r="K1381" s="54"/>
    </row>
    <row r="1382">
      <c r="A1382" s="57"/>
      <c r="B1382" s="57" t="str">
        <f>IFERROR(__xludf.DUMMYFUNCTION("""COMPUTED_VALUE"""),"Somalia [GAZ:00001104]    ")</f>
        <v>Somalia [GAZ:00001104]    </v>
      </c>
      <c r="C1382" s="57" t="str">
        <f>IFERROR(__xludf.DUMMYFUNCTION("""COMPUTED_VALUE"""),"GAZ:00001104")</f>
        <v>GAZ:00001104</v>
      </c>
      <c r="D1382" s="58" t="str">
        <f>IFERROR(__xludf.DUMMYFUNCTION("""COMPUTED_VALUE"""),"A country located in the Horn of Africa. It is bordered by Djibouti to the northwest, Kenya on its southwest, the Gulf of Aden with Yemen on its north, the Indian Ocean at its east, and Ethiopia to the west. Prior to the civil war, Somalia was divided int"&amp;"o eighteen regions (gobollada, singular gobol), which were in turn subdivided into districts. On a de facto basis, northern Somalia is now divided up among the quasi-independent states of Puntland, Somaliland, Galmudug and Maakhir.")</f>
        <v>A country located in the Horn of Africa. It is bordered by Djibouti to the northwest, Kenya on its southwest, the Gulf of Aden with Yemen on its north, the Indian Ocean at its east, and Ethiopia to the west. Prior to the civil war, Somalia was divided into eighteen regions (gobollada, singular gobol), which were in turn subdivided into districts. On a de facto basis, northern Somalia is now divided up among the quasi-independent states of Puntland, Somaliland, Galmudug and Maakhir.</v>
      </c>
      <c r="E1382" s="56"/>
      <c r="F1382" s="54"/>
      <c r="G1382" s="54"/>
      <c r="H1382" s="59"/>
      <c r="I1382" s="59"/>
      <c r="J1382" s="59"/>
      <c r="K1382" s="54"/>
    </row>
    <row r="1383">
      <c r="A1383" s="57"/>
      <c r="B1383" s="57" t="str">
        <f>IFERROR(__xludf.DUMMYFUNCTION("""COMPUTED_VALUE"""),"South Africa [GAZ:00001094]    ")</f>
        <v>South Africa [GAZ:00001094]    </v>
      </c>
      <c r="C1383" s="57" t="str">
        <f>IFERROR(__xludf.DUMMYFUNCTION("""COMPUTED_VALUE"""),"GAZ:00001094")</f>
        <v>GAZ:00001094</v>
      </c>
      <c r="D1383" s="58" t="str">
        <f>IFERROR(__xludf.DUMMYFUNCTION("""COMPUTED_VALUE"""),"A country located at the southern tip of Africa. It borders the Atlantic and Indian oceans and Namibia, Botswana, Zimbabwe, Mozambique, Swaziland, and Lesotho, an independent enclave surrounded by South African territory. It is divided into nine provinces"&amp;" which are further subdivided into 52 districts: 6 metropolitan and 46 district municipalities. The 46 district municipalities are further subdivided into 231 local municipalities. The district municipalities also contain 20 district management areas (mos"&amp;"tly game parks) that are directly governed by the district municipalities. The six metropolitan municipalities perform the functions of both district and local municipalities.")</f>
        <v>A country located at the southern tip of Africa. It borders the Atlantic and Indian oceans and Namibia, Botswana, Zimbabwe, Mozambique, Swaziland, and Lesotho, an independent enclave surrounded by South African territory. It is divided into nine provinces which are further subdivided into 52 districts: 6 metropolitan and 46 district municipalities. The 46 district municipalities are further subdivided into 231 local municipalities. The district municipalities also contain 20 district management areas (mostly game parks) that are directly governed by the district municipalities. The six metropolitan municipalities perform the functions of both district and local municipalities.</v>
      </c>
      <c r="E1383" s="56"/>
      <c r="F1383" s="54"/>
      <c r="G1383" s="54"/>
      <c r="H1383" s="59"/>
      <c r="I1383" s="59"/>
      <c r="J1383" s="59"/>
      <c r="K1383" s="54"/>
    </row>
    <row r="1384">
      <c r="A1384" s="57"/>
      <c r="B1384" s="57" t="str">
        <f>IFERROR(__xludf.DUMMYFUNCTION("""COMPUTED_VALUE"""),"South Georgia and the South Sandwich Islands [GAZ:00003990]    ")</f>
        <v>South Georgia and the South Sandwich Islands [GAZ:00003990]    </v>
      </c>
      <c r="C1384" s="57" t="str">
        <f>IFERROR(__xludf.DUMMYFUNCTION("""COMPUTED_VALUE"""),"GAZ:00003990")</f>
        <v>GAZ:00003990</v>
      </c>
      <c r="D1384" s="58" t="str">
        <f>IFERROR(__xludf.DUMMYFUNCTION("""COMPUTED_VALUE"""),"A British overseas territory in the southern Atlantic Ocean. It iconsists of South Georgia and the Sandwich Islands, some 640 km to the SE.")</f>
        <v>A British overseas territory in the southern Atlantic Ocean. It iconsists of South Georgia and the Sandwich Islands, some 640 km to the SE.</v>
      </c>
      <c r="E1384" s="56"/>
      <c r="F1384" s="54"/>
      <c r="G1384" s="54"/>
      <c r="H1384" s="59"/>
      <c r="I1384" s="59"/>
      <c r="J1384" s="59"/>
      <c r="K1384" s="54"/>
    </row>
    <row r="1385">
      <c r="A1385" s="57"/>
      <c r="B1385" s="57" t="str">
        <f>IFERROR(__xludf.DUMMYFUNCTION("""COMPUTED_VALUE"""),"South Korea [GAZ:00002802]    ")</f>
        <v>South Korea [GAZ:00002802]    </v>
      </c>
      <c r="C1385" s="57" t="str">
        <f>IFERROR(__xludf.DUMMYFUNCTION("""COMPUTED_VALUE"""),"GAZ:00002802")</f>
        <v>GAZ:00002802</v>
      </c>
      <c r="D1385" s="58" t="str">
        <f>IFERROR(__xludf.DUMMYFUNCTION("""COMPUTED_VALUE"""),"A republic in East Asia, occupying the southern half of the Korean Peninsula. South Korea is divided into 8 provinces (do), 1 special autonomous province (teukbyeol jachido), 6 metropolitan cities (gwangyeoksi), and 1 special city (teukbyeolsi). These are"&amp;" further subdivided into a variety of smaller entities, including cities (si), counties (gun), districts (gu), towns (eup), townships (myeon), neighborhoods (dong) and villages (ri).")</f>
        <v>A republic in East Asia, occupying the southern half of the Korean Peninsula. South Korea is divided into 8 provinces (do), 1 special autonomous province (teukbyeol jachido), 6 metropolitan cities (gwangyeoksi), and 1 special city (teukbyeolsi). These are further subdivided into a variety of smaller entities, including cities (si), counties (gun), districts (gu), towns (eup), townships (myeon), neighborhoods (dong) and villages (ri).</v>
      </c>
      <c r="E1385" s="56"/>
      <c r="F1385" s="54"/>
      <c r="G1385" s="54"/>
      <c r="H1385" s="59"/>
      <c r="I1385" s="59"/>
      <c r="J1385" s="59"/>
      <c r="K1385" s="54"/>
    </row>
    <row r="1386">
      <c r="A1386" s="57"/>
      <c r="B1386" s="57" t="str">
        <f>IFERROR(__xludf.DUMMYFUNCTION("""COMPUTED_VALUE"""),"South Sudan [GAZ:00233439]    ")</f>
        <v>South Sudan [GAZ:00233439]    </v>
      </c>
      <c r="C1386" s="57" t="str">
        <f>IFERROR(__xludf.DUMMYFUNCTION("""COMPUTED_VALUE"""),"GAZ:00233439")</f>
        <v>GAZ:00233439</v>
      </c>
      <c r="D1386" s="58" t="str">
        <f>IFERROR(__xludf.DUMMYFUNCTION("""COMPUTED_VALUE"""),"A state located in Africa with Juba as its capital city. It's bordered by Ethiopia to the east, Kenya, Uganda, and the Democratic Republic of the Congo to the south, and the Central African Republic to the west and Sudan to the North. Southern Sudan inclu"&amp;"des the vast swamp region of the Sudd formed by the White Nile, locally called the Bahr el Jebel.")</f>
        <v>A state located in Africa with Juba as its capital city. It's bordered by Ethiopia to the east, Kenya, Uganda, and the Democratic Republic of the Congo to the south, and the Central African Republic to the west and Sudan to the North. Southern Sudan includes the vast swamp region of the Sudd formed by the White Nile, locally called the Bahr el Jebel.</v>
      </c>
      <c r="E1386" s="56"/>
      <c r="F1386" s="54"/>
      <c r="G1386" s="54"/>
      <c r="H1386" s="59"/>
      <c r="I1386" s="59"/>
      <c r="J1386" s="59"/>
      <c r="K1386" s="54"/>
    </row>
    <row r="1387">
      <c r="A1387" s="57"/>
      <c r="B1387" s="57" t="str">
        <f>IFERROR(__xludf.DUMMYFUNCTION("""COMPUTED_VALUE"""),"Spain [GAZ:00003936]    ")</f>
        <v>Spain [GAZ:00003936]    </v>
      </c>
      <c r="C1387" s="57" t="str">
        <f>IFERROR(__xludf.DUMMYFUNCTION("""COMPUTED_VALUE"""),"GAZ:00003936")</f>
        <v>GAZ:00003936</v>
      </c>
      <c r="D1387" s="58" t="str">
        <f>IFERROR(__xludf.DUMMYFUNCTION("""COMPUTED_VALUE"""),"That part of the Kingdom of Spain that occupies the Iberian Peninsula plus the Balaeric Islands. The Spanish mainland is bordered to the south and east almost entirely by the Mediterranean Sea (except for a small land boundary with Gibraltar); to the nort"&amp;"h by France, Andorra, and the Bay of Biscay; and to the west by the Atlantic Ocean and Portugal.")</f>
        <v>That part of the Kingdom of Spain that occupies the Iberian Peninsula plus the Balaeric Islands. The Spanish mainland is bordered to the south and east almost entirely by the Mediterranean Sea (except for a small land boundary with Gibraltar); to the north by France, Andorra, and the Bay of Biscay; and to the west by the Atlantic Ocean and Portugal.</v>
      </c>
      <c r="E1387" s="56"/>
      <c r="F1387" s="54"/>
      <c r="G1387" s="54"/>
      <c r="H1387" s="59"/>
      <c r="I1387" s="59"/>
      <c r="J1387" s="59"/>
      <c r="K1387" s="54"/>
    </row>
    <row r="1388">
      <c r="A1388" s="57"/>
      <c r="B1388" s="57" t="str">
        <f>IFERROR(__xludf.DUMMYFUNCTION("""COMPUTED_VALUE"""),"Spratly Islands [GAZ:00010831]    ")</f>
        <v>Spratly Islands [GAZ:00010831]    </v>
      </c>
      <c r="C1388" s="57" t="str">
        <f>IFERROR(__xludf.DUMMYFUNCTION("""COMPUTED_VALUE"""),"GAZ:00010831")</f>
        <v>GAZ:00010831</v>
      </c>
      <c r="D1388" s="58" t="str">
        <f>IFERROR(__xludf.DUMMYFUNCTION("""COMPUTED_VALUE"""),"A group of &gt;100 islands located in the Southeastern Asian group of reefs and islands in the South China Sea, about two-thirds of the way from southern Vietnam to the southern Philippines.")</f>
        <v>A group of &gt;100 islands located in the Southeastern Asian group of reefs and islands in the South China Sea, about two-thirds of the way from southern Vietnam to the southern Philippines.</v>
      </c>
      <c r="E1388" s="56"/>
      <c r="F1388" s="54"/>
      <c r="G1388" s="54"/>
      <c r="H1388" s="59"/>
      <c r="I1388" s="59"/>
      <c r="J1388" s="59"/>
      <c r="K1388" s="54"/>
    </row>
    <row r="1389">
      <c r="A1389" s="57"/>
      <c r="B1389" s="57" t="str">
        <f>IFERROR(__xludf.DUMMYFUNCTION("""COMPUTED_VALUE"""),"Sri Lanka [GAZ:00003924]    ")</f>
        <v>Sri Lanka [GAZ:00003924]    </v>
      </c>
      <c r="C1389" s="57" t="str">
        <f>IFERROR(__xludf.DUMMYFUNCTION("""COMPUTED_VALUE"""),"GAZ:00003924")</f>
        <v>GAZ:00003924</v>
      </c>
      <c r="D1389" s="58" t="str">
        <f>IFERROR(__xludf.DUMMYFUNCTION("""COMPUTED_VALUE"""),"An island nation in South Asia, located about 31 km off the southern coast of India. Sri Lanka is divided into 9 provinces and 25 districts. Districts are divided into Divisional Secretariats.")</f>
        <v>An island nation in South Asia, located about 31 km off the southern coast of India. Sri Lanka is divided into 9 provinces and 25 districts. Districts are divided into Divisional Secretariats.</v>
      </c>
      <c r="E1389" s="56"/>
      <c r="F1389" s="54"/>
      <c r="G1389" s="54"/>
      <c r="H1389" s="59"/>
      <c r="I1389" s="59"/>
      <c r="J1389" s="59"/>
      <c r="K1389" s="54"/>
    </row>
    <row r="1390">
      <c r="A1390" s="57"/>
      <c r="B1390" s="57" t="str">
        <f>IFERROR(__xludf.DUMMYFUNCTION("""COMPUTED_VALUE"""),"State of Palestine [GAZ:00002475]    ")</f>
        <v>State of Palestine [GAZ:00002475]    </v>
      </c>
      <c r="C1390" s="57" t="str">
        <f>IFERROR(__xludf.DUMMYFUNCTION("""COMPUTED_VALUE"""),"GAZ:00002475")</f>
        <v>GAZ:00002475</v>
      </c>
      <c r="D1390" s="58" t="str">
        <f>IFERROR(__xludf.DUMMYFUNCTION("""COMPUTED_VALUE"""),"The territory under the administration of the Palestine National Authority, as established by the Oslo Accords. The PNA divides the Palestinian territories into 16 governorates.")</f>
        <v>The territory under the administration of the Palestine National Authority, as established by the Oslo Accords. The PNA divides the Palestinian territories into 16 governorates.</v>
      </c>
      <c r="E1390" s="56"/>
      <c r="F1390" s="54"/>
      <c r="G1390" s="54"/>
      <c r="H1390" s="59"/>
      <c r="I1390" s="59"/>
      <c r="J1390" s="59"/>
      <c r="K1390" s="54"/>
    </row>
    <row r="1391">
      <c r="A1391" s="57"/>
      <c r="B1391" s="57" t="str">
        <f>IFERROR(__xludf.DUMMYFUNCTION("""COMPUTED_VALUE"""),"Sudan [GAZ:00000560]    ")</f>
        <v>Sudan [GAZ:00000560]    </v>
      </c>
      <c r="C1391" s="57" t="str">
        <f>IFERROR(__xludf.DUMMYFUNCTION("""COMPUTED_VALUE"""),"GAZ:00000560")</f>
        <v>GAZ:00000560</v>
      </c>
      <c r="D1391" s="58" t="str">
        <f>IFERROR(__xludf.DUMMYFUNCTION("""COMPUTED_VALUE"""),"A country in North Africa. It is bordered by Egypt to the north, the Red Sea to the northeast, Eritrea and Ethiopia to the east, Kenya and Uganda to the southeast, Democratic Republic of the Congo and the Central African Republic to the southwest, Chad to"&amp;" the west and Libya to the northwest. Sudan is divided into twenty-six states (wilayat, singular wilayah) which in turn are subdivided into 133 districts.")</f>
        <v>A country in North Africa. It is bordered by Egypt to the north, the Red Sea to the northeast, Eritrea and Ethiopia to the east, Kenya and Uganda to the southeast, Democratic Republic of the Congo and the Central African Republic to the southwest, Chad to the west and Libya to the northwest. Sudan is divided into twenty-six states (wilayat, singular wilayah) which in turn are subdivided into 133 districts.</v>
      </c>
      <c r="E1391" s="56"/>
      <c r="F1391" s="54"/>
      <c r="G1391" s="54"/>
      <c r="H1391" s="59"/>
      <c r="I1391" s="59"/>
      <c r="J1391" s="59"/>
      <c r="K1391" s="54"/>
    </row>
    <row r="1392">
      <c r="A1392" s="57"/>
      <c r="B1392" s="57" t="str">
        <f>IFERROR(__xludf.DUMMYFUNCTION("""COMPUTED_VALUE"""),"Suriname [GAZ:00002525]    ")</f>
        <v>Suriname [GAZ:00002525]    </v>
      </c>
      <c r="C1392" s="57" t="str">
        <f>IFERROR(__xludf.DUMMYFUNCTION("""COMPUTED_VALUE"""),"GAZ:00002525")</f>
        <v>GAZ:00002525</v>
      </c>
      <c r="D1392" s="58" t="str">
        <f>IFERROR(__xludf.DUMMYFUNCTION("""COMPUTED_VALUE"""),"A country in northern South America. It is situated between French Guiana to the east and Guyana to the west. The southern border is shared with Brazil and the northern border is the Atlantic coast. The southernmost border with French Guiana is disputed a"&amp;"long the Marowijne river. Suriname is divided into 10 districts, each of which is divided into Ressorten.")</f>
        <v>A country in northern South America. It is situated between French Guiana to the east and Guyana to the west. The southern border is shared with Brazil and the northern border is the Atlantic coast. The southernmost border with French Guiana is disputed along the Marowijne river. Suriname is divided into 10 districts, each of which is divided into Ressorten.</v>
      </c>
      <c r="E1392" s="56"/>
      <c r="F1392" s="54"/>
      <c r="G1392" s="54"/>
      <c r="H1392" s="59"/>
      <c r="I1392" s="59"/>
      <c r="J1392" s="59"/>
      <c r="K1392" s="54"/>
    </row>
    <row r="1393">
      <c r="A1393" s="57"/>
      <c r="B1393" s="57" t="str">
        <f>IFERROR(__xludf.DUMMYFUNCTION("""COMPUTED_VALUE"""),"Svalbard [GAZ:00005396]    ")</f>
        <v>Svalbard [GAZ:00005396]    </v>
      </c>
      <c r="C1393" s="57" t="str">
        <f>IFERROR(__xludf.DUMMYFUNCTION("""COMPUTED_VALUE"""),"GAZ:00005396")</f>
        <v>GAZ:00005396</v>
      </c>
      <c r="D1393" s="58" t="str">
        <f>IFERROR(__xludf.DUMMYFUNCTION("""COMPUTED_VALUE"""),"An archipelago of continental islands lying in the Arctic Ocean north of mainland Europe, about midway between Norway and the North Pole.")</f>
        <v>An archipelago of continental islands lying in the Arctic Ocean north of mainland Europe, about midway between Norway and the North Pole.</v>
      </c>
      <c r="E1393" s="56"/>
      <c r="F1393" s="54"/>
      <c r="G1393" s="54"/>
      <c r="H1393" s="59"/>
      <c r="I1393" s="59"/>
      <c r="J1393" s="59"/>
      <c r="K1393" s="54"/>
    </row>
    <row r="1394">
      <c r="A1394" s="57"/>
      <c r="B1394" s="57" t="str">
        <f>IFERROR(__xludf.DUMMYFUNCTION("""COMPUTED_VALUE"""),"Swaziland [GAZ:00001099]    ")</f>
        <v>Swaziland [GAZ:00001099]    </v>
      </c>
      <c r="C1394" s="57" t="str">
        <f>IFERROR(__xludf.DUMMYFUNCTION("""COMPUTED_VALUE"""),"GAZ:00001099")</f>
        <v>GAZ:00001099</v>
      </c>
      <c r="D1394" s="58" t="str">
        <f>IFERROR(__xludf.DUMMYFUNCTION("""COMPUTED_VALUE"""),"A small, landlocked country in Africa embedded between South Africa in the west, north and south and Mozambique in the east. Swaziland is divided into four districts, each of which is divided into Tinkhundla (singular, Inkhundla).")</f>
        <v>A small, landlocked country in Africa embedded between South Africa in the west, north and south and Mozambique in the east. Swaziland is divided into four districts, each of which is divided into Tinkhundla (singular, Inkhundla).</v>
      </c>
      <c r="E1394" s="56"/>
      <c r="F1394" s="54"/>
      <c r="G1394" s="54"/>
      <c r="H1394" s="59"/>
      <c r="I1394" s="59"/>
      <c r="J1394" s="59"/>
      <c r="K1394" s="54"/>
    </row>
    <row r="1395">
      <c r="A1395" s="57"/>
      <c r="B1395" s="57" t="str">
        <f>IFERROR(__xludf.DUMMYFUNCTION("""COMPUTED_VALUE"""),"Sweden [GAZ:00002729]    ")</f>
        <v>Sweden [GAZ:00002729]    </v>
      </c>
      <c r="C1395" s="57" t="str">
        <f>IFERROR(__xludf.DUMMYFUNCTION("""COMPUTED_VALUE"""),"GAZ:00002729")</f>
        <v>GAZ:00002729</v>
      </c>
      <c r="D1395" s="58" t="str">
        <f>IFERROR(__xludf.DUMMYFUNCTION("""COMPUTED_VALUE"""),"A Nordic country on the Scandinavian Peninsula in Northern Europe. It has borders with Norway (west and north) and Finland (northeast). Sweden is a unitary state, currently divided into twenty-one counties (lan). Each county further divides into a number "&amp;"of municipalities or kommuner, with a total of 290 municipalities in 2004.")</f>
        <v>A Nordic country on the Scandinavian Peninsula in Northern Europe. It has borders with Norway (west and north) and Finland (northeast). Sweden is a unitary state, currently divided into twenty-one counties (lan). Each county further divides into a number of municipalities or kommuner, with a total of 290 municipalities in 2004.</v>
      </c>
      <c r="E1395" s="56"/>
      <c r="F1395" s="54"/>
      <c r="G1395" s="54"/>
      <c r="H1395" s="59"/>
      <c r="I1395" s="59"/>
      <c r="J1395" s="59"/>
      <c r="K1395" s="54"/>
    </row>
    <row r="1396">
      <c r="A1396" s="57"/>
      <c r="B1396" s="57" t="str">
        <f>IFERROR(__xludf.DUMMYFUNCTION("""COMPUTED_VALUE"""),"Switzerland [GAZ:00002941]    ")</f>
        <v>Switzerland [GAZ:00002941]    </v>
      </c>
      <c r="C1396" s="57" t="str">
        <f>IFERROR(__xludf.DUMMYFUNCTION("""COMPUTED_VALUE"""),"GAZ:00002941")</f>
        <v>GAZ:00002941</v>
      </c>
      <c r="D1396" s="58" t="str">
        <f>IFERROR(__xludf.DUMMYFUNCTION("""COMPUTED_VALUE"""),"A federal republic in Europe. Switzerland is bordered by Germany, France, Italy, Austria and Liechtenstein. The Swiss Confederation consists of 26 cantons. The Cantons comprise a total of 2,889 municipalities. Within Switzerland there are two enclaves: Bu"&amp;"singen belongs to Germany, Campione d'Italia belongs to Italy.")</f>
        <v>A federal republic in Europe. Switzerland is bordered by Germany, France, Italy, Austria and Liechtenstein. The Swiss Confederation consists of 26 cantons. The Cantons comprise a total of 2,889 municipalities. Within Switzerland there are two enclaves: Busingen belongs to Germany, Campione d'Italia belongs to Italy.</v>
      </c>
      <c r="E1396" s="56"/>
      <c r="F1396" s="54"/>
      <c r="G1396" s="54"/>
      <c r="H1396" s="59"/>
      <c r="I1396" s="59"/>
      <c r="J1396" s="59"/>
      <c r="K1396" s="54"/>
    </row>
    <row r="1397">
      <c r="A1397" s="57"/>
      <c r="B1397" s="57" t="str">
        <f>IFERROR(__xludf.DUMMYFUNCTION("""COMPUTED_VALUE"""),"Syria [GAZ:00002474]    ")</f>
        <v>Syria [GAZ:00002474]    </v>
      </c>
      <c r="C1397" s="57" t="str">
        <f>IFERROR(__xludf.DUMMYFUNCTION("""COMPUTED_VALUE"""),"GAZ:00002474")</f>
        <v>GAZ:00002474</v>
      </c>
      <c r="D1397" s="58" t="str">
        <f>IFERROR(__xludf.DUMMYFUNCTION("""COMPUTED_VALUE"""),"A country in Southwest Asia, bordering Lebanon, the Mediterranean Sea and the island of Cyprus to the west, Israel to the southwest, Jordan to the south, Iraq to the east, and Turkey to the north. Syria has fourteen governorates, or muhafazat (singular: m"&amp;"uhafazah). The governorates are divided into sixty districts, or manatiq (singular: mintaqah), which are further divided into sub-districts, or nawahi (singular: nahia).")</f>
        <v>A country in Southwest Asia, bordering Lebanon, the Mediterranean Sea and the island of Cyprus to the west, Israel to the southwest, Jordan to the south, Iraq to the east, and Turkey to the north. Syria has fourteen governorates, or muhafazat (singular: muhafazah). The governorates are divided into sixty districts, or manatiq (singular: mintaqah), which are further divided into sub-districts, or nawahi (singular: nahia).</v>
      </c>
      <c r="E1397" s="56"/>
      <c r="F1397" s="54"/>
      <c r="G1397" s="54"/>
      <c r="H1397" s="59"/>
      <c r="I1397" s="59"/>
      <c r="J1397" s="59"/>
      <c r="K1397" s="54"/>
    </row>
    <row r="1398">
      <c r="A1398" s="57"/>
      <c r="B1398" s="57" t="str">
        <f>IFERROR(__xludf.DUMMYFUNCTION("""COMPUTED_VALUE"""),"Taiwan [GAZ:00005341]    ")</f>
        <v>Taiwan [GAZ:00005341]    </v>
      </c>
      <c r="C1398" s="57" t="str">
        <f>IFERROR(__xludf.DUMMYFUNCTION("""COMPUTED_VALUE"""),"GAZ:00005341")</f>
        <v>GAZ:00005341</v>
      </c>
      <c r="D1398" s="58" t="str">
        <f>IFERROR(__xludf.DUMMYFUNCTION("""COMPUTED_VALUE"""),"A state in East Asia with de facto rule of the island of Tawain and adjacent territory. The Republic of China currently administers two historical provinces of China (one completely and a small part of another one) and centrally administers two direct-con"&amp;"trolled municipalities.")</f>
        <v>A state in East Asia with de facto rule of the island of Tawain and adjacent territory. The Republic of China currently administers two historical provinces of China (one completely and a small part of another one) and centrally administers two direct-controlled municipalities.</v>
      </c>
      <c r="E1398" s="56"/>
      <c r="F1398" s="54"/>
      <c r="G1398" s="54"/>
      <c r="H1398" s="59"/>
      <c r="I1398" s="59"/>
      <c r="J1398" s="59"/>
      <c r="K1398" s="54"/>
    </row>
    <row r="1399">
      <c r="A1399" s="57"/>
      <c r="B1399" s="57" t="str">
        <f>IFERROR(__xludf.DUMMYFUNCTION("""COMPUTED_VALUE"""),"Tajikistan [GAZ:00006912]    ")</f>
        <v>Tajikistan [GAZ:00006912]    </v>
      </c>
      <c r="C1399" s="57" t="str">
        <f>IFERROR(__xludf.DUMMYFUNCTION("""COMPUTED_VALUE"""),"GAZ:00006912")</f>
        <v>GAZ:00006912</v>
      </c>
      <c r="D1399" s="58" t="str">
        <f>IFERROR(__xludf.DUMMYFUNCTION("""COMPUTED_VALUE"""),"A mountainous landlocked country in Central Asia. Afghanistan borders to the south, Uzbekistan to the west, Kyrgyzstan to the north, and People's Republic of China to the east. Tajikistan consists of 4 administrative divisions. These are the provinces (vi"&amp;"loyat) of Sughd and Khatlon, the autonomous province of Gorno-Badakhshan (abbreviated as GBAO), and the Region of Republican Subordination (RRP, Raiony Respublikanskogo Podchineniya in Russian; formerly known as Karotegin Province). Each region is divided"&amp;" into several districts (nohiya or raion).")</f>
        <v>A mountainous landlocked country in Central Asia. Afghanistan borders to the south, Uzbekistan to the west, Kyrgyzstan to the north, and People's Republic of China to the east. Tajikistan consists of 4 administrative divisions. These are the provinces (viloyat) of Sughd and Khatlon, the autonomous province of Gorno-Badakhshan (abbreviated as GBAO), and the Region of Republican Subordination (RRP, Raiony Respublikanskogo Podchineniya in Russian; formerly known as Karotegin Province). Each region is divided into several districts (nohiya or raion).</v>
      </c>
      <c r="E1399" s="56"/>
      <c r="F1399" s="54"/>
      <c r="G1399" s="54"/>
      <c r="H1399" s="59"/>
      <c r="I1399" s="59"/>
      <c r="J1399" s="59"/>
      <c r="K1399" s="54"/>
    </row>
    <row r="1400">
      <c r="A1400" s="57"/>
      <c r="B1400" s="57" t="str">
        <f>IFERROR(__xludf.DUMMYFUNCTION("""COMPUTED_VALUE"""),"Tanzania [GAZ:00001103]    ")</f>
        <v>Tanzania [GAZ:00001103]    </v>
      </c>
      <c r="C1400" s="57" t="str">
        <f>IFERROR(__xludf.DUMMYFUNCTION("""COMPUTED_VALUE"""),"GAZ:00001103")</f>
        <v>GAZ:00001103</v>
      </c>
      <c r="D1400" s="58" t="str">
        <f>IFERROR(__xludf.DUMMYFUNCTION("""COMPUTED_VALUE"""),"A country in East Africa bordered by Kenya and Uganda on the north, Rwanda, Burundi and the Democratic Republic of the Congo on the west, and Zambia, Malawi and Mozambique on the south. To the east it borders the Indian Ocean. Tanzania is divided into 26 "&amp;"regions (mkoa), twenty-one on the mainland and five on Zanzibar (three on Unguja, two on Pemba). Ninety-eight districts (wilaya), each with at least one council, have been created to further increase local authority; the councils are also known as local g"&amp;"overnment authorities. Currently there are 114 councils operating in 99 districts; 22 are urban and 92 are rural. The 22 urban units are further classified as city councils (Dar es Salaam and Mwanza), municipal councils (Arusha, Dodoma, Iringa, Kilimanjar"&amp;"o, Mbeya, Morogoro, Shinyanga, Tabora, and Tanga) or town councils (the remaining eleven communities).")</f>
        <v>A country in East Africa bordered by Kenya and Uganda on the north, Rwanda, Burundi and the Democratic Republic of the Congo on the west, and Zambia, Malawi and Mozambique on the south. To the east it borders the Indian Ocean. Tanzania is divided into 26 regions (mkoa), twenty-one on the mainland and five on Zanzibar (three on Unguja, two on Pemba). Ninety-eight districts (wilaya), each with at least one council, have been created to further increase local authority; the councils are also known as local government authorities. Currently there are 114 councils operating in 99 districts; 22 are urban and 92 are rural. The 22 urban units are further classified as city councils (Dar es Salaam and Mwanza), municipal councils (Arusha, Dodoma, Iringa, Kilimanjaro, Mbeya, Morogoro, Shinyanga, Tabora, and Tanga) or town councils (the remaining eleven communities).</v>
      </c>
      <c r="E1400" s="56"/>
      <c r="F1400" s="54"/>
      <c r="G1400" s="54"/>
      <c r="H1400" s="59"/>
      <c r="I1400" s="59"/>
      <c r="J1400" s="59"/>
      <c r="K1400" s="54"/>
    </row>
    <row r="1401">
      <c r="A1401" s="57"/>
      <c r="B1401" s="57" t="str">
        <f>IFERROR(__xludf.DUMMYFUNCTION("""COMPUTED_VALUE"""),"Thailand [GAZ:00003744]    ")</f>
        <v>Thailand [GAZ:00003744]    </v>
      </c>
      <c r="C1401" s="57" t="str">
        <f>IFERROR(__xludf.DUMMYFUNCTION("""COMPUTED_VALUE"""),"GAZ:00003744")</f>
        <v>GAZ:00003744</v>
      </c>
      <c r="D1401" s="58" t="str">
        <f>IFERROR(__xludf.DUMMYFUNCTION("""COMPUTED_VALUE"""),"A country in Southeast Asia. To its east lie Laos and Cambodia; to its south, the Gulf of Thailand and Malaysia; and to its west, the Andaman Sea and Burma. Its capital and largest city is Bangkok. Thailand is divided into 75 provinces (changwat), which a"&amp;"re gathered into 5 groups of provinces by location. There are also 2 special governed districts: the capital Bangkok (Krung Thep Maha Nakhon) and Pattaya, of which Bangkok is at provincial level and thus often counted as a 76th province.")</f>
        <v>A country in Southeast Asia. To its east lie Laos and Cambodia; to its south, the Gulf of Thailand and Malaysia; and to its west, the Andaman Sea and Burma. Its capital and largest city is Bangkok. Thailand is divided into 75 provinces (changwat), which are gathered into 5 groups of provinces by location. There are also 2 special governed districts: the capital Bangkok (Krung Thep Maha Nakhon) and Pattaya, of which Bangkok is at provincial level and thus often counted as a 76th province.</v>
      </c>
      <c r="E1401" s="56"/>
      <c r="F1401" s="54"/>
      <c r="G1401" s="54"/>
      <c r="H1401" s="59"/>
      <c r="I1401" s="59"/>
      <c r="J1401" s="59"/>
      <c r="K1401" s="54"/>
    </row>
    <row r="1402">
      <c r="A1402" s="57"/>
      <c r="B1402" s="57" t="str">
        <f>IFERROR(__xludf.DUMMYFUNCTION("""COMPUTED_VALUE"""),"Timor-Leste [GAZ:00006913]    ")</f>
        <v>Timor-Leste [GAZ:00006913]    </v>
      </c>
      <c r="C1402" s="57" t="str">
        <f>IFERROR(__xludf.DUMMYFUNCTION("""COMPUTED_VALUE"""),"GAZ:00006913")</f>
        <v>GAZ:00006913</v>
      </c>
      <c r="D1402" s="58" t="str">
        <f>IFERROR(__xludf.DUMMYFUNCTION("""COMPUTED_VALUE"""),"A country in Southeast Asia. It comprises the eastern half of the island of Timor, the nearby islands of Atauro and Jaco, and Oecussi-Ambeno, an exclave on the northwestern side of the island, within Indonesian West Timor. The small country of 15,410 km2 "&amp;"is located about 640 km northwest of Darwin, Australia. East Timor is divided into thirteen administrative districts, are subdivided into 65 subdistricts, 443 sucos and 2,336 towns, villages and hamlets.")</f>
        <v>A country in Southeast Asia. It comprises the eastern half of the island of Timor, the nearby islands of Atauro and Jaco, and Oecussi-Ambeno, an exclave on the northwestern side of the island, within Indonesian West Timor. The small country of 15,410 km2 is located about 640 km northwest of Darwin, Australia. East Timor is divided into thirteen administrative districts, are subdivided into 65 subdistricts, 443 sucos and 2,336 towns, villages and hamlets.</v>
      </c>
      <c r="E1402" s="56"/>
      <c r="F1402" s="54"/>
      <c r="G1402" s="54"/>
      <c r="H1402" s="59"/>
      <c r="I1402" s="59"/>
      <c r="J1402" s="59"/>
      <c r="K1402" s="54"/>
    </row>
    <row r="1403">
      <c r="A1403" s="57"/>
      <c r="B1403" s="57" t="str">
        <f>IFERROR(__xludf.DUMMYFUNCTION("""COMPUTED_VALUE"""),"Togo [GAZ:00000915]    ")</f>
        <v>Togo [GAZ:00000915]    </v>
      </c>
      <c r="C1403" s="57" t="str">
        <f>IFERROR(__xludf.DUMMYFUNCTION("""COMPUTED_VALUE"""),"GAZ:00000915")</f>
        <v>GAZ:00000915</v>
      </c>
      <c r="D1403" s="58" t="str">
        <f>IFERROR(__xludf.DUMMYFUNCTION("""COMPUTED_VALUE"""),"A country in West Africa bordering Ghana in the west, Benin in the east and Burkina Faso in the north. In the south, it has a short Gulf of Guinea coast, on which the capital Lome is located.")</f>
        <v>A country in West Africa bordering Ghana in the west, Benin in the east and Burkina Faso in the north. In the south, it has a short Gulf of Guinea coast, on which the capital Lome is located.</v>
      </c>
      <c r="E1403" s="56"/>
      <c r="F1403" s="54"/>
      <c r="G1403" s="54"/>
      <c r="H1403" s="59"/>
      <c r="I1403" s="59"/>
      <c r="J1403" s="59"/>
      <c r="K1403" s="54"/>
    </row>
    <row r="1404">
      <c r="A1404" s="57"/>
      <c r="B1404" s="57" t="str">
        <f>IFERROR(__xludf.DUMMYFUNCTION("""COMPUTED_VALUE"""),"Tokelau [GAZ:00260188]    ")</f>
        <v>Tokelau [GAZ:00260188]    </v>
      </c>
      <c r="C1404" s="57" t="str">
        <f>IFERROR(__xludf.DUMMYFUNCTION("""COMPUTED_VALUE"""),"GAZ:00260188")</f>
        <v>GAZ:00260188</v>
      </c>
      <c r="D1404" s="58" t="str">
        <f>IFERROR(__xludf.DUMMYFUNCTION("""COMPUTED_VALUE"""),"A dependent territory of New Zealand in the southern Pacific Ocean. It consists of three tropical coral atolls: Atafu, Nukunonu, and Fakaofo. They have a combined land area of 10 km2 (4 sq mi).")</f>
        <v>A dependent territory of New Zealand in the southern Pacific Ocean. It consists of three tropical coral atolls: Atafu, Nukunonu, and Fakaofo. They have a combined land area of 10 km2 (4 sq mi).</v>
      </c>
      <c r="E1404" s="56"/>
      <c r="F1404" s="54"/>
      <c r="G1404" s="54"/>
      <c r="H1404" s="59"/>
      <c r="I1404" s="59"/>
      <c r="J1404" s="59"/>
      <c r="K1404" s="54"/>
    </row>
    <row r="1405">
      <c r="A1405" s="57"/>
      <c r="B1405" s="57" t="str">
        <f>IFERROR(__xludf.DUMMYFUNCTION("""COMPUTED_VALUE"""),"Tonga [GAZ:00006916]    ")</f>
        <v>Tonga [GAZ:00006916]    </v>
      </c>
      <c r="C1405" s="57" t="str">
        <f>IFERROR(__xludf.DUMMYFUNCTION("""COMPUTED_VALUE"""),"GAZ:00006916")</f>
        <v>GAZ:00006916</v>
      </c>
      <c r="D1405" s="58" t="str">
        <f>IFERROR(__xludf.DUMMYFUNCTION("""COMPUTED_VALUE"""),"A Polynesian country, and also an archipelago comprising 169 islands, of which 36 are inhabited. The archipelago's total surface area is about 750 square kilometres (290 sq mi) scattered over 700,000 square kilometres (270,000 sq mi) of the southern Pacif"&amp;"ic Ocean.")</f>
        <v>A Polynesian country, and also an archipelago comprising 169 islands, of which 36 are inhabited. The archipelago's total surface area is about 750 square kilometres (290 sq mi) scattered over 700,000 square kilometres (270,000 sq mi) of the southern Pacific Ocean.</v>
      </c>
      <c r="E1405" s="56"/>
      <c r="F1405" s="54"/>
      <c r="G1405" s="54"/>
      <c r="H1405" s="59"/>
      <c r="I1405" s="59"/>
      <c r="J1405" s="59"/>
      <c r="K1405" s="54"/>
    </row>
    <row r="1406">
      <c r="A1406" s="57"/>
      <c r="B1406" s="57" t="str">
        <f>IFERROR(__xludf.DUMMYFUNCTION("""COMPUTED_VALUE"""),"Trinidad and Tobago [GAZ:00003767]    ")</f>
        <v>Trinidad and Tobago [GAZ:00003767]    </v>
      </c>
      <c r="C1406" s="57" t="str">
        <f>IFERROR(__xludf.DUMMYFUNCTION("""COMPUTED_VALUE"""),"GAZ:00003767")</f>
        <v>GAZ:00003767</v>
      </c>
      <c r="D1406" s="58" t="str">
        <f>IFERROR(__xludf.DUMMYFUNCTION("""COMPUTED_VALUE"""),"An archipelagic state in the southern Caribbean, lying northeast of the South American nation of Venezuela and south of Grenada in the Lesser Antilles. It also shares maritime boundaries with Barbados to the northeast and Guyana to the southeast. The coun"&amp;"try covers an area of 5,128 km2and consists of two main islands, Trinidad and Tobago, and 21 smaller islands.")</f>
        <v>An archipelagic state in the southern Caribbean, lying northeast of the South American nation of Venezuela and south of Grenada in the Lesser Antilles. It also shares maritime boundaries with Barbados to the northeast and Guyana to the southeast. The country covers an area of 5,128 km2and consists of two main islands, Trinidad and Tobago, and 21 smaller islands.</v>
      </c>
      <c r="E1406" s="56"/>
      <c r="F1406" s="54"/>
      <c r="G1406" s="54"/>
      <c r="H1406" s="59"/>
      <c r="I1406" s="59"/>
      <c r="J1406" s="59"/>
      <c r="K1406" s="54"/>
    </row>
    <row r="1407">
      <c r="A1407" s="57"/>
      <c r="B1407" s="57" t="str">
        <f>IFERROR(__xludf.DUMMYFUNCTION("""COMPUTED_VALUE"""),"Tromelin Island [GAZ:00005812]    ")</f>
        <v>Tromelin Island [GAZ:00005812]    </v>
      </c>
      <c r="C1407" s="57" t="str">
        <f>IFERROR(__xludf.DUMMYFUNCTION("""COMPUTED_VALUE"""),"GAZ:00005812")</f>
        <v>GAZ:00005812</v>
      </c>
      <c r="D1407" s="58" t="str">
        <f>IFERROR(__xludf.DUMMYFUNCTION("""COMPUTED_VALUE"""),"A low, flat 0.8 km2 island in the Indian Ocean, about 350 km east of Madagascar. Tromelin is a low, scrub-covered sandbank about 1,700 m long and 700 m wide, surrounded by coral reefs. The island is 7 m high at its highest point.")</f>
        <v>A low, flat 0.8 km2 island in the Indian Ocean, about 350 km east of Madagascar. Tromelin is a low, scrub-covered sandbank about 1,700 m long and 700 m wide, surrounded by coral reefs. The island is 7 m high at its highest point.</v>
      </c>
      <c r="E1407" s="56"/>
      <c r="F1407" s="54"/>
      <c r="G1407" s="54"/>
      <c r="H1407" s="59"/>
      <c r="I1407" s="59"/>
      <c r="J1407" s="59"/>
      <c r="K1407" s="54"/>
    </row>
    <row r="1408">
      <c r="A1408" s="57"/>
      <c r="B1408" s="57" t="str">
        <f>IFERROR(__xludf.DUMMYFUNCTION("""COMPUTED_VALUE"""),"Tunisia [GAZ:00000562]    ")</f>
        <v>Tunisia [GAZ:00000562]    </v>
      </c>
      <c r="C1408" s="57" t="str">
        <f>IFERROR(__xludf.DUMMYFUNCTION("""COMPUTED_VALUE"""),"GAZ:00000562")</f>
        <v>GAZ:00000562</v>
      </c>
      <c r="D1408" s="58" t="str">
        <f>IFERROR(__xludf.DUMMYFUNCTION("""COMPUTED_VALUE"""),"A country situated on the Mediterranean coast of North Africa. It is bordered by Algeria to the west and Libya to the southeast. Tunisia is subdivided into 24 governorates, divided into 262 ""delegations"" or ""districts"" (mutamadiyat), and further subdi"&amp;"vided into municipalities (shaykhats).")</f>
        <v>A country situated on the Mediterranean coast of North Africa. It is bordered by Algeria to the west and Libya to the southeast. Tunisia is subdivided into 24 governorates, divided into 262 "delegations" or "districts" (mutamadiyat), and further subdivided into municipalities (shaykhats).</v>
      </c>
      <c r="E1408" s="56"/>
      <c r="F1408" s="54"/>
      <c r="G1408" s="54"/>
      <c r="H1408" s="59"/>
      <c r="I1408" s="59"/>
      <c r="J1408" s="59"/>
      <c r="K1408" s="54"/>
    </row>
    <row r="1409">
      <c r="A1409" s="57"/>
      <c r="B1409" s="57" t="str">
        <f>IFERROR(__xludf.DUMMYFUNCTION("""COMPUTED_VALUE"""),"Turkey [GAZ:00000558]    ")</f>
        <v>Turkey [GAZ:00000558]    </v>
      </c>
      <c r="C1409" s="57" t="str">
        <f>IFERROR(__xludf.DUMMYFUNCTION("""COMPUTED_VALUE"""),"GAZ:00000558")</f>
        <v>GAZ:00000558</v>
      </c>
      <c r="D1409" s="58" t="str">
        <f>IFERROR(__xludf.DUMMYFUNCTION("""COMPUTED_VALUE"""),"A Eurasian country that stretches across the Anatolian peninsula in western Asia and Thrace (Rumelia) in the Balkan region of southeastern Europe. Turkey borders eight countries: Bulgaria to the northwest; Greece to the west, Georgia to the northeast; Arm"&amp;"enia, Azerbaijan (the exclave of Nakhichevan), and Iran to the east; and Iraq and Syria to the southeast. The Mediterranean Sea and Cyprus are to the south; the Aegean Sea and Archipelago are to the west; and the Black Sea is to the north. Separating Anat"&amp;"olia and Thrace are the Sea of Marmara and the Turkish Straits (the Bosporus and the Dardanelles), which are commonly reckoned to delineate the border between Asia and Europe, thereby making Turkey transcontinental. The territory of Turkey is subdivided i"&amp;"nto 81 provinces for administrative purposes. The provinces are organized into 7 regions for census purposes; however, they do not represent an administrative structure. Each province is divided into districts, for a total of 923 districts.")</f>
        <v>A Eurasian country that stretches across the Anatolian peninsula in western Asia and Thrace (Rumelia) in the Balkan region of southeastern Europe. Turkey borders eight countries: Bulgaria to the northwest; Greece to the west, Georgia to the northeast; Armenia, Azerbaijan (the exclave of Nakhichevan), and Iran to the east; and Iraq and Syria to the southeast. The Mediterranean Sea and Cyprus are to the south; the Aegean Sea and Archipelago are to the west; and the Black Sea is to the north. Separating Anatolia and Thrace are the Sea of Marmara and the Turkish Straits (the Bosporus and the Dardanelles), which are commonly reckoned to delineate the border between Asia and Europe, thereby making Turkey transcontinental. The territory of Turkey is subdivided into 81 provinces for administrative purposes. The provinces are organized into 7 regions for census purposes; however, they do not represent an administrative structure. Each province is divided into districts, for a total of 923 districts.</v>
      </c>
      <c r="E1409" s="56"/>
      <c r="F1409" s="54"/>
      <c r="G1409" s="54"/>
      <c r="H1409" s="59"/>
      <c r="I1409" s="59"/>
      <c r="J1409" s="59"/>
      <c r="K1409" s="54"/>
    </row>
    <row r="1410">
      <c r="A1410" s="57"/>
      <c r="B1410" s="57" t="str">
        <f>IFERROR(__xludf.DUMMYFUNCTION("""COMPUTED_VALUE"""),"Turkmenistan [GAZ:00005018]    ")</f>
        <v>Turkmenistan [GAZ:00005018]    </v>
      </c>
      <c r="C1410" s="57" t="str">
        <f>IFERROR(__xludf.DUMMYFUNCTION("""COMPUTED_VALUE"""),"GAZ:00005018")</f>
        <v>GAZ:00005018</v>
      </c>
      <c r="D1410" s="58" t="str">
        <f>IFERROR(__xludf.DUMMYFUNCTION("""COMPUTED_VALUE"""),"A country in Central Asia. It is bordered by Afghanistan to the southeast, Iran to the southwest, Uzbekistan to the northeast, Kazakhstan to the northwest, and the Caspian Sea to the west. It was a constituent republic of the Soviet Union, the Turkmen Sov"&amp;"iet Socialist Republic. Turkmenistan is divided into five provinces or welayatlar (singular - welayat) and one independent city.")</f>
        <v>A country in Central Asia. It is bordered by Afghanistan to the southeast, Iran to the southwest, Uzbekistan to the northeast, Kazakhstan to the northwest, and the Caspian Sea to the west. It was a constituent republic of the Soviet Union, the Turkmen Soviet Socialist Republic. Turkmenistan is divided into five provinces or welayatlar (singular - welayat) and one independent city.</v>
      </c>
      <c r="E1410" s="56"/>
      <c r="F1410" s="54"/>
      <c r="G1410" s="54"/>
      <c r="H1410" s="59"/>
      <c r="I1410" s="59"/>
      <c r="J1410" s="59"/>
      <c r="K1410" s="54"/>
    </row>
    <row r="1411">
      <c r="A1411" s="57"/>
      <c r="B1411" s="57" t="str">
        <f>IFERROR(__xludf.DUMMYFUNCTION("""COMPUTED_VALUE"""),"Turks and Caicos Islands [GAZ:00003955]    ")</f>
        <v>Turks and Caicos Islands [GAZ:00003955]    </v>
      </c>
      <c r="C1411" s="57" t="str">
        <f>IFERROR(__xludf.DUMMYFUNCTION("""COMPUTED_VALUE"""),"GAZ:00003955")</f>
        <v>GAZ:00003955</v>
      </c>
      <c r="D1411" s="58" t="str">
        <f>IFERROR(__xludf.DUMMYFUNCTION("""COMPUTED_VALUE"""),"A British Overseas Territory consisting of two groups of tropical islands in the West Indies. The Turks and Caicos Islands are divided into six administrative districts (two in the Turks Islands and four in the Caicos Islands.")</f>
        <v>A British Overseas Territory consisting of two groups of tropical islands in the West Indies. The Turks and Caicos Islands are divided into six administrative districts (two in the Turks Islands and four in the Caicos Islands.</v>
      </c>
      <c r="E1411" s="56"/>
      <c r="F1411" s="54"/>
      <c r="G1411" s="54"/>
      <c r="H1411" s="59"/>
      <c r="I1411" s="59"/>
      <c r="J1411" s="59"/>
      <c r="K1411" s="54"/>
    </row>
    <row r="1412">
      <c r="A1412" s="57"/>
      <c r="B1412" s="57" t="str">
        <f>IFERROR(__xludf.DUMMYFUNCTION("""COMPUTED_VALUE"""),"Tuvalu [GAZ:00009715]    ")</f>
        <v>Tuvalu [GAZ:00009715]    </v>
      </c>
      <c r="C1412" s="57" t="str">
        <f>IFERROR(__xludf.DUMMYFUNCTION("""COMPUTED_VALUE"""),"GAZ:00009715")</f>
        <v>GAZ:00009715</v>
      </c>
      <c r="D1412" s="58" t="str">
        <f>IFERROR(__xludf.DUMMYFUNCTION("""COMPUTED_VALUE"""),"A Polynesian island nation located in the Pacific Ocean midway between Hawaii and Australia.")</f>
        <v>A Polynesian island nation located in the Pacific Ocean midway between Hawaii and Australia.</v>
      </c>
      <c r="E1412" s="56"/>
      <c r="F1412" s="54"/>
      <c r="G1412" s="54"/>
      <c r="H1412" s="59"/>
      <c r="I1412" s="59"/>
      <c r="J1412" s="59"/>
      <c r="K1412" s="54"/>
    </row>
    <row r="1413">
      <c r="A1413" s="57"/>
      <c r="B1413" s="57" t="str">
        <f>IFERROR(__xludf.DUMMYFUNCTION("""COMPUTED_VALUE"""),"United States of America [GAZ:00002459]    ")</f>
        <v>United States of America [GAZ:00002459]    </v>
      </c>
      <c r="C1413" s="57" t="str">
        <f>IFERROR(__xludf.DUMMYFUNCTION("""COMPUTED_VALUE"""),"GAZ:00002459")</f>
        <v>GAZ:00002459</v>
      </c>
      <c r="D1413" s="58" t="str">
        <f>IFERROR(__xludf.DUMMYFUNCTION("""COMPUTED_VALUE"""),"A federal constitutional republic comprising fifty states and a federal district. The country is situated mostly in central North America, where its forty-eight contiguous states and Washington, DC, the capital district, lie between the Pacific and Atlant"&amp;"ic Oceans, bordered by Canada to the north and Mexico to the south. The State of Alaska is in the northwest of the continent, with Canada to its east and Russia to the west across the Bering Strait, and the State of Hawaii is in the mid-Pacific. The Unite"&amp;"d States also possesses several territories, or insular areas, that are scattered around the Caribbean and Pacific. The states are divided into smaller administrative regions, called counties in most states, exceptions being Alaska (parts of the state are"&amp;" organized into subdivisions called boroughs; the rest of the state's territory that is not included in any borough is divided into ""census areas""), and Louisiana (which is divided into county-equivalents that are called parishes). There are also indepe"&amp;"ndent cities which are within particular states but not part of any particular county or consolidated city-counties. Another type of organization is where the city and county are unified and function as an independent city. There are thirty-nine independe"&amp;"nt cities in Virginia and other independent cities or city-counties are San Francisco, California, Baltimore, Maryland, St. Louis, Missouri, Denver, Colorado and Carson City, Nevada. Counties can include a number of cities, towns, villages, or hamlets, or"&amp;" sometimes just a part of a city. Counties have varying degrees of political and legal significance, but they are always administrative divisions of the state. Counties in many states are further subdivided into townships, which, by definition, are admini"&amp;"strative divisions of a county. In some states, such as Michigan, a township can file a charter with the state government, making itself into a ""charter township"", which is a type of mixed municipal and township status (giving the township some of the r"&amp;"ights of a city without all of the responsibilities), much in the way a metropolitan municipality is a mixed municipality and county.")</f>
        <v>A federal constitutional republic comprising fifty states and a federal district. The country is situated mostly in central North America, where its forty-eight contiguous states and Washington, DC, the capital district, lie between the Pacific and Atlantic Oceans, bordered by Canada to the north and Mexico to the south. The State of Alaska is in the northwest of the continent, with Canada to its east and Russia to the west across the Bering Strait, and the State of Hawaii is in the mid-Pacific. The United States also possesses several territories, or insular areas, that are scattered around the Caribbean and Pacific. The states are divided into smaller administrative regions, called counties in most states, exceptions being Alaska (parts of the state are organized into subdivisions called boroughs; the rest of the state's territory that is not included in any borough is divided into "census areas"), and Louisiana (which is divided into county-equivalents that are called parishes). There are also independent cities which are within particular states but not part of any particular county or consolidated city-counties. Another type of organization is where the city and county are unified and function as an independent city. There are thirty-nine independent cities in Virginia and other independent cities or city-counties are San Francisco, California, Baltimore, Maryland, St. Louis, Missouri, Denver, Colorado and Carson City, Nevada. Counties can include a number of cities, towns, villages, or hamlets, or sometimes just a part of a city. Counties have varying degrees of political and legal significance, but they are always administrative divisions of the state. Counties in many states are further subdivided into townships, which, by definition, are administrative divisions of a county. In some states, such as Michigan, a township can file a charter with the state government, making itself into a "charter township", which is a type of mixed municipal and township status (giving the township some of the rights of a city without all of the responsibilities), much in the way a metropolitan municipality is a mixed municipality and county.</v>
      </c>
      <c r="E1413" s="56"/>
      <c r="F1413" s="54"/>
      <c r="G1413" s="54"/>
      <c r="H1413" s="59"/>
      <c r="I1413" s="59"/>
      <c r="J1413" s="59"/>
      <c r="K1413" s="54"/>
    </row>
    <row r="1414">
      <c r="A1414" s="57"/>
      <c r="B1414" s="57" t="str">
        <f>IFERROR(__xludf.DUMMYFUNCTION("""COMPUTED_VALUE"""),"Uganda [GAZ:00001102]    ")</f>
        <v>Uganda [GAZ:00001102]    </v>
      </c>
      <c r="C1414" s="57" t="str">
        <f>IFERROR(__xludf.DUMMYFUNCTION("""COMPUTED_VALUE"""),"GAZ:00001102")</f>
        <v>GAZ:00001102</v>
      </c>
      <c r="D1414" s="58" t="str">
        <f>IFERROR(__xludf.DUMMYFUNCTION("""COMPUTED_VALUE"""),"A landlocked country in East Africa, bordered on the east by Kenya, the north by Sudan, on the west by the Democratic Republic of the Congo, on the southwest by Rwanda, and on the south by Tanzania. The southern part of the country includes a substantial "&amp;"portion of Lake Victoria, within which it shares borders with Kenya and Tanzania. Uganda is divided into 80 districts, spread across four administrative regions: Northern, Eastern, Central and Western. The districts are subdivided into counties.")</f>
        <v>A landlocked country in East Africa, bordered on the east by Kenya, the north by Sudan, on the west by the Democratic Republic of the Congo, on the southwest by Rwanda, and on the south by Tanzania. The southern part of the country includes a substantial portion of Lake Victoria, within which it shares borders with Kenya and Tanzania. Uganda is divided into 80 districts, spread across four administrative regions: Northern, Eastern, Central and Western. The districts are subdivided into counties.</v>
      </c>
      <c r="E1414" s="56"/>
      <c r="F1414" s="54"/>
      <c r="G1414" s="54"/>
      <c r="H1414" s="59"/>
      <c r="I1414" s="59"/>
      <c r="J1414" s="59"/>
      <c r="K1414" s="54"/>
    </row>
    <row r="1415">
      <c r="A1415" s="57"/>
      <c r="B1415" s="57" t="str">
        <f>IFERROR(__xludf.DUMMYFUNCTION("""COMPUTED_VALUE"""),"Ukraine [GAZ:00002724]    ")</f>
        <v>Ukraine [GAZ:00002724]    </v>
      </c>
      <c r="C1415" s="57" t="str">
        <f>IFERROR(__xludf.DUMMYFUNCTION("""COMPUTED_VALUE"""),"GAZ:00002724")</f>
        <v>GAZ:00002724</v>
      </c>
      <c r="D1415" s="58" t="str">
        <f>IFERROR(__xludf.DUMMYFUNCTION("""COMPUTED_VALUE"""),"A country in Eastern Europe. It borders Russia to the east, Belarus to the north, Poland, Slovakia and Hungary to the west, Romania and Moldova to the southwest, and the Black Sea and Sea of Azov to the south. Ukraine is subdivided into twenty-four oblast"&amp;"s (provinces) and one autonomous republic (avtonomna respublika), Crimea. Additionally, the cities of Kiev, the capital, and Sevastopol, both have a special legal status. The 24 oblasts and Crimea are subdivided into 490 raions (districts), or second-leve"&amp;"l administrative units.")</f>
        <v>A country in Eastern Europe. It borders Russia to the east, Belarus to the north, Poland, Slovakia and Hungary to the west, Romania and Moldova to the southwest, and the Black Sea and Sea of Azov to the south. Ukraine is subdivided into twenty-four oblasts (provinces) and one autonomous republic (avtonomna respublika), Crimea. Additionally, the cities of Kiev, the capital, and Sevastopol, both have a special legal status. The 24 oblasts and Crimea are subdivided into 490 raions (districts), or second-level administrative units.</v>
      </c>
      <c r="E1415" s="56"/>
      <c r="F1415" s="54"/>
      <c r="G1415" s="54"/>
      <c r="H1415" s="59"/>
      <c r="I1415" s="59"/>
      <c r="J1415" s="59"/>
      <c r="K1415" s="54"/>
    </row>
    <row r="1416">
      <c r="A1416" s="57"/>
      <c r="B1416" s="57" t="str">
        <f>IFERROR(__xludf.DUMMYFUNCTION("""COMPUTED_VALUE"""),"United Arab Emirates [GAZ:00005282]    ")</f>
        <v>United Arab Emirates [GAZ:00005282]    </v>
      </c>
      <c r="C1416" s="57" t="str">
        <f>IFERROR(__xludf.DUMMYFUNCTION("""COMPUTED_VALUE"""),"GAZ:00005282")</f>
        <v>GAZ:00005282</v>
      </c>
      <c r="D1416" s="58" t="str">
        <f>IFERROR(__xludf.DUMMYFUNCTION("""COMPUTED_VALUE"""),"A Middle Eastern federation of seven states situated in the southeast of the Arabian Peninsula in Southwest Asia on the Persian Gulf, bordering Oman and Saudi Arabia. The seven states, termed emirates, are Abu Dhabi, Ajman, Dubai, Fujairah, Ras al-Khaimah"&amp;", Sharjah, and Umm al-Quwain.")</f>
        <v>A Middle Eastern federation of seven states situated in the southeast of the Arabian Peninsula in Southwest Asia on the Persian Gulf, bordering Oman and Saudi Arabia. The seven states, termed emirates, are Abu Dhabi, Ajman, Dubai, Fujairah, Ras al-Khaimah, Sharjah, and Umm al-Quwain.</v>
      </c>
      <c r="E1416" s="56"/>
      <c r="F1416" s="54"/>
      <c r="G1416" s="54"/>
      <c r="H1416" s="59"/>
      <c r="I1416" s="59"/>
      <c r="J1416" s="59"/>
      <c r="K1416" s="54"/>
    </row>
    <row r="1417">
      <c r="A1417" s="57"/>
      <c r="B1417" s="57" t="str">
        <f>IFERROR(__xludf.DUMMYFUNCTION("""COMPUTED_VALUE"""),"United Kingdom [GAZ:00002637]    ")</f>
        <v>United Kingdom [GAZ:00002637]    </v>
      </c>
      <c r="C1417" s="57" t="str">
        <f>IFERROR(__xludf.DUMMYFUNCTION("""COMPUTED_VALUE"""),"GAZ:00002637")</f>
        <v>GAZ:00002637</v>
      </c>
      <c r="D1417" s="58" t="str">
        <f>IFERROR(__xludf.DUMMYFUNCTION("""COMPUTED_VALUE"""),"A sovereign island country located off the northwestern coast of mainland Europe comprising of the four constituent countries; England, Scotland, Wales and Northern Ireland. It comprises the island of Great Britain, the northeast part of the island of Ire"&amp;"land and many small islands. Apart from Northern Ireland the UK is surrounded by the Atlantic Ocean, the North Sea, the English Channel and the Irish Sea. The largest island, Great Britain, is linked to France by the Channel Tunnel.")</f>
        <v>A sovereign island country located off the northwestern coast of mainland Europe comprising of the four constituent countries; England, Scotland, Wales and Northern Ireland. It comprises the island of Great Britain, the northeast part of the island of Ireland and many small islands. Apart from Northern Ireland the UK is surrounded by the Atlantic Ocean, the North Sea, the English Channel and the Irish Sea. The largest island, Great Britain, is linked to France by the Channel Tunnel.</v>
      </c>
      <c r="E1417" s="56"/>
      <c r="F1417" s="54"/>
      <c r="G1417" s="54"/>
      <c r="H1417" s="59"/>
      <c r="I1417" s="59"/>
      <c r="J1417" s="59"/>
      <c r="K1417" s="54"/>
    </row>
    <row r="1418">
      <c r="A1418" s="57"/>
      <c r="B1418" s="57" t="str">
        <f>IFERROR(__xludf.DUMMYFUNCTION("""COMPUTED_VALUE"""),"Uruguay [GAZ:00002930]    ")</f>
        <v>Uruguay [GAZ:00002930]    </v>
      </c>
      <c r="C1418" s="57" t="str">
        <f>IFERROR(__xludf.DUMMYFUNCTION("""COMPUTED_VALUE"""),"GAZ:00002930")</f>
        <v>GAZ:00002930</v>
      </c>
      <c r="D1418" s="58" t="str">
        <f>IFERROR(__xludf.DUMMYFUNCTION("""COMPUTED_VALUE"""),"A country located in the southeastern part of South America. It is bordered by Brazil to the north, by Argentina across the bank of both the Uruguay River to the west and the estuary of Rio de la Plata to the southwest, and the South Atlantic Ocean to the"&amp;" southeast. Uraguay consists of 19 departments (departamentos, singular - departamento).")</f>
        <v>A country located in the southeastern part of South America. It is bordered by Brazil to the north, by Argentina across the bank of both the Uruguay River to the west and the estuary of Rio de la Plata to the southwest, and the South Atlantic Ocean to the southeast. Uraguay consists of 19 departments (departamentos, singular - departamento).</v>
      </c>
      <c r="E1418" s="56"/>
      <c r="F1418" s="54"/>
      <c r="G1418" s="54"/>
      <c r="H1418" s="59"/>
      <c r="I1418" s="59"/>
      <c r="J1418" s="59"/>
      <c r="K1418" s="54"/>
    </row>
    <row r="1419">
      <c r="A1419" s="57"/>
      <c r="B1419" s="57" t="str">
        <f>IFERROR(__xludf.DUMMYFUNCTION("""COMPUTED_VALUE"""),"Uzbekistan [GAZ:00004979]    ")</f>
        <v>Uzbekistan [GAZ:00004979]    </v>
      </c>
      <c r="C1419" s="57" t="str">
        <f>IFERROR(__xludf.DUMMYFUNCTION("""COMPUTED_VALUE"""),"GAZ:00004979")</f>
        <v>GAZ:00004979</v>
      </c>
      <c r="D1419" s="58" t="str">
        <f>IFERROR(__xludf.DUMMYFUNCTION("""COMPUTED_VALUE"""),"A doubly landlocked country in Central Asia, formerly part of the Soviet Union. It shares borders with Kazakhstan to the west and to the north, Kyrgyzstan and Tajikistan to the east, and Afghanistan and Turkmenistan to the south. Uzbekistan is divided int"&amp;"o twelve provinces (viloyatlar) one autonomous republic (respublika and one independent city (shahar).")</f>
        <v>A doubly landlocked country in Central Asia, formerly part of the Soviet Union. It shares borders with Kazakhstan to the west and to the north, Kyrgyzstan and Tajikistan to the east, and Afghanistan and Turkmenistan to the south. Uzbekistan is divided into twelve provinces (viloyatlar) one autonomous republic (respublika and one independent city (shahar).</v>
      </c>
      <c r="E1419" s="56"/>
      <c r="F1419" s="54"/>
      <c r="G1419" s="54"/>
      <c r="H1419" s="59"/>
      <c r="I1419" s="59"/>
      <c r="J1419" s="59"/>
      <c r="K1419" s="54"/>
    </row>
    <row r="1420">
      <c r="A1420" s="57"/>
      <c r="B1420" s="57" t="str">
        <f>IFERROR(__xludf.DUMMYFUNCTION("""COMPUTED_VALUE"""),"Vanuatu [GAZ:00006918]    ")</f>
        <v>Vanuatu [GAZ:00006918]    </v>
      </c>
      <c r="C1420" s="57" t="str">
        <f>IFERROR(__xludf.DUMMYFUNCTION("""COMPUTED_VALUE"""),"GAZ:00006918")</f>
        <v>GAZ:00006918</v>
      </c>
      <c r="D1420" s="58" t="str">
        <f>IFERROR(__xludf.DUMMYFUNCTION("""COMPUTED_VALUE"""),"An island country located in the South Pacific Ocean. The archipelago, which is of volcanic origin, is 1,750 kilometres (1,090 mi) east of northern Australia, 540 kilometres (340 mi) northeast of New Caledonia, east of New Guinea, southeast of the Solomon"&amp;" Islands, and west of Fiji.")</f>
        <v>An island country located in the South Pacific Ocean. The archipelago, which is of volcanic origin, is 1,750 kilometres (1,090 mi) east of northern Australia, 540 kilometres (340 mi) northeast of New Caledonia, east of New Guinea, southeast of the Solomon Islands, and west of Fiji.</v>
      </c>
      <c r="E1420" s="56"/>
      <c r="F1420" s="54"/>
      <c r="G1420" s="54"/>
      <c r="H1420" s="59"/>
      <c r="I1420" s="59"/>
      <c r="J1420" s="59"/>
      <c r="K1420" s="54"/>
    </row>
    <row r="1421">
      <c r="A1421" s="57"/>
      <c r="B1421" s="57" t="str">
        <f>IFERROR(__xludf.DUMMYFUNCTION("""COMPUTED_VALUE"""),"Venezuela [GAZ:00002931]    ")</f>
        <v>Venezuela [GAZ:00002931]    </v>
      </c>
      <c r="C1421" s="57" t="str">
        <f>IFERROR(__xludf.DUMMYFUNCTION("""COMPUTED_VALUE"""),"GAZ:00002931")</f>
        <v>GAZ:00002931</v>
      </c>
      <c r="D1421" s="58" t="str">
        <f>IFERROR(__xludf.DUMMYFUNCTION("""COMPUTED_VALUE"""),"A country on the northern coast of South America. The country comprises a continental mainland and numerous islands located off the Venezuelan coastline in the Caribbean Sea. The Bolivarian Republic of Venezuela possesses borders with Guyana to the east, "&amp;"Brazil to the south, and Colombia to the west. Trinidad and Tobago, Grenada, St. Lucia, Barbados, Curacao, Bonaire, Aruba, Saint Vincent and the Grenadines and the Leeward Antilles lie just north, off the Venezuelan coast. Venezuela is divided into twenty"&amp;"-three states (Estados), a capital district (distrito capital) corresponding to the city of Caracas, the Federal Dependencies (Dependencias Federales, a special territory), and Guayana Esequiba (claimed in a border dispute with Guyana). Venezuela is furth"&amp;"er subdivided into 335 municipalities (municipios); these are subdivided into over one thousand parishes (parroquias).")</f>
        <v>A country on the northern coast of South America. The country comprises a continental mainland and numerous islands located off the Venezuelan coastline in the Caribbean Sea. The Bolivarian Republic of Venezuela possesses borders with Guyana to the east, Brazil to the south, and Colombia to the west. Trinidad and Tobago, Grenada, St. Lucia, Barbados, Curacao, Bonaire, Aruba, Saint Vincent and the Grenadines and the Leeward Antilles lie just north, off the Venezuelan coast. Venezuela is divided into twenty-three states (Estados), a capital district (distrito capital) corresponding to the city of Caracas, the Federal Dependencies (Dependencias Federales, a special territory), and Guayana Esequiba (claimed in a border dispute with Guyana). Venezuela is further subdivided into 335 municipalities (municipios); these are subdivided into over one thousand parishes (parroquias).</v>
      </c>
      <c r="E1421" s="56"/>
      <c r="F1421" s="54"/>
      <c r="G1421" s="54"/>
      <c r="H1421" s="59"/>
      <c r="I1421" s="59"/>
      <c r="J1421" s="59"/>
      <c r="K1421" s="54"/>
    </row>
    <row r="1422">
      <c r="A1422" s="57"/>
      <c r="B1422" s="57" t="str">
        <f>IFERROR(__xludf.DUMMYFUNCTION("""COMPUTED_VALUE"""),"Viet Nam [GAZ:00003756]    ")</f>
        <v>Viet Nam [GAZ:00003756]    </v>
      </c>
      <c r="C1422" s="57" t="str">
        <f>IFERROR(__xludf.DUMMYFUNCTION("""COMPUTED_VALUE"""),"GAZ:00003756")</f>
        <v>GAZ:00003756</v>
      </c>
      <c r="D1422" s="58" t="str">
        <f>IFERROR(__xludf.DUMMYFUNCTION("""COMPUTED_VALUE"""),"The easternmost country on the Indochina Peninsula in Southeast Asia. It borders the Gulf of Thailand, Gulf of Tonkin, and South China Sea, alongside China, Laos, and Cambodia.")</f>
        <v>The easternmost country on the Indochina Peninsula in Southeast Asia. It borders the Gulf of Thailand, Gulf of Tonkin, and South China Sea, alongside China, Laos, and Cambodia.</v>
      </c>
      <c r="E1422" s="56"/>
      <c r="F1422" s="54"/>
      <c r="G1422" s="54"/>
      <c r="H1422" s="59"/>
      <c r="I1422" s="59"/>
      <c r="J1422" s="59"/>
      <c r="K1422" s="54"/>
    </row>
    <row r="1423">
      <c r="A1423" s="57"/>
      <c r="B1423" s="57" t="str">
        <f>IFERROR(__xludf.DUMMYFUNCTION("""COMPUTED_VALUE"""),"Virgin Islands [GAZ:00003959]    ")</f>
        <v>Virgin Islands [GAZ:00003959]    </v>
      </c>
      <c r="C1423" s="57" t="str">
        <f>IFERROR(__xludf.DUMMYFUNCTION("""COMPUTED_VALUE"""),"GAZ:00003959")</f>
        <v>GAZ:00003959</v>
      </c>
      <c r="D1423" s="58" t="str">
        <f>IFERROR(__xludf.DUMMYFUNCTION("""COMPUTED_VALUE"""),"A group of islands in the Caribbean that are an insular area of the United States. The islands are geographically part of the Virgin Islands archipelago and are located in the Leeward Islands of the Lesser Antilles. The US Virgin Islands are an organized,"&amp;" unincorporated United States territory. The US Virgin Islands are administratively divided into two districts and subdivided into 20 sub-districts.")</f>
        <v>A group of islands in the Caribbean that are an insular area of the United States. The islands are geographically part of the Virgin Islands archipelago and are located in the Leeward Islands of the Lesser Antilles. The US Virgin Islands are an organized, unincorporated United States territory. The US Virgin Islands are administratively divided into two districts and subdivided into 20 sub-districts.</v>
      </c>
      <c r="E1423" s="56"/>
      <c r="F1423" s="54"/>
      <c r="G1423" s="54"/>
      <c r="H1423" s="59"/>
      <c r="I1423" s="59"/>
      <c r="J1423" s="59"/>
      <c r="K1423" s="54"/>
    </row>
    <row r="1424">
      <c r="A1424" s="57"/>
      <c r="B1424" s="57" t="str">
        <f>IFERROR(__xludf.DUMMYFUNCTION("""COMPUTED_VALUE"""),"Wake Island [GAZ:00007111]    ")</f>
        <v>Wake Island [GAZ:00007111]    </v>
      </c>
      <c r="C1424" s="57" t="str">
        <f>IFERROR(__xludf.DUMMYFUNCTION("""COMPUTED_VALUE"""),"GAZ:00007111")</f>
        <v>GAZ:00007111</v>
      </c>
      <c r="D1424" s="58" t="str">
        <f>IFERROR(__xludf.DUMMYFUNCTION("""COMPUTED_VALUE"""),"A coral atoll (despite its name) having a coastline of 19 km in the North Pacific Ocean, located about two-thirds of the way from Honolulu (3,700 km west) to Guam (2,430 km east).")</f>
        <v>A coral atoll (despite its name) having a coastline of 19 km in the North Pacific Ocean, located about two-thirds of the way from Honolulu (3,700 km west) to Guam (2,430 km east).</v>
      </c>
      <c r="E1424" s="56"/>
      <c r="F1424" s="54"/>
      <c r="G1424" s="54"/>
      <c r="H1424" s="59"/>
      <c r="I1424" s="59"/>
      <c r="J1424" s="59"/>
      <c r="K1424" s="54"/>
    </row>
    <row r="1425">
      <c r="A1425" s="57"/>
      <c r="B1425" s="57" t="str">
        <f>IFERROR(__xludf.DUMMYFUNCTION("""COMPUTED_VALUE"""),"Wallis and Futuna [GAZ:00007191]    ")</f>
        <v>Wallis and Futuna [GAZ:00007191]    </v>
      </c>
      <c r="C1425" s="57" t="str">
        <f>IFERROR(__xludf.DUMMYFUNCTION("""COMPUTED_VALUE"""),"GAZ:00007191")</f>
        <v>GAZ:00007191</v>
      </c>
      <c r="D1425" s="58" t="str">
        <f>IFERROR(__xludf.DUMMYFUNCTION("""COMPUTED_VALUE"""),"A Polynesian French island territory (but not part of, or even contiguous with, French Polynesia) in the South Pacific between Fiji and Samoa. It is made up of three main volcanic tropical islands and a number of tiny islets.")</f>
        <v>A Polynesian French island territory (but not part of, or even contiguous with, French Polynesia) in the South Pacific between Fiji and Samoa. It is made up of three main volcanic tropical islands and a number of tiny islets.</v>
      </c>
      <c r="E1425" s="56"/>
      <c r="F1425" s="54"/>
      <c r="G1425" s="54"/>
      <c r="H1425" s="59"/>
      <c r="I1425" s="59"/>
      <c r="J1425" s="59"/>
      <c r="K1425" s="54"/>
    </row>
    <row r="1426">
      <c r="A1426" s="57"/>
      <c r="B1426" s="57" t="str">
        <f>IFERROR(__xludf.DUMMYFUNCTION("""COMPUTED_VALUE"""),"West Bank [GAZ:00009572]    ")</f>
        <v>West Bank [GAZ:00009572]    </v>
      </c>
      <c r="C1426" s="57" t="str">
        <f>IFERROR(__xludf.DUMMYFUNCTION("""COMPUTED_VALUE"""),"GAZ:00009572")</f>
        <v>GAZ:00009572</v>
      </c>
      <c r="D1426" s="58" t="str">
        <f>IFERROR(__xludf.DUMMYFUNCTION("""COMPUTED_VALUE"""),"A landlocked territory near the Mediterranean coast of Western Asia, bordered by Jordan and the Dead Sea to the east and by Israel to the south, west and north.[2] Under Israeli occupation since 1967, the area is split into 167 Palestinian ""islands"" und"&amp;"er partial Palestinian National Authority civil rule, and 230 Israeli settlements into which Israeli law is ""pipelined"".")</f>
        <v>A landlocked territory near the Mediterranean coast of Western Asia, bordered by Jordan and the Dead Sea to the east and by Israel to the south, west and north.[2] Under Israeli occupation since 1967, the area is split into 167 Palestinian "islands" under partial Palestinian National Authority civil rule, and 230 Israeli settlements into which Israeli law is "pipelined".</v>
      </c>
      <c r="E1426" s="56"/>
      <c r="F1426" s="54"/>
      <c r="G1426" s="54"/>
      <c r="H1426" s="59"/>
      <c r="I1426" s="59"/>
      <c r="J1426" s="59"/>
      <c r="K1426" s="54"/>
    </row>
    <row r="1427">
      <c r="A1427" s="57"/>
      <c r="B1427" s="57" t="str">
        <f>IFERROR(__xludf.DUMMYFUNCTION("""COMPUTED_VALUE"""),"Western Sahara [GAZ:00000564]    ")</f>
        <v>Western Sahara [GAZ:00000564]    </v>
      </c>
      <c r="C1427" s="57" t="str">
        <f>IFERROR(__xludf.DUMMYFUNCTION("""COMPUTED_VALUE"""),"GAZ:00000564")</f>
        <v>GAZ:00000564</v>
      </c>
      <c r="D1427" s="58" t="str">
        <f>IFERROR(__xludf.DUMMYFUNCTION("""COMPUTED_VALUE"""),"A territory of northwestern Africa, bordered by Morocco to the north, Algeria in the northeast, Mauritania to the east and south, and the Atlantic Ocean on the west. Western Sahara is administratively divided into four regions.")</f>
        <v>A territory of northwestern Africa, bordered by Morocco to the north, Algeria in the northeast, Mauritania to the east and south, and the Atlantic Ocean on the west. Western Sahara is administratively divided into four regions.</v>
      </c>
      <c r="E1427" s="56"/>
      <c r="F1427" s="54"/>
      <c r="G1427" s="54"/>
      <c r="H1427" s="59"/>
      <c r="I1427" s="59"/>
      <c r="J1427" s="59"/>
      <c r="K1427" s="54"/>
    </row>
    <row r="1428">
      <c r="A1428" s="57"/>
      <c r="B1428" s="57" t="str">
        <f>IFERROR(__xludf.DUMMYFUNCTION("""COMPUTED_VALUE"""),"Yemen [GAZ:00005284]    ")</f>
        <v>Yemen [GAZ:00005284]    </v>
      </c>
      <c r="C1428" s="57" t="str">
        <f>IFERROR(__xludf.DUMMYFUNCTION("""COMPUTED_VALUE"""),"GAZ:00005284")</f>
        <v>GAZ:00005284</v>
      </c>
      <c r="D1428" s="58" t="str">
        <f>IFERROR(__xludf.DUMMYFUNCTION("""COMPUTED_VALUE"""),"A country located on the Arabian Peninsula in Southwest Asia. Yemen is bordered by Saudi Arabia to the North, the Red Sea to the West, the Arabian Sea and Gulf of Aden to the South, and Oman to the east. Yemen's territory includes over 200 islands, the la"&amp;"rgest of which is Socotra, about 415 km to the south of Yemen, off the coast of Somalia. As of 2004-02, Yemen is divided into twenty governorates (muhafazah) and one municipality. The population of each governorate is listed in the table below. The govern"&amp;"orates of Yemen are divided into 333 districts (muderiah). The districts are subdivided into 2,210 sub-districts, and then into 38,284 villages (as of 2001).")</f>
        <v>A country located on the Arabian Peninsula in Southwest Asia. Yemen is bordered by Saudi Arabia to the North, the Red Sea to the West, the Arabian Sea and Gulf of Aden to the South, and Oman to the east. Yemen's territory includes over 200 islands, the largest of which is Socotra, about 415 km to the south of Yemen, off the coast of Somalia. As of 2004-02, Yemen is divided into twenty governorates (muhafazah) and one municipality. The population of each governorate is listed in the table below. The governorates of Yemen are divided into 333 districts (muderiah). The districts are subdivided into 2,210 sub-districts, and then into 38,284 villages (as of 2001).</v>
      </c>
      <c r="E1428" s="56"/>
      <c r="F1428" s="54"/>
      <c r="G1428" s="54"/>
      <c r="H1428" s="59"/>
      <c r="I1428" s="59"/>
      <c r="J1428" s="59"/>
      <c r="K1428" s="54"/>
    </row>
    <row r="1429">
      <c r="A1429" s="57"/>
      <c r="B1429" s="57" t="str">
        <f>IFERROR(__xludf.DUMMYFUNCTION("""COMPUTED_VALUE"""),"Zambia [GAZ:00001107]    ")</f>
        <v>Zambia [GAZ:00001107]    </v>
      </c>
      <c r="C1429" s="57" t="str">
        <f>IFERROR(__xludf.DUMMYFUNCTION("""COMPUTED_VALUE"""),"GAZ:00001107")</f>
        <v>GAZ:00001107</v>
      </c>
      <c r="D1429" s="58" t="str">
        <f>IFERROR(__xludf.DUMMYFUNCTION("""COMPUTED_VALUE"""),"A landlocked country in Southern Africa. The neighbouring countries are the Democratic Republic of the Congo to the north, Tanzania to the north-east, Malawi to the east, Mozambique, Zimbabwe, Botswana, and Namibia to the south, and Angola to the west. Th"&amp;"e capital city is Lusaka. Zambia is divided into nine provinces. Each province is subdivided into several districts with a total of 73 districts.")</f>
        <v>A landlocked country in Southern Africa. The neighbouring countries are the Democratic Republic of the Congo to the north, Tanzania to the north-east, Malawi to the east, Mozambique, Zimbabwe, Botswana, and Namibia to the south, and Angola to the west. The capital city is Lusaka. Zambia is divided into nine provinces. Each province is subdivided into several districts with a total of 73 districts.</v>
      </c>
      <c r="E1429" s="56"/>
      <c r="F1429" s="54"/>
      <c r="G1429" s="54"/>
      <c r="H1429" s="54"/>
      <c r="I1429" s="54"/>
      <c r="J1429" s="54"/>
      <c r="K1429" s="54"/>
    </row>
    <row r="1430">
      <c r="A1430" s="57"/>
      <c r="B1430" s="57" t="str">
        <f>IFERROR(__xludf.DUMMYFUNCTION("""COMPUTED_VALUE"""),"Zimbabwe [GAZ:00001106]    ")</f>
        <v>Zimbabwe [GAZ:00001106]    </v>
      </c>
      <c r="C1430" s="57" t="str">
        <f>IFERROR(__xludf.DUMMYFUNCTION("""COMPUTED_VALUE"""),"GAZ:00001106")</f>
        <v>GAZ:00001106</v>
      </c>
      <c r="D1430" s="58" t="str">
        <f>IFERROR(__xludf.DUMMYFUNCTION("""COMPUTED_VALUE"""),"A landlocked country in the southern part of the continent of Africa, between the Zambezi and Limpopo rivers. It is bordered by South Africa to the south, Botswana to the southwest, Zambia to the northwest, and Mozambique to the east. Zimbabwe is divided "&amp;"into eight provinces and two cities with provincial status. The provinces are subdivided into 59 districts and 1,200 municipalities.")</f>
        <v>A landlocked country in the southern part of the continent of Africa, between the Zambezi and Limpopo rivers. It is bordered by South Africa to the south, Botswana to the southwest, Zambia to the northwest, and Mozambique to the east. Zimbabwe is divided into eight provinces and two cities with provincial status. The provinces are subdivided into 59 districts and 1,200 municipalities.</v>
      </c>
      <c r="E1430" s="56"/>
      <c r="F1430" s="54"/>
      <c r="G1430" s="54"/>
      <c r="H1430" s="54"/>
      <c r="I1430" s="54"/>
      <c r="J1430" s="54"/>
      <c r="K1430" s="54"/>
    </row>
    <row r="1431">
      <c r="A1431" s="57"/>
      <c r="B1431" s="57" t="str">
        <f>IFERROR(__xludf.DUMMYFUNCTION("""COMPUTED_VALUE"""),"    ")</f>
        <v>    </v>
      </c>
      <c r="C1431" s="57" t="str">
        <f>IFERROR(__xludf.DUMMYFUNCTION("""COMPUTED_VALUE"""),"")</f>
        <v/>
      </c>
      <c r="D1431" s="58"/>
      <c r="E1431" s="56"/>
      <c r="F1431" s="54"/>
      <c r="G1431" s="54"/>
      <c r="H1431" s="54"/>
      <c r="I1431" s="54"/>
      <c r="J1431" s="54"/>
      <c r="K1431" s="54"/>
    </row>
    <row r="1432">
      <c r="A1432" s="57"/>
      <c r="B1432" s="57" t="str">
        <f>IFERROR(__xludf.DUMMYFUNCTION("""COMPUTED_VALUE"""),"    ")</f>
        <v>    </v>
      </c>
      <c r="C1432" s="57" t="str">
        <f>IFERROR(__xludf.DUMMYFUNCTION("""COMPUTED_VALUE"""),"")</f>
        <v/>
      </c>
      <c r="D1432" s="58"/>
      <c r="E1432" s="56"/>
      <c r="F1432" s="54"/>
      <c r="G1432" s="54"/>
      <c r="H1432" s="54"/>
      <c r="I1432" s="54"/>
      <c r="J1432" s="54"/>
      <c r="K1432" s="54"/>
    </row>
    <row r="1433">
      <c r="A1433" s="57"/>
      <c r="B1433" s="57" t="str">
        <f>IFERROR(__xludf.DUMMYFUNCTION("""COMPUTED_VALUE"""),"    ")</f>
        <v>    </v>
      </c>
      <c r="C1433" s="57" t="str">
        <f>IFERROR(__xludf.DUMMYFUNCTION("""COMPUTED_VALUE"""),"")</f>
        <v/>
      </c>
      <c r="D1433" s="58"/>
      <c r="E1433" s="56"/>
      <c r="F1433" s="54"/>
      <c r="G1433" s="54"/>
      <c r="H1433" s="54"/>
      <c r="I1433" s="54"/>
      <c r="J1433" s="54"/>
      <c r="K1433" s="54"/>
    </row>
    <row r="1434">
      <c r="A1434" s="57"/>
      <c r="B1434" s="57" t="str">
        <f>IFERROR(__xludf.DUMMYFUNCTION("""COMPUTED_VALUE"""),"    ")</f>
        <v>    </v>
      </c>
      <c r="C1434" s="57" t="str">
        <f>IFERROR(__xludf.DUMMYFUNCTION("""COMPUTED_VALUE"""),"")</f>
        <v/>
      </c>
      <c r="D1434" s="58"/>
      <c r="E1434" s="56"/>
      <c r="F1434" s="54"/>
      <c r="G1434" s="54"/>
      <c r="H1434" s="54"/>
      <c r="I1434" s="54"/>
      <c r="J1434" s="54"/>
      <c r="K1434" s="54"/>
    </row>
    <row r="1435">
      <c r="A1435" s="57"/>
      <c r="B1435" s="57" t="str">
        <f>IFERROR(__xludf.DUMMYFUNCTION("""COMPUTED_VALUE"""),"    ")</f>
        <v>    </v>
      </c>
      <c r="C1435" s="57" t="str">
        <f>IFERROR(__xludf.DUMMYFUNCTION("""COMPUTED_VALUE"""),"")</f>
        <v/>
      </c>
      <c r="D1435" s="58"/>
      <c r="E1435" s="56"/>
      <c r="F1435" s="54"/>
      <c r="G1435" s="54"/>
      <c r="H1435" s="54"/>
      <c r="I1435" s="54"/>
      <c r="J1435" s="54"/>
      <c r="K1435" s="54"/>
    </row>
    <row r="1436">
      <c r="A1436" s="57"/>
      <c r="B1436" s="57" t="str">
        <f>IFERROR(__xludf.DUMMYFUNCTION("""COMPUTED_VALUE"""),"    ")</f>
        <v>    </v>
      </c>
      <c r="C1436" s="57" t="str">
        <f>IFERROR(__xludf.DUMMYFUNCTION("""COMPUTED_VALUE"""),"")</f>
        <v/>
      </c>
      <c r="D1436" s="58"/>
      <c r="E1436" s="56"/>
      <c r="F1436" s="54"/>
      <c r="G1436" s="54"/>
      <c r="H1436" s="54"/>
      <c r="I1436" s="54"/>
      <c r="J1436" s="54"/>
      <c r="K1436" s="54"/>
    </row>
    <row r="1437">
      <c r="A1437" s="57"/>
      <c r="B1437" s="57" t="str">
        <f>IFERROR(__xludf.DUMMYFUNCTION("""COMPUTED_VALUE"""),"    ")</f>
        <v>    </v>
      </c>
      <c r="C1437" s="57" t="str">
        <f>IFERROR(__xludf.DUMMYFUNCTION("""COMPUTED_VALUE"""),"")</f>
        <v/>
      </c>
      <c r="D1437" s="58"/>
      <c r="E1437" s="56"/>
      <c r="F1437" s="54"/>
      <c r="G1437" s="54"/>
      <c r="H1437" s="54"/>
      <c r="I1437" s="54"/>
      <c r="J1437" s="54"/>
      <c r="K1437" s="54"/>
    </row>
    <row r="1438">
      <c r="A1438" s="57"/>
      <c r="B1438" s="57" t="str">
        <f>IFERROR(__xludf.DUMMYFUNCTION("""COMPUTED_VALUE"""),"    ")</f>
        <v>    </v>
      </c>
      <c r="C1438" s="57" t="str">
        <f>IFERROR(__xludf.DUMMYFUNCTION("""COMPUTED_VALUE"""),"")</f>
        <v/>
      </c>
      <c r="D1438" s="58"/>
      <c r="E1438" s="56"/>
      <c r="F1438" s="54"/>
      <c r="G1438" s="54"/>
      <c r="H1438" s="54"/>
      <c r="I1438" s="54"/>
      <c r="J1438" s="54"/>
      <c r="K1438" s="54"/>
    </row>
    <row r="1439">
      <c r="A1439" s="57"/>
      <c r="B1439" s="57" t="str">
        <f>IFERROR(__xludf.DUMMYFUNCTION("""COMPUTED_VALUE"""),"    ")</f>
        <v>    </v>
      </c>
      <c r="C1439" s="57" t="str">
        <f>IFERROR(__xludf.DUMMYFUNCTION("""COMPUTED_VALUE"""),"")</f>
        <v/>
      </c>
      <c r="D1439" s="58"/>
      <c r="E1439" s="56"/>
      <c r="F1439" s="54"/>
      <c r="G1439" s="54"/>
      <c r="H1439" s="54"/>
      <c r="I1439" s="54"/>
      <c r="J1439" s="54"/>
      <c r="K1439" s="54"/>
    </row>
    <row r="1440">
      <c r="A1440" s="57"/>
      <c r="B1440" s="57" t="str">
        <f>IFERROR(__xludf.DUMMYFUNCTION("""COMPUTED_VALUE"""),"    ")</f>
        <v>    </v>
      </c>
      <c r="C1440" s="57" t="str">
        <f>IFERROR(__xludf.DUMMYFUNCTION("""COMPUTED_VALUE"""),"")</f>
        <v/>
      </c>
      <c r="D1440" s="58"/>
      <c r="E1440" s="56"/>
      <c r="F1440" s="54"/>
      <c r="G1440" s="54"/>
      <c r="H1440" s="54"/>
      <c r="I1440" s="54"/>
      <c r="J1440" s="54"/>
      <c r="K1440" s="54"/>
    </row>
    <row r="1441">
      <c r="A1441" s="57"/>
      <c r="B1441" s="57" t="str">
        <f>IFERROR(__xludf.DUMMYFUNCTION("""COMPUTED_VALUE"""),"    ")</f>
        <v>    </v>
      </c>
      <c r="C1441" s="57" t="str">
        <f>IFERROR(__xludf.DUMMYFUNCTION("""COMPUTED_VALUE"""),"")</f>
        <v/>
      </c>
      <c r="D1441" s="58"/>
      <c r="E1441" s="56"/>
      <c r="F1441" s="54"/>
      <c r="G1441" s="54"/>
      <c r="H1441" s="54"/>
      <c r="I1441" s="54"/>
      <c r="J1441" s="54"/>
      <c r="K1441" s="54"/>
    </row>
    <row r="1442">
      <c r="A1442" s="57"/>
      <c r="B1442" s="57" t="str">
        <f>IFERROR(__xludf.DUMMYFUNCTION("""COMPUTED_VALUE"""),"    ")</f>
        <v>    </v>
      </c>
      <c r="C1442" s="57" t="str">
        <f>IFERROR(__xludf.DUMMYFUNCTION("""COMPUTED_VALUE"""),"")</f>
        <v/>
      </c>
      <c r="D1442" s="58"/>
      <c r="E1442" s="56"/>
      <c r="F1442" s="54"/>
      <c r="G1442" s="54"/>
      <c r="H1442" s="54"/>
      <c r="I1442" s="54"/>
      <c r="J1442" s="54"/>
      <c r="K1442" s="54"/>
    </row>
    <row r="1443">
      <c r="A1443" s="57"/>
      <c r="B1443" s="57" t="str">
        <f>IFERROR(__xludf.DUMMYFUNCTION("""COMPUTED_VALUE"""),"    ")</f>
        <v>    </v>
      </c>
      <c r="C1443" s="57" t="str">
        <f>IFERROR(__xludf.DUMMYFUNCTION("""COMPUTED_VALUE"""),"")</f>
        <v/>
      </c>
      <c r="D1443" s="58"/>
      <c r="E1443" s="56"/>
      <c r="F1443" s="54"/>
      <c r="G1443" s="54"/>
      <c r="H1443" s="54"/>
      <c r="I1443" s="54"/>
      <c r="J1443" s="54"/>
      <c r="K1443" s="54"/>
    </row>
    <row r="1444">
      <c r="A1444" s="57"/>
      <c r="B1444" s="57" t="str">
        <f>IFERROR(__xludf.DUMMYFUNCTION("""COMPUTED_VALUE"""),"    ")</f>
        <v>    </v>
      </c>
      <c r="C1444" s="57" t="str">
        <f>IFERROR(__xludf.DUMMYFUNCTION("""COMPUTED_VALUE"""),"")</f>
        <v/>
      </c>
      <c r="D1444" s="58"/>
      <c r="E1444" s="56"/>
      <c r="F1444" s="54"/>
      <c r="G1444" s="54"/>
      <c r="H1444" s="54"/>
      <c r="I1444" s="54"/>
      <c r="J1444" s="54"/>
      <c r="K1444" s="54"/>
    </row>
    <row r="1445">
      <c r="A1445" s="57"/>
      <c r="B1445" s="57" t="str">
        <f>IFERROR(__xludf.DUMMYFUNCTION("""COMPUTED_VALUE"""),"    ")</f>
        <v>    </v>
      </c>
      <c r="C1445" s="57" t="str">
        <f>IFERROR(__xludf.DUMMYFUNCTION("""COMPUTED_VALUE"""),"")</f>
        <v/>
      </c>
      <c r="D1445" s="58"/>
      <c r="E1445" s="56"/>
      <c r="F1445" s="54"/>
      <c r="G1445" s="54"/>
      <c r="H1445" s="54"/>
      <c r="I1445" s="54"/>
      <c r="J1445" s="54"/>
      <c r="K1445" s="54"/>
    </row>
    <row r="1446">
      <c r="A1446" s="57"/>
      <c r="B1446" s="57" t="str">
        <f>IFERROR(__xludf.DUMMYFUNCTION("""COMPUTED_VALUE"""),"    ")</f>
        <v>    </v>
      </c>
      <c r="C1446" s="57" t="str">
        <f>IFERROR(__xludf.DUMMYFUNCTION("""COMPUTED_VALUE"""),"")</f>
        <v/>
      </c>
      <c r="D1446" s="58"/>
      <c r="E1446" s="56"/>
      <c r="F1446" s="54"/>
      <c r="G1446" s="54"/>
      <c r="H1446" s="54"/>
      <c r="I1446" s="54"/>
      <c r="J1446" s="54"/>
      <c r="K1446" s="54"/>
    </row>
    <row r="1447">
      <c r="A1447" s="57"/>
      <c r="B1447" s="57" t="str">
        <f>IFERROR(__xludf.DUMMYFUNCTION("""COMPUTED_VALUE"""),"    ")</f>
        <v>    </v>
      </c>
      <c r="C1447" s="57" t="str">
        <f>IFERROR(__xludf.DUMMYFUNCTION("""COMPUTED_VALUE"""),"")</f>
        <v/>
      </c>
      <c r="D1447" s="58"/>
      <c r="E1447" s="56"/>
      <c r="F1447" s="54"/>
      <c r="G1447" s="54"/>
      <c r="H1447" s="54"/>
      <c r="I1447" s="54"/>
      <c r="J1447" s="54"/>
      <c r="K1447" s="54"/>
    </row>
    <row r="1448">
      <c r="A1448" s="57"/>
      <c r="B1448" s="57" t="str">
        <f>IFERROR(__xludf.DUMMYFUNCTION("""COMPUTED_VALUE"""),"    ")</f>
        <v>    </v>
      </c>
      <c r="C1448" s="57" t="str">
        <f>IFERROR(__xludf.DUMMYFUNCTION("""COMPUTED_VALUE"""),"")</f>
        <v/>
      </c>
      <c r="D1448" s="58"/>
      <c r="E1448" s="56"/>
      <c r="F1448" s="54"/>
      <c r="G1448" s="54"/>
      <c r="H1448" s="54"/>
      <c r="I1448" s="54"/>
      <c r="J1448" s="54"/>
      <c r="K1448" s="54"/>
    </row>
    <row r="1449">
      <c r="A1449" s="57"/>
      <c r="B1449" s="57" t="str">
        <f>IFERROR(__xludf.DUMMYFUNCTION("""COMPUTED_VALUE"""),"    ")</f>
        <v>    </v>
      </c>
      <c r="C1449" s="57" t="str">
        <f>IFERROR(__xludf.DUMMYFUNCTION("""COMPUTED_VALUE"""),"")</f>
        <v/>
      </c>
      <c r="D1449" s="58"/>
      <c r="E1449" s="56"/>
      <c r="F1449" s="54"/>
      <c r="G1449" s="54"/>
      <c r="H1449" s="54"/>
      <c r="I1449" s="54"/>
      <c r="J1449" s="54"/>
      <c r="K1449" s="54"/>
    </row>
    <row r="1450">
      <c r="A1450" s="57"/>
      <c r="B1450" s="57" t="str">
        <f>IFERROR(__xludf.DUMMYFUNCTION("""COMPUTED_VALUE"""),"    ")</f>
        <v>    </v>
      </c>
      <c r="C1450" s="57" t="str">
        <f>IFERROR(__xludf.DUMMYFUNCTION("""COMPUTED_VALUE"""),"")</f>
        <v/>
      </c>
      <c r="D1450" s="58"/>
      <c r="E1450" s="56"/>
      <c r="F1450" s="54"/>
      <c r="G1450" s="54"/>
      <c r="H1450" s="54"/>
      <c r="I1450" s="54"/>
      <c r="J1450" s="54"/>
      <c r="K1450" s="54"/>
    </row>
    <row r="1451">
      <c r="A1451" s="57"/>
      <c r="B1451" s="57" t="str">
        <f>IFERROR(__xludf.DUMMYFUNCTION("""COMPUTED_VALUE"""),"    ")</f>
        <v>    </v>
      </c>
      <c r="C1451" s="57" t="str">
        <f>IFERROR(__xludf.DUMMYFUNCTION("""COMPUTED_VALUE"""),"")</f>
        <v/>
      </c>
      <c r="D1451" s="58"/>
      <c r="E1451" s="56"/>
      <c r="F1451" s="54"/>
      <c r="G1451" s="54"/>
      <c r="H1451" s="54"/>
      <c r="I1451" s="54"/>
      <c r="J1451" s="54"/>
      <c r="K1451" s="54"/>
    </row>
    <row r="1452">
      <c r="A1452" s="57"/>
      <c r="B1452" s="57" t="str">
        <f>IFERROR(__xludf.DUMMYFUNCTION("""COMPUTED_VALUE"""),"    ")</f>
        <v>    </v>
      </c>
      <c r="C1452" s="57" t="str">
        <f>IFERROR(__xludf.DUMMYFUNCTION("""COMPUTED_VALUE"""),"")</f>
        <v/>
      </c>
      <c r="D1452" s="58"/>
      <c r="E1452" s="56"/>
      <c r="F1452" s="54"/>
      <c r="G1452" s="54"/>
      <c r="H1452" s="54"/>
      <c r="I1452" s="54"/>
      <c r="J1452" s="54"/>
      <c r="K1452" s="54"/>
    </row>
    <row r="1453">
      <c r="A1453" s="57"/>
      <c r="B1453" s="57" t="str">
        <f>IFERROR(__xludf.DUMMYFUNCTION("""COMPUTED_VALUE"""),"    ")</f>
        <v>    </v>
      </c>
      <c r="C1453" s="57" t="str">
        <f>IFERROR(__xludf.DUMMYFUNCTION("""COMPUTED_VALUE"""),"")</f>
        <v/>
      </c>
      <c r="D1453" s="58"/>
      <c r="E1453" s="56"/>
      <c r="F1453" s="54"/>
      <c r="G1453" s="54"/>
      <c r="H1453" s="54"/>
      <c r="I1453" s="54"/>
      <c r="J1453" s="54"/>
      <c r="K1453" s="54"/>
    </row>
    <row r="1454">
      <c r="A1454" s="57"/>
      <c r="B1454" s="57" t="str">
        <f>IFERROR(__xludf.DUMMYFUNCTION("""COMPUTED_VALUE"""),"    ")</f>
        <v>    </v>
      </c>
      <c r="C1454" s="57" t="str">
        <f>IFERROR(__xludf.DUMMYFUNCTION("""COMPUTED_VALUE"""),"")</f>
        <v/>
      </c>
      <c r="D1454" s="58"/>
      <c r="E1454" s="56"/>
      <c r="F1454" s="54"/>
      <c r="G1454" s="54"/>
      <c r="H1454" s="54"/>
      <c r="I1454" s="54"/>
      <c r="J1454" s="54"/>
      <c r="K1454" s="54"/>
    </row>
    <row r="1455">
      <c r="A1455" s="57"/>
      <c r="B1455" s="57" t="str">
        <f>IFERROR(__xludf.DUMMYFUNCTION("""COMPUTED_VALUE"""),"    ")</f>
        <v>    </v>
      </c>
      <c r="C1455" s="57" t="str">
        <f>IFERROR(__xludf.DUMMYFUNCTION("""COMPUTED_VALUE"""),"")</f>
        <v/>
      </c>
      <c r="D1455" s="58"/>
      <c r="E1455" s="56"/>
      <c r="F1455" s="54"/>
      <c r="G1455" s="54"/>
      <c r="H1455" s="54"/>
      <c r="I1455" s="54"/>
      <c r="J1455" s="54"/>
      <c r="K1455" s="54"/>
    </row>
    <row r="1456">
      <c r="A1456" s="57"/>
      <c r="B1456" s="57" t="str">
        <f>IFERROR(__xludf.DUMMYFUNCTION("""COMPUTED_VALUE"""),"    ")</f>
        <v>    </v>
      </c>
      <c r="C1456" s="57" t="str">
        <f>IFERROR(__xludf.DUMMYFUNCTION("""COMPUTED_VALUE"""),"")</f>
        <v/>
      </c>
      <c r="D1456" s="58"/>
      <c r="E1456" s="56"/>
      <c r="F1456" s="54"/>
      <c r="G1456" s="54"/>
      <c r="H1456" s="54"/>
      <c r="I1456" s="54"/>
      <c r="J1456" s="54"/>
      <c r="K1456" s="54"/>
    </row>
    <row r="1457">
      <c r="A1457" s="57"/>
      <c r="B1457" s="57" t="str">
        <f>IFERROR(__xludf.DUMMYFUNCTION("""COMPUTED_VALUE"""),"    ")</f>
        <v>    </v>
      </c>
      <c r="C1457" s="57" t="str">
        <f>IFERROR(__xludf.DUMMYFUNCTION("""COMPUTED_VALUE"""),"")</f>
        <v/>
      </c>
      <c r="D1457" s="58"/>
      <c r="E1457" s="56"/>
      <c r="F1457" s="54"/>
      <c r="G1457" s="54"/>
      <c r="H1457" s="54"/>
      <c r="I1457" s="54"/>
      <c r="J1457" s="54"/>
      <c r="K1457" s="54"/>
    </row>
    <row r="1458">
      <c r="A1458" s="57"/>
      <c r="B1458" s="57" t="str">
        <f>IFERROR(__xludf.DUMMYFUNCTION("""COMPUTED_VALUE"""),"    ")</f>
        <v>    </v>
      </c>
      <c r="C1458" s="57" t="str">
        <f>IFERROR(__xludf.DUMMYFUNCTION("""COMPUTED_VALUE"""),"")</f>
        <v/>
      </c>
      <c r="D1458" s="58"/>
      <c r="E1458" s="56"/>
      <c r="F1458" s="54"/>
      <c r="G1458" s="54"/>
      <c r="H1458" s="54"/>
      <c r="I1458" s="54"/>
      <c r="J1458" s="54"/>
      <c r="K1458" s="54"/>
    </row>
    <row r="1459">
      <c r="A1459" s="57"/>
      <c r="B1459" s="57" t="str">
        <f>IFERROR(__xludf.DUMMYFUNCTION("""COMPUTED_VALUE"""),"    ")</f>
        <v>    </v>
      </c>
      <c r="C1459" s="57" t="str">
        <f>IFERROR(__xludf.DUMMYFUNCTION("""COMPUTED_VALUE"""),"")</f>
        <v/>
      </c>
      <c r="D1459" s="58"/>
      <c r="E1459" s="56"/>
      <c r="F1459" s="54"/>
      <c r="G1459" s="54"/>
      <c r="H1459" s="54"/>
      <c r="I1459" s="54"/>
      <c r="J1459" s="54"/>
      <c r="K1459" s="54"/>
    </row>
    <row r="1460">
      <c r="A1460" s="57"/>
      <c r="B1460" s="57" t="str">
        <f>IFERROR(__xludf.DUMMYFUNCTION("""COMPUTED_VALUE"""),"    ")</f>
        <v>    </v>
      </c>
      <c r="C1460" s="57" t="str">
        <f>IFERROR(__xludf.DUMMYFUNCTION("""COMPUTED_VALUE"""),"")</f>
        <v/>
      </c>
      <c r="D1460" s="58"/>
      <c r="E1460" s="56"/>
      <c r="F1460" s="54"/>
      <c r="G1460" s="54"/>
      <c r="H1460" s="54"/>
      <c r="I1460" s="54"/>
      <c r="J1460" s="54"/>
      <c r="K1460" s="54"/>
    </row>
    <row r="1461">
      <c r="A1461" s="57"/>
      <c r="B1461" s="57" t="str">
        <f>IFERROR(__xludf.DUMMYFUNCTION("""COMPUTED_VALUE"""),"    ")</f>
        <v>    </v>
      </c>
      <c r="C1461" s="57" t="str">
        <f>IFERROR(__xludf.DUMMYFUNCTION("""COMPUTED_VALUE"""),"")</f>
        <v/>
      </c>
      <c r="D1461" s="58"/>
      <c r="E1461" s="56"/>
      <c r="F1461" s="54"/>
      <c r="G1461" s="54"/>
      <c r="H1461" s="54"/>
      <c r="I1461" s="54"/>
      <c r="J1461" s="54"/>
      <c r="K1461" s="54"/>
    </row>
    <row r="1462">
      <c r="A1462" s="57"/>
      <c r="B1462" s="57" t="str">
        <f>IFERROR(__xludf.DUMMYFUNCTION("""COMPUTED_VALUE"""),"    ")</f>
        <v>    </v>
      </c>
      <c r="C1462" s="57" t="str">
        <f>IFERROR(__xludf.DUMMYFUNCTION("""COMPUTED_VALUE"""),"")</f>
        <v/>
      </c>
      <c r="D1462" s="58"/>
      <c r="E1462" s="56"/>
      <c r="F1462" s="54"/>
      <c r="G1462" s="54"/>
      <c r="H1462" s="54"/>
      <c r="I1462" s="54"/>
      <c r="J1462" s="54"/>
      <c r="K1462" s="54"/>
    </row>
    <row r="1463">
      <c r="A1463" s="57"/>
      <c r="B1463" s="57" t="str">
        <f>IFERROR(__xludf.DUMMYFUNCTION("""COMPUTED_VALUE"""),"    ")</f>
        <v>    </v>
      </c>
      <c r="C1463" s="57" t="str">
        <f>IFERROR(__xludf.DUMMYFUNCTION("""COMPUTED_VALUE"""),"")</f>
        <v/>
      </c>
      <c r="D1463" s="58"/>
      <c r="E1463" s="56"/>
      <c r="F1463" s="54"/>
      <c r="G1463" s="54"/>
      <c r="H1463" s="54"/>
      <c r="I1463" s="54"/>
      <c r="J1463" s="54"/>
      <c r="K1463" s="54"/>
    </row>
    <row r="1464">
      <c r="A1464" s="57"/>
      <c r="B1464" s="57" t="str">
        <f>IFERROR(__xludf.DUMMYFUNCTION("""COMPUTED_VALUE"""),"    ")</f>
        <v>    </v>
      </c>
      <c r="C1464" s="57" t="str">
        <f>IFERROR(__xludf.DUMMYFUNCTION("""COMPUTED_VALUE"""),"")</f>
        <v/>
      </c>
      <c r="D1464" s="58"/>
      <c r="E1464" s="56"/>
      <c r="F1464" s="54"/>
      <c r="G1464" s="54"/>
      <c r="H1464" s="54"/>
      <c r="I1464" s="54"/>
      <c r="J1464" s="54"/>
      <c r="K1464" s="54"/>
    </row>
    <row r="1465">
      <c r="A1465" s="57"/>
      <c r="B1465" s="57" t="str">
        <f>IFERROR(__xludf.DUMMYFUNCTION("""COMPUTED_VALUE"""),"    ")</f>
        <v>    </v>
      </c>
      <c r="C1465" s="57" t="str">
        <f>IFERROR(__xludf.DUMMYFUNCTION("""COMPUTED_VALUE"""),"")</f>
        <v/>
      </c>
      <c r="D1465" s="58"/>
      <c r="E1465" s="56"/>
      <c r="F1465" s="54"/>
      <c r="G1465" s="54"/>
      <c r="H1465" s="54"/>
      <c r="I1465" s="54"/>
      <c r="J1465" s="54"/>
      <c r="K1465" s="54"/>
    </row>
    <row r="1466">
      <c r="A1466" s="57"/>
      <c r="B1466" s="57" t="str">
        <f>IFERROR(__xludf.DUMMYFUNCTION("""COMPUTED_VALUE"""),"    ")</f>
        <v>    </v>
      </c>
      <c r="C1466" s="57" t="str">
        <f>IFERROR(__xludf.DUMMYFUNCTION("""COMPUTED_VALUE"""),"")</f>
        <v/>
      </c>
      <c r="D1466" s="58"/>
      <c r="E1466" s="56"/>
      <c r="F1466" s="54"/>
      <c r="G1466" s="54"/>
      <c r="H1466" s="54"/>
      <c r="I1466" s="54"/>
      <c r="J1466" s="54"/>
      <c r="K1466" s="54"/>
    </row>
    <row r="1467">
      <c r="A1467" s="57"/>
      <c r="B1467" s="57" t="str">
        <f>IFERROR(__xludf.DUMMYFUNCTION("""COMPUTED_VALUE"""),"    ")</f>
        <v>    </v>
      </c>
      <c r="C1467" s="57" t="str">
        <f>IFERROR(__xludf.DUMMYFUNCTION("""COMPUTED_VALUE"""),"")</f>
        <v/>
      </c>
      <c r="D1467" s="58"/>
      <c r="E1467" s="56"/>
      <c r="F1467" s="54"/>
      <c r="G1467" s="54"/>
      <c r="H1467" s="54"/>
      <c r="I1467" s="54"/>
      <c r="J1467" s="54"/>
      <c r="K1467" s="54"/>
    </row>
    <row r="1468">
      <c r="A1468" s="57"/>
      <c r="B1468" s="57" t="str">
        <f>IFERROR(__xludf.DUMMYFUNCTION("""COMPUTED_VALUE"""),"    ")</f>
        <v>    </v>
      </c>
      <c r="C1468" s="57" t="str">
        <f>IFERROR(__xludf.DUMMYFUNCTION("""COMPUTED_VALUE"""),"")</f>
        <v/>
      </c>
      <c r="D1468" s="58"/>
      <c r="E1468" s="56"/>
      <c r="F1468" s="54"/>
      <c r="G1468" s="54"/>
      <c r="H1468" s="54"/>
      <c r="I1468" s="54"/>
      <c r="J1468" s="54"/>
      <c r="K1468" s="54"/>
    </row>
    <row r="1469">
      <c r="A1469" s="57"/>
      <c r="B1469" s="57" t="str">
        <f>IFERROR(__xludf.DUMMYFUNCTION("""COMPUTED_VALUE"""),"    ")</f>
        <v>    </v>
      </c>
      <c r="C1469" s="57" t="str">
        <f>IFERROR(__xludf.DUMMYFUNCTION("""COMPUTED_VALUE"""),"")</f>
        <v/>
      </c>
      <c r="D1469" s="58"/>
      <c r="E1469" s="56"/>
      <c r="F1469" s="54"/>
      <c r="G1469" s="54"/>
      <c r="H1469" s="54"/>
      <c r="I1469" s="54"/>
      <c r="J1469" s="54"/>
      <c r="K1469" s="54"/>
    </row>
    <row r="1470">
      <c r="A1470" s="57"/>
      <c r="B1470" s="57" t="str">
        <f>IFERROR(__xludf.DUMMYFUNCTION("""COMPUTED_VALUE"""),"    ")</f>
        <v>    </v>
      </c>
      <c r="C1470" s="57" t="str">
        <f>IFERROR(__xludf.DUMMYFUNCTION("""COMPUTED_VALUE"""),"")</f>
        <v/>
      </c>
      <c r="D1470" s="58"/>
      <c r="E1470" s="56"/>
      <c r="F1470" s="54"/>
      <c r="G1470" s="54"/>
      <c r="H1470" s="54"/>
      <c r="I1470" s="54"/>
      <c r="J1470" s="54"/>
      <c r="K1470" s="54"/>
    </row>
    <row r="1471">
      <c r="A1471" s="57"/>
      <c r="B1471" s="57" t="str">
        <f>IFERROR(__xludf.DUMMYFUNCTION("""COMPUTED_VALUE"""),"    ")</f>
        <v>    </v>
      </c>
      <c r="C1471" s="57" t="str">
        <f>IFERROR(__xludf.DUMMYFUNCTION("""COMPUTED_VALUE"""),"")</f>
        <v/>
      </c>
      <c r="D1471" s="58"/>
      <c r="E1471" s="56"/>
      <c r="F1471" s="54"/>
      <c r="G1471" s="54"/>
      <c r="H1471" s="54"/>
      <c r="I1471" s="54"/>
      <c r="J1471" s="54"/>
      <c r="K1471" s="54"/>
    </row>
    <row r="1472">
      <c r="A1472" s="57"/>
      <c r="B1472" s="57" t="str">
        <f>IFERROR(__xludf.DUMMYFUNCTION("""COMPUTED_VALUE"""),"    ")</f>
        <v>    </v>
      </c>
      <c r="C1472" s="57" t="str">
        <f>IFERROR(__xludf.DUMMYFUNCTION("""COMPUTED_VALUE"""),"")</f>
        <v/>
      </c>
      <c r="D1472" s="58"/>
      <c r="E1472" s="56"/>
      <c r="F1472" s="54"/>
      <c r="G1472" s="54"/>
      <c r="H1472" s="54"/>
      <c r="I1472" s="54"/>
      <c r="J1472" s="54"/>
      <c r="K1472" s="54"/>
    </row>
    <row r="1473">
      <c r="A1473" s="57"/>
      <c r="B1473" s="57" t="str">
        <f>IFERROR(__xludf.DUMMYFUNCTION("""COMPUTED_VALUE"""),"    ")</f>
        <v>    </v>
      </c>
      <c r="C1473" s="57" t="str">
        <f>IFERROR(__xludf.DUMMYFUNCTION("""COMPUTED_VALUE"""),"")</f>
        <v/>
      </c>
      <c r="D1473" s="58"/>
      <c r="E1473" s="56"/>
      <c r="F1473" s="54"/>
      <c r="G1473" s="54"/>
      <c r="H1473" s="54"/>
      <c r="I1473" s="54"/>
      <c r="J1473" s="54"/>
      <c r="K1473" s="54"/>
    </row>
    <row r="1474">
      <c r="A1474" s="57"/>
      <c r="B1474" s="57" t="str">
        <f>IFERROR(__xludf.DUMMYFUNCTION("""COMPUTED_VALUE"""),"    ")</f>
        <v>    </v>
      </c>
      <c r="C1474" s="57" t="str">
        <f>IFERROR(__xludf.DUMMYFUNCTION("""COMPUTED_VALUE"""),"")</f>
        <v/>
      </c>
      <c r="D1474" s="58"/>
      <c r="E1474" s="56"/>
      <c r="F1474" s="54"/>
      <c r="G1474" s="54"/>
      <c r="H1474" s="54"/>
      <c r="I1474" s="54"/>
      <c r="J1474" s="54"/>
      <c r="K1474" s="54"/>
    </row>
    <row r="1475">
      <c r="A1475" s="57"/>
      <c r="B1475" s="57" t="str">
        <f>IFERROR(__xludf.DUMMYFUNCTION("""COMPUTED_VALUE"""),"    ")</f>
        <v>    </v>
      </c>
      <c r="C1475" s="57" t="str">
        <f>IFERROR(__xludf.DUMMYFUNCTION("""COMPUTED_VALUE"""),"")</f>
        <v/>
      </c>
      <c r="D1475" s="58"/>
      <c r="E1475" s="56"/>
      <c r="F1475" s="54"/>
      <c r="G1475" s="54"/>
      <c r="H1475" s="54"/>
      <c r="I1475" s="54"/>
      <c r="J1475" s="54"/>
      <c r="K1475" s="54"/>
    </row>
    <row r="1476">
      <c r="A1476" s="57"/>
      <c r="B1476" s="57" t="str">
        <f>IFERROR(__xludf.DUMMYFUNCTION("""COMPUTED_VALUE"""),"    ")</f>
        <v>    </v>
      </c>
      <c r="C1476" s="57" t="str">
        <f>IFERROR(__xludf.DUMMYFUNCTION("""COMPUTED_VALUE"""),"")</f>
        <v/>
      </c>
      <c r="D1476" s="58"/>
      <c r="E1476" s="56"/>
      <c r="F1476" s="54"/>
      <c r="G1476" s="54"/>
      <c r="H1476" s="54"/>
      <c r="I1476" s="54"/>
      <c r="J1476" s="54"/>
      <c r="K1476" s="54"/>
    </row>
    <row r="1477">
      <c r="A1477" s="57"/>
      <c r="B1477" s="57" t="str">
        <f>IFERROR(__xludf.DUMMYFUNCTION("""COMPUTED_VALUE"""),"    ")</f>
        <v>    </v>
      </c>
      <c r="C1477" s="57" t="str">
        <f>IFERROR(__xludf.DUMMYFUNCTION("""COMPUTED_VALUE"""),"")</f>
        <v/>
      </c>
      <c r="D1477" s="58"/>
      <c r="E1477" s="56"/>
      <c r="F1477" s="54"/>
      <c r="G1477" s="54"/>
      <c r="H1477" s="54"/>
      <c r="I1477" s="54"/>
      <c r="J1477" s="54"/>
      <c r="K1477" s="54"/>
    </row>
    <row r="1478">
      <c r="A1478" s="57"/>
      <c r="B1478" s="57" t="str">
        <f>IFERROR(__xludf.DUMMYFUNCTION("""COMPUTED_VALUE"""),"    ")</f>
        <v>    </v>
      </c>
      <c r="C1478" s="57" t="str">
        <f>IFERROR(__xludf.DUMMYFUNCTION("""COMPUTED_VALUE"""),"")</f>
        <v/>
      </c>
      <c r="D1478" s="58"/>
      <c r="E1478" s="56"/>
      <c r="F1478" s="54"/>
      <c r="G1478" s="54"/>
      <c r="H1478" s="54"/>
      <c r="I1478" s="54"/>
      <c r="J1478" s="54"/>
      <c r="K1478" s="54"/>
    </row>
    <row r="1479">
      <c r="A1479" s="57"/>
      <c r="B1479" s="57" t="str">
        <f>IFERROR(__xludf.DUMMYFUNCTION("""COMPUTED_VALUE"""),"    ")</f>
        <v>    </v>
      </c>
      <c r="C1479" s="57" t="str">
        <f>IFERROR(__xludf.DUMMYFUNCTION("""COMPUTED_VALUE"""),"")</f>
        <v/>
      </c>
      <c r="D1479" s="58"/>
      <c r="E1479" s="56"/>
      <c r="F1479" s="54"/>
      <c r="G1479" s="54"/>
      <c r="H1479" s="54"/>
      <c r="I1479" s="54"/>
      <c r="J1479" s="54"/>
      <c r="K1479" s="54"/>
    </row>
    <row r="1480">
      <c r="A1480" s="57"/>
      <c r="B1480" s="57" t="str">
        <f>IFERROR(__xludf.DUMMYFUNCTION("""COMPUTED_VALUE"""),"    ")</f>
        <v>    </v>
      </c>
      <c r="C1480" s="57" t="str">
        <f>IFERROR(__xludf.DUMMYFUNCTION("""COMPUTED_VALUE"""),"")</f>
        <v/>
      </c>
      <c r="D1480" s="58"/>
      <c r="E1480" s="56"/>
      <c r="F1480" s="54"/>
      <c r="G1480" s="54"/>
      <c r="H1480" s="54"/>
      <c r="I1480" s="54"/>
      <c r="J1480" s="54"/>
      <c r="K1480" s="54"/>
    </row>
    <row r="1481">
      <c r="A1481" s="57"/>
      <c r="B1481" s="57" t="str">
        <f>IFERROR(__xludf.DUMMYFUNCTION("""COMPUTED_VALUE"""),"    ")</f>
        <v>    </v>
      </c>
      <c r="C1481" s="57" t="str">
        <f>IFERROR(__xludf.DUMMYFUNCTION("""COMPUTED_VALUE"""),"")</f>
        <v/>
      </c>
      <c r="D1481" s="58"/>
      <c r="E1481" s="56"/>
      <c r="F1481" s="54"/>
      <c r="G1481" s="54"/>
      <c r="H1481" s="54"/>
      <c r="I1481" s="54"/>
      <c r="J1481" s="54"/>
      <c r="K1481" s="54"/>
    </row>
    <row r="1482">
      <c r="A1482" s="57"/>
      <c r="B1482" s="57" t="str">
        <f>IFERROR(__xludf.DUMMYFUNCTION("""COMPUTED_VALUE"""),"    ")</f>
        <v>    </v>
      </c>
      <c r="C1482" s="57" t="str">
        <f>IFERROR(__xludf.DUMMYFUNCTION("""COMPUTED_VALUE"""),"")</f>
        <v/>
      </c>
      <c r="D1482" s="58"/>
      <c r="E1482" s="56"/>
      <c r="F1482" s="54"/>
      <c r="G1482" s="54"/>
      <c r="H1482" s="54"/>
      <c r="I1482" s="54"/>
      <c r="J1482" s="54"/>
      <c r="K1482" s="54"/>
    </row>
    <row r="1483">
      <c r="A1483" s="57"/>
      <c r="B1483" s="57" t="str">
        <f>IFERROR(__xludf.DUMMYFUNCTION("""COMPUTED_VALUE"""),"    ")</f>
        <v>    </v>
      </c>
      <c r="C1483" s="57" t="str">
        <f>IFERROR(__xludf.DUMMYFUNCTION("""COMPUTED_VALUE"""),"")</f>
        <v/>
      </c>
      <c r="D1483" s="58"/>
      <c r="E1483" s="56"/>
      <c r="F1483" s="54"/>
      <c r="G1483" s="54"/>
      <c r="H1483" s="54"/>
      <c r="I1483" s="54"/>
      <c r="J1483" s="54"/>
      <c r="K1483" s="54"/>
    </row>
    <row r="1484">
      <c r="A1484" s="57"/>
      <c r="B1484" s="57" t="str">
        <f>IFERROR(__xludf.DUMMYFUNCTION("""COMPUTED_VALUE"""),"    ")</f>
        <v>    </v>
      </c>
      <c r="C1484" s="57" t="str">
        <f>IFERROR(__xludf.DUMMYFUNCTION("""COMPUTED_VALUE"""),"")</f>
        <v/>
      </c>
      <c r="D1484" s="58"/>
      <c r="E1484" s="56"/>
      <c r="F1484" s="54"/>
      <c r="G1484" s="54"/>
      <c r="H1484" s="54"/>
      <c r="I1484" s="54"/>
      <c r="J1484" s="54"/>
      <c r="K1484" s="54"/>
    </row>
    <row r="1485">
      <c r="A1485" s="57"/>
      <c r="B1485" s="57" t="str">
        <f>IFERROR(__xludf.DUMMYFUNCTION("""COMPUTED_VALUE"""),"    ")</f>
        <v>    </v>
      </c>
      <c r="C1485" s="57" t="str">
        <f>IFERROR(__xludf.DUMMYFUNCTION("""COMPUTED_VALUE"""),"")</f>
        <v/>
      </c>
      <c r="D1485" s="58"/>
      <c r="E1485" s="56"/>
      <c r="F1485" s="54"/>
      <c r="G1485" s="54"/>
      <c r="H1485" s="54"/>
      <c r="I1485" s="54"/>
      <c r="J1485" s="54"/>
      <c r="K1485" s="54"/>
    </row>
    <row r="1486">
      <c r="A1486" s="57"/>
      <c r="B1486" s="57" t="str">
        <f>IFERROR(__xludf.DUMMYFUNCTION("""COMPUTED_VALUE"""),"    ")</f>
        <v>    </v>
      </c>
      <c r="C1486" s="57" t="str">
        <f>IFERROR(__xludf.DUMMYFUNCTION("""COMPUTED_VALUE"""),"")</f>
        <v/>
      </c>
      <c r="D1486" s="58"/>
      <c r="E1486" s="56"/>
      <c r="F1486" s="54"/>
      <c r="G1486" s="54"/>
      <c r="H1486" s="54"/>
      <c r="I1486" s="54"/>
      <c r="J1486" s="54"/>
      <c r="K1486" s="54"/>
    </row>
    <row r="1487">
      <c r="A1487" s="57"/>
      <c r="B1487" s="57" t="str">
        <f>IFERROR(__xludf.DUMMYFUNCTION("""COMPUTED_VALUE"""),"    ")</f>
        <v>    </v>
      </c>
      <c r="C1487" s="57" t="str">
        <f>IFERROR(__xludf.DUMMYFUNCTION("""COMPUTED_VALUE"""),"")</f>
        <v/>
      </c>
      <c r="D1487" s="58"/>
      <c r="E1487" s="56"/>
      <c r="F1487" s="54"/>
      <c r="G1487" s="54"/>
      <c r="H1487" s="54"/>
      <c r="I1487" s="54"/>
      <c r="J1487" s="54"/>
      <c r="K1487" s="54"/>
    </row>
    <row r="1488">
      <c r="A1488" s="57"/>
      <c r="B1488" s="57" t="str">
        <f>IFERROR(__xludf.DUMMYFUNCTION("""COMPUTED_VALUE"""),"    ")</f>
        <v>    </v>
      </c>
      <c r="C1488" s="57" t="str">
        <f>IFERROR(__xludf.DUMMYFUNCTION("""COMPUTED_VALUE"""),"")</f>
        <v/>
      </c>
      <c r="D1488" s="58"/>
      <c r="E1488" s="56"/>
      <c r="F1488" s="54"/>
      <c r="G1488" s="54"/>
      <c r="H1488" s="54"/>
      <c r="I1488" s="54"/>
      <c r="J1488" s="54"/>
      <c r="K1488" s="54"/>
    </row>
    <row r="1489">
      <c r="A1489" s="57"/>
      <c r="B1489" s="57" t="str">
        <f>IFERROR(__xludf.DUMMYFUNCTION("""COMPUTED_VALUE"""),"    ")</f>
        <v>    </v>
      </c>
      <c r="C1489" s="57" t="str">
        <f>IFERROR(__xludf.DUMMYFUNCTION("""COMPUTED_VALUE"""),"")</f>
        <v/>
      </c>
      <c r="D1489" s="58"/>
      <c r="E1489" s="56"/>
      <c r="F1489" s="54"/>
      <c r="G1489" s="54"/>
      <c r="H1489" s="54"/>
      <c r="I1489" s="54"/>
      <c r="J1489" s="54"/>
      <c r="K1489" s="54"/>
    </row>
    <row r="1490">
      <c r="A1490" s="57"/>
      <c r="B1490" s="57" t="str">
        <f>IFERROR(__xludf.DUMMYFUNCTION("""COMPUTED_VALUE"""),"    ")</f>
        <v>    </v>
      </c>
      <c r="C1490" s="57" t="str">
        <f>IFERROR(__xludf.DUMMYFUNCTION("""COMPUTED_VALUE"""),"")</f>
        <v/>
      </c>
      <c r="D1490" s="58"/>
      <c r="E1490" s="56"/>
      <c r="F1490" s="54"/>
      <c r="G1490" s="54"/>
      <c r="H1490" s="54"/>
      <c r="I1490" s="54"/>
      <c r="J1490" s="54"/>
      <c r="K1490" s="54"/>
    </row>
    <row r="1491">
      <c r="A1491" s="57"/>
      <c r="B1491" s="57" t="str">
        <f>IFERROR(__xludf.DUMMYFUNCTION("""COMPUTED_VALUE"""),"    ")</f>
        <v>    </v>
      </c>
      <c r="C1491" s="57" t="str">
        <f>IFERROR(__xludf.DUMMYFUNCTION("""COMPUTED_VALUE"""),"")</f>
        <v/>
      </c>
      <c r="D1491" s="58"/>
      <c r="E1491" s="56"/>
      <c r="F1491" s="54"/>
      <c r="G1491" s="54"/>
      <c r="H1491" s="54"/>
      <c r="I1491" s="54"/>
      <c r="J1491" s="54"/>
      <c r="K1491" s="54"/>
    </row>
    <row r="1492">
      <c r="A1492" s="57"/>
      <c r="B1492" s="57" t="str">
        <f>IFERROR(__xludf.DUMMYFUNCTION("""COMPUTED_VALUE"""),"    ")</f>
        <v>    </v>
      </c>
      <c r="C1492" s="57" t="str">
        <f>IFERROR(__xludf.DUMMYFUNCTION("""COMPUTED_VALUE"""),"")</f>
        <v/>
      </c>
      <c r="D1492" s="58"/>
      <c r="E1492" s="56"/>
      <c r="F1492" s="54"/>
      <c r="G1492" s="54"/>
      <c r="H1492" s="54"/>
      <c r="I1492" s="54"/>
      <c r="J1492" s="54"/>
      <c r="K1492" s="54"/>
    </row>
    <row r="1493">
      <c r="A1493" s="57"/>
      <c r="B1493" s="57" t="str">
        <f>IFERROR(__xludf.DUMMYFUNCTION("""COMPUTED_VALUE"""),"    ")</f>
        <v>    </v>
      </c>
      <c r="C1493" s="57" t="str">
        <f>IFERROR(__xludf.DUMMYFUNCTION("""COMPUTED_VALUE"""),"")</f>
        <v/>
      </c>
      <c r="D1493" s="58"/>
      <c r="E1493" s="56"/>
      <c r="F1493" s="54"/>
      <c r="G1493" s="54"/>
      <c r="H1493" s="54"/>
      <c r="I1493" s="54"/>
      <c r="J1493" s="54"/>
      <c r="K1493" s="54"/>
    </row>
    <row r="1494">
      <c r="A1494" s="57"/>
      <c r="B1494" s="57" t="str">
        <f>IFERROR(__xludf.DUMMYFUNCTION("""COMPUTED_VALUE"""),"    ")</f>
        <v>    </v>
      </c>
      <c r="C1494" s="57" t="str">
        <f>IFERROR(__xludf.DUMMYFUNCTION("""COMPUTED_VALUE"""),"")</f>
        <v/>
      </c>
      <c r="D1494" s="58"/>
      <c r="E1494" s="56"/>
      <c r="F1494" s="54"/>
      <c r="G1494" s="54"/>
      <c r="H1494" s="54"/>
      <c r="I1494" s="54"/>
      <c r="J1494" s="54"/>
      <c r="K1494" s="54"/>
    </row>
    <row r="1495">
      <c r="A1495" s="57"/>
      <c r="B1495" s="57" t="str">
        <f>IFERROR(__xludf.DUMMYFUNCTION("""COMPUTED_VALUE"""),"    ")</f>
        <v>    </v>
      </c>
      <c r="C1495" s="57" t="str">
        <f>IFERROR(__xludf.DUMMYFUNCTION("""COMPUTED_VALUE"""),"")</f>
        <v/>
      </c>
      <c r="D1495" s="58"/>
      <c r="E1495" s="56"/>
      <c r="F1495" s="54"/>
      <c r="G1495" s="54"/>
      <c r="H1495" s="54"/>
      <c r="I1495" s="54"/>
      <c r="J1495" s="54"/>
      <c r="K1495" s="54"/>
    </row>
    <row r="1496">
      <c r="A1496" s="57"/>
      <c r="B1496" s="57" t="str">
        <f>IFERROR(__xludf.DUMMYFUNCTION("""COMPUTED_VALUE"""),"    ")</f>
        <v>    </v>
      </c>
      <c r="C1496" s="57" t="str">
        <f>IFERROR(__xludf.DUMMYFUNCTION("""COMPUTED_VALUE"""),"")</f>
        <v/>
      </c>
      <c r="D1496" s="58"/>
      <c r="E1496" s="56"/>
      <c r="F1496" s="54"/>
      <c r="G1496" s="54"/>
      <c r="H1496" s="54"/>
      <c r="I1496" s="54"/>
      <c r="J1496" s="54"/>
      <c r="K1496" s="54"/>
    </row>
    <row r="1497">
      <c r="A1497" s="57"/>
      <c r="B1497" s="57" t="str">
        <f>IFERROR(__xludf.DUMMYFUNCTION("""COMPUTED_VALUE"""),"    ")</f>
        <v>    </v>
      </c>
      <c r="C1497" s="57" t="str">
        <f>IFERROR(__xludf.DUMMYFUNCTION("""COMPUTED_VALUE"""),"")</f>
        <v/>
      </c>
      <c r="D1497" s="58"/>
      <c r="E1497" s="56"/>
      <c r="F1497" s="54"/>
      <c r="G1497" s="54"/>
      <c r="H1497" s="54"/>
      <c r="I1497" s="54"/>
      <c r="J1497" s="54"/>
      <c r="K1497" s="54"/>
    </row>
    <row r="1498">
      <c r="A1498" s="57"/>
      <c r="B1498" s="57" t="str">
        <f>IFERROR(__xludf.DUMMYFUNCTION("""COMPUTED_VALUE"""),"    ")</f>
        <v>    </v>
      </c>
      <c r="C1498" s="57" t="str">
        <f>IFERROR(__xludf.DUMMYFUNCTION("""COMPUTED_VALUE"""),"")</f>
        <v/>
      </c>
      <c r="D1498" s="58"/>
      <c r="E1498" s="56"/>
      <c r="F1498" s="54"/>
      <c r="G1498" s="54"/>
      <c r="H1498" s="54"/>
      <c r="I1498" s="54"/>
      <c r="J1498" s="54"/>
      <c r="K1498" s="54"/>
    </row>
    <row r="1499">
      <c r="A1499" s="57"/>
      <c r="B1499" s="57" t="str">
        <f>IFERROR(__xludf.DUMMYFUNCTION("""COMPUTED_VALUE"""),"    ")</f>
        <v>    </v>
      </c>
      <c r="C1499" s="57" t="str">
        <f>IFERROR(__xludf.DUMMYFUNCTION("""COMPUTED_VALUE"""),"")</f>
        <v/>
      </c>
      <c r="D1499" s="58"/>
      <c r="E1499" s="56"/>
      <c r="F1499" s="54"/>
      <c r="G1499" s="54"/>
      <c r="H1499" s="54"/>
      <c r="I1499" s="54"/>
      <c r="J1499" s="54"/>
      <c r="K1499" s="54"/>
    </row>
    <row r="1500">
      <c r="A1500" s="57"/>
      <c r="B1500" s="57" t="str">
        <f>IFERROR(__xludf.DUMMYFUNCTION("""COMPUTED_VALUE"""),"    ")</f>
        <v>    </v>
      </c>
      <c r="C1500" s="57" t="str">
        <f>IFERROR(__xludf.DUMMYFUNCTION("""COMPUTED_VALUE"""),"")</f>
        <v/>
      </c>
      <c r="D1500" s="58"/>
      <c r="E1500" s="56"/>
      <c r="F1500" s="54"/>
      <c r="G1500" s="54"/>
      <c r="H1500" s="54"/>
      <c r="I1500" s="54"/>
      <c r="J1500" s="54"/>
      <c r="K1500" s="54"/>
    </row>
    <row r="1501">
      <c r="A1501" s="57"/>
      <c r="B1501" s="57" t="str">
        <f>IFERROR(__xludf.DUMMYFUNCTION("""COMPUTED_VALUE"""),"    ")</f>
        <v>    </v>
      </c>
      <c r="C1501" s="57" t="str">
        <f>IFERROR(__xludf.DUMMYFUNCTION("""COMPUTED_VALUE"""),"")</f>
        <v/>
      </c>
      <c r="D1501" s="58"/>
      <c r="E1501" s="56"/>
      <c r="F1501" s="54"/>
      <c r="G1501" s="54"/>
      <c r="H1501" s="54"/>
      <c r="I1501" s="54"/>
      <c r="J1501" s="54"/>
      <c r="K1501" s="54"/>
    </row>
    <row r="1502">
      <c r="A1502" s="57"/>
      <c r="B1502" s="57" t="str">
        <f>IFERROR(__xludf.DUMMYFUNCTION("""COMPUTED_VALUE"""),"    ")</f>
        <v>    </v>
      </c>
      <c r="C1502" s="57" t="str">
        <f>IFERROR(__xludf.DUMMYFUNCTION("""COMPUTED_VALUE"""),"")</f>
        <v/>
      </c>
      <c r="D1502" s="58"/>
      <c r="E1502" s="56"/>
      <c r="F1502" s="54"/>
      <c r="G1502" s="54"/>
      <c r="H1502" s="54"/>
      <c r="I1502" s="54"/>
      <c r="J1502" s="54"/>
      <c r="K1502" s="54"/>
    </row>
    <row r="1503">
      <c r="A1503" s="57"/>
      <c r="B1503" s="57" t="str">
        <f>IFERROR(__xludf.DUMMYFUNCTION("""COMPUTED_VALUE"""),"    ")</f>
        <v>    </v>
      </c>
      <c r="C1503" s="57" t="str">
        <f>IFERROR(__xludf.DUMMYFUNCTION("""COMPUTED_VALUE"""),"")</f>
        <v/>
      </c>
      <c r="D1503" s="58"/>
      <c r="E1503" s="56"/>
      <c r="F1503" s="54"/>
      <c r="G1503" s="54"/>
      <c r="H1503" s="54"/>
      <c r="I1503" s="54"/>
      <c r="J1503" s="54"/>
      <c r="K1503" s="54"/>
    </row>
    <row r="1504">
      <c r="A1504" s="57"/>
      <c r="B1504" s="57" t="str">
        <f>IFERROR(__xludf.DUMMYFUNCTION("""COMPUTED_VALUE"""),"    ")</f>
        <v>    </v>
      </c>
      <c r="C1504" s="57" t="str">
        <f>IFERROR(__xludf.DUMMYFUNCTION("""COMPUTED_VALUE"""),"")</f>
        <v/>
      </c>
      <c r="D1504" s="58"/>
      <c r="E1504" s="56"/>
      <c r="F1504" s="54"/>
      <c r="G1504" s="54"/>
      <c r="H1504" s="54"/>
      <c r="I1504" s="54"/>
      <c r="J1504" s="54"/>
      <c r="K1504" s="54"/>
    </row>
    <row r="1505">
      <c r="A1505" s="57"/>
      <c r="B1505" s="57" t="str">
        <f>IFERROR(__xludf.DUMMYFUNCTION("""COMPUTED_VALUE"""),"    ")</f>
        <v>    </v>
      </c>
      <c r="C1505" s="57" t="str">
        <f>IFERROR(__xludf.DUMMYFUNCTION("""COMPUTED_VALUE"""),"")</f>
        <v/>
      </c>
      <c r="D1505" s="58"/>
      <c r="E1505" s="56"/>
      <c r="F1505" s="54"/>
      <c r="G1505" s="54"/>
      <c r="H1505" s="54"/>
      <c r="I1505" s="54"/>
      <c r="J1505" s="54"/>
      <c r="K1505" s="54"/>
    </row>
    <row r="1506">
      <c r="A1506" s="57"/>
      <c r="B1506" s="57" t="str">
        <f>IFERROR(__xludf.DUMMYFUNCTION("""COMPUTED_VALUE"""),"    ")</f>
        <v>    </v>
      </c>
      <c r="C1506" s="57" t="str">
        <f>IFERROR(__xludf.DUMMYFUNCTION("""COMPUTED_VALUE"""),"")</f>
        <v/>
      </c>
      <c r="D1506" s="58"/>
      <c r="E1506" s="56"/>
      <c r="F1506" s="54"/>
      <c r="G1506" s="54"/>
      <c r="H1506" s="54"/>
      <c r="I1506" s="54"/>
      <c r="J1506" s="54"/>
      <c r="K1506" s="54"/>
    </row>
    <row r="1507">
      <c r="A1507" s="57"/>
      <c r="B1507" s="57" t="str">
        <f>IFERROR(__xludf.DUMMYFUNCTION("""COMPUTED_VALUE"""),"    ")</f>
        <v>    </v>
      </c>
      <c r="C1507" s="57" t="str">
        <f>IFERROR(__xludf.DUMMYFUNCTION("""COMPUTED_VALUE"""),"")</f>
        <v/>
      </c>
      <c r="D1507" s="58"/>
      <c r="E1507" s="56"/>
      <c r="F1507" s="54"/>
      <c r="G1507" s="54"/>
      <c r="H1507" s="54"/>
      <c r="I1507" s="54"/>
      <c r="J1507" s="54"/>
      <c r="K1507" s="54"/>
    </row>
    <row r="1508">
      <c r="A1508" s="57"/>
      <c r="B1508" s="57" t="str">
        <f>IFERROR(__xludf.DUMMYFUNCTION("""COMPUTED_VALUE"""),"    ")</f>
        <v>    </v>
      </c>
      <c r="C1508" s="57" t="str">
        <f>IFERROR(__xludf.DUMMYFUNCTION("""COMPUTED_VALUE"""),"")</f>
        <v/>
      </c>
      <c r="D1508" s="58"/>
      <c r="E1508" s="56"/>
      <c r="F1508" s="54"/>
      <c r="G1508" s="54"/>
      <c r="H1508" s="54"/>
      <c r="I1508" s="54"/>
      <c r="J1508" s="54"/>
      <c r="K1508" s="54"/>
    </row>
    <row r="1509">
      <c r="A1509" s="57"/>
      <c r="B1509" s="57" t="str">
        <f>IFERROR(__xludf.DUMMYFUNCTION("""COMPUTED_VALUE"""),"    ")</f>
        <v>    </v>
      </c>
      <c r="C1509" s="57" t="str">
        <f>IFERROR(__xludf.DUMMYFUNCTION("""COMPUTED_VALUE"""),"")</f>
        <v/>
      </c>
      <c r="D1509" s="58"/>
      <c r="E1509" s="56"/>
      <c r="F1509" s="54"/>
      <c r="G1509" s="54"/>
      <c r="H1509" s="54"/>
      <c r="I1509" s="54"/>
      <c r="J1509" s="54"/>
      <c r="K1509" s="54"/>
    </row>
    <row r="1510">
      <c r="A1510" s="57"/>
      <c r="B1510" s="57" t="str">
        <f>IFERROR(__xludf.DUMMYFUNCTION("""COMPUTED_VALUE"""),"    ")</f>
        <v>    </v>
      </c>
      <c r="C1510" s="57" t="str">
        <f>IFERROR(__xludf.DUMMYFUNCTION("""COMPUTED_VALUE"""),"")</f>
        <v/>
      </c>
      <c r="D1510" s="58"/>
      <c r="E1510" s="56"/>
      <c r="F1510" s="54"/>
      <c r="G1510" s="54"/>
      <c r="H1510" s="54"/>
      <c r="I1510" s="54"/>
      <c r="J1510" s="54"/>
      <c r="K1510" s="54"/>
    </row>
    <row r="1511">
      <c r="A1511" s="57"/>
      <c r="B1511" s="57" t="str">
        <f>IFERROR(__xludf.DUMMYFUNCTION("""COMPUTED_VALUE"""),"    ")</f>
        <v>    </v>
      </c>
      <c r="C1511" s="57" t="str">
        <f>IFERROR(__xludf.DUMMYFUNCTION("""COMPUTED_VALUE"""),"")</f>
        <v/>
      </c>
      <c r="D1511" s="58"/>
      <c r="E1511" s="56"/>
      <c r="F1511" s="54"/>
      <c r="G1511" s="54"/>
      <c r="H1511" s="54"/>
      <c r="I1511" s="54"/>
      <c r="J1511" s="54"/>
      <c r="K1511" s="54"/>
    </row>
    <row r="1512">
      <c r="A1512" s="57"/>
      <c r="B1512" s="57" t="str">
        <f>IFERROR(__xludf.DUMMYFUNCTION("""COMPUTED_VALUE"""),"    ")</f>
        <v>    </v>
      </c>
      <c r="C1512" s="57" t="str">
        <f>IFERROR(__xludf.DUMMYFUNCTION("""COMPUTED_VALUE"""),"")</f>
        <v/>
      </c>
      <c r="D1512" s="58"/>
      <c r="E1512" s="56"/>
      <c r="F1512" s="54"/>
      <c r="G1512" s="54"/>
      <c r="H1512" s="54"/>
      <c r="I1512" s="54"/>
      <c r="J1512" s="54"/>
      <c r="K1512" s="54"/>
    </row>
    <row r="1513">
      <c r="A1513" s="57"/>
      <c r="B1513" s="57" t="str">
        <f>IFERROR(__xludf.DUMMYFUNCTION("""COMPUTED_VALUE"""),"    ")</f>
        <v>    </v>
      </c>
      <c r="C1513" s="57" t="str">
        <f>IFERROR(__xludf.DUMMYFUNCTION("""COMPUTED_VALUE"""),"")</f>
        <v/>
      </c>
      <c r="D1513" s="58"/>
      <c r="E1513" s="56"/>
      <c r="F1513" s="54"/>
      <c r="G1513" s="54"/>
      <c r="H1513" s="54"/>
      <c r="I1513" s="54"/>
      <c r="J1513" s="54"/>
      <c r="K1513" s="54"/>
    </row>
    <row r="1514">
      <c r="A1514" s="57"/>
      <c r="B1514" s="57" t="str">
        <f>IFERROR(__xludf.DUMMYFUNCTION("""COMPUTED_VALUE"""),"    ")</f>
        <v>    </v>
      </c>
      <c r="C1514" s="57" t="str">
        <f>IFERROR(__xludf.DUMMYFUNCTION("""COMPUTED_VALUE"""),"")</f>
        <v/>
      </c>
      <c r="D1514" s="58"/>
      <c r="E1514" s="56"/>
      <c r="F1514" s="54"/>
      <c r="G1514" s="54"/>
      <c r="H1514" s="54"/>
      <c r="I1514" s="54"/>
      <c r="J1514" s="54"/>
      <c r="K1514" s="54"/>
    </row>
    <row r="1515">
      <c r="A1515" s="57"/>
      <c r="B1515" s="57" t="str">
        <f>IFERROR(__xludf.DUMMYFUNCTION("""COMPUTED_VALUE"""),"    ")</f>
        <v>    </v>
      </c>
      <c r="C1515" s="57" t="str">
        <f>IFERROR(__xludf.DUMMYFUNCTION("""COMPUTED_VALUE"""),"")</f>
        <v/>
      </c>
      <c r="D1515" s="58"/>
      <c r="E1515" s="56"/>
      <c r="F1515" s="54"/>
      <c r="G1515" s="54"/>
      <c r="H1515" s="54"/>
      <c r="I1515" s="54"/>
      <c r="J1515" s="54"/>
      <c r="K1515" s="54"/>
    </row>
    <row r="1516">
      <c r="A1516" s="57"/>
      <c r="B1516" s="57" t="str">
        <f>IFERROR(__xludf.DUMMYFUNCTION("""COMPUTED_VALUE"""),"    ")</f>
        <v>    </v>
      </c>
      <c r="C1516" s="57" t="str">
        <f>IFERROR(__xludf.DUMMYFUNCTION("""COMPUTED_VALUE"""),"")</f>
        <v/>
      </c>
      <c r="D1516" s="58"/>
      <c r="E1516" s="56"/>
      <c r="F1516" s="54"/>
      <c r="G1516" s="54"/>
      <c r="H1516" s="54"/>
      <c r="I1516" s="54"/>
      <c r="J1516" s="54"/>
      <c r="K1516" s="54"/>
    </row>
    <row r="1517">
      <c r="A1517" s="57"/>
      <c r="B1517" s="57" t="str">
        <f>IFERROR(__xludf.DUMMYFUNCTION("""COMPUTED_VALUE"""),"    ")</f>
        <v>    </v>
      </c>
      <c r="C1517" s="57" t="str">
        <f>IFERROR(__xludf.DUMMYFUNCTION("""COMPUTED_VALUE"""),"")</f>
        <v/>
      </c>
      <c r="D1517" s="58"/>
      <c r="E1517" s="56"/>
      <c r="F1517" s="54"/>
      <c r="G1517" s="54"/>
      <c r="H1517" s="54"/>
      <c r="I1517" s="54"/>
      <c r="J1517" s="54"/>
      <c r="K1517" s="54"/>
    </row>
    <row r="1518">
      <c r="A1518" s="57"/>
      <c r="B1518" s="57" t="str">
        <f>IFERROR(__xludf.DUMMYFUNCTION("""COMPUTED_VALUE"""),"    ")</f>
        <v>    </v>
      </c>
      <c r="C1518" s="57" t="str">
        <f>IFERROR(__xludf.DUMMYFUNCTION("""COMPUTED_VALUE"""),"")</f>
        <v/>
      </c>
      <c r="D1518" s="58"/>
      <c r="E1518" s="56"/>
      <c r="F1518" s="54"/>
      <c r="G1518" s="54"/>
      <c r="H1518" s="54"/>
      <c r="I1518" s="54"/>
      <c r="J1518" s="54"/>
      <c r="K1518" s="54"/>
    </row>
    <row r="1519">
      <c r="A1519" s="57"/>
      <c r="B1519" s="57" t="str">
        <f>IFERROR(__xludf.DUMMYFUNCTION("""COMPUTED_VALUE"""),"    ")</f>
        <v>    </v>
      </c>
      <c r="C1519" s="57" t="str">
        <f>IFERROR(__xludf.DUMMYFUNCTION("""COMPUTED_VALUE"""),"")</f>
        <v/>
      </c>
      <c r="D1519" s="58"/>
      <c r="E1519" s="56"/>
      <c r="F1519" s="54"/>
      <c r="G1519" s="54"/>
      <c r="H1519" s="54"/>
      <c r="I1519" s="54"/>
      <c r="J1519" s="54"/>
      <c r="K1519" s="54"/>
    </row>
    <row r="1520">
      <c r="A1520" s="57"/>
      <c r="B1520" s="57" t="str">
        <f>IFERROR(__xludf.DUMMYFUNCTION("""COMPUTED_VALUE"""),"    ")</f>
        <v>    </v>
      </c>
      <c r="C1520" s="57" t="str">
        <f>IFERROR(__xludf.DUMMYFUNCTION("""COMPUTED_VALUE"""),"")</f>
        <v/>
      </c>
      <c r="D1520" s="58"/>
      <c r="E1520" s="56"/>
      <c r="F1520" s="54"/>
      <c r="G1520" s="54"/>
      <c r="H1520" s="54"/>
      <c r="I1520" s="54"/>
      <c r="J1520" s="54"/>
      <c r="K1520" s="54"/>
    </row>
    <row r="1521">
      <c r="A1521" s="57"/>
      <c r="B1521" s="57" t="str">
        <f>IFERROR(__xludf.DUMMYFUNCTION("""COMPUTED_VALUE"""),"    ")</f>
        <v>    </v>
      </c>
      <c r="C1521" s="57" t="str">
        <f>IFERROR(__xludf.DUMMYFUNCTION("""COMPUTED_VALUE"""),"")</f>
        <v/>
      </c>
      <c r="D1521" s="58"/>
      <c r="E1521" s="56"/>
      <c r="F1521" s="54"/>
      <c r="G1521" s="54"/>
      <c r="H1521" s="54"/>
      <c r="I1521" s="54"/>
      <c r="J1521" s="54"/>
      <c r="K1521" s="54"/>
    </row>
    <row r="1522">
      <c r="A1522" s="57"/>
      <c r="B1522" s="57" t="str">
        <f>IFERROR(__xludf.DUMMYFUNCTION("""COMPUTED_VALUE"""),"    ")</f>
        <v>    </v>
      </c>
      <c r="C1522" s="57" t="str">
        <f>IFERROR(__xludf.DUMMYFUNCTION("""COMPUTED_VALUE"""),"")</f>
        <v/>
      </c>
      <c r="D1522" s="58"/>
      <c r="E1522" s="56"/>
      <c r="F1522" s="54"/>
      <c r="G1522" s="54"/>
      <c r="H1522" s="54"/>
      <c r="I1522" s="54"/>
      <c r="J1522" s="54"/>
      <c r="K1522" s="54"/>
    </row>
    <row r="1523">
      <c r="A1523" s="57"/>
      <c r="B1523" s="57" t="str">
        <f>IFERROR(__xludf.DUMMYFUNCTION("""COMPUTED_VALUE"""),"    ")</f>
        <v>    </v>
      </c>
      <c r="C1523" s="57" t="str">
        <f>IFERROR(__xludf.DUMMYFUNCTION("""COMPUTED_VALUE"""),"")</f>
        <v/>
      </c>
      <c r="D1523" s="58"/>
      <c r="E1523" s="56"/>
      <c r="F1523" s="54"/>
      <c r="G1523" s="54"/>
      <c r="H1523" s="54"/>
      <c r="I1523" s="54"/>
      <c r="J1523" s="54"/>
      <c r="K1523" s="54"/>
    </row>
    <row r="1524">
      <c r="A1524" s="57"/>
      <c r="B1524" s="57" t="str">
        <f>IFERROR(__xludf.DUMMYFUNCTION("""COMPUTED_VALUE"""),"    ")</f>
        <v>    </v>
      </c>
      <c r="C1524" s="57" t="str">
        <f>IFERROR(__xludf.DUMMYFUNCTION("""COMPUTED_VALUE"""),"")</f>
        <v/>
      </c>
      <c r="D1524" s="58"/>
      <c r="E1524" s="56"/>
      <c r="F1524" s="54"/>
      <c r="G1524" s="54"/>
      <c r="H1524" s="54"/>
      <c r="I1524" s="54"/>
      <c r="J1524" s="54"/>
      <c r="K1524" s="54"/>
    </row>
    <row r="1525">
      <c r="A1525" s="57"/>
      <c r="B1525" s="57" t="str">
        <f>IFERROR(__xludf.DUMMYFUNCTION("""COMPUTED_VALUE"""),"    ")</f>
        <v>    </v>
      </c>
      <c r="C1525" s="57" t="str">
        <f>IFERROR(__xludf.DUMMYFUNCTION("""COMPUTED_VALUE"""),"")</f>
        <v/>
      </c>
      <c r="D1525" s="58"/>
      <c r="E1525" s="56"/>
      <c r="F1525" s="54"/>
      <c r="G1525" s="54"/>
      <c r="H1525" s="54"/>
      <c r="I1525" s="54"/>
      <c r="J1525" s="54"/>
      <c r="K1525" s="54"/>
    </row>
    <row r="1526">
      <c r="A1526" s="57"/>
      <c r="B1526" s="57" t="str">
        <f>IFERROR(__xludf.DUMMYFUNCTION("""COMPUTED_VALUE"""),"    ")</f>
        <v>    </v>
      </c>
      <c r="C1526" s="57" t="str">
        <f>IFERROR(__xludf.DUMMYFUNCTION("""COMPUTED_VALUE"""),"")</f>
        <v/>
      </c>
      <c r="D1526" s="58"/>
      <c r="E1526" s="56"/>
      <c r="F1526" s="54"/>
      <c r="G1526" s="54"/>
      <c r="H1526" s="54"/>
      <c r="I1526" s="54"/>
      <c r="J1526" s="54"/>
      <c r="K1526" s="54"/>
    </row>
    <row r="1527">
      <c r="A1527" s="57"/>
      <c r="B1527" s="57" t="str">
        <f>IFERROR(__xludf.DUMMYFUNCTION("""COMPUTED_VALUE"""),"    ")</f>
        <v>    </v>
      </c>
      <c r="C1527" s="57" t="str">
        <f>IFERROR(__xludf.DUMMYFUNCTION("""COMPUTED_VALUE"""),"")</f>
        <v/>
      </c>
      <c r="D1527" s="58"/>
      <c r="E1527" s="56"/>
      <c r="F1527" s="54"/>
      <c r="G1527" s="54"/>
      <c r="H1527" s="54"/>
      <c r="I1527" s="54"/>
      <c r="J1527" s="54"/>
      <c r="K1527" s="54"/>
    </row>
    <row r="1528">
      <c r="A1528" s="57"/>
      <c r="B1528" s="57" t="str">
        <f>IFERROR(__xludf.DUMMYFUNCTION("""COMPUTED_VALUE"""),"    ")</f>
        <v>    </v>
      </c>
      <c r="C1528" s="57" t="str">
        <f>IFERROR(__xludf.DUMMYFUNCTION("""COMPUTED_VALUE"""),"")</f>
        <v/>
      </c>
      <c r="D1528" s="58"/>
      <c r="E1528" s="56"/>
      <c r="F1528" s="54"/>
      <c r="G1528" s="54"/>
      <c r="H1528" s="54"/>
      <c r="I1528" s="54"/>
      <c r="J1528" s="54"/>
      <c r="K1528" s="54"/>
    </row>
    <row r="1529">
      <c r="A1529" s="57"/>
      <c r="B1529" s="57" t="str">
        <f>IFERROR(__xludf.DUMMYFUNCTION("""COMPUTED_VALUE"""),"    ")</f>
        <v>    </v>
      </c>
      <c r="C1529" s="57" t="str">
        <f>IFERROR(__xludf.DUMMYFUNCTION("""COMPUTED_VALUE"""),"")</f>
        <v/>
      </c>
      <c r="D1529" s="58"/>
      <c r="E1529" s="56"/>
      <c r="F1529" s="54"/>
      <c r="G1529" s="54"/>
      <c r="H1529" s="54"/>
      <c r="I1529" s="54"/>
      <c r="J1529" s="54"/>
      <c r="K1529" s="54"/>
    </row>
    <row r="1530">
      <c r="A1530" s="57"/>
      <c r="B1530" s="57" t="str">
        <f>IFERROR(__xludf.DUMMYFUNCTION("""COMPUTED_VALUE"""),"    ")</f>
        <v>    </v>
      </c>
      <c r="C1530" s="57" t="str">
        <f>IFERROR(__xludf.DUMMYFUNCTION("""COMPUTED_VALUE"""),"")</f>
        <v/>
      </c>
      <c r="D1530" s="58"/>
      <c r="E1530" s="56"/>
      <c r="F1530" s="54"/>
      <c r="G1530" s="54"/>
      <c r="H1530" s="54"/>
      <c r="I1530" s="54"/>
      <c r="J1530" s="54"/>
      <c r="K1530" s="54"/>
    </row>
    <row r="1531">
      <c r="A1531" s="57"/>
      <c r="B1531" s="57" t="str">
        <f>IFERROR(__xludf.DUMMYFUNCTION("""COMPUTED_VALUE"""),"    ")</f>
        <v>    </v>
      </c>
      <c r="C1531" s="57" t="str">
        <f>IFERROR(__xludf.DUMMYFUNCTION("""COMPUTED_VALUE"""),"")</f>
        <v/>
      </c>
      <c r="D1531" s="58"/>
      <c r="E1531" s="56"/>
      <c r="F1531" s="54"/>
      <c r="G1531" s="54"/>
      <c r="H1531" s="54"/>
      <c r="I1531" s="54"/>
      <c r="J1531" s="54"/>
      <c r="K1531" s="54"/>
    </row>
    <row r="1532">
      <c r="A1532" s="57"/>
      <c r="B1532" s="57" t="str">
        <f>IFERROR(__xludf.DUMMYFUNCTION("""COMPUTED_VALUE"""),"    ")</f>
        <v>    </v>
      </c>
      <c r="C1532" s="57" t="str">
        <f>IFERROR(__xludf.DUMMYFUNCTION("""COMPUTED_VALUE"""),"")</f>
        <v/>
      </c>
      <c r="D1532" s="58"/>
      <c r="E1532" s="56"/>
      <c r="F1532" s="54"/>
      <c r="G1532" s="54"/>
      <c r="H1532" s="54"/>
      <c r="I1532" s="54"/>
      <c r="J1532" s="54"/>
      <c r="K1532" s="54"/>
    </row>
    <row r="1533">
      <c r="A1533" s="57"/>
      <c r="B1533" s="57" t="str">
        <f>IFERROR(__xludf.DUMMYFUNCTION("""COMPUTED_VALUE"""),"    ")</f>
        <v>    </v>
      </c>
      <c r="C1533" s="57" t="str">
        <f>IFERROR(__xludf.DUMMYFUNCTION("""COMPUTED_VALUE"""),"")</f>
        <v/>
      </c>
      <c r="D1533" s="58"/>
      <c r="E1533" s="56"/>
      <c r="F1533" s="54"/>
      <c r="G1533" s="54"/>
      <c r="H1533" s="54"/>
      <c r="I1533" s="54"/>
      <c r="J1533" s="54"/>
      <c r="K1533" s="54"/>
    </row>
    <row r="1534">
      <c r="A1534" s="57"/>
      <c r="B1534" s="57" t="str">
        <f>IFERROR(__xludf.DUMMYFUNCTION("""COMPUTED_VALUE"""),"    ")</f>
        <v>    </v>
      </c>
      <c r="C1534" s="57" t="str">
        <f>IFERROR(__xludf.DUMMYFUNCTION("""COMPUTED_VALUE"""),"")</f>
        <v/>
      </c>
      <c r="D1534" s="58"/>
      <c r="E1534" s="56"/>
      <c r="F1534" s="54"/>
      <c r="G1534" s="54"/>
      <c r="H1534" s="54"/>
      <c r="I1534" s="54"/>
      <c r="J1534" s="54"/>
      <c r="K1534" s="54"/>
    </row>
    <row r="1535">
      <c r="A1535" s="57"/>
      <c r="B1535" s="57" t="str">
        <f>IFERROR(__xludf.DUMMYFUNCTION("""COMPUTED_VALUE"""),"    ")</f>
        <v>    </v>
      </c>
      <c r="C1535" s="57" t="str">
        <f>IFERROR(__xludf.DUMMYFUNCTION("""COMPUTED_VALUE"""),"")</f>
        <v/>
      </c>
      <c r="D1535" s="58"/>
      <c r="E1535" s="56"/>
      <c r="F1535" s="54"/>
      <c r="G1535" s="54"/>
      <c r="H1535" s="54"/>
      <c r="I1535" s="54"/>
      <c r="J1535" s="54"/>
      <c r="K1535" s="54"/>
    </row>
    <row r="1536">
      <c r="A1536" s="57"/>
      <c r="B1536" s="57" t="str">
        <f>IFERROR(__xludf.DUMMYFUNCTION("""COMPUTED_VALUE"""),"    ")</f>
        <v>    </v>
      </c>
      <c r="C1536" s="57" t="str">
        <f>IFERROR(__xludf.DUMMYFUNCTION("""COMPUTED_VALUE"""),"")</f>
        <v/>
      </c>
      <c r="D1536" s="58"/>
      <c r="E1536" s="56"/>
      <c r="F1536" s="54"/>
      <c r="G1536" s="54"/>
      <c r="H1536" s="54"/>
      <c r="I1536" s="54"/>
      <c r="J1536" s="54"/>
      <c r="K1536" s="54"/>
    </row>
    <row r="1537">
      <c r="A1537" s="57"/>
      <c r="B1537" s="57" t="str">
        <f>IFERROR(__xludf.DUMMYFUNCTION("""COMPUTED_VALUE"""),"    ")</f>
        <v>    </v>
      </c>
      <c r="C1537" s="57" t="str">
        <f>IFERROR(__xludf.DUMMYFUNCTION("""COMPUTED_VALUE"""),"")</f>
        <v/>
      </c>
      <c r="D1537" s="58"/>
      <c r="E1537" s="56"/>
      <c r="F1537" s="54"/>
      <c r="G1537" s="54"/>
      <c r="H1537" s="54"/>
      <c r="I1537" s="54"/>
      <c r="J1537" s="54"/>
      <c r="K1537" s="54"/>
    </row>
    <row r="1538">
      <c r="A1538" s="57"/>
      <c r="B1538" s="57" t="str">
        <f>IFERROR(__xludf.DUMMYFUNCTION("""COMPUTED_VALUE"""),"    ")</f>
        <v>    </v>
      </c>
      <c r="C1538" s="57" t="str">
        <f>IFERROR(__xludf.DUMMYFUNCTION("""COMPUTED_VALUE"""),"")</f>
        <v/>
      </c>
      <c r="D1538" s="58"/>
      <c r="E1538" s="56"/>
      <c r="F1538" s="54"/>
      <c r="G1538" s="54"/>
      <c r="H1538" s="54"/>
      <c r="I1538" s="54"/>
      <c r="J1538" s="54"/>
      <c r="K1538" s="54"/>
    </row>
    <row r="1539">
      <c r="A1539" s="57"/>
      <c r="B1539" s="57" t="str">
        <f>IFERROR(__xludf.DUMMYFUNCTION("""COMPUTED_VALUE"""),"    ")</f>
        <v>    </v>
      </c>
      <c r="C1539" s="57" t="str">
        <f>IFERROR(__xludf.DUMMYFUNCTION("""COMPUTED_VALUE"""),"")</f>
        <v/>
      </c>
      <c r="D1539" s="58"/>
      <c r="E1539" s="56"/>
      <c r="F1539" s="54"/>
      <c r="G1539" s="54"/>
      <c r="H1539" s="54"/>
      <c r="I1539" s="54"/>
      <c r="J1539" s="54"/>
      <c r="K1539" s="54"/>
    </row>
    <row r="1540">
      <c r="A1540" s="57"/>
      <c r="B1540" s="57" t="str">
        <f>IFERROR(__xludf.DUMMYFUNCTION("""COMPUTED_VALUE"""),"    ")</f>
        <v>    </v>
      </c>
      <c r="C1540" s="57" t="str">
        <f>IFERROR(__xludf.DUMMYFUNCTION("""COMPUTED_VALUE"""),"")</f>
        <v/>
      </c>
      <c r="D1540" s="58"/>
      <c r="E1540" s="56"/>
      <c r="F1540" s="54"/>
      <c r="G1540" s="54"/>
      <c r="H1540" s="54"/>
      <c r="I1540" s="54"/>
      <c r="J1540" s="54"/>
      <c r="K1540" s="54"/>
    </row>
    <row r="1541">
      <c r="A1541" s="57"/>
      <c r="B1541" s="57" t="str">
        <f>IFERROR(__xludf.DUMMYFUNCTION("""COMPUTED_VALUE"""),"    ")</f>
        <v>    </v>
      </c>
      <c r="C1541" s="57" t="str">
        <f>IFERROR(__xludf.DUMMYFUNCTION("""COMPUTED_VALUE"""),"")</f>
        <v/>
      </c>
      <c r="D1541" s="58"/>
      <c r="E1541" s="56"/>
      <c r="F1541" s="54"/>
      <c r="G1541" s="54"/>
      <c r="H1541" s="54"/>
      <c r="I1541" s="54"/>
      <c r="J1541" s="54"/>
      <c r="K1541" s="54"/>
    </row>
    <row r="1542">
      <c r="A1542" s="57"/>
      <c r="B1542" s="57" t="str">
        <f>IFERROR(__xludf.DUMMYFUNCTION("""COMPUTED_VALUE"""),"    ")</f>
        <v>    </v>
      </c>
      <c r="C1542" s="57" t="str">
        <f>IFERROR(__xludf.DUMMYFUNCTION("""COMPUTED_VALUE"""),"")</f>
        <v/>
      </c>
      <c r="D1542" s="58"/>
      <c r="E1542" s="56"/>
      <c r="F1542" s="54"/>
      <c r="G1542" s="54"/>
      <c r="H1542" s="54"/>
      <c r="I1542" s="54"/>
      <c r="J1542" s="54"/>
      <c r="K1542" s="54"/>
    </row>
    <row r="1543">
      <c r="A1543" s="57"/>
      <c r="B1543" s="57" t="str">
        <f>IFERROR(__xludf.DUMMYFUNCTION("""COMPUTED_VALUE"""),"    ")</f>
        <v>    </v>
      </c>
      <c r="C1543" s="57" t="str">
        <f>IFERROR(__xludf.DUMMYFUNCTION("""COMPUTED_VALUE"""),"")</f>
        <v/>
      </c>
      <c r="D1543" s="58"/>
      <c r="E1543" s="56"/>
      <c r="F1543" s="54"/>
      <c r="G1543" s="54"/>
      <c r="H1543" s="54"/>
      <c r="I1543" s="54"/>
      <c r="J1543" s="54"/>
      <c r="K1543" s="54"/>
    </row>
    <row r="1544">
      <c r="A1544" s="57"/>
      <c r="B1544" s="57" t="str">
        <f>IFERROR(__xludf.DUMMYFUNCTION("""COMPUTED_VALUE"""),"    ")</f>
        <v>    </v>
      </c>
      <c r="C1544" s="57" t="str">
        <f>IFERROR(__xludf.DUMMYFUNCTION("""COMPUTED_VALUE"""),"")</f>
        <v/>
      </c>
      <c r="D1544" s="58"/>
      <c r="E1544" s="56"/>
      <c r="F1544" s="54"/>
      <c r="G1544" s="54"/>
      <c r="H1544" s="54"/>
      <c r="I1544" s="54"/>
      <c r="J1544" s="54"/>
      <c r="K1544" s="54"/>
    </row>
    <row r="1545">
      <c r="A1545" s="57"/>
      <c r="B1545" s="57" t="str">
        <f>IFERROR(__xludf.DUMMYFUNCTION("""COMPUTED_VALUE"""),"    ")</f>
        <v>    </v>
      </c>
      <c r="C1545" s="57" t="str">
        <f>IFERROR(__xludf.DUMMYFUNCTION("""COMPUTED_VALUE"""),"")</f>
        <v/>
      </c>
      <c r="D1545" s="58"/>
      <c r="E1545" s="56"/>
      <c r="F1545" s="54"/>
      <c r="G1545" s="54"/>
      <c r="H1545" s="54"/>
      <c r="I1545" s="54"/>
      <c r="J1545" s="54"/>
      <c r="K1545" s="54"/>
    </row>
    <row r="1546">
      <c r="A1546" s="57"/>
      <c r="B1546" s="57" t="str">
        <f>IFERROR(__xludf.DUMMYFUNCTION("""COMPUTED_VALUE"""),"    ")</f>
        <v>    </v>
      </c>
      <c r="C1546" s="57" t="str">
        <f>IFERROR(__xludf.DUMMYFUNCTION("""COMPUTED_VALUE"""),"")</f>
        <v/>
      </c>
      <c r="D1546" s="58"/>
      <c r="E1546" s="56"/>
      <c r="F1546" s="54"/>
      <c r="G1546" s="54"/>
      <c r="H1546" s="54"/>
      <c r="I1546" s="54"/>
      <c r="J1546" s="54"/>
      <c r="K1546" s="54"/>
    </row>
    <row r="1547">
      <c r="A1547" s="57"/>
      <c r="B1547" s="57" t="str">
        <f>IFERROR(__xludf.DUMMYFUNCTION("""COMPUTED_VALUE"""),"    ")</f>
        <v>    </v>
      </c>
      <c r="C1547" s="57" t="str">
        <f>IFERROR(__xludf.DUMMYFUNCTION("""COMPUTED_VALUE"""),"")</f>
        <v/>
      </c>
      <c r="D1547" s="58"/>
      <c r="E1547" s="56"/>
      <c r="F1547" s="54"/>
      <c r="G1547" s="54"/>
      <c r="H1547" s="54"/>
      <c r="I1547" s="54"/>
      <c r="J1547" s="54"/>
      <c r="K1547" s="54"/>
    </row>
    <row r="1548">
      <c r="A1548" s="57"/>
      <c r="B1548" s="57" t="str">
        <f>IFERROR(__xludf.DUMMYFUNCTION("""COMPUTED_VALUE"""),"    ")</f>
        <v>    </v>
      </c>
      <c r="C1548" s="57" t="str">
        <f>IFERROR(__xludf.DUMMYFUNCTION("""COMPUTED_VALUE"""),"")</f>
        <v/>
      </c>
      <c r="D1548" s="58"/>
      <c r="E1548" s="56"/>
      <c r="F1548" s="54"/>
      <c r="G1548" s="54"/>
      <c r="H1548" s="54"/>
      <c r="I1548" s="54"/>
      <c r="J1548" s="54"/>
      <c r="K1548" s="54"/>
    </row>
    <row r="1549">
      <c r="A1549" s="57"/>
      <c r="B1549" s="57" t="str">
        <f>IFERROR(__xludf.DUMMYFUNCTION("""COMPUTED_VALUE"""),"    ")</f>
        <v>    </v>
      </c>
      <c r="C1549" s="57" t="str">
        <f>IFERROR(__xludf.DUMMYFUNCTION("""COMPUTED_VALUE"""),"")</f>
        <v/>
      </c>
      <c r="D1549" s="58"/>
      <c r="E1549" s="56"/>
      <c r="F1549" s="54"/>
      <c r="G1549" s="54"/>
      <c r="H1549" s="54"/>
      <c r="I1549" s="54"/>
      <c r="J1549" s="54"/>
      <c r="K1549" s="54"/>
    </row>
    <row r="1550">
      <c r="A1550" s="57"/>
      <c r="B1550" s="57" t="str">
        <f>IFERROR(__xludf.DUMMYFUNCTION("""COMPUTED_VALUE"""),"    ")</f>
        <v>    </v>
      </c>
      <c r="C1550" s="57" t="str">
        <f>IFERROR(__xludf.DUMMYFUNCTION("""COMPUTED_VALUE"""),"")</f>
        <v/>
      </c>
      <c r="D1550" s="58"/>
      <c r="E1550" s="56"/>
      <c r="F1550" s="54"/>
      <c r="G1550" s="54"/>
      <c r="H1550" s="54"/>
      <c r="I1550" s="54"/>
      <c r="J1550" s="54"/>
      <c r="K1550" s="54"/>
    </row>
    <row r="1551">
      <c r="A1551" s="57"/>
      <c r="B1551" s="57" t="str">
        <f>IFERROR(__xludf.DUMMYFUNCTION("""COMPUTED_VALUE"""),"    ")</f>
        <v>    </v>
      </c>
      <c r="C1551" s="57" t="str">
        <f>IFERROR(__xludf.DUMMYFUNCTION("""COMPUTED_VALUE"""),"")</f>
        <v/>
      </c>
      <c r="D1551" s="58"/>
      <c r="E1551" s="56"/>
      <c r="F1551" s="54"/>
      <c r="G1551" s="54"/>
      <c r="H1551" s="54"/>
      <c r="I1551" s="54"/>
      <c r="J1551" s="54"/>
      <c r="K1551" s="54"/>
    </row>
    <row r="1552">
      <c r="A1552" s="57"/>
      <c r="B1552" s="57" t="str">
        <f>IFERROR(__xludf.DUMMYFUNCTION("""COMPUTED_VALUE"""),"    ")</f>
        <v>    </v>
      </c>
      <c r="C1552" s="57" t="str">
        <f>IFERROR(__xludf.DUMMYFUNCTION("""COMPUTED_VALUE"""),"")</f>
        <v/>
      </c>
      <c r="D1552" s="58"/>
      <c r="E1552" s="56"/>
      <c r="F1552" s="54"/>
      <c r="G1552" s="54"/>
      <c r="H1552" s="54"/>
      <c r="I1552" s="54"/>
      <c r="J1552" s="54"/>
      <c r="K1552" s="54"/>
    </row>
    <row r="1553">
      <c r="A1553" s="57"/>
      <c r="B1553" s="57" t="str">
        <f>IFERROR(__xludf.DUMMYFUNCTION("""COMPUTED_VALUE"""),"    ")</f>
        <v>    </v>
      </c>
      <c r="C1553" s="57" t="str">
        <f>IFERROR(__xludf.DUMMYFUNCTION("""COMPUTED_VALUE"""),"")</f>
        <v/>
      </c>
      <c r="D1553" s="58"/>
      <c r="E1553" s="56"/>
      <c r="F1553" s="54"/>
      <c r="G1553" s="54"/>
      <c r="H1553" s="54"/>
      <c r="I1553" s="54"/>
      <c r="J1553" s="54"/>
      <c r="K1553" s="54"/>
    </row>
    <row r="1554">
      <c r="A1554" s="57"/>
      <c r="B1554" s="57" t="str">
        <f>IFERROR(__xludf.DUMMYFUNCTION("""COMPUTED_VALUE"""),"    ")</f>
        <v>    </v>
      </c>
      <c r="C1554" s="57" t="str">
        <f>IFERROR(__xludf.DUMMYFUNCTION("""COMPUTED_VALUE"""),"")</f>
        <v/>
      </c>
      <c r="D1554" s="58"/>
      <c r="E1554" s="56"/>
      <c r="F1554" s="54"/>
      <c r="G1554" s="54"/>
      <c r="H1554" s="54"/>
      <c r="I1554" s="54"/>
      <c r="J1554" s="54"/>
      <c r="K1554" s="54"/>
    </row>
    <row r="1555">
      <c r="A1555" s="57"/>
      <c r="B1555" s="57" t="str">
        <f>IFERROR(__xludf.DUMMYFUNCTION("""COMPUTED_VALUE"""),"    ")</f>
        <v>    </v>
      </c>
      <c r="C1555" s="57" t="str">
        <f>IFERROR(__xludf.DUMMYFUNCTION("""COMPUTED_VALUE"""),"")</f>
        <v/>
      </c>
      <c r="D1555" s="58"/>
      <c r="E1555" s="56"/>
      <c r="F1555" s="54"/>
      <c r="G1555" s="54"/>
      <c r="H1555" s="54"/>
      <c r="I1555" s="54"/>
      <c r="J1555" s="54"/>
      <c r="K1555" s="54"/>
    </row>
    <row r="1556">
      <c r="A1556" s="57"/>
      <c r="B1556" s="57" t="str">
        <f>IFERROR(__xludf.DUMMYFUNCTION("""COMPUTED_VALUE"""),"    ")</f>
        <v>    </v>
      </c>
      <c r="C1556" s="57" t="str">
        <f>IFERROR(__xludf.DUMMYFUNCTION("""COMPUTED_VALUE"""),"")</f>
        <v/>
      </c>
      <c r="D1556" s="58"/>
      <c r="E1556" s="56"/>
      <c r="F1556" s="54"/>
      <c r="G1556" s="54"/>
      <c r="H1556" s="54"/>
      <c r="I1556" s="54"/>
      <c r="J1556" s="54"/>
      <c r="K1556" s="54"/>
    </row>
    <row r="1557">
      <c r="A1557" s="57"/>
      <c r="B1557" s="57" t="str">
        <f>IFERROR(__xludf.DUMMYFUNCTION("""COMPUTED_VALUE"""),"    ")</f>
        <v>    </v>
      </c>
      <c r="C1557" s="57" t="str">
        <f>IFERROR(__xludf.DUMMYFUNCTION("""COMPUTED_VALUE"""),"")</f>
        <v/>
      </c>
      <c r="D1557" s="58"/>
      <c r="E1557" s="56"/>
      <c r="F1557" s="54"/>
      <c r="G1557" s="54"/>
      <c r="H1557" s="54"/>
      <c r="I1557" s="54"/>
      <c r="J1557" s="54"/>
      <c r="K1557" s="54"/>
    </row>
    <row r="1558">
      <c r="A1558" s="57"/>
      <c r="B1558" s="57" t="str">
        <f>IFERROR(__xludf.DUMMYFUNCTION("""COMPUTED_VALUE"""),"    ")</f>
        <v>    </v>
      </c>
      <c r="C1558" s="57" t="str">
        <f>IFERROR(__xludf.DUMMYFUNCTION("""COMPUTED_VALUE"""),"")</f>
        <v/>
      </c>
      <c r="D1558" s="58"/>
      <c r="E1558" s="56"/>
      <c r="F1558" s="54"/>
      <c r="G1558" s="54"/>
      <c r="H1558" s="54"/>
      <c r="I1558" s="54"/>
      <c r="J1558" s="54"/>
      <c r="K1558" s="54"/>
    </row>
    <row r="1559">
      <c r="A1559" s="57"/>
      <c r="B1559" s="57" t="str">
        <f>IFERROR(__xludf.DUMMYFUNCTION("""COMPUTED_VALUE"""),"    ")</f>
        <v>    </v>
      </c>
      <c r="C1559" s="57" t="str">
        <f>IFERROR(__xludf.DUMMYFUNCTION("""COMPUTED_VALUE"""),"")</f>
        <v/>
      </c>
      <c r="D1559" s="58"/>
      <c r="E1559" s="56"/>
      <c r="F1559" s="54"/>
      <c r="G1559" s="54"/>
      <c r="H1559" s="54"/>
      <c r="I1559" s="54"/>
      <c r="J1559" s="54"/>
      <c r="K1559" s="54"/>
    </row>
    <row r="1560">
      <c r="A1560" s="57"/>
      <c r="B1560" s="57" t="str">
        <f>IFERROR(__xludf.DUMMYFUNCTION("""COMPUTED_VALUE"""),"    ")</f>
        <v>    </v>
      </c>
      <c r="C1560" s="57" t="str">
        <f>IFERROR(__xludf.DUMMYFUNCTION("""COMPUTED_VALUE"""),"")</f>
        <v/>
      </c>
      <c r="D1560" s="58"/>
      <c r="E1560" s="56"/>
      <c r="F1560" s="54"/>
      <c r="G1560" s="54"/>
      <c r="H1560" s="54"/>
      <c r="I1560" s="54"/>
      <c r="J1560" s="54"/>
      <c r="K1560" s="54"/>
    </row>
    <row r="1561">
      <c r="A1561" s="57"/>
      <c r="B1561" s="57" t="str">
        <f>IFERROR(__xludf.DUMMYFUNCTION("""COMPUTED_VALUE"""),"    ")</f>
        <v>    </v>
      </c>
      <c r="C1561" s="57" t="str">
        <f>IFERROR(__xludf.DUMMYFUNCTION("""COMPUTED_VALUE"""),"")</f>
        <v/>
      </c>
      <c r="D1561" s="58"/>
      <c r="E1561" s="56"/>
      <c r="F1561" s="54"/>
      <c r="G1561" s="54"/>
      <c r="H1561" s="54"/>
      <c r="I1561" s="54"/>
      <c r="J1561" s="54"/>
      <c r="K1561" s="54"/>
    </row>
    <row r="1562">
      <c r="A1562" s="57"/>
      <c r="B1562" s="57" t="str">
        <f>IFERROR(__xludf.DUMMYFUNCTION("""COMPUTED_VALUE"""),"    ")</f>
        <v>    </v>
      </c>
      <c r="C1562" s="57" t="str">
        <f>IFERROR(__xludf.DUMMYFUNCTION("""COMPUTED_VALUE"""),"")</f>
        <v/>
      </c>
      <c r="D1562" s="58"/>
      <c r="E1562" s="56"/>
      <c r="F1562" s="54"/>
      <c r="G1562" s="54"/>
      <c r="H1562" s="54"/>
      <c r="I1562" s="54"/>
      <c r="J1562" s="54"/>
      <c r="K1562" s="54"/>
    </row>
    <row r="1563">
      <c r="A1563" s="57"/>
      <c r="B1563" s="57" t="str">
        <f>IFERROR(__xludf.DUMMYFUNCTION("""COMPUTED_VALUE"""),"    ")</f>
        <v>    </v>
      </c>
      <c r="C1563" s="57" t="str">
        <f>IFERROR(__xludf.DUMMYFUNCTION("""COMPUTED_VALUE"""),"")</f>
        <v/>
      </c>
      <c r="D1563" s="58"/>
      <c r="E1563" s="56"/>
      <c r="F1563" s="54"/>
      <c r="G1563" s="54"/>
      <c r="H1563" s="54"/>
      <c r="I1563" s="54"/>
      <c r="J1563" s="54"/>
      <c r="K1563" s="54"/>
    </row>
    <row r="1564">
      <c r="A1564" s="57"/>
      <c r="B1564" s="57" t="str">
        <f>IFERROR(__xludf.DUMMYFUNCTION("""COMPUTED_VALUE"""),"    ")</f>
        <v>    </v>
      </c>
      <c r="C1564" s="57" t="str">
        <f>IFERROR(__xludf.DUMMYFUNCTION("""COMPUTED_VALUE"""),"")</f>
        <v/>
      </c>
      <c r="D1564" s="58"/>
      <c r="E1564" s="56"/>
      <c r="F1564" s="54"/>
      <c r="G1564" s="54"/>
      <c r="H1564" s="54"/>
      <c r="I1564" s="54"/>
      <c r="J1564" s="54"/>
      <c r="K1564" s="54"/>
    </row>
    <row r="1565">
      <c r="A1565" s="57"/>
      <c r="B1565" s="57" t="str">
        <f>IFERROR(__xludf.DUMMYFUNCTION("""COMPUTED_VALUE"""),"    ")</f>
        <v>    </v>
      </c>
      <c r="C1565" s="57" t="str">
        <f>IFERROR(__xludf.DUMMYFUNCTION("""COMPUTED_VALUE"""),"")</f>
        <v/>
      </c>
      <c r="D1565" s="58"/>
      <c r="E1565" s="56"/>
      <c r="F1565" s="54"/>
      <c r="G1565" s="54"/>
      <c r="H1565" s="54"/>
      <c r="I1565" s="54"/>
      <c r="J1565" s="54"/>
      <c r="K1565" s="54"/>
    </row>
    <row r="1566">
      <c r="A1566" s="57"/>
      <c r="B1566" s="57" t="str">
        <f>IFERROR(__xludf.DUMMYFUNCTION("""COMPUTED_VALUE"""),"    ")</f>
        <v>    </v>
      </c>
      <c r="C1566" s="57" t="str">
        <f>IFERROR(__xludf.DUMMYFUNCTION("""COMPUTED_VALUE"""),"")</f>
        <v/>
      </c>
      <c r="D1566" s="58"/>
      <c r="E1566" s="56"/>
      <c r="F1566" s="54"/>
      <c r="G1566" s="54"/>
      <c r="H1566" s="54"/>
      <c r="I1566" s="54"/>
      <c r="J1566" s="54"/>
      <c r="K1566" s="54"/>
    </row>
    <row r="1567">
      <c r="A1567" s="57"/>
      <c r="B1567" s="57" t="str">
        <f>IFERROR(__xludf.DUMMYFUNCTION("""COMPUTED_VALUE"""),"    ")</f>
        <v>    </v>
      </c>
      <c r="C1567" s="57" t="str">
        <f>IFERROR(__xludf.DUMMYFUNCTION("""COMPUTED_VALUE"""),"")</f>
        <v/>
      </c>
      <c r="D1567" s="58"/>
      <c r="E1567" s="56"/>
      <c r="F1567" s="54"/>
      <c r="G1567" s="54"/>
      <c r="H1567" s="54"/>
      <c r="I1567" s="54"/>
      <c r="J1567" s="54"/>
      <c r="K1567" s="54"/>
    </row>
    <row r="1568">
      <c r="A1568" s="57"/>
      <c r="B1568" s="57" t="str">
        <f>IFERROR(__xludf.DUMMYFUNCTION("""COMPUTED_VALUE"""),"    ")</f>
        <v>    </v>
      </c>
      <c r="C1568" s="57" t="str">
        <f>IFERROR(__xludf.DUMMYFUNCTION("""COMPUTED_VALUE"""),"")</f>
        <v/>
      </c>
      <c r="D1568" s="58"/>
      <c r="E1568" s="56"/>
      <c r="F1568" s="54"/>
      <c r="G1568" s="54"/>
      <c r="H1568" s="54"/>
      <c r="I1568" s="54"/>
      <c r="J1568" s="54"/>
      <c r="K1568" s="54"/>
    </row>
    <row r="1569">
      <c r="A1569" s="57"/>
      <c r="B1569" s="57" t="str">
        <f>IFERROR(__xludf.DUMMYFUNCTION("""COMPUTED_VALUE"""),"    ")</f>
        <v>    </v>
      </c>
      <c r="C1569" s="57" t="str">
        <f>IFERROR(__xludf.DUMMYFUNCTION("""COMPUTED_VALUE"""),"")</f>
        <v/>
      </c>
      <c r="D1569" s="58"/>
      <c r="E1569" s="56"/>
      <c r="F1569" s="54"/>
      <c r="G1569" s="54"/>
      <c r="H1569" s="54"/>
      <c r="I1569" s="54"/>
      <c r="J1569" s="54"/>
      <c r="K1569" s="54"/>
    </row>
    <row r="1570">
      <c r="A1570" s="57"/>
      <c r="B1570" s="57" t="str">
        <f>IFERROR(__xludf.DUMMYFUNCTION("""COMPUTED_VALUE"""),"    ")</f>
        <v>    </v>
      </c>
      <c r="C1570" s="57" t="str">
        <f>IFERROR(__xludf.DUMMYFUNCTION("""COMPUTED_VALUE"""),"")</f>
        <v/>
      </c>
      <c r="D1570" s="58"/>
      <c r="E1570" s="56"/>
      <c r="F1570" s="54"/>
      <c r="G1570" s="54"/>
      <c r="H1570" s="54"/>
      <c r="I1570" s="54"/>
      <c r="J1570" s="54"/>
      <c r="K1570" s="54"/>
    </row>
    <row r="1571">
      <c r="A1571" s="57"/>
      <c r="B1571" s="57" t="str">
        <f>IFERROR(__xludf.DUMMYFUNCTION("""COMPUTED_VALUE"""),"    ")</f>
        <v>    </v>
      </c>
      <c r="C1571" s="57" t="str">
        <f>IFERROR(__xludf.DUMMYFUNCTION("""COMPUTED_VALUE"""),"")</f>
        <v/>
      </c>
      <c r="D1571" s="58"/>
      <c r="E1571" s="56"/>
      <c r="F1571" s="54"/>
      <c r="G1571" s="54"/>
      <c r="H1571" s="54"/>
      <c r="I1571" s="54"/>
      <c r="J1571" s="54"/>
      <c r="K1571" s="54"/>
    </row>
    <row r="1572">
      <c r="A1572" s="57"/>
      <c r="B1572" s="57" t="str">
        <f>IFERROR(__xludf.DUMMYFUNCTION("""COMPUTED_VALUE"""),"    ")</f>
        <v>    </v>
      </c>
      <c r="C1572" s="57" t="str">
        <f>IFERROR(__xludf.DUMMYFUNCTION("""COMPUTED_VALUE"""),"")</f>
        <v/>
      </c>
      <c r="D1572" s="58"/>
      <c r="E1572" s="56"/>
      <c r="F1572" s="54"/>
      <c r="G1572" s="54"/>
      <c r="H1572" s="54"/>
      <c r="I1572" s="54"/>
      <c r="J1572" s="54"/>
      <c r="K1572" s="54"/>
    </row>
    <row r="1573">
      <c r="A1573" s="57"/>
      <c r="B1573" s="57" t="str">
        <f>IFERROR(__xludf.DUMMYFUNCTION("""COMPUTED_VALUE"""),"    ")</f>
        <v>    </v>
      </c>
      <c r="C1573" s="57" t="str">
        <f>IFERROR(__xludf.DUMMYFUNCTION("""COMPUTED_VALUE"""),"")</f>
        <v/>
      </c>
      <c r="D1573" s="58"/>
      <c r="E1573" s="56"/>
      <c r="F1573" s="54"/>
      <c r="G1573" s="54"/>
      <c r="H1573" s="54"/>
      <c r="I1573" s="54"/>
      <c r="J1573" s="54"/>
      <c r="K1573" s="54"/>
    </row>
    <row r="1574">
      <c r="A1574" s="57"/>
      <c r="B1574" s="57" t="str">
        <f>IFERROR(__xludf.DUMMYFUNCTION("""COMPUTED_VALUE"""),"    ")</f>
        <v>    </v>
      </c>
      <c r="C1574" s="57" t="str">
        <f>IFERROR(__xludf.DUMMYFUNCTION("""COMPUTED_VALUE"""),"")</f>
        <v/>
      </c>
      <c r="D1574" s="58"/>
      <c r="E1574" s="56"/>
      <c r="F1574" s="54"/>
      <c r="G1574" s="54"/>
      <c r="H1574" s="54"/>
      <c r="I1574" s="54"/>
      <c r="J1574" s="54"/>
      <c r="K1574" s="54"/>
    </row>
    <row r="1575">
      <c r="A1575" s="57"/>
      <c r="B1575" s="57" t="str">
        <f>IFERROR(__xludf.DUMMYFUNCTION("""COMPUTED_VALUE"""),"    ")</f>
        <v>    </v>
      </c>
      <c r="C1575" s="57" t="str">
        <f>IFERROR(__xludf.DUMMYFUNCTION("""COMPUTED_VALUE"""),"")</f>
        <v/>
      </c>
      <c r="D1575" s="58"/>
      <c r="E1575" s="56"/>
      <c r="F1575" s="54"/>
      <c r="G1575" s="54"/>
      <c r="H1575" s="54"/>
      <c r="I1575" s="54"/>
      <c r="J1575" s="54"/>
      <c r="K1575" s="54"/>
    </row>
    <row r="1576">
      <c r="A1576" s="57"/>
      <c r="B1576" s="57" t="str">
        <f>IFERROR(__xludf.DUMMYFUNCTION("""COMPUTED_VALUE"""),"    ")</f>
        <v>    </v>
      </c>
      <c r="C1576" s="57" t="str">
        <f>IFERROR(__xludf.DUMMYFUNCTION("""COMPUTED_VALUE"""),"")</f>
        <v/>
      </c>
      <c r="D1576" s="58"/>
      <c r="E1576" s="56"/>
      <c r="F1576" s="54"/>
      <c r="G1576" s="54"/>
      <c r="H1576" s="54"/>
      <c r="I1576" s="54"/>
      <c r="J1576" s="54"/>
      <c r="K1576" s="54"/>
    </row>
    <row r="1577">
      <c r="A1577" s="57"/>
      <c r="B1577" s="57" t="str">
        <f>IFERROR(__xludf.DUMMYFUNCTION("""COMPUTED_VALUE"""),"    ")</f>
        <v>    </v>
      </c>
      <c r="C1577" s="57" t="str">
        <f>IFERROR(__xludf.DUMMYFUNCTION("""COMPUTED_VALUE"""),"")</f>
        <v/>
      </c>
      <c r="D1577" s="58"/>
      <c r="E1577" s="56"/>
      <c r="F1577" s="54"/>
      <c r="G1577" s="54"/>
      <c r="H1577" s="54"/>
      <c r="I1577" s="54"/>
      <c r="J1577" s="54"/>
      <c r="K1577" s="54"/>
    </row>
    <row r="1578">
      <c r="A1578" s="57"/>
      <c r="B1578" s="57" t="str">
        <f>IFERROR(__xludf.DUMMYFUNCTION("""COMPUTED_VALUE"""),"    ")</f>
        <v>    </v>
      </c>
      <c r="C1578" s="57" t="str">
        <f>IFERROR(__xludf.DUMMYFUNCTION("""COMPUTED_VALUE"""),"")</f>
        <v/>
      </c>
      <c r="D1578" s="58"/>
      <c r="E1578" s="56"/>
      <c r="F1578" s="54"/>
      <c r="G1578" s="54"/>
      <c r="H1578" s="54"/>
      <c r="I1578" s="54"/>
      <c r="J1578" s="54"/>
      <c r="K1578" s="54"/>
    </row>
    <row r="1579">
      <c r="A1579" s="57"/>
      <c r="B1579" s="57" t="str">
        <f>IFERROR(__xludf.DUMMYFUNCTION("""COMPUTED_VALUE"""),"    ")</f>
        <v>    </v>
      </c>
      <c r="C1579" s="57" t="str">
        <f>IFERROR(__xludf.DUMMYFUNCTION("""COMPUTED_VALUE"""),"")</f>
        <v/>
      </c>
      <c r="D1579" s="58"/>
      <c r="E1579" s="56"/>
      <c r="F1579" s="54"/>
      <c r="G1579" s="54"/>
      <c r="H1579" s="54"/>
      <c r="I1579" s="54"/>
      <c r="J1579" s="54"/>
      <c r="K1579" s="54"/>
    </row>
    <row r="1580">
      <c r="A1580" s="57"/>
      <c r="B1580" s="57" t="str">
        <f>IFERROR(__xludf.DUMMYFUNCTION("""COMPUTED_VALUE"""),"    ")</f>
        <v>    </v>
      </c>
      <c r="C1580" s="57" t="str">
        <f>IFERROR(__xludf.DUMMYFUNCTION("""COMPUTED_VALUE"""),"")</f>
        <v/>
      </c>
      <c r="D1580" s="58"/>
      <c r="E1580" s="56"/>
      <c r="F1580" s="54"/>
      <c r="G1580" s="54"/>
      <c r="H1580" s="54"/>
      <c r="I1580" s="54"/>
      <c r="J1580" s="54"/>
      <c r="K1580" s="54"/>
    </row>
    <row r="1581">
      <c r="A1581" s="57"/>
      <c r="B1581" s="57" t="str">
        <f>IFERROR(__xludf.DUMMYFUNCTION("""COMPUTED_VALUE"""),"    ")</f>
        <v>    </v>
      </c>
      <c r="C1581" s="57" t="str">
        <f>IFERROR(__xludf.DUMMYFUNCTION("""COMPUTED_VALUE"""),"")</f>
        <v/>
      </c>
      <c r="D1581" s="58"/>
      <c r="E1581" s="56"/>
      <c r="F1581" s="54"/>
      <c r="G1581" s="54"/>
      <c r="H1581" s="54"/>
      <c r="I1581" s="54"/>
      <c r="J1581" s="54"/>
      <c r="K1581" s="54"/>
    </row>
    <row r="1582">
      <c r="A1582" s="57"/>
      <c r="B1582" s="57" t="str">
        <f>IFERROR(__xludf.DUMMYFUNCTION("""COMPUTED_VALUE"""),"    ")</f>
        <v>    </v>
      </c>
      <c r="C1582" s="57" t="str">
        <f>IFERROR(__xludf.DUMMYFUNCTION("""COMPUTED_VALUE"""),"")</f>
        <v/>
      </c>
      <c r="D1582" s="58"/>
      <c r="E1582" s="56"/>
      <c r="F1582" s="54"/>
      <c r="G1582" s="54"/>
      <c r="H1582" s="54"/>
      <c r="I1582" s="54"/>
      <c r="J1582" s="54"/>
      <c r="K1582" s="54"/>
    </row>
    <row r="1583">
      <c r="A1583" s="57"/>
      <c r="B1583" s="57" t="str">
        <f>IFERROR(__xludf.DUMMYFUNCTION("""COMPUTED_VALUE"""),"    ")</f>
        <v>    </v>
      </c>
      <c r="C1583" s="57" t="str">
        <f>IFERROR(__xludf.DUMMYFUNCTION("""COMPUTED_VALUE"""),"")</f>
        <v/>
      </c>
      <c r="D1583" s="58"/>
      <c r="E1583" s="56"/>
      <c r="F1583" s="54"/>
      <c r="G1583" s="54"/>
      <c r="H1583" s="54"/>
      <c r="I1583" s="54"/>
      <c r="J1583" s="54"/>
      <c r="K1583" s="54"/>
    </row>
    <row r="1584">
      <c r="A1584" s="57"/>
      <c r="B1584" s="57" t="str">
        <f>IFERROR(__xludf.DUMMYFUNCTION("""COMPUTED_VALUE"""),"    ")</f>
        <v>    </v>
      </c>
      <c r="C1584" s="57" t="str">
        <f>IFERROR(__xludf.DUMMYFUNCTION("""COMPUTED_VALUE"""),"")</f>
        <v/>
      </c>
      <c r="D1584" s="58"/>
      <c r="E1584" s="56"/>
      <c r="F1584" s="54"/>
      <c r="G1584" s="54"/>
      <c r="H1584" s="54"/>
      <c r="I1584" s="54"/>
      <c r="J1584" s="54"/>
      <c r="K1584" s="54"/>
    </row>
    <row r="1585">
      <c r="A1585" s="57"/>
      <c r="B1585" s="57" t="str">
        <f>IFERROR(__xludf.DUMMYFUNCTION("""COMPUTED_VALUE"""),"    ")</f>
        <v>    </v>
      </c>
      <c r="C1585" s="57" t="str">
        <f>IFERROR(__xludf.DUMMYFUNCTION("""COMPUTED_VALUE"""),"")</f>
        <v/>
      </c>
      <c r="D1585" s="58"/>
      <c r="E1585" s="56"/>
      <c r="F1585" s="54"/>
      <c r="G1585" s="54"/>
      <c r="H1585" s="54"/>
      <c r="I1585" s="54"/>
      <c r="J1585" s="54"/>
      <c r="K1585" s="54"/>
    </row>
    <row r="1586">
      <c r="A1586" s="57"/>
      <c r="B1586" s="57" t="str">
        <f>IFERROR(__xludf.DUMMYFUNCTION("""COMPUTED_VALUE"""),"    ")</f>
        <v>    </v>
      </c>
      <c r="C1586" s="57" t="str">
        <f>IFERROR(__xludf.DUMMYFUNCTION("""COMPUTED_VALUE"""),"")</f>
        <v/>
      </c>
      <c r="D1586" s="58"/>
      <c r="E1586" s="56"/>
      <c r="F1586" s="54"/>
      <c r="G1586" s="54"/>
      <c r="H1586" s="54"/>
      <c r="I1586" s="54"/>
      <c r="J1586" s="54"/>
      <c r="K1586" s="54"/>
    </row>
    <row r="1587">
      <c r="A1587" s="57"/>
      <c r="B1587" s="57" t="str">
        <f>IFERROR(__xludf.DUMMYFUNCTION("""COMPUTED_VALUE"""),"    ")</f>
        <v>    </v>
      </c>
      <c r="C1587" s="57" t="str">
        <f>IFERROR(__xludf.DUMMYFUNCTION("""COMPUTED_VALUE"""),"")</f>
        <v/>
      </c>
      <c r="D1587" s="58"/>
      <c r="E1587" s="56"/>
      <c r="F1587" s="54"/>
      <c r="G1587" s="54"/>
      <c r="H1587" s="54"/>
      <c r="I1587" s="54"/>
      <c r="J1587" s="54"/>
      <c r="K1587" s="54"/>
    </row>
    <row r="1588">
      <c r="A1588" s="57"/>
      <c r="B1588" s="57" t="str">
        <f>IFERROR(__xludf.DUMMYFUNCTION("""COMPUTED_VALUE"""),"    ")</f>
        <v>    </v>
      </c>
      <c r="C1588" s="57" t="str">
        <f>IFERROR(__xludf.DUMMYFUNCTION("""COMPUTED_VALUE"""),"")</f>
        <v/>
      </c>
      <c r="D1588" s="58"/>
      <c r="E1588" s="56"/>
      <c r="F1588" s="54"/>
      <c r="G1588" s="54"/>
      <c r="H1588" s="54"/>
      <c r="I1588" s="54"/>
      <c r="J1588" s="54"/>
      <c r="K1588" s="54"/>
    </row>
    <row r="1589">
      <c r="A1589" s="57"/>
      <c r="B1589" s="57" t="str">
        <f>IFERROR(__xludf.DUMMYFUNCTION("""COMPUTED_VALUE"""),"    ")</f>
        <v>    </v>
      </c>
      <c r="C1589" s="57" t="str">
        <f>IFERROR(__xludf.DUMMYFUNCTION("""COMPUTED_VALUE"""),"")</f>
        <v/>
      </c>
      <c r="D1589" s="58"/>
      <c r="E1589" s="56"/>
      <c r="F1589" s="54"/>
      <c r="G1589" s="54"/>
      <c r="H1589" s="54"/>
      <c r="I1589" s="54"/>
      <c r="J1589" s="54"/>
      <c r="K1589" s="54"/>
    </row>
    <row r="1590">
      <c r="A1590" s="57"/>
      <c r="B1590" s="57" t="str">
        <f>IFERROR(__xludf.DUMMYFUNCTION("""COMPUTED_VALUE"""),"    ")</f>
        <v>    </v>
      </c>
      <c r="C1590" s="57" t="str">
        <f>IFERROR(__xludf.DUMMYFUNCTION("""COMPUTED_VALUE"""),"")</f>
        <v/>
      </c>
      <c r="D1590" s="58"/>
      <c r="E1590" s="56"/>
      <c r="F1590" s="54"/>
      <c r="G1590" s="54"/>
      <c r="H1590" s="54"/>
      <c r="I1590" s="54"/>
      <c r="J1590" s="54"/>
      <c r="K1590" s="54"/>
    </row>
    <row r="1591">
      <c r="A1591" s="57"/>
      <c r="B1591" s="57" t="str">
        <f>IFERROR(__xludf.DUMMYFUNCTION("""COMPUTED_VALUE"""),"    ")</f>
        <v>    </v>
      </c>
      <c r="C1591" s="57" t="str">
        <f>IFERROR(__xludf.DUMMYFUNCTION("""COMPUTED_VALUE"""),"")</f>
        <v/>
      </c>
      <c r="D1591" s="58"/>
      <c r="E1591" s="56"/>
      <c r="F1591" s="54"/>
      <c r="G1591" s="54"/>
      <c r="H1591" s="54"/>
      <c r="I1591" s="54"/>
      <c r="J1591" s="54"/>
      <c r="K1591" s="54"/>
    </row>
    <row r="1592">
      <c r="A1592" s="57"/>
      <c r="B1592" s="57" t="str">
        <f>IFERROR(__xludf.DUMMYFUNCTION("""COMPUTED_VALUE"""),"    ")</f>
        <v>    </v>
      </c>
      <c r="C1592" s="57" t="str">
        <f>IFERROR(__xludf.DUMMYFUNCTION("""COMPUTED_VALUE"""),"")</f>
        <v/>
      </c>
      <c r="D1592" s="58"/>
      <c r="E1592" s="56"/>
      <c r="F1592" s="54"/>
      <c r="G1592" s="54"/>
      <c r="H1592" s="54"/>
      <c r="I1592" s="54"/>
      <c r="J1592" s="54"/>
      <c r="K1592" s="54"/>
    </row>
    <row r="1593">
      <c r="A1593" s="57"/>
      <c r="B1593" s="57" t="str">
        <f>IFERROR(__xludf.DUMMYFUNCTION("""COMPUTED_VALUE"""),"    ")</f>
        <v>    </v>
      </c>
      <c r="C1593" s="57" t="str">
        <f>IFERROR(__xludf.DUMMYFUNCTION("""COMPUTED_VALUE"""),"")</f>
        <v/>
      </c>
      <c r="D1593" s="58"/>
      <c r="E1593" s="56"/>
      <c r="F1593" s="54"/>
      <c r="G1593" s="54"/>
      <c r="H1593" s="54"/>
      <c r="I1593" s="54"/>
      <c r="J1593" s="54"/>
      <c r="K1593" s="54"/>
    </row>
    <row r="1594">
      <c r="A1594" s="57"/>
      <c r="B1594" s="57" t="str">
        <f>IFERROR(__xludf.DUMMYFUNCTION("""COMPUTED_VALUE"""),"    ")</f>
        <v>    </v>
      </c>
      <c r="C1594" s="57" t="str">
        <f>IFERROR(__xludf.DUMMYFUNCTION("""COMPUTED_VALUE"""),"")</f>
        <v/>
      </c>
      <c r="D1594" s="58"/>
      <c r="E1594" s="56"/>
      <c r="F1594" s="54"/>
      <c r="G1594" s="54"/>
      <c r="H1594" s="54"/>
      <c r="I1594" s="54"/>
      <c r="J1594" s="54"/>
      <c r="K1594" s="54"/>
    </row>
    <row r="1595">
      <c r="A1595" s="57"/>
      <c r="B1595" s="57" t="str">
        <f>IFERROR(__xludf.DUMMYFUNCTION("""COMPUTED_VALUE"""),"    ")</f>
        <v>    </v>
      </c>
      <c r="C1595" s="57" t="str">
        <f>IFERROR(__xludf.DUMMYFUNCTION("""COMPUTED_VALUE"""),"")</f>
        <v/>
      </c>
      <c r="D1595" s="58"/>
      <c r="E1595" s="56"/>
      <c r="F1595" s="54"/>
      <c r="G1595" s="54"/>
      <c r="H1595" s="54"/>
      <c r="I1595" s="54"/>
      <c r="J1595" s="54"/>
      <c r="K1595" s="54"/>
    </row>
    <row r="1596">
      <c r="A1596" s="57"/>
      <c r="B1596" s="57" t="str">
        <f>IFERROR(__xludf.DUMMYFUNCTION("""COMPUTED_VALUE"""),"    ")</f>
        <v>    </v>
      </c>
      <c r="C1596" s="57" t="str">
        <f>IFERROR(__xludf.DUMMYFUNCTION("""COMPUTED_VALUE"""),"")</f>
        <v/>
      </c>
      <c r="D1596" s="58"/>
      <c r="E1596" s="56"/>
      <c r="F1596" s="54"/>
      <c r="G1596" s="54"/>
      <c r="H1596" s="54"/>
      <c r="I1596" s="54"/>
      <c r="J1596" s="54"/>
      <c r="K1596" s="54"/>
    </row>
    <row r="1597">
      <c r="A1597" s="57"/>
      <c r="B1597" s="57" t="str">
        <f>IFERROR(__xludf.DUMMYFUNCTION("""COMPUTED_VALUE"""),"    ")</f>
        <v>    </v>
      </c>
      <c r="C1597" s="57" t="str">
        <f>IFERROR(__xludf.DUMMYFUNCTION("""COMPUTED_VALUE"""),"")</f>
        <v/>
      </c>
      <c r="D1597" s="58"/>
      <c r="E1597" s="56"/>
      <c r="F1597" s="54"/>
      <c r="G1597" s="54"/>
      <c r="H1597" s="54"/>
      <c r="I1597" s="54"/>
      <c r="J1597" s="54"/>
      <c r="K1597" s="54"/>
    </row>
    <row r="1598">
      <c r="A1598" s="57"/>
      <c r="B1598" s="57" t="str">
        <f>IFERROR(__xludf.DUMMYFUNCTION("""COMPUTED_VALUE"""),"    ")</f>
        <v>    </v>
      </c>
      <c r="C1598" s="57" t="str">
        <f>IFERROR(__xludf.DUMMYFUNCTION("""COMPUTED_VALUE"""),"")</f>
        <v/>
      </c>
      <c r="D1598" s="58"/>
      <c r="E1598" s="56"/>
      <c r="F1598" s="54"/>
      <c r="G1598" s="54"/>
      <c r="H1598" s="54"/>
      <c r="I1598" s="54"/>
      <c r="J1598" s="54"/>
      <c r="K1598" s="54"/>
    </row>
    <row r="1599">
      <c r="A1599" s="57"/>
      <c r="B1599" s="57" t="str">
        <f>IFERROR(__xludf.DUMMYFUNCTION("""COMPUTED_VALUE"""),"    ")</f>
        <v>    </v>
      </c>
      <c r="C1599" s="57" t="str">
        <f>IFERROR(__xludf.DUMMYFUNCTION("""COMPUTED_VALUE"""),"")</f>
        <v/>
      </c>
      <c r="D1599" s="58"/>
      <c r="E1599" s="56"/>
      <c r="F1599" s="54"/>
      <c r="G1599" s="54"/>
      <c r="H1599" s="54"/>
      <c r="I1599" s="54"/>
      <c r="J1599" s="54"/>
      <c r="K1599" s="54"/>
    </row>
    <row r="1600">
      <c r="A1600" s="57"/>
      <c r="B1600" s="57" t="str">
        <f>IFERROR(__xludf.DUMMYFUNCTION("""COMPUTED_VALUE"""),"    ")</f>
        <v>    </v>
      </c>
      <c r="C1600" s="57" t="str">
        <f>IFERROR(__xludf.DUMMYFUNCTION("""COMPUTED_VALUE"""),"")</f>
        <v/>
      </c>
      <c r="D1600" s="58"/>
      <c r="E1600" s="56"/>
      <c r="F1600" s="54"/>
      <c r="G1600" s="54"/>
      <c r="H1600" s="54"/>
      <c r="I1600" s="54"/>
      <c r="J1600" s="54"/>
      <c r="K1600" s="54"/>
    </row>
    <row r="1601">
      <c r="A1601" s="57"/>
      <c r="B1601" s="57" t="str">
        <f>IFERROR(__xludf.DUMMYFUNCTION("""COMPUTED_VALUE"""),"    ")</f>
        <v>    </v>
      </c>
      <c r="C1601" s="57" t="str">
        <f>IFERROR(__xludf.DUMMYFUNCTION("""COMPUTED_VALUE"""),"")</f>
        <v/>
      </c>
      <c r="D1601" s="58"/>
      <c r="E1601" s="56"/>
      <c r="F1601" s="54"/>
      <c r="G1601" s="54"/>
      <c r="H1601" s="54"/>
      <c r="I1601" s="54"/>
      <c r="J1601" s="54"/>
      <c r="K1601" s="54"/>
    </row>
    <row r="1602">
      <c r="A1602" s="57"/>
      <c r="B1602" s="57" t="str">
        <f>IFERROR(__xludf.DUMMYFUNCTION("""COMPUTED_VALUE"""),"    ")</f>
        <v>    </v>
      </c>
      <c r="C1602" s="57" t="str">
        <f>IFERROR(__xludf.DUMMYFUNCTION("""COMPUTED_VALUE"""),"")</f>
        <v/>
      </c>
      <c r="D1602" s="58"/>
      <c r="E1602" s="56"/>
      <c r="F1602" s="54"/>
      <c r="G1602" s="54"/>
      <c r="H1602" s="54"/>
      <c r="I1602" s="54"/>
      <c r="J1602" s="54"/>
      <c r="K1602" s="54"/>
    </row>
    <row r="1603">
      <c r="A1603" s="57"/>
      <c r="B1603" s="57" t="str">
        <f>IFERROR(__xludf.DUMMYFUNCTION("""COMPUTED_VALUE"""),"    ")</f>
        <v>    </v>
      </c>
      <c r="C1603" s="57" t="str">
        <f>IFERROR(__xludf.DUMMYFUNCTION("""COMPUTED_VALUE"""),"")</f>
        <v/>
      </c>
      <c r="D1603" s="58"/>
      <c r="E1603" s="56"/>
      <c r="F1603" s="54"/>
      <c r="G1603" s="54"/>
      <c r="H1603" s="54"/>
      <c r="I1603" s="54"/>
      <c r="J1603" s="54"/>
      <c r="K1603" s="54"/>
    </row>
    <row r="1604">
      <c r="A1604" s="57"/>
      <c r="B1604" s="57" t="str">
        <f>IFERROR(__xludf.DUMMYFUNCTION("""COMPUTED_VALUE"""),"    ")</f>
        <v>    </v>
      </c>
      <c r="C1604" s="57" t="str">
        <f>IFERROR(__xludf.DUMMYFUNCTION("""COMPUTED_VALUE"""),"")</f>
        <v/>
      </c>
      <c r="D1604" s="58"/>
      <c r="E1604" s="56"/>
      <c r="F1604" s="54"/>
      <c r="G1604" s="54"/>
      <c r="H1604" s="54"/>
      <c r="I1604" s="54"/>
      <c r="J1604" s="54"/>
      <c r="K1604" s="54"/>
    </row>
    <row r="1605">
      <c r="A1605" s="57"/>
      <c r="B1605" s="57" t="str">
        <f>IFERROR(__xludf.DUMMYFUNCTION("""COMPUTED_VALUE"""),"    ")</f>
        <v>    </v>
      </c>
      <c r="C1605" s="57" t="str">
        <f>IFERROR(__xludf.DUMMYFUNCTION("""COMPUTED_VALUE"""),"")</f>
        <v/>
      </c>
      <c r="D1605" s="58"/>
      <c r="E1605" s="56"/>
      <c r="F1605" s="54"/>
      <c r="G1605" s="54"/>
      <c r="H1605" s="54"/>
      <c r="I1605" s="54"/>
      <c r="J1605" s="54"/>
      <c r="K1605" s="54"/>
    </row>
    <row r="1606">
      <c r="A1606" s="57"/>
      <c r="B1606" s="57" t="str">
        <f>IFERROR(__xludf.DUMMYFUNCTION("""COMPUTED_VALUE"""),"    ")</f>
        <v>    </v>
      </c>
      <c r="C1606" s="57" t="str">
        <f>IFERROR(__xludf.DUMMYFUNCTION("""COMPUTED_VALUE"""),"")</f>
        <v/>
      </c>
      <c r="D1606" s="58"/>
      <c r="E1606" s="56"/>
      <c r="F1606" s="54"/>
      <c r="G1606" s="54"/>
      <c r="H1606" s="54"/>
      <c r="I1606" s="54"/>
      <c r="J1606" s="54"/>
      <c r="K1606" s="54"/>
    </row>
    <row r="1607">
      <c r="A1607" s="57"/>
      <c r="B1607" s="57" t="str">
        <f>IFERROR(__xludf.DUMMYFUNCTION("""COMPUTED_VALUE"""),"    ")</f>
        <v>    </v>
      </c>
      <c r="C1607" s="57" t="str">
        <f>IFERROR(__xludf.DUMMYFUNCTION("""COMPUTED_VALUE"""),"")</f>
        <v/>
      </c>
      <c r="D1607" s="58"/>
      <c r="E1607" s="56"/>
      <c r="F1607" s="54"/>
      <c r="G1607" s="54"/>
      <c r="H1607" s="54"/>
      <c r="I1607" s="54"/>
      <c r="J1607" s="54"/>
      <c r="K1607" s="54"/>
    </row>
    <row r="1608">
      <c r="A1608" s="57"/>
      <c r="B1608" s="57" t="str">
        <f>IFERROR(__xludf.DUMMYFUNCTION("""COMPUTED_VALUE"""),"    ")</f>
        <v>    </v>
      </c>
      <c r="C1608" s="57" t="str">
        <f>IFERROR(__xludf.DUMMYFUNCTION("""COMPUTED_VALUE"""),"")</f>
        <v/>
      </c>
      <c r="D1608" s="58"/>
      <c r="E1608" s="56"/>
      <c r="F1608" s="54"/>
      <c r="G1608" s="54"/>
      <c r="H1608" s="54"/>
      <c r="I1608" s="54"/>
      <c r="J1608" s="54"/>
      <c r="K1608" s="54"/>
    </row>
    <row r="1609">
      <c r="A1609" s="57"/>
      <c r="B1609" s="57" t="str">
        <f>IFERROR(__xludf.DUMMYFUNCTION("""COMPUTED_VALUE"""),"    ")</f>
        <v>    </v>
      </c>
      <c r="C1609" s="57" t="str">
        <f>IFERROR(__xludf.DUMMYFUNCTION("""COMPUTED_VALUE"""),"")</f>
        <v/>
      </c>
      <c r="D1609" s="58"/>
      <c r="E1609" s="56"/>
      <c r="F1609" s="54"/>
      <c r="G1609" s="54"/>
      <c r="H1609" s="54"/>
      <c r="I1609" s="54"/>
      <c r="J1609" s="54"/>
      <c r="K1609" s="54"/>
    </row>
    <row r="1610">
      <c r="A1610" s="57"/>
      <c r="B1610" s="57" t="str">
        <f>IFERROR(__xludf.DUMMYFUNCTION("""COMPUTED_VALUE"""),"    ")</f>
        <v>    </v>
      </c>
      <c r="C1610" s="57" t="str">
        <f>IFERROR(__xludf.DUMMYFUNCTION("""COMPUTED_VALUE"""),"")</f>
        <v/>
      </c>
      <c r="D1610" s="58"/>
      <c r="E1610" s="56"/>
      <c r="F1610" s="54"/>
      <c r="G1610" s="54"/>
      <c r="H1610" s="54"/>
      <c r="I1610" s="54"/>
      <c r="J1610" s="54"/>
      <c r="K1610" s="54"/>
    </row>
    <row r="1611">
      <c r="A1611" s="57"/>
      <c r="B1611" s="57" t="str">
        <f>IFERROR(__xludf.DUMMYFUNCTION("""COMPUTED_VALUE"""),"    ")</f>
        <v>    </v>
      </c>
      <c r="C1611" s="57" t="str">
        <f>IFERROR(__xludf.DUMMYFUNCTION("""COMPUTED_VALUE"""),"")</f>
        <v/>
      </c>
      <c r="D1611" s="58"/>
      <c r="E1611" s="56"/>
      <c r="F1611" s="54"/>
      <c r="G1611" s="54"/>
      <c r="H1611" s="54"/>
      <c r="I1611" s="54"/>
      <c r="J1611" s="54"/>
      <c r="K1611" s="54"/>
    </row>
    <row r="1612">
      <c r="A1612" s="57"/>
      <c r="B1612" s="57" t="str">
        <f>IFERROR(__xludf.DUMMYFUNCTION("""COMPUTED_VALUE"""),"    ")</f>
        <v>    </v>
      </c>
      <c r="C1612" s="57" t="str">
        <f>IFERROR(__xludf.DUMMYFUNCTION("""COMPUTED_VALUE"""),"")</f>
        <v/>
      </c>
      <c r="D1612" s="58"/>
      <c r="E1612" s="56"/>
      <c r="F1612" s="54"/>
      <c r="G1612" s="54"/>
      <c r="H1612" s="54"/>
      <c r="I1612" s="54"/>
      <c r="J1612" s="54"/>
      <c r="K1612" s="54"/>
    </row>
    <row r="1613">
      <c r="A1613" s="57"/>
      <c r="B1613" s="57" t="str">
        <f>IFERROR(__xludf.DUMMYFUNCTION("""COMPUTED_VALUE"""),"    ")</f>
        <v>    </v>
      </c>
      <c r="C1613" s="57" t="str">
        <f>IFERROR(__xludf.DUMMYFUNCTION("""COMPUTED_VALUE"""),"")</f>
        <v/>
      </c>
      <c r="D1613" s="58"/>
      <c r="E1613" s="56"/>
      <c r="F1613" s="54"/>
      <c r="G1613" s="54"/>
      <c r="H1613" s="54"/>
      <c r="I1613" s="54"/>
      <c r="J1613" s="54"/>
      <c r="K1613" s="54"/>
    </row>
    <row r="1614">
      <c r="A1614" s="57"/>
      <c r="B1614" s="57" t="str">
        <f>IFERROR(__xludf.DUMMYFUNCTION("""COMPUTED_VALUE"""),"    ")</f>
        <v>    </v>
      </c>
      <c r="C1614" s="57" t="str">
        <f>IFERROR(__xludf.DUMMYFUNCTION("""COMPUTED_VALUE"""),"")</f>
        <v/>
      </c>
      <c r="D1614" s="58"/>
      <c r="E1614" s="56"/>
      <c r="F1614" s="54"/>
      <c r="G1614" s="54"/>
      <c r="H1614" s="54"/>
      <c r="I1614" s="54"/>
      <c r="J1614" s="54"/>
      <c r="K1614" s="54"/>
    </row>
    <row r="1615">
      <c r="A1615" s="57"/>
      <c r="B1615" s="57" t="str">
        <f>IFERROR(__xludf.DUMMYFUNCTION("""COMPUTED_VALUE"""),"    ")</f>
        <v>    </v>
      </c>
      <c r="C1615" s="57" t="str">
        <f>IFERROR(__xludf.DUMMYFUNCTION("""COMPUTED_VALUE"""),"")</f>
        <v/>
      </c>
      <c r="D1615" s="58"/>
      <c r="E1615" s="56"/>
      <c r="F1615" s="54"/>
      <c r="G1615" s="54"/>
      <c r="H1615" s="54"/>
      <c r="I1615" s="54"/>
      <c r="J1615" s="54"/>
      <c r="K1615" s="54"/>
    </row>
    <row r="1616">
      <c r="A1616" s="57"/>
      <c r="B1616" s="57" t="str">
        <f>IFERROR(__xludf.DUMMYFUNCTION("""COMPUTED_VALUE"""),"    ")</f>
        <v>    </v>
      </c>
      <c r="C1616" s="57" t="str">
        <f>IFERROR(__xludf.DUMMYFUNCTION("""COMPUTED_VALUE"""),"")</f>
        <v/>
      </c>
      <c r="D1616" s="58"/>
      <c r="E1616" s="56"/>
      <c r="F1616" s="54"/>
      <c r="G1616" s="54"/>
      <c r="H1616" s="54"/>
      <c r="I1616" s="54"/>
      <c r="J1616" s="54"/>
      <c r="K1616" s="54"/>
    </row>
    <row r="1617">
      <c r="A1617" s="57"/>
      <c r="B1617" s="57" t="str">
        <f>IFERROR(__xludf.DUMMYFUNCTION("""COMPUTED_VALUE"""),"    ")</f>
        <v>    </v>
      </c>
      <c r="C1617" s="57" t="str">
        <f>IFERROR(__xludf.DUMMYFUNCTION("""COMPUTED_VALUE"""),"")</f>
        <v/>
      </c>
      <c r="D1617" s="58"/>
      <c r="E1617" s="56"/>
      <c r="F1617" s="54"/>
      <c r="G1617" s="54"/>
      <c r="H1617" s="54"/>
      <c r="I1617" s="54"/>
      <c r="J1617" s="54"/>
      <c r="K1617" s="54"/>
    </row>
    <row r="1618">
      <c r="A1618" s="57"/>
      <c r="B1618" s="57" t="str">
        <f>IFERROR(__xludf.DUMMYFUNCTION("""COMPUTED_VALUE"""),"    ")</f>
        <v>    </v>
      </c>
      <c r="C1618" s="57" t="str">
        <f>IFERROR(__xludf.DUMMYFUNCTION("""COMPUTED_VALUE"""),"")</f>
        <v/>
      </c>
      <c r="D1618" s="58"/>
      <c r="E1618" s="56"/>
      <c r="F1618" s="54"/>
      <c r="G1618" s="54"/>
      <c r="H1618" s="54"/>
      <c r="I1618" s="54"/>
      <c r="J1618" s="54"/>
      <c r="K1618" s="54"/>
    </row>
    <row r="1619">
      <c r="A1619" s="57"/>
      <c r="B1619" s="57" t="str">
        <f>IFERROR(__xludf.DUMMYFUNCTION("""COMPUTED_VALUE"""),"    ")</f>
        <v>    </v>
      </c>
      <c r="C1619" s="57" t="str">
        <f>IFERROR(__xludf.DUMMYFUNCTION("""COMPUTED_VALUE"""),"")</f>
        <v/>
      </c>
      <c r="D1619" s="58"/>
      <c r="E1619" s="56"/>
      <c r="F1619" s="54"/>
      <c r="G1619" s="54"/>
      <c r="H1619" s="54"/>
      <c r="I1619" s="54"/>
      <c r="J1619" s="54"/>
      <c r="K1619" s="54"/>
    </row>
    <row r="1620">
      <c r="A1620" s="57"/>
      <c r="B1620" s="57" t="str">
        <f>IFERROR(__xludf.DUMMYFUNCTION("""COMPUTED_VALUE"""),"    ")</f>
        <v>    </v>
      </c>
      <c r="C1620" s="57" t="str">
        <f>IFERROR(__xludf.DUMMYFUNCTION("""COMPUTED_VALUE"""),"")</f>
        <v/>
      </c>
      <c r="D1620" s="58"/>
      <c r="E1620" s="56"/>
      <c r="F1620" s="54"/>
      <c r="G1620" s="54"/>
      <c r="H1620" s="54"/>
      <c r="I1620" s="54"/>
      <c r="J1620" s="54"/>
      <c r="K1620" s="54"/>
    </row>
    <row r="1621">
      <c r="A1621" s="57"/>
      <c r="B1621" s="57" t="str">
        <f>IFERROR(__xludf.DUMMYFUNCTION("""COMPUTED_VALUE"""),"    ")</f>
        <v>    </v>
      </c>
      <c r="C1621" s="57" t="str">
        <f>IFERROR(__xludf.DUMMYFUNCTION("""COMPUTED_VALUE"""),"")</f>
        <v/>
      </c>
      <c r="D1621" s="58"/>
      <c r="E1621" s="56"/>
      <c r="F1621" s="54"/>
      <c r="G1621" s="54"/>
      <c r="H1621" s="54"/>
      <c r="I1621" s="54"/>
      <c r="J1621" s="54"/>
      <c r="K1621" s="54"/>
    </row>
    <row r="1622">
      <c r="A1622" s="57"/>
      <c r="B1622" s="57" t="str">
        <f>IFERROR(__xludf.DUMMYFUNCTION("""COMPUTED_VALUE"""),"    ")</f>
        <v>    </v>
      </c>
      <c r="C1622" s="57" t="str">
        <f>IFERROR(__xludf.DUMMYFUNCTION("""COMPUTED_VALUE"""),"")</f>
        <v/>
      </c>
      <c r="D1622" s="58"/>
      <c r="E1622" s="56"/>
      <c r="F1622" s="54"/>
      <c r="G1622" s="54"/>
      <c r="H1622" s="54"/>
      <c r="I1622" s="54"/>
      <c r="J1622" s="54"/>
      <c r="K1622" s="54"/>
    </row>
    <row r="1623">
      <c r="A1623" s="57"/>
      <c r="B1623" s="57" t="str">
        <f>IFERROR(__xludf.DUMMYFUNCTION("""COMPUTED_VALUE"""),"    ")</f>
        <v>    </v>
      </c>
      <c r="C1623" s="57" t="str">
        <f>IFERROR(__xludf.DUMMYFUNCTION("""COMPUTED_VALUE"""),"")</f>
        <v/>
      </c>
      <c r="D1623" s="58"/>
      <c r="E1623" s="56"/>
      <c r="F1623" s="54"/>
      <c r="G1623" s="54"/>
      <c r="H1623" s="54"/>
      <c r="I1623" s="54"/>
      <c r="J1623" s="54"/>
      <c r="K1623" s="54"/>
    </row>
    <row r="1624">
      <c r="A1624" s="57"/>
      <c r="B1624" s="57" t="str">
        <f>IFERROR(__xludf.DUMMYFUNCTION("""COMPUTED_VALUE"""),"    ")</f>
        <v>    </v>
      </c>
      <c r="C1624" s="57" t="str">
        <f>IFERROR(__xludf.DUMMYFUNCTION("""COMPUTED_VALUE"""),"")</f>
        <v/>
      </c>
      <c r="D1624" s="58"/>
      <c r="E1624" s="56"/>
      <c r="F1624" s="54"/>
      <c r="G1624" s="54"/>
      <c r="H1624" s="54"/>
      <c r="I1624" s="54"/>
      <c r="J1624" s="54"/>
      <c r="K1624" s="54"/>
    </row>
    <row r="1625">
      <c r="A1625" s="57"/>
      <c r="B1625" s="57" t="str">
        <f>IFERROR(__xludf.DUMMYFUNCTION("""COMPUTED_VALUE"""),"    ")</f>
        <v>    </v>
      </c>
      <c r="C1625" s="57" t="str">
        <f>IFERROR(__xludf.DUMMYFUNCTION("""COMPUTED_VALUE"""),"")</f>
        <v/>
      </c>
      <c r="D1625" s="58"/>
      <c r="E1625" s="56"/>
      <c r="F1625" s="54"/>
      <c r="G1625" s="54"/>
      <c r="H1625" s="54"/>
      <c r="I1625" s="54"/>
      <c r="J1625" s="54"/>
      <c r="K1625" s="54"/>
    </row>
    <row r="1626">
      <c r="A1626" s="57"/>
      <c r="B1626" s="57" t="str">
        <f>IFERROR(__xludf.DUMMYFUNCTION("""COMPUTED_VALUE"""),"    ")</f>
        <v>    </v>
      </c>
      <c r="C1626" s="57" t="str">
        <f>IFERROR(__xludf.DUMMYFUNCTION("""COMPUTED_VALUE"""),"")</f>
        <v/>
      </c>
      <c r="D1626" s="58"/>
      <c r="E1626" s="56"/>
      <c r="F1626" s="54"/>
      <c r="G1626" s="54"/>
      <c r="H1626" s="54"/>
      <c r="I1626" s="54"/>
      <c r="J1626" s="54"/>
      <c r="K1626" s="54"/>
    </row>
    <row r="1627">
      <c r="A1627" s="57"/>
      <c r="B1627" s="57" t="str">
        <f>IFERROR(__xludf.DUMMYFUNCTION("""COMPUTED_VALUE"""),"    ")</f>
        <v>    </v>
      </c>
      <c r="C1627" s="57" t="str">
        <f>IFERROR(__xludf.DUMMYFUNCTION("""COMPUTED_VALUE"""),"")</f>
        <v/>
      </c>
      <c r="D1627" s="58"/>
      <c r="E1627" s="56"/>
      <c r="F1627" s="54"/>
      <c r="G1627" s="54"/>
      <c r="H1627" s="54"/>
      <c r="I1627" s="54"/>
      <c r="J1627" s="54"/>
      <c r="K1627" s="54"/>
    </row>
    <row r="1628">
      <c r="A1628" s="57"/>
      <c r="B1628" s="57" t="str">
        <f>IFERROR(__xludf.DUMMYFUNCTION("""COMPUTED_VALUE"""),"    ")</f>
        <v>    </v>
      </c>
      <c r="C1628" s="57" t="str">
        <f>IFERROR(__xludf.DUMMYFUNCTION("""COMPUTED_VALUE"""),"")</f>
        <v/>
      </c>
      <c r="D1628" s="58"/>
      <c r="E1628" s="56"/>
      <c r="F1628" s="54"/>
      <c r="G1628" s="54"/>
      <c r="H1628" s="54"/>
      <c r="I1628" s="54"/>
      <c r="J1628" s="54"/>
      <c r="K1628" s="54"/>
    </row>
    <row r="1629">
      <c r="A1629" s="57"/>
      <c r="B1629" s="57" t="str">
        <f>IFERROR(__xludf.DUMMYFUNCTION("""COMPUTED_VALUE"""),"    ")</f>
        <v>    </v>
      </c>
      <c r="C1629" s="57" t="str">
        <f>IFERROR(__xludf.DUMMYFUNCTION("""COMPUTED_VALUE"""),"")</f>
        <v/>
      </c>
      <c r="D1629" s="58"/>
      <c r="E1629" s="56"/>
      <c r="F1629" s="54"/>
      <c r="G1629" s="54"/>
      <c r="H1629" s="54"/>
      <c r="I1629" s="54"/>
      <c r="J1629" s="54"/>
      <c r="K1629" s="54"/>
    </row>
    <row r="1630">
      <c r="A1630" s="57"/>
      <c r="B1630" s="57" t="str">
        <f>IFERROR(__xludf.DUMMYFUNCTION("""COMPUTED_VALUE"""),"    ")</f>
        <v>    </v>
      </c>
      <c r="C1630" s="57" t="str">
        <f>IFERROR(__xludf.DUMMYFUNCTION("""COMPUTED_VALUE"""),"")</f>
        <v/>
      </c>
      <c r="D1630" s="58"/>
      <c r="E1630" s="56"/>
      <c r="F1630" s="54"/>
      <c r="G1630" s="54"/>
      <c r="H1630" s="54"/>
      <c r="I1630" s="54"/>
      <c r="J1630" s="54"/>
      <c r="K1630" s="54"/>
    </row>
    <row r="1631">
      <c r="A1631" s="57"/>
      <c r="B1631" s="57" t="str">
        <f>IFERROR(__xludf.DUMMYFUNCTION("""COMPUTED_VALUE"""),"    ")</f>
        <v>    </v>
      </c>
      <c r="C1631" s="57" t="str">
        <f>IFERROR(__xludf.DUMMYFUNCTION("""COMPUTED_VALUE"""),"")</f>
        <v/>
      </c>
      <c r="D1631" s="58"/>
      <c r="E1631" s="56"/>
      <c r="F1631" s="54"/>
      <c r="G1631" s="54"/>
      <c r="H1631" s="54"/>
      <c r="I1631" s="54"/>
      <c r="J1631" s="54"/>
      <c r="K1631" s="54"/>
    </row>
    <row r="1632">
      <c r="A1632" s="57"/>
      <c r="B1632" s="57" t="str">
        <f>IFERROR(__xludf.DUMMYFUNCTION("""COMPUTED_VALUE"""),"    ")</f>
        <v>    </v>
      </c>
      <c r="C1632" s="57" t="str">
        <f>IFERROR(__xludf.DUMMYFUNCTION("""COMPUTED_VALUE"""),"")</f>
        <v/>
      </c>
      <c r="D1632" s="58"/>
      <c r="E1632" s="56"/>
      <c r="F1632" s="54"/>
      <c r="G1632" s="54"/>
      <c r="H1632" s="54"/>
      <c r="I1632" s="54"/>
      <c r="J1632" s="54"/>
      <c r="K1632" s="54"/>
    </row>
    <row r="1633">
      <c r="A1633" s="57"/>
      <c r="B1633" s="57" t="str">
        <f>IFERROR(__xludf.DUMMYFUNCTION("""COMPUTED_VALUE"""),"    ")</f>
        <v>    </v>
      </c>
      <c r="C1633" s="57" t="str">
        <f>IFERROR(__xludf.DUMMYFUNCTION("""COMPUTED_VALUE"""),"")</f>
        <v/>
      </c>
      <c r="D1633" s="58"/>
      <c r="E1633" s="56"/>
      <c r="F1633" s="54"/>
      <c r="G1633" s="54"/>
      <c r="H1633" s="54"/>
      <c r="I1633" s="54"/>
      <c r="J1633" s="54"/>
      <c r="K1633" s="54"/>
    </row>
    <row r="1634">
      <c r="A1634" s="57"/>
      <c r="B1634" s="57" t="str">
        <f>IFERROR(__xludf.DUMMYFUNCTION("""COMPUTED_VALUE"""),"    ")</f>
        <v>    </v>
      </c>
      <c r="C1634" s="57" t="str">
        <f>IFERROR(__xludf.DUMMYFUNCTION("""COMPUTED_VALUE"""),"")</f>
        <v/>
      </c>
      <c r="D1634" s="58"/>
      <c r="E1634" s="56"/>
      <c r="F1634" s="54"/>
      <c r="G1634" s="54"/>
      <c r="H1634" s="54"/>
      <c r="I1634" s="54"/>
      <c r="J1634" s="54"/>
      <c r="K1634" s="54"/>
    </row>
    <row r="1635">
      <c r="A1635" s="57"/>
      <c r="B1635" s="57" t="str">
        <f>IFERROR(__xludf.DUMMYFUNCTION("""COMPUTED_VALUE"""),"    ")</f>
        <v>    </v>
      </c>
      <c r="C1635" s="57" t="str">
        <f>IFERROR(__xludf.DUMMYFUNCTION("""COMPUTED_VALUE"""),"")</f>
        <v/>
      </c>
      <c r="D1635" s="58"/>
      <c r="E1635" s="56"/>
      <c r="F1635" s="54"/>
      <c r="G1635" s="54"/>
      <c r="H1635" s="54"/>
      <c r="I1635" s="54"/>
      <c r="J1635" s="54"/>
      <c r="K1635" s="54"/>
    </row>
    <row r="1636">
      <c r="A1636" s="57"/>
      <c r="B1636" s="57" t="str">
        <f>IFERROR(__xludf.DUMMYFUNCTION("""COMPUTED_VALUE"""),"    ")</f>
        <v>    </v>
      </c>
      <c r="C1636" s="57" t="str">
        <f>IFERROR(__xludf.DUMMYFUNCTION("""COMPUTED_VALUE"""),"")</f>
        <v/>
      </c>
      <c r="D1636" s="58"/>
      <c r="E1636" s="56"/>
      <c r="F1636" s="54"/>
      <c r="G1636" s="54"/>
      <c r="H1636" s="54"/>
      <c r="I1636" s="54"/>
      <c r="J1636" s="54"/>
      <c r="K1636" s="54"/>
    </row>
    <row r="1637">
      <c r="A1637" s="57"/>
      <c r="B1637" s="57" t="str">
        <f>IFERROR(__xludf.DUMMYFUNCTION("""COMPUTED_VALUE"""),"    ")</f>
        <v>    </v>
      </c>
      <c r="C1637" s="57" t="str">
        <f>IFERROR(__xludf.DUMMYFUNCTION("""COMPUTED_VALUE"""),"")</f>
        <v/>
      </c>
      <c r="D1637" s="58"/>
      <c r="E1637" s="56"/>
      <c r="F1637" s="54"/>
      <c r="G1637" s="54"/>
      <c r="H1637" s="54"/>
      <c r="I1637" s="54"/>
      <c r="J1637" s="54"/>
      <c r="K1637" s="54"/>
    </row>
    <row r="1638">
      <c r="A1638" s="57"/>
      <c r="B1638" s="57" t="str">
        <f>IFERROR(__xludf.DUMMYFUNCTION("""COMPUTED_VALUE"""),"    ")</f>
        <v>    </v>
      </c>
      <c r="C1638" s="57" t="str">
        <f>IFERROR(__xludf.DUMMYFUNCTION("""COMPUTED_VALUE"""),"")</f>
        <v/>
      </c>
      <c r="D1638" s="58"/>
      <c r="E1638" s="56"/>
      <c r="F1638" s="54"/>
      <c r="G1638" s="54"/>
      <c r="H1638" s="54"/>
      <c r="I1638" s="54"/>
      <c r="J1638" s="54"/>
      <c r="K1638" s="54"/>
    </row>
    <row r="1639">
      <c r="A1639" s="57"/>
      <c r="B1639" s="57" t="str">
        <f>IFERROR(__xludf.DUMMYFUNCTION("""COMPUTED_VALUE"""),"    ")</f>
        <v>    </v>
      </c>
      <c r="C1639" s="57" t="str">
        <f>IFERROR(__xludf.DUMMYFUNCTION("""COMPUTED_VALUE"""),"")</f>
        <v/>
      </c>
      <c r="D1639" s="58"/>
      <c r="E1639" s="56"/>
      <c r="F1639" s="54"/>
      <c r="G1639" s="54"/>
      <c r="H1639" s="54"/>
      <c r="I1639" s="54"/>
      <c r="J1639" s="54"/>
      <c r="K1639" s="54"/>
    </row>
    <row r="1640">
      <c r="A1640" s="57"/>
      <c r="B1640" s="57" t="str">
        <f>IFERROR(__xludf.DUMMYFUNCTION("""COMPUTED_VALUE"""),"    ")</f>
        <v>    </v>
      </c>
      <c r="C1640" s="57" t="str">
        <f>IFERROR(__xludf.DUMMYFUNCTION("""COMPUTED_VALUE"""),"")</f>
        <v/>
      </c>
      <c r="D1640" s="58"/>
      <c r="E1640" s="56"/>
      <c r="F1640" s="54"/>
      <c r="G1640" s="54"/>
      <c r="H1640" s="54"/>
      <c r="I1640" s="54"/>
      <c r="J1640" s="54"/>
      <c r="K1640" s="54"/>
    </row>
    <row r="1641">
      <c r="A1641" s="57"/>
      <c r="B1641" s="57" t="str">
        <f>IFERROR(__xludf.DUMMYFUNCTION("""COMPUTED_VALUE"""),"    ")</f>
        <v>    </v>
      </c>
      <c r="C1641" s="57" t="str">
        <f>IFERROR(__xludf.DUMMYFUNCTION("""COMPUTED_VALUE"""),"")</f>
        <v/>
      </c>
      <c r="D1641" s="58"/>
      <c r="E1641" s="56"/>
      <c r="F1641" s="54"/>
      <c r="G1641" s="54"/>
      <c r="H1641" s="54"/>
      <c r="I1641" s="54"/>
      <c r="J1641" s="54"/>
      <c r="K1641" s="54"/>
    </row>
    <row r="1642">
      <c r="A1642" s="57"/>
      <c r="B1642" s="57" t="str">
        <f>IFERROR(__xludf.DUMMYFUNCTION("""COMPUTED_VALUE"""),"    ")</f>
        <v>    </v>
      </c>
      <c r="C1642" s="57" t="str">
        <f>IFERROR(__xludf.DUMMYFUNCTION("""COMPUTED_VALUE"""),"")</f>
        <v/>
      </c>
      <c r="D1642" s="58"/>
      <c r="E1642" s="56"/>
      <c r="F1642" s="54"/>
      <c r="G1642" s="54"/>
      <c r="H1642" s="54"/>
      <c r="I1642" s="54"/>
      <c r="J1642" s="54"/>
      <c r="K1642" s="54"/>
    </row>
    <row r="1643">
      <c r="A1643" s="57"/>
      <c r="B1643" s="57" t="str">
        <f>IFERROR(__xludf.DUMMYFUNCTION("""COMPUTED_VALUE"""),"    ")</f>
        <v>    </v>
      </c>
      <c r="C1643" s="57" t="str">
        <f>IFERROR(__xludf.DUMMYFUNCTION("""COMPUTED_VALUE"""),"")</f>
        <v/>
      </c>
      <c r="D1643" s="58"/>
      <c r="E1643" s="56"/>
      <c r="F1643" s="54"/>
      <c r="G1643" s="54"/>
      <c r="H1643" s="54"/>
      <c r="I1643" s="54"/>
      <c r="J1643" s="54"/>
      <c r="K1643" s="54"/>
    </row>
    <row r="1644">
      <c r="A1644" s="57"/>
      <c r="B1644" s="57" t="str">
        <f>IFERROR(__xludf.DUMMYFUNCTION("""COMPUTED_VALUE"""),"    ")</f>
        <v>    </v>
      </c>
      <c r="C1644" s="57" t="str">
        <f>IFERROR(__xludf.DUMMYFUNCTION("""COMPUTED_VALUE"""),"")</f>
        <v/>
      </c>
      <c r="D1644" s="58"/>
      <c r="E1644" s="56"/>
      <c r="F1644" s="54"/>
      <c r="G1644" s="54"/>
      <c r="H1644" s="54"/>
      <c r="I1644" s="54"/>
      <c r="J1644" s="54"/>
      <c r="K1644" s="54"/>
    </row>
    <row r="1645">
      <c r="A1645" s="57"/>
      <c r="B1645" s="57" t="str">
        <f>IFERROR(__xludf.DUMMYFUNCTION("""COMPUTED_VALUE"""),"    ")</f>
        <v>    </v>
      </c>
      <c r="C1645" s="57" t="str">
        <f>IFERROR(__xludf.DUMMYFUNCTION("""COMPUTED_VALUE"""),"")</f>
        <v/>
      </c>
      <c r="D1645" s="58"/>
      <c r="E1645" s="56"/>
      <c r="F1645" s="54"/>
      <c r="G1645" s="54"/>
      <c r="H1645" s="54"/>
      <c r="I1645" s="54"/>
      <c r="J1645" s="54"/>
      <c r="K1645" s="54"/>
    </row>
    <row r="1646">
      <c r="A1646" s="57"/>
      <c r="B1646" s="57" t="str">
        <f>IFERROR(__xludf.DUMMYFUNCTION("""COMPUTED_VALUE"""),"    ")</f>
        <v>    </v>
      </c>
      <c r="C1646" s="57" t="str">
        <f>IFERROR(__xludf.DUMMYFUNCTION("""COMPUTED_VALUE"""),"")</f>
        <v/>
      </c>
      <c r="D1646" s="58"/>
      <c r="E1646" s="56"/>
      <c r="F1646" s="54"/>
      <c r="G1646" s="54"/>
      <c r="H1646" s="54"/>
      <c r="I1646" s="54"/>
      <c r="J1646" s="54"/>
      <c r="K1646" s="54"/>
    </row>
    <row r="1647">
      <c r="A1647" s="57"/>
      <c r="B1647" s="57" t="str">
        <f>IFERROR(__xludf.DUMMYFUNCTION("""COMPUTED_VALUE"""),"    ")</f>
        <v>    </v>
      </c>
      <c r="C1647" s="57" t="str">
        <f>IFERROR(__xludf.DUMMYFUNCTION("""COMPUTED_VALUE"""),"")</f>
        <v/>
      </c>
      <c r="D1647" s="58"/>
      <c r="E1647" s="56"/>
      <c r="F1647" s="54"/>
      <c r="G1647" s="54"/>
      <c r="H1647" s="54"/>
      <c r="I1647" s="54"/>
      <c r="J1647" s="54"/>
      <c r="K1647" s="54"/>
    </row>
    <row r="1648">
      <c r="A1648" s="57"/>
      <c r="B1648" s="57" t="str">
        <f>IFERROR(__xludf.DUMMYFUNCTION("""COMPUTED_VALUE"""),"    ")</f>
        <v>    </v>
      </c>
      <c r="C1648" s="57" t="str">
        <f>IFERROR(__xludf.DUMMYFUNCTION("""COMPUTED_VALUE"""),"")</f>
        <v/>
      </c>
      <c r="D1648" s="58"/>
      <c r="E1648" s="56"/>
      <c r="F1648" s="54"/>
      <c r="G1648" s="54"/>
      <c r="H1648" s="54"/>
      <c r="I1648" s="54"/>
      <c r="J1648" s="54"/>
      <c r="K1648" s="54"/>
    </row>
    <row r="1649">
      <c r="A1649" s="57"/>
      <c r="B1649" s="57" t="str">
        <f>IFERROR(__xludf.DUMMYFUNCTION("""COMPUTED_VALUE"""),"    ")</f>
        <v>    </v>
      </c>
      <c r="C1649" s="57" t="str">
        <f>IFERROR(__xludf.DUMMYFUNCTION("""COMPUTED_VALUE"""),"")</f>
        <v/>
      </c>
      <c r="D1649" s="58"/>
      <c r="E1649" s="56"/>
      <c r="F1649" s="54"/>
      <c r="G1649" s="54"/>
      <c r="H1649" s="54"/>
      <c r="I1649" s="54"/>
      <c r="J1649" s="54"/>
      <c r="K1649" s="54"/>
    </row>
    <row r="1650">
      <c r="A1650" s="57"/>
      <c r="B1650" s="57" t="str">
        <f>IFERROR(__xludf.DUMMYFUNCTION("""COMPUTED_VALUE"""),"    ")</f>
        <v>    </v>
      </c>
      <c r="C1650" s="57" t="str">
        <f>IFERROR(__xludf.DUMMYFUNCTION("""COMPUTED_VALUE"""),"")</f>
        <v/>
      </c>
      <c r="D1650" s="58"/>
      <c r="E1650" s="56"/>
      <c r="F1650" s="54"/>
      <c r="G1650" s="54"/>
      <c r="H1650" s="54"/>
      <c r="I1650" s="54"/>
      <c r="J1650" s="54"/>
      <c r="K1650" s="54"/>
    </row>
    <row r="1651">
      <c r="A1651" s="57"/>
      <c r="B1651" s="57" t="str">
        <f>IFERROR(__xludf.DUMMYFUNCTION("""COMPUTED_VALUE"""),"    ")</f>
        <v>    </v>
      </c>
      <c r="C1651" s="57" t="str">
        <f>IFERROR(__xludf.DUMMYFUNCTION("""COMPUTED_VALUE"""),"")</f>
        <v/>
      </c>
      <c r="D1651" s="58"/>
      <c r="E1651" s="56"/>
      <c r="F1651" s="54"/>
      <c r="G1651" s="54"/>
      <c r="H1651" s="54"/>
      <c r="I1651" s="54"/>
      <c r="J1651" s="54"/>
      <c r="K1651" s="54"/>
    </row>
    <row r="1652">
      <c r="A1652" s="57"/>
      <c r="B1652" s="57" t="str">
        <f>IFERROR(__xludf.DUMMYFUNCTION("""COMPUTED_VALUE"""),"    ")</f>
        <v>    </v>
      </c>
      <c r="C1652" s="57" t="str">
        <f>IFERROR(__xludf.DUMMYFUNCTION("""COMPUTED_VALUE"""),"")</f>
        <v/>
      </c>
      <c r="D1652" s="58"/>
      <c r="E1652" s="56"/>
      <c r="F1652" s="54"/>
      <c r="G1652" s="54"/>
      <c r="H1652" s="54"/>
      <c r="I1652" s="54"/>
      <c r="J1652" s="54"/>
      <c r="K1652" s="54"/>
    </row>
    <row r="1653">
      <c r="A1653" s="57"/>
      <c r="B1653" s="57" t="str">
        <f>IFERROR(__xludf.DUMMYFUNCTION("""COMPUTED_VALUE"""),"    ")</f>
        <v>    </v>
      </c>
      <c r="C1653" s="57" t="str">
        <f>IFERROR(__xludf.DUMMYFUNCTION("""COMPUTED_VALUE"""),"")</f>
        <v/>
      </c>
      <c r="D1653" s="58"/>
      <c r="E1653" s="56"/>
      <c r="F1653" s="54"/>
      <c r="G1653" s="54"/>
      <c r="H1653" s="54"/>
      <c r="I1653" s="54"/>
      <c r="J1653" s="54"/>
      <c r="K1653" s="54"/>
    </row>
    <row r="1654">
      <c r="A1654" s="57"/>
      <c r="B1654" s="57" t="str">
        <f>IFERROR(__xludf.DUMMYFUNCTION("""COMPUTED_VALUE"""),"    ")</f>
        <v>    </v>
      </c>
      <c r="C1654" s="57" t="str">
        <f>IFERROR(__xludf.DUMMYFUNCTION("""COMPUTED_VALUE"""),"")</f>
        <v/>
      </c>
      <c r="D1654" s="58"/>
      <c r="E1654" s="56"/>
      <c r="F1654" s="54"/>
      <c r="G1654" s="54"/>
      <c r="H1654" s="54"/>
      <c r="I1654" s="54"/>
      <c r="J1654" s="54"/>
      <c r="K1654" s="54"/>
    </row>
    <row r="1655">
      <c r="A1655" s="57"/>
      <c r="B1655" s="57" t="str">
        <f>IFERROR(__xludf.DUMMYFUNCTION("""COMPUTED_VALUE"""),"    ")</f>
        <v>    </v>
      </c>
      <c r="C1655" s="57" t="str">
        <f>IFERROR(__xludf.DUMMYFUNCTION("""COMPUTED_VALUE"""),"")</f>
        <v/>
      </c>
      <c r="D1655" s="58"/>
      <c r="E1655" s="56"/>
      <c r="F1655" s="54"/>
      <c r="G1655" s="54"/>
      <c r="H1655" s="54"/>
      <c r="I1655" s="54"/>
      <c r="J1655" s="54"/>
      <c r="K1655" s="54"/>
    </row>
    <row r="1656">
      <c r="A1656" s="57"/>
      <c r="B1656" s="57" t="str">
        <f>IFERROR(__xludf.DUMMYFUNCTION("""COMPUTED_VALUE"""),"    ")</f>
        <v>    </v>
      </c>
      <c r="C1656" s="57" t="str">
        <f>IFERROR(__xludf.DUMMYFUNCTION("""COMPUTED_VALUE"""),"")</f>
        <v/>
      </c>
      <c r="D1656" s="58"/>
      <c r="E1656" s="56"/>
      <c r="F1656" s="54"/>
      <c r="G1656" s="54"/>
      <c r="H1656" s="54"/>
      <c r="I1656" s="54"/>
      <c r="J1656" s="54"/>
      <c r="K1656" s="54"/>
    </row>
    <row r="1657">
      <c r="A1657" s="57"/>
      <c r="B1657" s="57" t="str">
        <f>IFERROR(__xludf.DUMMYFUNCTION("""COMPUTED_VALUE"""),"    ")</f>
        <v>    </v>
      </c>
      <c r="C1657" s="57" t="str">
        <f>IFERROR(__xludf.DUMMYFUNCTION("""COMPUTED_VALUE"""),"")</f>
        <v/>
      </c>
      <c r="D1657" s="58"/>
      <c r="E1657" s="56"/>
      <c r="F1657" s="54"/>
      <c r="G1657" s="54"/>
      <c r="H1657" s="54"/>
      <c r="I1657" s="54"/>
      <c r="J1657" s="54"/>
      <c r="K1657" s="54"/>
    </row>
    <row r="1658">
      <c r="A1658" s="57"/>
      <c r="B1658" s="57" t="str">
        <f>IFERROR(__xludf.DUMMYFUNCTION("""COMPUTED_VALUE"""),"    ")</f>
        <v>    </v>
      </c>
      <c r="C1658" s="57" t="str">
        <f>IFERROR(__xludf.DUMMYFUNCTION("""COMPUTED_VALUE"""),"")</f>
        <v/>
      </c>
      <c r="D1658" s="58"/>
      <c r="E1658" s="56"/>
      <c r="F1658" s="54"/>
      <c r="G1658" s="54"/>
      <c r="H1658" s="54"/>
      <c r="I1658" s="54"/>
      <c r="J1658" s="54"/>
      <c r="K1658" s="54"/>
    </row>
    <row r="1659">
      <c r="A1659" s="57"/>
      <c r="B1659" s="57" t="str">
        <f>IFERROR(__xludf.DUMMYFUNCTION("""COMPUTED_VALUE"""),"    ")</f>
        <v>    </v>
      </c>
      <c r="C1659" s="57" t="str">
        <f>IFERROR(__xludf.DUMMYFUNCTION("""COMPUTED_VALUE"""),"")</f>
        <v/>
      </c>
      <c r="D1659" s="58"/>
      <c r="E1659" s="56"/>
      <c r="F1659" s="54"/>
      <c r="G1659" s="54"/>
      <c r="H1659" s="54"/>
      <c r="I1659" s="54"/>
      <c r="J1659" s="54"/>
      <c r="K1659" s="54"/>
    </row>
    <row r="1660">
      <c r="A1660" s="57"/>
      <c r="B1660" s="57" t="str">
        <f>IFERROR(__xludf.DUMMYFUNCTION("""COMPUTED_VALUE"""),"    ")</f>
        <v>    </v>
      </c>
      <c r="C1660" s="57" t="str">
        <f>IFERROR(__xludf.DUMMYFUNCTION("""COMPUTED_VALUE"""),"")</f>
        <v/>
      </c>
      <c r="D1660" s="58"/>
      <c r="E1660" s="56"/>
      <c r="F1660" s="54"/>
      <c r="G1660" s="54"/>
      <c r="H1660" s="54"/>
      <c r="I1660" s="54"/>
      <c r="J1660" s="54"/>
      <c r="K1660" s="54"/>
    </row>
    <row r="1661">
      <c r="A1661" s="57"/>
      <c r="B1661" s="57" t="str">
        <f>IFERROR(__xludf.DUMMYFUNCTION("""COMPUTED_VALUE"""),"    ")</f>
        <v>    </v>
      </c>
      <c r="C1661" s="57" t="str">
        <f>IFERROR(__xludf.DUMMYFUNCTION("""COMPUTED_VALUE"""),"")</f>
        <v/>
      </c>
      <c r="D1661" s="58"/>
      <c r="E1661" s="56"/>
      <c r="F1661" s="54"/>
      <c r="G1661" s="54"/>
      <c r="H1661" s="54"/>
      <c r="I1661" s="54"/>
      <c r="J1661" s="54"/>
      <c r="K1661" s="54"/>
    </row>
    <row r="1662">
      <c r="A1662" s="57"/>
      <c r="B1662" s="57" t="str">
        <f>IFERROR(__xludf.DUMMYFUNCTION("""COMPUTED_VALUE"""),"    ")</f>
        <v>    </v>
      </c>
      <c r="C1662" s="57" t="str">
        <f>IFERROR(__xludf.DUMMYFUNCTION("""COMPUTED_VALUE"""),"")</f>
        <v/>
      </c>
      <c r="D1662" s="58"/>
      <c r="E1662" s="56"/>
      <c r="F1662" s="54"/>
      <c r="G1662" s="54"/>
      <c r="H1662" s="54"/>
      <c r="I1662" s="54"/>
      <c r="J1662" s="54"/>
      <c r="K1662" s="54"/>
    </row>
    <row r="1663">
      <c r="A1663" s="57"/>
      <c r="B1663" s="57" t="str">
        <f>IFERROR(__xludf.DUMMYFUNCTION("""COMPUTED_VALUE"""),"    ")</f>
        <v>    </v>
      </c>
      <c r="C1663" s="57" t="str">
        <f>IFERROR(__xludf.DUMMYFUNCTION("""COMPUTED_VALUE"""),"")</f>
        <v/>
      </c>
      <c r="D1663" s="58"/>
      <c r="E1663" s="56"/>
      <c r="F1663" s="54"/>
      <c r="G1663" s="54"/>
      <c r="H1663" s="54"/>
      <c r="I1663" s="54"/>
      <c r="J1663" s="54"/>
      <c r="K1663" s="54"/>
    </row>
    <row r="1664">
      <c r="A1664" s="57"/>
      <c r="B1664" s="57" t="str">
        <f>IFERROR(__xludf.DUMMYFUNCTION("""COMPUTED_VALUE"""),"    ")</f>
        <v>    </v>
      </c>
      <c r="C1664" s="57" t="str">
        <f>IFERROR(__xludf.DUMMYFUNCTION("""COMPUTED_VALUE"""),"")</f>
        <v/>
      </c>
      <c r="D1664" s="58"/>
      <c r="E1664" s="56"/>
      <c r="F1664" s="54"/>
      <c r="G1664" s="54"/>
      <c r="H1664" s="54"/>
      <c r="I1664" s="54"/>
      <c r="J1664" s="54"/>
      <c r="K1664" s="54"/>
    </row>
    <row r="1665">
      <c r="A1665" s="57"/>
      <c r="B1665" s="57" t="str">
        <f>IFERROR(__xludf.DUMMYFUNCTION("""COMPUTED_VALUE"""),"    ")</f>
        <v>    </v>
      </c>
      <c r="C1665" s="57" t="str">
        <f>IFERROR(__xludf.DUMMYFUNCTION("""COMPUTED_VALUE"""),"")</f>
        <v/>
      </c>
      <c r="D1665" s="58"/>
      <c r="E1665" s="56"/>
      <c r="F1665" s="54"/>
      <c r="G1665" s="54"/>
      <c r="H1665" s="54"/>
      <c r="I1665" s="54"/>
      <c r="J1665" s="54"/>
      <c r="K1665" s="54"/>
    </row>
    <row r="1666">
      <c r="A1666" s="57"/>
      <c r="B1666" s="57" t="str">
        <f>IFERROR(__xludf.DUMMYFUNCTION("""COMPUTED_VALUE"""),"    ")</f>
        <v>    </v>
      </c>
      <c r="C1666" s="57" t="str">
        <f>IFERROR(__xludf.DUMMYFUNCTION("""COMPUTED_VALUE"""),"")</f>
        <v/>
      </c>
      <c r="D1666" s="58"/>
      <c r="E1666" s="56"/>
      <c r="F1666" s="54"/>
      <c r="G1666" s="54"/>
      <c r="H1666" s="54"/>
      <c r="I1666" s="54"/>
      <c r="J1666" s="54"/>
      <c r="K1666" s="54"/>
    </row>
    <row r="1667">
      <c r="A1667" s="57"/>
      <c r="B1667" s="57" t="str">
        <f>IFERROR(__xludf.DUMMYFUNCTION("""COMPUTED_VALUE"""),"    ")</f>
        <v>    </v>
      </c>
      <c r="C1667" s="57" t="str">
        <f>IFERROR(__xludf.DUMMYFUNCTION("""COMPUTED_VALUE"""),"")</f>
        <v/>
      </c>
      <c r="D1667" s="58"/>
      <c r="E1667" s="56"/>
      <c r="F1667" s="54"/>
      <c r="G1667" s="54"/>
      <c r="H1667" s="54"/>
      <c r="I1667" s="54"/>
      <c r="J1667" s="54"/>
      <c r="K1667" s="54"/>
    </row>
    <row r="1668">
      <c r="A1668" s="57"/>
      <c r="B1668" s="57" t="str">
        <f>IFERROR(__xludf.DUMMYFUNCTION("""COMPUTED_VALUE"""),"    ")</f>
        <v>    </v>
      </c>
      <c r="C1668" s="57" t="str">
        <f>IFERROR(__xludf.DUMMYFUNCTION("""COMPUTED_VALUE"""),"")</f>
        <v/>
      </c>
      <c r="D1668" s="58"/>
      <c r="E1668" s="56"/>
      <c r="F1668" s="54"/>
      <c r="G1668" s="54"/>
      <c r="H1668" s="54"/>
      <c r="I1668" s="54"/>
      <c r="J1668" s="54"/>
      <c r="K1668" s="54"/>
    </row>
    <row r="1669">
      <c r="A1669" s="57"/>
      <c r="B1669" s="57" t="str">
        <f>IFERROR(__xludf.DUMMYFUNCTION("""COMPUTED_VALUE"""),"    ")</f>
        <v>    </v>
      </c>
      <c r="C1669" s="57" t="str">
        <f>IFERROR(__xludf.DUMMYFUNCTION("""COMPUTED_VALUE"""),"")</f>
        <v/>
      </c>
      <c r="D1669" s="58"/>
      <c r="E1669" s="56"/>
      <c r="F1669" s="54"/>
      <c r="G1669" s="54"/>
      <c r="H1669" s="54"/>
      <c r="I1669" s="54"/>
      <c r="J1669" s="54"/>
      <c r="K1669" s="54"/>
    </row>
    <row r="1670">
      <c r="A1670" s="57"/>
      <c r="B1670" s="57" t="str">
        <f>IFERROR(__xludf.DUMMYFUNCTION("""COMPUTED_VALUE"""),"    ")</f>
        <v>    </v>
      </c>
      <c r="C1670" s="57" t="str">
        <f>IFERROR(__xludf.DUMMYFUNCTION("""COMPUTED_VALUE"""),"")</f>
        <v/>
      </c>
      <c r="D1670" s="58"/>
      <c r="E1670" s="56"/>
      <c r="F1670" s="54"/>
      <c r="G1670" s="54"/>
      <c r="H1670" s="54"/>
      <c r="I1670" s="54"/>
      <c r="J1670" s="54"/>
      <c r="K1670" s="54"/>
    </row>
    <row r="1671">
      <c r="A1671" s="57"/>
      <c r="B1671" s="57" t="str">
        <f>IFERROR(__xludf.DUMMYFUNCTION("""COMPUTED_VALUE"""),"    ")</f>
        <v>    </v>
      </c>
      <c r="C1671" s="57" t="str">
        <f>IFERROR(__xludf.DUMMYFUNCTION("""COMPUTED_VALUE"""),"")</f>
        <v/>
      </c>
      <c r="D1671" s="58"/>
      <c r="E1671" s="56"/>
      <c r="F1671" s="54"/>
      <c r="G1671" s="54"/>
      <c r="H1671" s="54"/>
      <c r="I1671" s="54"/>
      <c r="J1671" s="54"/>
      <c r="K1671" s="54"/>
    </row>
    <row r="1672">
      <c r="A1672" s="57"/>
      <c r="B1672" s="57" t="str">
        <f>IFERROR(__xludf.DUMMYFUNCTION("""COMPUTED_VALUE"""),"    ")</f>
        <v>    </v>
      </c>
      <c r="C1672" s="57" t="str">
        <f>IFERROR(__xludf.DUMMYFUNCTION("""COMPUTED_VALUE"""),"")</f>
        <v/>
      </c>
      <c r="D1672" s="58"/>
      <c r="E1672" s="56"/>
      <c r="F1672" s="54"/>
      <c r="G1672" s="54"/>
      <c r="H1672" s="54"/>
      <c r="I1672" s="54"/>
      <c r="J1672" s="54"/>
      <c r="K1672" s="54"/>
    </row>
    <row r="1673">
      <c r="A1673" s="57"/>
      <c r="B1673" s="57" t="str">
        <f>IFERROR(__xludf.DUMMYFUNCTION("""COMPUTED_VALUE"""),"    ")</f>
        <v>    </v>
      </c>
      <c r="C1673" s="57" t="str">
        <f>IFERROR(__xludf.DUMMYFUNCTION("""COMPUTED_VALUE"""),"")</f>
        <v/>
      </c>
      <c r="D1673" s="58"/>
      <c r="E1673" s="56"/>
      <c r="F1673" s="54"/>
      <c r="G1673" s="54"/>
      <c r="H1673" s="54"/>
      <c r="I1673" s="54"/>
      <c r="J1673" s="54"/>
      <c r="K1673" s="54"/>
    </row>
    <row r="1674">
      <c r="A1674" s="57"/>
      <c r="B1674" s="57" t="str">
        <f>IFERROR(__xludf.DUMMYFUNCTION("""COMPUTED_VALUE"""),"    ")</f>
        <v>    </v>
      </c>
      <c r="C1674" s="57" t="str">
        <f>IFERROR(__xludf.DUMMYFUNCTION("""COMPUTED_VALUE"""),"")</f>
        <v/>
      </c>
      <c r="D1674" s="58"/>
      <c r="E1674" s="56"/>
      <c r="F1674" s="54"/>
      <c r="G1674" s="54"/>
      <c r="H1674" s="54"/>
      <c r="I1674" s="54"/>
      <c r="J1674" s="54"/>
      <c r="K1674" s="54"/>
    </row>
    <row r="1675">
      <c r="A1675" s="57"/>
      <c r="B1675" s="57" t="str">
        <f>IFERROR(__xludf.DUMMYFUNCTION("""COMPUTED_VALUE"""),"    ")</f>
        <v>    </v>
      </c>
      <c r="C1675" s="57" t="str">
        <f>IFERROR(__xludf.DUMMYFUNCTION("""COMPUTED_VALUE"""),"")</f>
        <v/>
      </c>
      <c r="D1675" s="58"/>
      <c r="E1675" s="56"/>
      <c r="F1675" s="54"/>
      <c r="G1675" s="54"/>
      <c r="H1675" s="54"/>
      <c r="I1675" s="54"/>
      <c r="J1675" s="54"/>
      <c r="K1675" s="54"/>
    </row>
    <row r="1676">
      <c r="A1676" s="57"/>
      <c r="B1676" s="57" t="str">
        <f>IFERROR(__xludf.DUMMYFUNCTION("""COMPUTED_VALUE"""),"    ")</f>
        <v>    </v>
      </c>
      <c r="C1676" s="57" t="str">
        <f>IFERROR(__xludf.DUMMYFUNCTION("""COMPUTED_VALUE"""),"")</f>
        <v/>
      </c>
      <c r="D1676" s="58"/>
      <c r="E1676" s="56"/>
      <c r="F1676" s="54"/>
      <c r="G1676" s="54"/>
      <c r="H1676" s="54"/>
      <c r="I1676" s="54"/>
      <c r="J1676" s="54"/>
      <c r="K1676" s="54"/>
    </row>
    <row r="1677">
      <c r="A1677" s="57"/>
      <c r="B1677" s="57" t="str">
        <f>IFERROR(__xludf.DUMMYFUNCTION("""COMPUTED_VALUE"""),"    ")</f>
        <v>    </v>
      </c>
      <c r="C1677" s="57" t="str">
        <f>IFERROR(__xludf.DUMMYFUNCTION("""COMPUTED_VALUE"""),"")</f>
        <v/>
      </c>
      <c r="D1677" s="58"/>
      <c r="E1677" s="56"/>
      <c r="F1677" s="54"/>
      <c r="G1677" s="54"/>
      <c r="H1677" s="54"/>
      <c r="I1677" s="54"/>
      <c r="J1677" s="54"/>
      <c r="K1677" s="54"/>
    </row>
    <row r="1678">
      <c r="A1678" s="57"/>
      <c r="B1678" s="57" t="str">
        <f>IFERROR(__xludf.DUMMYFUNCTION("""COMPUTED_VALUE"""),"    ")</f>
        <v>    </v>
      </c>
      <c r="C1678" s="57" t="str">
        <f>IFERROR(__xludf.DUMMYFUNCTION("""COMPUTED_VALUE"""),"")</f>
        <v/>
      </c>
      <c r="D1678" s="58"/>
      <c r="E1678" s="56"/>
      <c r="F1678" s="54"/>
      <c r="G1678" s="54"/>
      <c r="H1678" s="54"/>
      <c r="I1678" s="54"/>
      <c r="J1678" s="54"/>
      <c r="K1678" s="54"/>
    </row>
    <row r="1679">
      <c r="A1679" s="57"/>
      <c r="B1679" s="57" t="str">
        <f>IFERROR(__xludf.DUMMYFUNCTION("""COMPUTED_VALUE"""),"    ")</f>
        <v>    </v>
      </c>
      <c r="C1679" s="57" t="str">
        <f>IFERROR(__xludf.DUMMYFUNCTION("""COMPUTED_VALUE"""),"")</f>
        <v/>
      </c>
      <c r="D1679" s="58"/>
      <c r="E1679" s="56"/>
      <c r="F1679" s="54"/>
      <c r="G1679" s="54"/>
      <c r="H1679" s="54"/>
      <c r="I1679" s="54"/>
      <c r="J1679" s="54"/>
      <c r="K1679" s="54"/>
    </row>
    <row r="1680">
      <c r="A1680" s="57"/>
      <c r="B1680" s="57" t="str">
        <f>IFERROR(__xludf.DUMMYFUNCTION("""COMPUTED_VALUE"""),"    ")</f>
        <v>    </v>
      </c>
      <c r="C1680" s="57" t="str">
        <f>IFERROR(__xludf.DUMMYFUNCTION("""COMPUTED_VALUE"""),"")</f>
        <v/>
      </c>
      <c r="D1680" s="58"/>
      <c r="E1680" s="56"/>
      <c r="F1680" s="54"/>
      <c r="G1680" s="54"/>
      <c r="H1680" s="54"/>
      <c r="I1680" s="54"/>
      <c r="J1680" s="54"/>
      <c r="K1680" s="54"/>
    </row>
    <row r="1681">
      <c r="A1681" s="57"/>
      <c r="B1681" s="57" t="str">
        <f>IFERROR(__xludf.DUMMYFUNCTION("""COMPUTED_VALUE"""),"    ")</f>
        <v>    </v>
      </c>
      <c r="C1681" s="57" t="str">
        <f>IFERROR(__xludf.DUMMYFUNCTION("""COMPUTED_VALUE"""),"")</f>
        <v/>
      </c>
      <c r="D1681" s="58"/>
      <c r="E1681" s="56"/>
      <c r="F1681" s="54"/>
      <c r="G1681" s="54"/>
      <c r="H1681" s="54"/>
      <c r="I1681" s="54"/>
      <c r="J1681" s="54"/>
      <c r="K1681" s="54"/>
    </row>
    <row r="1682">
      <c r="A1682" s="57"/>
      <c r="B1682" s="57" t="str">
        <f>IFERROR(__xludf.DUMMYFUNCTION("""COMPUTED_VALUE"""),"    ")</f>
        <v>    </v>
      </c>
      <c r="C1682" s="57" t="str">
        <f>IFERROR(__xludf.DUMMYFUNCTION("""COMPUTED_VALUE"""),"")</f>
        <v/>
      </c>
      <c r="D1682" s="58"/>
      <c r="E1682" s="56"/>
      <c r="F1682" s="54"/>
      <c r="G1682" s="54"/>
      <c r="H1682" s="54"/>
      <c r="I1682" s="54"/>
      <c r="J1682" s="54"/>
      <c r="K1682" s="54"/>
    </row>
    <row r="1683">
      <c r="A1683" s="57"/>
      <c r="B1683" s="57" t="str">
        <f>IFERROR(__xludf.DUMMYFUNCTION("""COMPUTED_VALUE"""),"    ")</f>
        <v>    </v>
      </c>
      <c r="C1683" s="57" t="str">
        <f>IFERROR(__xludf.DUMMYFUNCTION("""COMPUTED_VALUE"""),"")</f>
        <v/>
      </c>
      <c r="D1683" s="58"/>
      <c r="E1683" s="56"/>
      <c r="F1683" s="54"/>
      <c r="G1683" s="54"/>
      <c r="H1683" s="54"/>
      <c r="I1683" s="54"/>
      <c r="J1683" s="54"/>
      <c r="K1683" s="54"/>
    </row>
    <row r="1684">
      <c r="A1684" s="57"/>
      <c r="B1684" s="57" t="str">
        <f>IFERROR(__xludf.DUMMYFUNCTION("""COMPUTED_VALUE"""),"    ")</f>
        <v>    </v>
      </c>
      <c r="C1684" s="57" t="str">
        <f>IFERROR(__xludf.DUMMYFUNCTION("""COMPUTED_VALUE"""),"")</f>
        <v/>
      </c>
      <c r="D1684" s="58"/>
      <c r="E1684" s="56"/>
      <c r="F1684" s="54"/>
      <c r="G1684" s="54"/>
      <c r="H1684" s="54"/>
      <c r="I1684" s="54"/>
      <c r="J1684" s="54"/>
      <c r="K1684" s="54"/>
    </row>
    <row r="1685">
      <c r="A1685" s="57"/>
      <c r="B1685" s="57" t="str">
        <f>IFERROR(__xludf.DUMMYFUNCTION("""COMPUTED_VALUE"""),"    ")</f>
        <v>    </v>
      </c>
      <c r="C1685" s="57" t="str">
        <f>IFERROR(__xludf.DUMMYFUNCTION("""COMPUTED_VALUE"""),"")</f>
        <v/>
      </c>
      <c r="D1685" s="58"/>
      <c r="E1685" s="56"/>
      <c r="F1685" s="54"/>
      <c r="G1685" s="54"/>
      <c r="H1685" s="54"/>
      <c r="I1685" s="54"/>
      <c r="J1685" s="54"/>
      <c r="K1685" s="54"/>
    </row>
    <row r="1686">
      <c r="A1686" s="57"/>
      <c r="B1686" s="57" t="str">
        <f>IFERROR(__xludf.DUMMYFUNCTION("""COMPUTED_VALUE"""),"    ")</f>
        <v>    </v>
      </c>
      <c r="C1686" s="57" t="str">
        <f>IFERROR(__xludf.DUMMYFUNCTION("""COMPUTED_VALUE"""),"")</f>
        <v/>
      </c>
      <c r="D1686" s="58"/>
      <c r="E1686" s="56"/>
      <c r="F1686" s="54"/>
      <c r="G1686" s="54"/>
      <c r="H1686" s="54"/>
      <c r="I1686" s="54"/>
      <c r="J1686" s="54"/>
      <c r="K1686" s="54"/>
    </row>
    <row r="1687">
      <c r="A1687" s="57"/>
      <c r="B1687" s="57" t="str">
        <f>IFERROR(__xludf.DUMMYFUNCTION("""COMPUTED_VALUE"""),"    ")</f>
        <v>    </v>
      </c>
      <c r="C1687" s="57" t="str">
        <f>IFERROR(__xludf.DUMMYFUNCTION("""COMPUTED_VALUE"""),"")</f>
        <v/>
      </c>
      <c r="D1687" s="58"/>
      <c r="E1687" s="56"/>
      <c r="F1687" s="54"/>
      <c r="G1687" s="54"/>
      <c r="H1687" s="54"/>
      <c r="I1687" s="54"/>
      <c r="J1687" s="54"/>
      <c r="K1687" s="54"/>
    </row>
    <row r="1688">
      <c r="A1688" s="57"/>
      <c r="B1688" s="57" t="str">
        <f>IFERROR(__xludf.DUMMYFUNCTION("""COMPUTED_VALUE"""),"    ")</f>
        <v>    </v>
      </c>
      <c r="C1688" s="57" t="str">
        <f>IFERROR(__xludf.DUMMYFUNCTION("""COMPUTED_VALUE"""),"")</f>
        <v/>
      </c>
      <c r="D1688" s="58"/>
      <c r="E1688" s="56"/>
      <c r="F1688" s="54"/>
      <c r="G1688" s="54"/>
      <c r="H1688" s="54"/>
      <c r="I1688" s="54"/>
      <c r="J1688" s="54"/>
      <c r="K1688" s="54"/>
    </row>
    <row r="1689">
      <c r="A1689" s="57"/>
      <c r="B1689" s="57" t="str">
        <f>IFERROR(__xludf.DUMMYFUNCTION("""COMPUTED_VALUE"""),"    ")</f>
        <v>    </v>
      </c>
      <c r="C1689" s="57" t="str">
        <f>IFERROR(__xludf.DUMMYFUNCTION("""COMPUTED_VALUE"""),"")</f>
        <v/>
      </c>
      <c r="D1689" s="58"/>
      <c r="E1689" s="56"/>
      <c r="F1689" s="54"/>
      <c r="G1689" s="54"/>
      <c r="H1689" s="54"/>
      <c r="I1689" s="54"/>
      <c r="J1689" s="54"/>
      <c r="K1689" s="54"/>
    </row>
    <row r="1690">
      <c r="A1690" s="57"/>
      <c r="B1690" s="57" t="str">
        <f>IFERROR(__xludf.DUMMYFUNCTION("""COMPUTED_VALUE"""),"    ")</f>
        <v>    </v>
      </c>
      <c r="C1690" s="57" t="str">
        <f>IFERROR(__xludf.DUMMYFUNCTION("""COMPUTED_VALUE"""),"")</f>
        <v/>
      </c>
      <c r="D1690" s="58"/>
      <c r="E1690" s="56"/>
      <c r="F1690" s="54"/>
      <c r="G1690" s="54"/>
      <c r="H1690" s="54"/>
      <c r="I1690" s="54"/>
      <c r="J1690" s="54"/>
      <c r="K1690" s="54"/>
    </row>
    <row r="1691">
      <c r="A1691" s="57"/>
      <c r="B1691" s="57" t="str">
        <f>IFERROR(__xludf.DUMMYFUNCTION("""COMPUTED_VALUE"""),"    ")</f>
        <v>    </v>
      </c>
      <c r="C1691" s="57" t="str">
        <f>IFERROR(__xludf.DUMMYFUNCTION("""COMPUTED_VALUE"""),"")</f>
        <v/>
      </c>
      <c r="D1691" s="58"/>
      <c r="E1691" s="56"/>
      <c r="F1691" s="54"/>
      <c r="G1691" s="54"/>
      <c r="H1691" s="54"/>
      <c r="I1691" s="54"/>
      <c r="J1691" s="54"/>
      <c r="K1691" s="54"/>
    </row>
    <row r="1692">
      <c r="A1692" s="57"/>
      <c r="B1692" s="57" t="str">
        <f>IFERROR(__xludf.DUMMYFUNCTION("""COMPUTED_VALUE"""),"    ")</f>
        <v>    </v>
      </c>
      <c r="C1692" s="57" t="str">
        <f>IFERROR(__xludf.DUMMYFUNCTION("""COMPUTED_VALUE"""),"")</f>
        <v/>
      </c>
      <c r="D1692" s="58"/>
      <c r="E1692" s="56"/>
      <c r="F1692" s="54"/>
      <c r="G1692" s="54"/>
      <c r="H1692" s="54"/>
      <c r="I1692" s="54"/>
      <c r="J1692" s="54"/>
      <c r="K1692" s="54"/>
    </row>
    <row r="1693">
      <c r="A1693" s="57"/>
      <c r="B1693" s="57" t="str">
        <f>IFERROR(__xludf.DUMMYFUNCTION("""COMPUTED_VALUE"""),"    ")</f>
        <v>    </v>
      </c>
      <c r="C1693" s="57" t="str">
        <f>IFERROR(__xludf.DUMMYFUNCTION("""COMPUTED_VALUE"""),"")</f>
        <v/>
      </c>
      <c r="D1693" s="58"/>
      <c r="E1693" s="56"/>
      <c r="F1693" s="54"/>
      <c r="G1693" s="54"/>
      <c r="H1693" s="54"/>
      <c r="I1693" s="54"/>
      <c r="J1693" s="54"/>
      <c r="K1693" s="54"/>
    </row>
    <row r="1694">
      <c r="A1694" s="57"/>
      <c r="B1694" s="57" t="str">
        <f>IFERROR(__xludf.DUMMYFUNCTION("""COMPUTED_VALUE"""),"    ")</f>
        <v>    </v>
      </c>
      <c r="C1694" s="57" t="str">
        <f>IFERROR(__xludf.DUMMYFUNCTION("""COMPUTED_VALUE"""),"")</f>
        <v/>
      </c>
      <c r="D1694" s="58"/>
      <c r="E1694" s="56"/>
      <c r="F1694" s="54"/>
      <c r="G1694" s="54"/>
      <c r="H1694" s="54"/>
      <c r="I1694" s="54"/>
      <c r="J1694" s="54"/>
      <c r="K1694" s="54"/>
    </row>
    <row r="1695">
      <c r="A1695" s="57"/>
      <c r="B1695" s="57" t="str">
        <f>IFERROR(__xludf.DUMMYFUNCTION("""COMPUTED_VALUE"""),"    ")</f>
        <v>    </v>
      </c>
      <c r="C1695" s="57" t="str">
        <f>IFERROR(__xludf.DUMMYFUNCTION("""COMPUTED_VALUE"""),"")</f>
        <v/>
      </c>
      <c r="D1695" s="58"/>
      <c r="E1695" s="56"/>
      <c r="F1695" s="54"/>
      <c r="G1695" s="54"/>
      <c r="H1695" s="54"/>
      <c r="I1695" s="54"/>
      <c r="J1695" s="54"/>
      <c r="K1695" s="54"/>
    </row>
    <row r="1696">
      <c r="A1696" s="57"/>
      <c r="B1696" s="57" t="str">
        <f>IFERROR(__xludf.DUMMYFUNCTION("""COMPUTED_VALUE"""),"    ")</f>
        <v>    </v>
      </c>
      <c r="C1696" s="57" t="str">
        <f>IFERROR(__xludf.DUMMYFUNCTION("""COMPUTED_VALUE"""),"")</f>
        <v/>
      </c>
      <c r="D1696" s="58"/>
      <c r="E1696" s="56"/>
      <c r="F1696" s="54"/>
      <c r="G1696" s="54"/>
      <c r="H1696" s="54"/>
      <c r="I1696" s="54"/>
      <c r="J1696" s="54"/>
      <c r="K1696" s="54"/>
    </row>
    <row r="1697">
      <c r="A1697" s="57"/>
      <c r="B1697" s="57" t="str">
        <f>IFERROR(__xludf.DUMMYFUNCTION("""COMPUTED_VALUE"""),"    ")</f>
        <v>    </v>
      </c>
      <c r="C1697" s="57" t="str">
        <f>IFERROR(__xludf.DUMMYFUNCTION("""COMPUTED_VALUE"""),"")</f>
        <v/>
      </c>
      <c r="D1697" s="58"/>
      <c r="E1697" s="56"/>
      <c r="F1697" s="54"/>
      <c r="G1697" s="54"/>
      <c r="H1697" s="54"/>
      <c r="I1697" s="54"/>
      <c r="J1697" s="54"/>
      <c r="K1697" s="54"/>
    </row>
    <row r="1698">
      <c r="A1698" s="57"/>
      <c r="B1698" s="57" t="str">
        <f>IFERROR(__xludf.DUMMYFUNCTION("""COMPUTED_VALUE"""),"    ")</f>
        <v>    </v>
      </c>
      <c r="C1698" s="57" t="str">
        <f>IFERROR(__xludf.DUMMYFUNCTION("""COMPUTED_VALUE"""),"")</f>
        <v/>
      </c>
      <c r="D1698" s="58"/>
      <c r="E1698" s="56"/>
      <c r="F1698" s="54"/>
      <c r="G1698" s="54"/>
      <c r="H1698" s="54"/>
      <c r="I1698" s="54"/>
      <c r="J1698" s="54"/>
      <c r="K1698" s="54"/>
    </row>
    <row r="1699">
      <c r="A1699" s="57"/>
      <c r="B1699" s="57" t="str">
        <f>IFERROR(__xludf.DUMMYFUNCTION("""COMPUTED_VALUE"""),"    ")</f>
        <v>    </v>
      </c>
      <c r="C1699" s="57" t="str">
        <f>IFERROR(__xludf.DUMMYFUNCTION("""COMPUTED_VALUE"""),"")</f>
        <v/>
      </c>
      <c r="D1699" s="58"/>
      <c r="E1699" s="56"/>
      <c r="F1699" s="54"/>
      <c r="G1699" s="54"/>
      <c r="H1699" s="54"/>
      <c r="I1699" s="54"/>
      <c r="J1699" s="54"/>
      <c r="K1699" s="54"/>
    </row>
    <row r="1700">
      <c r="A1700" s="57"/>
      <c r="B1700" s="57" t="str">
        <f>IFERROR(__xludf.DUMMYFUNCTION("""COMPUTED_VALUE"""),"    ")</f>
        <v>    </v>
      </c>
      <c r="C1700" s="57" t="str">
        <f>IFERROR(__xludf.DUMMYFUNCTION("""COMPUTED_VALUE"""),"")</f>
        <v/>
      </c>
      <c r="D1700" s="58"/>
      <c r="E1700" s="56"/>
      <c r="F1700" s="54"/>
      <c r="G1700" s="54"/>
      <c r="H1700" s="54"/>
      <c r="I1700" s="54"/>
      <c r="J1700" s="54"/>
      <c r="K1700" s="54"/>
    </row>
    <row r="1701">
      <c r="A1701" s="57"/>
      <c r="B1701" s="57" t="str">
        <f>IFERROR(__xludf.DUMMYFUNCTION("""COMPUTED_VALUE"""),"    ")</f>
        <v>    </v>
      </c>
      <c r="C1701" s="57" t="str">
        <f>IFERROR(__xludf.DUMMYFUNCTION("""COMPUTED_VALUE"""),"")</f>
        <v/>
      </c>
      <c r="D1701" s="58"/>
      <c r="E1701" s="56"/>
      <c r="F1701" s="54"/>
      <c r="G1701" s="54"/>
      <c r="H1701" s="54"/>
      <c r="I1701" s="54"/>
      <c r="J1701" s="54"/>
      <c r="K1701" s="54"/>
    </row>
    <row r="1702">
      <c r="A1702" s="57"/>
      <c r="B1702" s="57" t="str">
        <f>IFERROR(__xludf.DUMMYFUNCTION("""COMPUTED_VALUE"""),"    ")</f>
        <v>    </v>
      </c>
      <c r="C1702" s="57" t="str">
        <f>IFERROR(__xludf.DUMMYFUNCTION("""COMPUTED_VALUE"""),"")</f>
        <v/>
      </c>
      <c r="D1702" s="58"/>
      <c r="E1702" s="56"/>
      <c r="F1702" s="54"/>
      <c r="G1702" s="54"/>
      <c r="H1702" s="54"/>
      <c r="I1702" s="54"/>
      <c r="J1702" s="54"/>
      <c r="K1702" s="54"/>
    </row>
    <row r="1703">
      <c r="A1703" s="57"/>
      <c r="B1703" s="57" t="str">
        <f>IFERROR(__xludf.DUMMYFUNCTION("""COMPUTED_VALUE"""),"    ")</f>
        <v>    </v>
      </c>
      <c r="C1703" s="57" t="str">
        <f>IFERROR(__xludf.DUMMYFUNCTION("""COMPUTED_VALUE"""),"")</f>
        <v/>
      </c>
      <c r="D1703" s="58"/>
      <c r="E1703" s="56"/>
      <c r="F1703" s="54"/>
      <c r="G1703" s="54"/>
      <c r="H1703" s="54"/>
      <c r="I1703" s="54"/>
      <c r="J1703" s="54"/>
      <c r="K1703" s="54"/>
    </row>
    <row r="1704">
      <c r="A1704" s="57"/>
      <c r="B1704" s="57" t="str">
        <f>IFERROR(__xludf.DUMMYFUNCTION("""COMPUTED_VALUE"""),"    ")</f>
        <v>    </v>
      </c>
      <c r="C1704" s="57" t="str">
        <f>IFERROR(__xludf.DUMMYFUNCTION("""COMPUTED_VALUE"""),"")</f>
        <v/>
      </c>
      <c r="D1704" s="58"/>
      <c r="E1704" s="56"/>
      <c r="F1704" s="54"/>
      <c r="G1704" s="54"/>
      <c r="H1704" s="54"/>
      <c r="I1704" s="54"/>
      <c r="J1704" s="54"/>
      <c r="K1704" s="54"/>
    </row>
    <row r="1705">
      <c r="A1705" s="57"/>
      <c r="B1705" s="57" t="str">
        <f>IFERROR(__xludf.DUMMYFUNCTION("""COMPUTED_VALUE"""),"    ")</f>
        <v>    </v>
      </c>
      <c r="C1705" s="57" t="str">
        <f>IFERROR(__xludf.DUMMYFUNCTION("""COMPUTED_VALUE"""),"")</f>
        <v/>
      </c>
      <c r="D1705" s="58"/>
      <c r="E1705" s="56"/>
      <c r="F1705" s="54"/>
      <c r="G1705" s="54"/>
      <c r="H1705" s="54"/>
      <c r="I1705" s="54"/>
      <c r="J1705" s="54"/>
      <c r="K1705" s="54"/>
    </row>
    <row r="1706">
      <c r="A1706" s="57"/>
      <c r="B1706" s="57" t="str">
        <f>IFERROR(__xludf.DUMMYFUNCTION("""COMPUTED_VALUE"""),"    ")</f>
        <v>    </v>
      </c>
      <c r="C1706" s="57" t="str">
        <f>IFERROR(__xludf.DUMMYFUNCTION("""COMPUTED_VALUE"""),"")</f>
        <v/>
      </c>
      <c r="D1706" s="58"/>
      <c r="E1706" s="56"/>
      <c r="F1706" s="54"/>
      <c r="G1706" s="54"/>
      <c r="H1706" s="54"/>
      <c r="I1706" s="54"/>
      <c r="J1706" s="54"/>
      <c r="K1706" s="54"/>
    </row>
    <row r="1707">
      <c r="A1707" s="57"/>
      <c r="B1707" s="57" t="str">
        <f>IFERROR(__xludf.DUMMYFUNCTION("""COMPUTED_VALUE"""),"    ")</f>
        <v>    </v>
      </c>
      <c r="C1707" s="57" t="str">
        <f>IFERROR(__xludf.DUMMYFUNCTION("""COMPUTED_VALUE"""),"")</f>
        <v/>
      </c>
      <c r="D1707" s="58"/>
      <c r="E1707" s="56"/>
      <c r="F1707" s="54"/>
      <c r="G1707" s="54"/>
      <c r="H1707" s="54"/>
      <c r="I1707" s="54"/>
      <c r="J1707" s="54"/>
      <c r="K1707" s="54"/>
    </row>
    <row r="1708">
      <c r="A1708" s="57"/>
      <c r="B1708" s="57" t="str">
        <f>IFERROR(__xludf.DUMMYFUNCTION("""COMPUTED_VALUE"""),"    ")</f>
        <v>    </v>
      </c>
      <c r="C1708" s="57" t="str">
        <f>IFERROR(__xludf.DUMMYFUNCTION("""COMPUTED_VALUE"""),"")</f>
        <v/>
      </c>
      <c r="D1708" s="58"/>
      <c r="E1708" s="56"/>
      <c r="F1708" s="54"/>
      <c r="G1708" s="54"/>
      <c r="H1708" s="54"/>
      <c r="I1708" s="54"/>
      <c r="J1708" s="54"/>
      <c r="K1708" s="54"/>
    </row>
    <row r="1709">
      <c r="A1709" s="57"/>
      <c r="B1709" s="57" t="str">
        <f>IFERROR(__xludf.DUMMYFUNCTION("""COMPUTED_VALUE"""),"    ")</f>
        <v>    </v>
      </c>
      <c r="C1709" s="57" t="str">
        <f>IFERROR(__xludf.DUMMYFUNCTION("""COMPUTED_VALUE"""),"")</f>
        <v/>
      </c>
      <c r="D1709" s="58"/>
      <c r="E1709" s="56"/>
      <c r="F1709" s="54"/>
      <c r="G1709" s="54"/>
      <c r="H1709" s="54"/>
      <c r="I1709" s="54"/>
      <c r="J1709" s="54"/>
      <c r="K1709" s="54"/>
    </row>
    <row r="1710">
      <c r="A1710" s="57"/>
      <c r="B1710" s="57" t="str">
        <f>IFERROR(__xludf.DUMMYFUNCTION("""COMPUTED_VALUE"""),"    ")</f>
        <v>    </v>
      </c>
      <c r="C1710" s="57" t="str">
        <f>IFERROR(__xludf.DUMMYFUNCTION("""COMPUTED_VALUE"""),"")</f>
        <v/>
      </c>
      <c r="D1710" s="58"/>
      <c r="E1710" s="56"/>
      <c r="F1710" s="54"/>
      <c r="G1710" s="54"/>
      <c r="H1710" s="54"/>
      <c r="I1710" s="54"/>
      <c r="J1710" s="54"/>
      <c r="K1710" s="54"/>
    </row>
    <row r="1711">
      <c r="A1711" s="57"/>
      <c r="B1711" s="57" t="str">
        <f>IFERROR(__xludf.DUMMYFUNCTION("""COMPUTED_VALUE"""),"    ")</f>
        <v>    </v>
      </c>
      <c r="C1711" s="57" t="str">
        <f>IFERROR(__xludf.DUMMYFUNCTION("""COMPUTED_VALUE"""),"")</f>
        <v/>
      </c>
      <c r="D1711" s="58"/>
      <c r="E1711" s="56"/>
      <c r="F1711" s="54"/>
      <c r="G1711" s="54"/>
      <c r="H1711" s="54"/>
      <c r="I1711" s="54"/>
      <c r="J1711" s="54"/>
      <c r="K1711" s="54"/>
    </row>
    <row r="1712">
      <c r="A1712" s="57"/>
      <c r="B1712" s="57" t="str">
        <f>IFERROR(__xludf.DUMMYFUNCTION("""COMPUTED_VALUE"""),"    ")</f>
        <v>    </v>
      </c>
      <c r="C1712" s="57" t="str">
        <f>IFERROR(__xludf.DUMMYFUNCTION("""COMPUTED_VALUE"""),"")</f>
        <v/>
      </c>
      <c r="D1712" s="58"/>
      <c r="E1712" s="56"/>
      <c r="F1712" s="54"/>
      <c r="G1712" s="54"/>
      <c r="H1712" s="54"/>
      <c r="I1712" s="54"/>
      <c r="J1712" s="54"/>
      <c r="K1712" s="54"/>
    </row>
    <row r="1713">
      <c r="A1713" s="57"/>
      <c r="B1713" s="57" t="str">
        <f>IFERROR(__xludf.DUMMYFUNCTION("""COMPUTED_VALUE"""),"    ")</f>
        <v>    </v>
      </c>
      <c r="C1713" s="57" t="str">
        <f>IFERROR(__xludf.DUMMYFUNCTION("""COMPUTED_VALUE"""),"")</f>
        <v/>
      </c>
      <c r="D1713" s="58"/>
      <c r="E1713" s="56"/>
      <c r="F1713" s="54"/>
      <c r="G1713" s="54"/>
      <c r="H1713" s="54"/>
      <c r="I1713" s="54"/>
      <c r="J1713" s="54"/>
      <c r="K1713" s="54"/>
    </row>
    <row r="1714">
      <c r="A1714" s="57"/>
      <c r="B1714" s="57" t="str">
        <f>IFERROR(__xludf.DUMMYFUNCTION("""COMPUTED_VALUE"""),"    ")</f>
        <v>    </v>
      </c>
      <c r="C1714" s="57" t="str">
        <f>IFERROR(__xludf.DUMMYFUNCTION("""COMPUTED_VALUE"""),"")</f>
        <v/>
      </c>
      <c r="D1714" s="58"/>
      <c r="E1714" s="56"/>
      <c r="F1714" s="54"/>
      <c r="G1714" s="54"/>
      <c r="H1714" s="54"/>
      <c r="I1714" s="54"/>
      <c r="J1714" s="54"/>
      <c r="K1714" s="54"/>
    </row>
    <row r="1715">
      <c r="A1715" s="57"/>
      <c r="B1715" s="57" t="str">
        <f>IFERROR(__xludf.DUMMYFUNCTION("""COMPUTED_VALUE"""),"    ")</f>
        <v>    </v>
      </c>
      <c r="C1715" s="57" t="str">
        <f>IFERROR(__xludf.DUMMYFUNCTION("""COMPUTED_VALUE"""),"")</f>
        <v/>
      </c>
      <c r="D1715" s="58"/>
      <c r="E1715" s="56"/>
      <c r="F1715" s="54"/>
      <c r="G1715" s="54"/>
      <c r="H1715" s="54"/>
      <c r="I1715" s="54"/>
      <c r="J1715" s="54"/>
      <c r="K1715" s="54"/>
    </row>
    <row r="1716">
      <c r="A1716" s="57"/>
      <c r="B1716" s="57" t="str">
        <f>IFERROR(__xludf.DUMMYFUNCTION("""COMPUTED_VALUE"""),"    ")</f>
        <v>    </v>
      </c>
      <c r="C1716" s="57" t="str">
        <f>IFERROR(__xludf.DUMMYFUNCTION("""COMPUTED_VALUE"""),"")</f>
        <v/>
      </c>
      <c r="D1716" s="58"/>
      <c r="E1716" s="56"/>
      <c r="F1716" s="54"/>
      <c r="G1716" s="54"/>
      <c r="H1716" s="54"/>
      <c r="I1716" s="54"/>
      <c r="J1716" s="54"/>
      <c r="K1716" s="54"/>
    </row>
    <row r="1717">
      <c r="A1717" s="57"/>
      <c r="B1717" s="57" t="str">
        <f>IFERROR(__xludf.DUMMYFUNCTION("""COMPUTED_VALUE"""),"    ")</f>
        <v>    </v>
      </c>
      <c r="C1717" s="57" t="str">
        <f>IFERROR(__xludf.DUMMYFUNCTION("""COMPUTED_VALUE"""),"")</f>
        <v/>
      </c>
      <c r="D1717" s="58"/>
      <c r="E1717" s="56"/>
      <c r="F1717" s="54"/>
      <c r="G1717" s="54"/>
      <c r="H1717" s="54"/>
      <c r="I1717" s="54"/>
      <c r="J1717" s="54"/>
      <c r="K1717" s="54"/>
    </row>
    <row r="1718">
      <c r="A1718" s="57"/>
      <c r="B1718" s="57" t="str">
        <f>IFERROR(__xludf.DUMMYFUNCTION("""COMPUTED_VALUE"""),"    ")</f>
        <v>    </v>
      </c>
      <c r="C1718" s="57" t="str">
        <f>IFERROR(__xludf.DUMMYFUNCTION("""COMPUTED_VALUE"""),"")</f>
        <v/>
      </c>
      <c r="D1718" s="58"/>
      <c r="E1718" s="56"/>
      <c r="F1718" s="54"/>
      <c r="G1718" s="54"/>
      <c r="H1718" s="54"/>
      <c r="I1718" s="54"/>
      <c r="J1718" s="54"/>
      <c r="K1718" s="54"/>
    </row>
    <row r="1719">
      <c r="A1719" s="57"/>
      <c r="B1719" s="57" t="str">
        <f>IFERROR(__xludf.DUMMYFUNCTION("""COMPUTED_VALUE"""),"    ")</f>
        <v>    </v>
      </c>
      <c r="C1719" s="57" t="str">
        <f>IFERROR(__xludf.DUMMYFUNCTION("""COMPUTED_VALUE"""),"")</f>
        <v/>
      </c>
      <c r="D1719" s="58"/>
      <c r="E1719" s="56"/>
      <c r="F1719" s="54"/>
      <c r="G1719" s="54"/>
      <c r="H1719" s="54"/>
      <c r="I1719" s="54"/>
      <c r="J1719" s="54"/>
      <c r="K1719" s="54"/>
    </row>
    <row r="1720">
      <c r="A1720" s="57"/>
      <c r="B1720" s="57" t="str">
        <f>IFERROR(__xludf.DUMMYFUNCTION("""COMPUTED_VALUE"""),"    ")</f>
        <v>    </v>
      </c>
      <c r="C1720" s="57" t="str">
        <f>IFERROR(__xludf.DUMMYFUNCTION("""COMPUTED_VALUE"""),"")</f>
        <v/>
      </c>
      <c r="D1720" s="58"/>
      <c r="E1720" s="56"/>
      <c r="F1720" s="54"/>
      <c r="G1720" s="54"/>
      <c r="H1720" s="54"/>
      <c r="I1720" s="54"/>
      <c r="J1720" s="54"/>
      <c r="K1720" s="54"/>
    </row>
    <row r="1721">
      <c r="A1721" s="57"/>
      <c r="B1721" s="57" t="str">
        <f>IFERROR(__xludf.DUMMYFUNCTION("""COMPUTED_VALUE"""),"    ")</f>
        <v>    </v>
      </c>
      <c r="C1721" s="57" t="str">
        <f>IFERROR(__xludf.DUMMYFUNCTION("""COMPUTED_VALUE"""),"")</f>
        <v/>
      </c>
      <c r="D1721" s="58"/>
      <c r="E1721" s="56"/>
      <c r="F1721" s="54"/>
      <c r="G1721" s="54"/>
      <c r="H1721" s="54"/>
      <c r="I1721" s="54"/>
      <c r="J1721" s="54"/>
      <c r="K1721" s="54"/>
    </row>
    <row r="1722">
      <c r="A1722" s="57"/>
      <c r="B1722" s="57" t="str">
        <f>IFERROR(__xludf.DUMMYFUNCTION("""COMPUTED_VALUE"""),"    ")</f>
        <v>    </v>
      </c>
      <c r="C1722" s="57" t="str">
        <f>IFERROR(__xludf.DUMMYFUNCTION("""COMPUTED_VALUE"""),"")</f>
        <v/>
      </c>
      <c r="D1722" s="58"/>
      <c r="E1722" s="56"/>
      <c r="F1722" s="54"/>
      <c r="G1722" s="54"/>
      <c r="H1722" s="54"/>
      <c r="I1722" s="54"/>
      <c r="J1722" s="54"/>
      <c r="K1722" s="54"/>
    </row>
    <row r="1723">
      <c r="A1723" s="57"/>
      <c r="B1723" s="57" t="str">
        <f>IFERROR(__xludf.DUMMYFUNCTION("""COMPUTED_VALUE"""),"    ")</f>
        <v>    </v>
      </c>
      <c r="C1723" s="57" t="str">
        <f>IFERROR(__xludf.DUMMYFUNCTION("""COMPUTED_VALUE"""),"")</f>
        <v/>
      </c>
      <c r="D1723" s="58"/>
      <c r="E1723" s="56"/>
      <c r="F1723" s="54"/>
      <c r="G1723" s="54"/>
      <c r="H1723" s="54"/>
      <c r="I1723" s="54"/>
      <c r="J1723" s="54"/>
      <c r="K1723" s="54"/>
    </row>
    <row r="1724">
      <c r="A1724" s="57"/>
      <c r="B1724" s="57" t="str">
        <f>IFERROR(__xludf.DUMMYFUNCTION("""COMPUTED_VALUE"""),"    ")</f>
        <v>    </v>
      </c>
      <c r="C1724" s="57" t="str">
        <f>IFERROR(__xludf.DUMMYFUNCTION("""COMPUTED_VALUE"""),"")</f>
        <v/>
      </c>
      <c r="D1724" s="58"/>
      <c r="E1724" s="56"/>
      <c r="F1724" s="54"/>
      <c r="G1724" s="54"/>
      <c r="H1724" s="54"/>
      <c r="I1724" s="54"/>
      <c r="J1724" s="54"/>
      <c r="K1724" s="54"/>
    </row>
    <row r="1725">
      <c r="A1725" s="57"/>
      <c r="B1725" s="57" t="str">
        <f>IFERROR(__xludf.DUMMYFUNCTION("""COMPUTED_VALUE"""),"    ")</f>
        <v>    </v>
      </c>
      <c r="C1725" s="57" t="str">
        <f>IFERROR(__xludf.DUMMYFUNCTION("""COMPUTED_VALUE"""),"")</f>
        <v/>
      </c>
      <c r="D1725" s="58"/>
      <c r="E1725" s="56"/>
      <c r="F1725" s="54"/>
      <c r="G1725" s="54"/>
      <c r="H1725" s="54"/>
      <c r="I1725" s="54"/>
      <c r="J1725" s="54"/>
      <c r="K1725" s="54"/>
    </row>
    <row r="1726">
      <c r="A1726" s="57"/>
      <c r="B1726" s="57" t="str">
        <f>IFERROR(__xludf.DUMMYFUNCTION("""COMPUTED_VALUE"""),"    ")</f>
        <v>    </v>
      </c>
      <c r="C1726" s="57" t="str">
        <f>IFERROR(__xludf.DUMMYFUNCTION("""COMPUTED_VALUE"""),"")</f>
        <v/>
      </c>
      <c r="D1726" s="58"/>
      <c r="E1726" s="56"/>
      <c r="F1726" s="54"/>
      <c r="G1726" s="54"/>
      <c r="H1726" s="54"/>
      <c r="I1726" s="54"/>
      <c r="J1726" s="54"/>
      <c r="K1726" s="54"/>
    </row>
    <row r="1727">
      <c r="A1727" s="57"/>
      <c r="B1727" s="57" t="str">
        <f>IFERROR(__xludf.DUMMYFUNCTION("""COMPUTED_VALUE"""),"    ")</f>
        <v>    </v>
      </c>
      <c r="C1727" s="57" t="str">
        <f>IFERROR(__xludf.DUMMYFUNCTION("""COMPUTED_VALUE"""),"")</f>
        <v/>
      </c>
      <c r="D1727" s="58"/>
      <c r="E1727" s="56"/>
      <c r="F1727" s="54"/>
      <c r="G1727" s="54"/>
      <c r="H1727" s="54"/>
      <c r="I1727" s="54"/>
      <c r="J1727" s="54"/>
      <c r="K1727" s="54"/>
    </row>
    <row r="1728">
      <c r="A1728" s="57"/>
      <c r="B1728" s="57" t="str">
        <f>IFERROR(__xludf.DUMMYFUNCTION("""COMPUTED_VALUE"""),"    ")</f>
        <v>    </v>
      </c>
      <c r="C1728" s="57" t="str">
        <f>IFERROR(__xludf.DUMMYFUNCTION("""COMPUTED_VALUE"""),"")</f>
        <v/>
      </c>
      <c r="D1728" s="58"/>
      <c r="E1728" s="56"/>
      <c r="F1728" s="54"/>
      <c r="G1728" s="54"/>
      <c r="H1728" s="54"/>
      <c r="I1728" s="54"/>
      <c r="J1728" s="54"/>
      <c r="K1728" s="54"/>
    </row>
    <row r="1729">
      <c r="A1729" s="57"/>
      <c r="B1729" s="57" t="str">
        <f>IFERROR(__xludf.DUMMYFUNCTION("""COMPUTED_VALUE"""),"    ")</f>
        <v>    </v>
      </c>
      <c r="C1729" s="57" t="str">
        <f>IFERROR(__xludf.DUMMYFUNCTION("""COMPUTED_VALUE"""),"")</f>
        <v/>
      </c>
      <c r="D1729" s="58"/>
      <c r="E1729" s="56"/>
      <c r="F1729" s="54"/>
      <c r="G1729" s="54"/>
      <c r="H1729" s="54"/>
      <c r="I1729" s="54"/>
      <c r="J1729" s="54"/>
      <c r="K1729" s="54"/>
    </row>
    <row r="1730">
      <c r="A1730" s="57"/>
      <c r="B1730" s="57" t="str">
        <f>IFERROR(__xludf.DUMMYFUNCTION("""COMPUTED_VALUE"""),"    ")</f>
        <v>    </v>
      </c>
      <c r="C1730" s="57" t="str">
        <f>IFERROR(__xludf.DUMMYFUNCTION("""COMPUTED_VALUE"""),"")</f>
        <v/>
      </c>
      <c r="D1730" s="58"/>
      <c r="E1730" s="56"/>
      <c r="F1730" s="54"/>
      <c r="G1730" s="54"/>
      <c r="H1730" s="54"/>
      <c r="I1730" s="54"/>
      <c r="J1730" s="54"/>
      <c r="K1730" s="54"/>
    </row>
    <row r="1731">
      <c r="A1731" s="57"/>
      <c r="B1731" s="57" t="str">
        <f>IFERROR(__xludf.DUMMYFUNCTION("""COMPUTED_VALUE"""),"    ")</f>
        <v>    </v>
      </c>
      <c r="C1731" s="57" t="str">
        <f>IFERROR(__xludf.DUMMYFUNCTION("""COMPUTED_VALUE"""),"")</f>
        <v/>
      </c>
      <c r="D1731" s="58"/>
      <c r="E1731" s="56"/>
      <c r="F1731" s="54"/>
      <c r="G1731" s="54"/>
      <c r="H1731" s="54"/>
      <c r="I1731" s="54"/>
      <c r="J1731" s="54"/>
      <c r="K1731" s="54"/>
    </row>
    <row r="1732">
      <c r="A1732" s="57"/>
      <c r="B1732" s="57" t="str">
        <f>IFERROR(__xludf.DUMMYFUNCTION("""COMPUTED_VALUE"""),"    ")</f>
        <v>    </v>
      </c>
      <c r="C1732" s="57" t="str">
        <f>IFERROR(__xludf.DUMMYFUNCTION("""COMPUTED_VALUE"""),"")</f>
        <v/>
      </c>
      <c r="D1732" s="58"/>
      <c r="E1732" s="56"/>
      <c r="F1732" s="54"/>
      <c r="G1732" s="54"/>
      <c r="H1732" s="54"/>
      <c r="I1732" s="54"/>
      <c r="J1732" s="54"/>
      <c r="K1732" s="54"/>
    </row>
    <row r="1733">
      <c r="A1733" s="57"/>
      <c r="B1733" s="57" t="str">
        <f>IFERROR(__xludf.DUMMYFUNCTION("""COMPUTED_VALUE"""),"    ")</f>
        <v>    </v>
      </c>
      <c r="C1733" s="57" t="str">
        <f>IFERROR(__xludf.DUMMYFUNCTION("""COMPUTED_VALUE"""),"")</f>
        <v/>
      </c>
      <c r="D1733" s="58"/>
      <c r="E1733" s="56"/>
      <c r="F1733" s="54"/>
      <c r="G1733" s="54"/>
      <c r="H1733" s="54"/>
      <c r="I1733" s="54"/>
      <c r="J1733" s="54"/>
      <c r="K1733" s="54"/>
    </row>
    <row r="1734">
      <c r="A1734" s="57"/>
      <c r="B1734" s="57" t="str">
        <f>IFERROR(__xludf.DUMMYFUNCTION("""COMPUTED_VALUE"""),"    ")</f>
        <v>    </v>
      </c>
      <c r="C1734" s="57" t="str">
        <f>IFERROR(__xludf.DUMMYFUNCTION("""COMPUTED_VALUE"""),"")</f>
        <v/>
      </c>
      <c r="D1734" s="58"/>
      <c r="E1734" s="56"/>
      <c r="F1734" s="54"/>
      <c r="G1734" s="54"/>
      <c r="H1734" s="54"/>
      <c r="I1734" s="54"/>
      <c r="J1734" s="54"/>
      <c r="K1734" s="54"/>
    </row>
    <row r="1735">
      <c r="A1735" s="57"/>
      <c r="B1735" s="57" t="str">
        <f>IFERROR(__xludf.DUMMYFUNCTION("""COMPUTED_VALUE"""),"    ")</f>
        <v>    </v>
      </c>
      <c r="C1735" s="57" t="str">
        <f>IFERROR(__xludf.DUMMYFUNCTION("""COMPUTED_VALUE"""),"")</f>
        <v/>
      </c>
      <c r="D1735" s="58"/>
      <c r="E1735" s="56"/>
      <c r="F1735" s="54"/>
      <c r="G1735" s="54"/>
      <c r="H1735" s="54"/>
      <c r="I1735" s="54"/>
      <c r="J1735" s="54"/>
      <c r="K1735" s="54"/>
    </row>
    <row r="1736">
      <c r="A1736" s="57"/>
      <c r="B1736" s="57" t="str">
        <f>IFERROR(__xludf.DUMMYFUNCTION("""COMPUTED_VALUE"""),"    ")</f>
        <v>    </v>
      </c>
      <c r="C1736" s="57" t="str">
        <f>IFERROR(__xludf.DUMMYFUNCTION("""COMPUTED_VALUE"""),"")</f>
        <v/>
      </c>
      <c r="D1736" s="58"/>
      <c r="E1736" s="56"/>
      <c r="F1736" s="54"/>
      <c r="G1736" s="54"/>
      <c r="H1736" s="54"/>
      <c r="I1736" s="54"/>
      <c r="J1736" s="54"/>
      <c r="K1736" s="54"/>
    </row>
    <row r="1737">
      <c r="A1737" s="57"/>
      <c r="B1737" s="57" t="str">
        <f>IFERROR(__xludf.DUMMYFUNCTION("""COMPUTED_VALUE"""),"    ")</f>
        <v>    </v>
      </c>
      <c r="C1737" s="57" t="str">
        <f>IFERROR(__xludf.DUMMYFUNCTION("""COMPUTED_VALUE"""),"")</f>
        <v/>
      </c>
      <c r="D1737" s="58"/>
      <c r="E1737" s="56"/>
      <c r="F1737" s="54"/>
      <c r="G1737" s="54"/>
      <c r="H1737" s="54"/>
      <c r="I1737" s="54"/>
      <c r="J1737" s="54"/>
      <c r="K1737" s="54"/>
    </row>
    <row r="1738">
      <c r="A1738" s="57"/>
      <c r="B1738" s="57" t="str">
        <f>IFERROR(__xludf.DUMMYFUNCTION("""COMPUTED_VALUE"""),"    ")</f>
        <v>    </v>
      </c>
      <c r="C1738" s="57" t="str">
        <f>IFERROR(__xludf.DUMMYFUNCTION("""COMPUTED_VALUE"""),"")</f>
        <v/>
      </c>
      <c r="D1738" s="58"/>
      <c r="E1738" s="56"/>
      <c r="F1738" s="54"/>
      <c r="G1738" s="54"/>
      <c r="H1738" s="54"/>
      <c r="I1738" s="54"/>
      <c r="J1738" s="54"/>
      <c r="K1738" s="54"/>
    </row>
    <row r="1739">
      <c r="A1739" s="57"/>
      <c r="B1739" s="57" t="str">
        <f>IFERROR(__xludf.DUMMYFUNCTION("""COMPUTED_VALUE"""),"    ")</f>
        <v>    </v>
      </c>
      <c r="C1739" s="57" t="str">
        <f>IFERROR(__xludf.DUMMYFUNCTION("""COMPUTED_VALUE"""),"")</f>
        <v/>
      </c>
      <c r="D1739" s="58"/>
      <c r="E1739" s="56"/>
      <c r="F1739" s="54"/>
      <c r="G1739" s="54"/>
      <c r="H1739" s="54"/>
      <c r="I1739" s="54"/>
      <c r="J1739" s="54"/>
      <c r="K1739" s="54"/>
    </row>
    <row r="1740">
      <c r="A1740" s="57"/>
      <c r="B1740" s="57" t="str">
        <f>IFERROR(__xludf.DUMMYFUNCTION("""COMPUTED_VALUE"""),"    ")</f>
        <v>    </v>
      </c>
      <c r="C1740" s="57" t="str">
        <f>IFERROR(__xludf.DUMMYFUNCTION("""COMPUTED_VALUE"""),"")</f>
        <v/>
      </c>
      <c r="D1740" s="58"/>
      <c r="E1740" s="56"/>
      <c r="F1740" s="54"/>
      <c r="G1740" s="54"/>
      <c r="H1740" s="54"/>
      <c r="I1740" s="54"/>
      <c r="J1740" s="54"/>
      <c r="K1740" s="54"/>
    </row>
    <row r="1741">
      <c r="A1741" s="57"/>
      <c r="B1741" s="57" t="str">
        <f>IFERROR(__xludf.DUMMYFUNCTION("""COMPUTED_VALUE"""),"    ")</f>
        <v>    </v>
      </c>
      <c r="C1741" s="57" t="str">
        <f>IFERROR(__xludf.DUMMYFUNCTION("""COMPUTED_VALUE"""),"")</f>
        <v/>
      </c>
      <c r="D1741" s="58"/>
      <c r="E1741" s="56"/>
      <c r="F1741" s="54"/>
      <c r="G1741" s="54"/>
      <c r="H1741" s="54"/>
      <c r="I1741" s="54"/>
      <c r="J1741" s="54"/>
      <c r="K1741" s="54"/>
    </row>
    <row r="1742">
      <c r="A1742" s="57"/>
      <c r="B1742" s="57" t="str">
        <f>IFERROR(__xludf.DUMMYFUNCTION("""COMPUTED_VALUE"""),"    ")</f>
        <v>    </v>
      </c>
      <c r="C1742" s="57" t="str">
        <f>IFERROR(__xludf.DUMMYFUNCTION("""COMPUTED_VALUE"""),"")</f>
        <v/>
      </c>
      <c r="D1742" s="58"/>
      <c r="E1742" s="56"/>
      <c r="F1742" s="54"/>
      <c r="G1742" s="54"/>
      <c r="H1742" s="54"/>
      <c r="I1742" s="54"/>
      <c r="J1742" s="54"/>
      <c r="K1742" s="54"/>
    </row>
    <row r="1743">
      <c r="A1743" s="57"/>
      <c r="B1743" s="57" t="str">
        <f>IFERROR(__xludf.DUMMYFUNCTION("""COMPUTED_VALUE"""),"    ")</f>
        <v>    </v>
      </c>
      <c r="C1743" s="57" t="str">
        <f>IFERROR(__xludf.DUMMYFUNCTION("""COMPUTED_VALUE"""),"")</f>
        <v/>
      </c>
      <c r="D1743" s="58"/>
      <c r="E1743" s="56"/>
      <c r="F1743" s="54"/>
      <c r="G1743" s="54"/>
      <c r="H1743" s="54"/>
      <c r="I1743" s="54"/>
      <c r="J1743" s="54"/>
      <c r="K1743" s="54"/>
    </row>
    <row r="1744">
      <c r="A1744" s="57"/>
      <c r="B1744" s="57" t="str">
        <f>IFERROR(__xludf.DUMMYFUNCTION("""COMPUTED_VALUE"""),"    ")</f>
        <v>    </v>
      </c>
      <c r="C1744" s="57" t="str">
        <f>IFERROR(__xludf.DUMMYFUNCTION("""COMPUTED_VALUE"""),"")</f>
        <v/>
      </c>
      <c r="D1744" s="58"/>
      <c r="E1744" s="56"/>
      <c r="F1744" s="54"/>
      <c r="G1744" s="54"/>
      <c r="H1744" s="54"/>
      <c r="I1744" s="54"/>
      <c r="J1744" s="54"/>
      <c r="K1744" s="54"/>
    </row>
    <row r="1745">
      <c r="A1745" s="57"/>
      <c r="B1745" s="57" t="str">
        <f>IFERROR(__xludf.DUMMYFUNCTION("""COMPUTED_VALUE"""),"    ")</f>
        <v>    </v>
      </c>
      <c r="C1745" s="57" t="str">
        <f>IFERROR(__xludf.DUMMYFUNCTION("""COMPUTED_VALUE"""),"")</f>
        <v/>
      </c>
      <c r="D1745" s="58"/>
      <c r="E1745" s="56"/>
      <c r="F1745" s="54"/>
      <c r="G1745" s="54"/>
      <c r="H1745" s="54"/>
      <c r="I1745" s="54"/>
      <c r="J1745" s="54"/>
      <c r="K1745" s="54"/>
    </row>
    <row r="1746">
      <c r="A1746" s="57"/>
      <c r="B1746" s="57" t="str">
        <f>IFERROR(__xludf.DUMMYFUNCTION("""COMPUTED_VALUE"""),"    ")</f>
        <v>    </v>
      </c>
      <c r="C1746" s="57" t="str">
        <f>IFERROR(__xludf.DUMMYFUNCTION("""COMPUTED_VALUE"""),"")</f>
        <v/>
      </c>
      <c r="D1746" s="58"/>
      <c r="E1746" s="56"/>
      <c r="F1746" s="54"/>
      <c r="G1746" s="54"/>
      <c r="H1746" s="54"/>
      <c r="I1746" s="54"/>
      <c r="J1746" s="54"/>
      <c r="K1746" s="54"/>
    </row>
    <row r="1747">
      <c r="A1747" s="57"/>
      <c r="B1747" s="57" t="str">
        <f>IFERROR(__xludf.DUMMYFUNCTION("""COMPUTED_VALUE"""),"    ")</f>
        <v>    </v>
      </c>
      <c r="C1747" s="57" t="str">
        <f>IFERROR(__xludf.DUMMYFUNCTION("""COMPUTED_VALUE"""),"")</f>
        <v/>
      </c>
      <c r="D1747" s="58"/>
      <c r="E1747" s="56"/>
      <c r="F1747" s="54"/>
      <c r="G1747" s="54"/>
      <c r="H1747" s="54"/>
      <c r="I1747" s="54"/>
      <c r="J1747" s="54"/>
      <c r="K1747" s="54"/>
    </row>
    <row r="1748">
      <c r="A1748" s="57"/>
      <c r="B1748" s="57" t="str">
        <f>IFERROR(__xludf.DUMMYFUNCTION("""COMPUTED_VALUE"""),"    ")</f>
        <v>    </v>
      </c>
      <c r="C1748" s="57" t="str">
        <f>IFERROR(__xludf.DUMMYFUNCTION("""COMPUTED_VALUE"""),"")</f>
        <v/>
      </c>
      <c r="D1748" s="58"/>
      <c r="E1748" s="56"/>
      <c r="F1748" s="54"/>
      <c r="G1748" s="54"/>
      <c r="H1748" s="54"/>
      <c r="I1748" s="54"/>
      <c r="J1748" s="54"/>
      <c r="K1748" s="54"/>
    </row>
    <row r="1749">
      <c r="A1749" s="57"/>
      <c r="B1749" s="57" t="str">
        <f>IFERROR(__xludf.DUMMYFUNCTION("""COMPUTED_VALUE"""),"    ")</f>
        <v>    </v>
      </c>
      <c r="C1749" s="57" t="str">
        <f>IFERROR(__xludf.DUMMYFUNCTION("""COMPUTED_VALUE"""),"")</f>
        <v/>
      </c>
      <c r="D1749" s="58"/>
      <c r="E1749" s="56"/>
      <c r="F1749" s="54"/>
      <c r="G1749" s="54"/>
      <c r="H1749" s="54"/>
      <c r="I1749" s="54"/>
      <c r="J1749" s="54"/>
      <c r="K1749" s="54"/>
    </row>
    <row r="1750">
      <c r="A1750" s="57"/>
      <c r="B1750" s="57" t="str">
        <f>IFERROR(__xludf.DUMMYFUNCTION("""COMPUTED_VALUE"""),"    ")</f>
        <v>    </v>
      </c>
      <c r="C1750" s="57" t="str">
        <f>IFERROR(__xludf.DUMMYFUNCTION("""COMPUTED_VALUE"""),"")</f>
        <v/>
      </c>
      <c r="D1750" s="58"/>
      <c r="E1750" s="56"/>
      <c r="F1750" s="54"/>
      <c r="G1750" s="54"/>
      <c r="H1750" s="54"/>
      <c r="I1750" s="54"/>
      <c r="J1750" s="54"/>
      <c r="K1750" s="54"/>
    </row>
    <row r="1751">
      <c r="A1751" s="57"/>
      <c r="B1751" s="57" t="str">
        <f>IFERROR(__xludf.DUMMYFUNCTION("""COMPUTED_VALUE"""),"    ")</f>
        <v>    </v>
      </c>
      <c r="C1751" s="57" t="str">
        <f>IFERROR(__xludf.DUMMYFUNCTION("""COMPUTED_VALUE"""),"")</f>
        <v/>
      </c>
      <c r="D1751" s="58"/>
      <c r="E1751" s="56"/>
      <c r="F1751" s="54"/>
      <c r="G1751" s="54"/>
      <c r="H1751" s="54"/>
      <c r="I1751" s="54"/>
      <c r="J1751" s="54"/>
      <c r="K1751" s="54"/>
    </row>
    <row r="1752">
      <c r="A1752" s="57"/>
      <c r="B1752" s="57" t="str">
        <f>IFERROR(__xludf.DUMMYFUNCTION("""COMPUTED_VALUE"""),"    ")</f>
        <v>    </v>
      </c>
      <c r="C1752" s="57" t="str">
        <f>IFERROR(__xludf.DUMMYFUNCTION("""COMPUTED_VALUE"""),"")</f>
        <v/>
      </c>
      <c r="D1752" s="58"/>
      <c r="E1752" s="56"/>
      <c r="F1752" s="54"/>
      <c r="G1752" s="54"/>
      <c r="H1752" s="54"/>
      <c r="I1752" s="54"/>
      <c r="J1752" s="54"/>
      <c r="K1752" s="54"/>
    </row>
    <row r="1753">
      <c r="A1753" s="57"/>
      <c r="B1753" s="57" t="str">
        <f>IFERROR(__xludf.DUMMYFUNCTION("""COMPUTED_VALUE"""),"    ")</f>
        <v>    </v>
      </c>
      <c r="C1753" s="57" t="str">
        <f>IFERROR(__xludf.DUMMYFUNCTION("""COMPUTED_VALUE"""),"")</f>
        <v/>
      </c>
      <c r="D1753" s="58"/>
      <c r="E1753" s="56"/>
      <c r="F1753" s="54"/>
      <c r="G1753" s="54"/>
      <c r="H1753" s="54"/>
      <c r="I1753" s="54"/>
      <c r="J1753" s="54"/>
      <c r="K1753" s="54"/>
    </row>
    <row r="1754">
      <c r="A1754" s="57"/>
      <c r="B1754" s="57" t="str">
        <f>IFERROR(__xludf.DUMMYFUNCTION("""COMPUTED_VALUE"""),"    ")</f>
        <v>    </v>
      </c>
      <c r="C1754" s="57" t="str">
        <f>IFERROR(__xludf.DUMMYFUNCTION("""COMPUTED_VALUE"""),"")</f>
        <v/>
      </c>
      <c r="D1754" s="58"/>
      <c r="E1754" s="56"/>
      <c r="F1754" s="54"/>
      <c r="G1754" s="54"/>
      <c r="H1754" s="54"/>
      <c r="I1754" s="54"/>
      <c r="J1754" s="54"/>
      <c r="K1754" s="54"/>
    </row>
    <row r="1755">
      <c r="A1755" s="57"/>
      <c r="B1755" s="57" t="str">
        <f>IFERROR(__xludf.DUMMYFUNCTION("""COMPUTED_VALUE"""),"    ")</f>
        <v>    </v>
      </c>
      <c r="C1755" s="57" t="str">
        <f>IFERROR(__xludf.DUMMYFUNCTION("""COMPUTED_VALUE"""),"")</f>
        <v/>
      </c>
      <c r="D1755" s="58"/>
      <c r="E1755" s="56"/>
      <c r="F1755" s="54"/>
      <c r="G1755" s="54"/>
      <c r="H1755" s="54"/>
      <c r="I1755" s="54"/>
      <c r="J1755" s="54"/>
      <c r="K1755" s="54"/>
    </row>
    <row r="1756">
      <c r="A1756" s="57"/>
      <c r="B1756" s="57" t="str">
        <f>IFERROR(__xludf.DUMMYFUNCTION("""COMPUTED_VALUE"""),"    ")</f>
        <v>    </v>
      </c>
      <c r="C1756" s="57" t="str">
        <f>IFERROR(__xludf.DUMMYFUNCTION("""COMPUTED_VALUE"""),"")</f>
        <v/>
      </c>
      <c r="D1756" s="58"/>
      <c r="E1756" s="56"/>
      <c r="F1756" s="54"/>
      <c r="G1756" s="54"/>
      <c r="H1756" s="54"/>
      <c r="I1756" s="54"/>
      <c r="J1756" s="54"/>
      <c r="K1756" s="54"/>
    </row>
    <row r="1757">
      <c r="A1757" s="57"/>
      <c r="B1757" s="57" t="str">
        <f>IFERROR(__xludf.DUMMYFUNCTION("""COMPUTED_VALUE"""),"    ")</f>
        <v>    </v>
      </c>
      <c r="C1757" s="57" t="str">
        <f>IFERROR(__xludf.DUMMYFUNCTION("""COMPUTED_VALUE"""),"")</f>
        <v/>
      </c>
      <c r="D1757" s="58"/>
      <c r="E1757" s="56"/>
      <c r="F1757" s="54"/>
      <c r="G1757" s="54"/>
      <c r="H1757" s="54"/>
      <c r="I1757" s="54"/>
      <c r="J1757" s="54"/>
      <c r="K1757" s="54"/>
    </row>
    <row r="1758">
      <c r="A1758" s="57"/>
      <c r="B1758" s="57" t="str">
        <f>IFERROR(__xludf.DUMMYFUNCTION("""COMPUTED_VALUE"""),"    ")</f>
        <v>    </v>
      </c>
      <c r="C1758" s="57" t="str">
        <f>IFERROR(__xludf.DUMMYFUNCTION("""COMPUTED_VALUE"""),"")</f>
        <v/>
      </c>
      <c r="D1758" s="58"/>
      <c r="E1758" s="56"/>
      <c r="F1758" s="54"/>
      <c r="G1758" s="54"/>
      <c r="H1758" s="54"/>
      <c r="I1758" s="54"/>
      <c r="J1758" s="54"/>
      <c r="K1758" s="54"/>
    </row>
    <row r="1759">
      <c r="A1759" s="57"/>
      <c r="B1759" s="57" t="str">
        <f>IFERROR(__xludf.DUMMYFUNCTION("""COMPUTED_VALUE"""),"    ")</f>
        <v>    </v>
      </c>
      <c r="C1759" s="57" t="str">
        <f>IFERROR(__xludf.DUMMYFUNCTION("""COMPUTED_VALUE"""),"")</f>
        <v/>
      </c>
      <c r="D1759" s="58"/>
      <c r="E1759" s="56"/>
      <c r="F1759" s="54"/>
      <c r="G1759" s="54"/>
      <c r="H1759" s="54"/>
      <c r="I1759" s="54"/>
      <c r="J1759" s="54"/>
      <c r="K1759" s="54"/>
    </row>
    <row r="1760">
      <c r="A1760" s="57"/>
      <c r="B1760" s="57" t="str">
        <f>IFERROR(__xludf.DUMMYFUNCTION("""COMPUTED_VALUE"""),"    ")</f>
        <v>    </v>
      </c>
      <c r="C1760" s="57" t="str">
        <f>IFERROR(__xludf.DUMMYFUNCTION("""COMPUTED_VALUE"""),"")</f>
        <v/>
      </c>
      <c r="D1760" s="58"/>
      <c r="E1760" s="56"/>
      <c r="F1760" s="54"/>
      <c r="G1760" s="54"/>
      <c r="H1760" s="54"/>
      <c r="I1760" s="54"/>
      <c r="J1760" s="54"/>
      <c r="K1760" s="54"/>
    </row>
    <row r="1761">
      <c r="A1761" s="57"/>
      <c r="B1761" s="57" t="str">
        <f>IFERROR(__xludf.DUMMYFUNCTION("""COMPUTED_VALUE"""),"    ")</f>
        <v>    </v>
      </c>
      <c r="C1761" s="57" t="str">
        <f>IFERROR(__xludf.DUMMYFUNCTION("""COMPUTED_VALUE"""),"")</f>
        <v/>
      </c>
      <c r="D1761" s="58"/>
      <c r="E1761" s="56"/>
      <c r="F1761" s="54"/>
      <c r="G1761" s="54"/>
      <c r="H1761" s="54"/>
      <c r="I1761" s="54"/>
      <c r="J1761" s="54"/>
      <c r="K1761" s="54"/>
    </row>
    <row r="1762">
      <c r="A1762" s="57"/>
      <c r="B1762" s="57" t="str">
        <f>IFERROR(__xludf.DUMMYFUNCTION("""COMPUTED_VALUE"""),"    ")</f>
        <v>    </v>
      </c>
      <c r="C1762" s="57" t="str">
        <f>IFERROR(__xludf.DUMMYFUNCTION("""COMPUTED_VALUE"""),"")</f>
        <v/>
      </c>
      <c r="D1762" s="58"/>
      <c r="E1762" s="56"/>
      <c r="F1762" s="54"/>
      <c r="G1762" s="54"/>
      <c r="H1762" s="54"/>
      <c r="I1762" s="54"/>
      <c r="J1762" s="54"/>
      <c r="K1762" s="54"/>
    </row>
    <row r="1763">
      <c r="A1763" s="57"/>
      <c r="B1763" s="57" t="str">
        <f>IFERROR(__xludf.DUMMYFUNCTION("""COMPUTED_VALUE"""),"    ")</f>
        <v>    </v>
      </c>
      <c r="C1763" s="57" t="str">
        <f>IFERROR(__xludf.DUMMYFUNCTION("""COMPUTED_VALUE"""),"")</f>
        <v/>
      </c>
      <c r="D1763" s="58"/>
      <c r="E1763" s="56"/>
      <c r="F1763" s="54"/>
      <c r="G1763" s="54"/>
      <c r="H1763" s="54"/>
      <c r="I1763" s="54"/>
      <c r="J1763" s="54"/>
      <c r="K1763" s="54"/>
    </row>
    <row r="1764">
      <c r="A1764" s="57"/>
      <c r="B1764" s="57" t="str">
        <f>IFERROR(__xludf.DUMMYFUNCTION("""COMPUTED_VALUE"""),"    ")</f>
        <v>    </v>
      </c>
      <c r="C1764" s="57" t="str">
        <f>IFERROR(__xludf.DUMMYFUNCTION("""COMPUTED_VALUE"""),"")</f>
        <v/>
      </c>
      <c r="D1764" s="58"/>
      <c r="E1764" s="56"/>
      <c r="F1764" s="54"/>
      <c r="G1764" s="54"/>
      <c r="H1764" s="54"/>
      <c r="I1764" s="54"/>
      <c r="J1764" s="54"/>
      <c r="K1764" s="54"/>
    </row>
    <row r="1765">
      <c r="A1765" s="57"/>
      <c r="B1765" s="57" t="str">
        <f>IFERROR(__xludf.DUMMYFUNCTION("""COMPUTED_VALUE"""),"    ")</f>
        <v>    </v>
      </c>
      <c r="C1765" s="57" t="str">
        <f>IFERROR(__xludf.DUMMYFUNCTION("""COMPUTED_VALUE"""),"")</f>
        <v/>
      </c>
      <c r="D1765" s="58"/>
      <c r="E1765" s="56"/>
      <c r="F1765" s="54"/>
      <c r="G1765" s="54"/>
      <c r="H1765" s="54"/>
      <c r="I1765" s="54"/>
      <c r="J1765" s="54"/>
      <c r="K1765" s="54"/>
    </row>
    <row r="1766">
      <c r="A1766" s="57"/>
      <c r="B1766" s="57" t="str">
        <f>IFERROR(__xludf.DUMMYFUNCTION("""COMPUTED_VALUE"""),"    ")</f>
        <v>    </v>
      </c>
      <c r="C1766" s="57" t="str">
        <f>IFERROR(__xludf.DUMMYFUNCTION("""COMPUTED_VALUE"""),"")</f>
        <v/>
      </c>
      <c r="D1766" s="58"/>
      <c r="E1766" s="56"/>
      <c r="F1766" s="54"/>
      <c r="G1766" s="54"/>
      <c r="H1766" s="54"/>
      <c r="I1766" s="54"/>
      <c r="J1766" s="54"/>
      <c r="K1766" s="54"/>
    </row>
    <row r="1767">
      <c r="A1767" s="57"/>
      <c r="B1767" s="57" t="str">
        <f>IFERROR(__xludf.DUMMYFUNCTION("""COMPUTED_VALUE"""),"    ")</f>
        <v>    </v>
      </c>
      <c r="C1767" s="57" t="str">
        <f>IFERROR(__xludf.DUMMYFUNCTION("""COMPUTED_VALUE"""),"")</f>
        <v/>
      </c>
      <c r="D1767" s="58"/>
      <c r="E1767" s="56"/>
      <c r="F1767" s="54"/>
      <c r="G1767" s="54"/>
      <c r="H1767" s="54"/>
      <c r="I1767" s="54"/>
      <c r="J1767" s="54"/>
      <c r="K1767" s="54"/>
    </row>
    <row r="1768">
      <c r="A1768" s="57"/>
      <c r="B1768" s="57" t="str">
        <f>IFERROR(__xludf.DUMMYFUNCTION("""COMPUTED_VALUE"""),"    ")</f>
        <v>    </v>
      </c>
      <c r="C1768" s="57" t="str">
        <f>IFERROR(__xludf.DUMMYFUNCTION("""COMPUTED_VALUE"""),"")</f>
        <v/>
      </c>
      <c r="D1768" s="58"/>
      <c r="E1768" s="56"/>
      <c r="F1768" s="54"/>
      <c r="G1768" s="54"/>
      <c r="H1768" s="54"/>
      <c r="I1768" s="54"/>
      <c r="J1768" s="54"/>
      <c r="K1768" s="54"/>
    </row>
    <row r="1769">
      <c r="A1769" s="57"/>
      <c r="B1769" s="57" t="str">
        <f>IFERROR(__xludf.DUMMYFUNCTION("""COMPUTED_VALUE"""),"    ")</f>
        <v>    </v>
      </c>
      <c r="C1769" s="57" t="str">
        <f>IFERROR(__xludf.DUMMYFUNCTION("""COMPUTED_VALUE"""),"")</f>
        <v/>
      </c>
      <c r="D1769" s="58"/>
      <c r="E1769" s="56"/>
      <c r="F1769" s="54"/>
      <c r="G1769" s="54"/>
      <c r="H1769" s="54"/>
      <c r="I1769" s="54"/>
      <c r="J1769" s="54"/>
      <c r="K1769" s="54"/>
    </row>
    <row r="1770">
      <c r="A1770" s="57"/>
      <c r="B1770" s="57" t="str">
        <f>IFERROR(__xludf.DUMMYFUNCTION("""COMPUTED_VALUE"""),"    ")</f>
        <v>    </v>
      </c>
      <c r="C1770" s="57" t="str">
        <f>IFERROR(__xludf.DUMMYFUNCTION("""COMPUTED_VALUE"""),"")</f>
        <v/>
      </c>
      <c r="D1770" s="58"/>
      <c r="E1770" s="56"/>
      <c r="F1770" s="54"/>
      <c r="G1770" s="54"/>
      <c r="H1770" s="54"/>
      <c r="I1770" s="54"/>
      <c r="J1770" s="54"/>
      <c r="K1770" s="54"/>
    </row>
    <row r="1771">
      <c r="A1771" s="57"/>
      <c r="B1771" s="57" t="str">
        <f>IFERROR(__xludf.DUMMYFUNCTION("""COMPUTED_VALUE"""),"    ")</f>
        <v>    </v>
      </c>
      <c r="C1771" s="57" t="str">
        <f>IFERROR(__xludf.DUMMYFUNCTION("""COMPUTED_VALUE"""),"")</f>
        <v/>
      </c>
      <c r="D1771" s="58"/>
      <c r="E1771" s="56"/>
      <c r="F1771" s="54"/>
      <c r="G1771" s="54"/>
      <c r="H1771" s="54"/>
      <c r="I1771" s="54"/>
      <c r="J1771" s="54"/>
      <c r="K1771" s="54"/>
    </row>
    <row r="1772">
      <c r="A1772" s="57"/>
      <c r="B1772" s="57" t="str">
        <f>IFERROR(__xludf.DUMMYFUNCTION("""COMPUTED_VALUE"""),"    ")</f>
        <v>    </v>
      </c>
      <c r="C1772" s="57" t="str">
        <f>IFERROR(__xludf.DUMMYFUNCTION("""COMPUTED_VALUE"""),"")</f>
        <v/>
      </c>
      <c r="D1772" s="58"/>
      <c r="E1772" s="56"/>
      <c r="F1772" s="54"/>
      <c r="G1772" s="54"/>
      <c r="H1772" s="54"/>
      <c r="I1772" s="54"/>
      <c r="J1772" s="54"/>
      <c r="K1772" s="54"/>
    </row>
    <row r="1773">
      <c r="A1773" s="57"/>
      <c r="B1773" s="57" t="str">
        <f>IFERROR(__xludf.DUMMYFUNCTION("""COMPUTED_VALUE"""),"    ")</f>
        <v>    </v>
      </c>
      <c r="C1773" s="57" t="str">
        <f>IFERROR(__xludf.DUMMYFUNCTION("""COMPUTED_VALUE"""),"")</f>
        <v/>
      </c>
      <c r="D1773" s="58"/>
      <c r="E1773" s="56"/>
      <c r="F1773" s="54"/>
      <c r="G1773" s="54"/>
      <c r="H1773" s="54"/>
      <c r="I1773" s="54"/>
      <c r="J1773" s="54"/>
      <c r="K1773" s="54"/>
    </row>
    <row r="1774">
      <c r="A1774" s="57"/>
      <c r="B1774" s="57" t="str">
        <f>IFERROR(__xludf.DUMMYFUNCTION("""COMPUTED_VALUE"""),"    ")</f>
        <v>    </v>
      </c>
      <c r="C1774" s="57" t="str">
        <f>IFERROR(__xludf.DUMMYFUNCTION("""COMPUTED_VALUE"""),"")</f>
        <v/>
      </c>
      <c r="D1774" s="58"/>
      <c r="E1774" s="56"/>
      <c r="F1774" s="54"/>
      <c r="G1774" s="54"/>
      <c r="H1774" s="54"/>
      <c r="I1774" s="54"/>
      <c r="J1774" s="54"/>
      <c r="K1774" s="54"/>
    </row>
    <row r="1775">
      <c r="A1775" s="57"/>
      <c r="B1775" s="57" t="str">
        <f>IFERROR(__xludf.DUMMYFUNCTION("""COMPUTED_VALUE"""),"    ")</f>
        <v>    </v>
      </c>
      <c r="C1775" s="57" t="str">
        <f>IFERROR(__xludf.DUMMYFUNCTION("""COMPUTED_VALUE"""),"")</f>
        <v/>
      </c>
      <c r="D1775" s="58"/>
      <c r="E1775" s="56"/>
      <c r="F1775" s="54"/>
      <c r="G1775" s="54"/>
      <c r="H1775" s="54"/>
      <c r="I1775" s="54"/>
      <c r="J1775" s="54"/>
      <c r="K1775" s="54"/>
    </row>
    <row r="1776">
      <c r="A1776" s="57"/>
      <c r="B1776" s="57" t="str">
        <f>IFERROR(__xludf.DUMMYFUNCTION("""COMPUTED_VALUE"""),"    ")</f>
        <v>    </v>
      </c>
      <c r="C1776" s="57" t="str">
        <f>IFERROR(__xludf.DUMMYFUNCTION("""COMPUTED_VALUE"""),"")</f>
        <v/>
      </c>
      <c r="D1776" s="58"/>
      <c r="E1776" s="56"/>
      <c r="F1776" s="54"/>
      <c r="G1776" s="54"/>
      <c r="H1776" s="54"/>
      <c r="I1776" s="54"/>
      <c r="J1776" s="54"/>
      <c r="K1776" s="54"/>
    </row>
    <row r="1777">
      <c r="A1777" s="57"/>
      <c r="B1777" s="57" t="str">
        <f>IFERROR(__xludf.DUMMYFUNCTION("""COMPUTED_VALUE"""),"    ")</f>
        <v>    </v>
      </c>
      <c r="C1777" s="57" t="str">
        <f>IFERROR(__xludf.DUMMYFUNCTION("""COMPUTED_VALUE"""),"")</f>
        <v/>
      </c>
      <c r="D1777" s="58"/>
      <c r="E1777" s="56"/>
      <c r="F1777" s="54"/>
      <c r="G1777" s="54"/>
      <c r="H1777" s="54"/>
      <c r="I1777" s="54"/>
      <c r="J1777" s="54"/>
      <c r="K1777" s="54"/>
    </row>
    <row r="1778">
      <c r="A1778" s="57"/>
      <c r="B1778" s="57" t="str">
        <f>IFERROR(__xludf.DUMMYFUNCTION("""COMPUTED_VALUE"""),"    ")</f>
        <v>    </v>
      </c>
      <c r="C1778" s="57" t="str">
        <f>IFERROR(__xludf.DUMMYFUNCTION("""COMPUTED_VALUE"""),"")</f>
        <v/>
      </c>
      <c r="D1778" s="58"/>
      <c r="E1778" s="56"/>
      <c r="F1778" s="54"/>
      <c r="G1778" s="54"/>
      <c r="H1778" s="54"/>
      <c r="I1778" s="54"/>
      <c r="J1778" s="54"/>
      <c r="K1778" s="54"/>
    </row>
    <row r="1779">
      <c r="A1779" s="57"/>
      <c r="B1779" s="57" t="str">
        <f>IFERROR(__xludf.DUMMYFUNCTION("""COMPUTED_VALUE"""),"    ")</f>
        <v>    </v>
      </c>
      <c r="C1779" s="57" t="str">
        <f>IFERROR(__xludf.DUMMYFUNCTION("""COMPUTED_VALUE"""),"")</f>
        <v/>
      </c>
      <c r="D1779" s="58"/>
      <c r="E1779" s="56"/>
      <c r="F1779" s="54"/>
      <c r="G1779" s="54"/>
      <c r="H1779" s="54"/>
      <c r="I1779" s="54"/>
      <c r="J1779" s="54"/>
      <c r="K1779" s="54"/>
    </row>
    <row r="1780">
      <c r="A1780" s="57"/>
      <c r="B1780" s="57" t="str">
        <f>IFERROR(__xludf.DUMMYFUNCTION("""COMPUTED_VALUE"""),"    ")</f>
        <v>    </v>
      </c>
      <c r="C1780" s="57" t="str">
        <f>IFERROR(__xludf.DUMMYFUNCTION("""COMPUTED_VALUE"""),"")</f>
        <v/>
      </c>
      <c r="D1780" s="58"/>
      <c r="E1780" s="56"/>
      <c r="F1780" s="54"/>
      <c r="G1780" s="54"/>
      <c r="H1780" s="54"/>
      <c r="I1780" s="54"/>
      <c r="J1780" s="54"/>
      <c r="K1780" s="54"/>
    </row>
    <row r="1781">
      <c r="A1781" s="57"/>
      <c r="B1781" s="57" t="str">
        <f>IFERROR(__xludf.DUMMYFUNCTION("""COMPUTED_VALUE"""),"    ")</f>
        <v>    </v>
      </c>
      <c r="C1781" s="57" t="str">
        <f>IFERROR(__xludf.DUMMYFUNCTION("""COMPUTED_VALUE"""),"")</f>
        <v/>
      </c>
      <c r="D1781" s="58"/>
      <c r="E1781" s="56"/>
      <c r="F1781" s="54"/>
      <c r="G1781" s="54"/>
      <c r="H1781" s="54"/>
      <c r="I1781" s="54"/>
      <c r="J1781" s="54"/>
      <c r="K1781" s="54"/>
    </row>
    <row r="1782">
      <c r="A1782" s="57"/>
      <c r="B1782" s="57" t="str">
        <f>IFERROR(__xludf.DUMMYFUNCTION("""COMPUTED_VALUE"""),"    ")</f>
        <v>    </v>
      </c>
      <c r="C1782" s="57" t="str">
        <f>IFERROR(__xludf.DUMMYFUNCTION("""COMPUTED_VALUE"""),"")</f>
        <v/>
      </c>
      <c r="D1782" s="58"/>
      <c r="E1782" s="56"/>
      <c r="F1782" s="54"/>
      <c r="G1782" s="54"/>
      <c r="H1782" s="54"/>
      <c r="I1782" s="54"/>
      <c r="J1782" s="54"/>
      <c r="K1782" s="54"/>
    </row>
    <row r="1783">
      <c r="A1783" s="57"/>
      <c r="B1783" s="57" t="str">
        <f>IFERROR(__xludf.DUMMYFUNCTION("""COMPUTED_VALUE"""),"    ")</f>
        <v>    </v>
      </c>
      <c r="C1783" s="57" t="str">
        <f>IFERROR(__xludf.DUMMYFUNCTION("""COMPUTED_VALUE"""),"")</f>
        <v/>
      </c>
      <c r="D1783" s="58"/>
      <c r="E1783" s="56"/>
      <c r="F1783" s="54"/>
      <c r="G1783" s="54"/>
      <c r="H1783" s="54"/>
      <c r="I1783" s="54"/>
      <c r="J1783" s="54"/>
      <c r="K1783" s="54"/>
    </row>
    <row r="1784">
      <c r="A1784" s="57"/>
      <c r="B1784" s="57" t="str">
        <f>IFERROR(__xludf.DUMMYFUNCTION("""COMPUTED_VALUE"""),"    ")</f>
        <v>    </v>
      </c>
      <c r="C1784" s="57" t="str">
        <f>IFERROR(__xludf.DUMMYFUNCTION("""COMPUTED_VALUE"""),"")</f>
        <v/>
      </c>
      <c r="D1784" s="58"/>
      <c r="E1784" s="56"/>
      <c r="F1784" s="54"/>
      <c r="G1784" s="54"/>
      <c r="H1784" s="54"/>
      <c r="I1784" s="54"/>
      <c r="J1784" s="54"/>
      <c r="K1784" s="54"/>
    </row>
    <row r="1785">
      <c r="A1785" s="57"/>
      <c r="B1785" s="57" t="str">
        <f>IFERROR(__xludf.DUMMYFUNCTION("""COMPUTED_VALUE"""),"    ")</f>
        <v>    </v>
      </c>
      <c r="C1785" s="57" t="str">
        <f>IFERROR(__xludf.DUMMYFUNCTION("""COMPUTED_VALUE"""),"")</f>
        <v/>
      </c>
      <c r="D1785" s="58"/>
      <c r="E1785" s="56"/>
      <c r="F1785" s="54"/>
      <c r="G1785" s="54"/>
      <c r="H1785" s="54"/>
      <c r="I1785" s="54"/>
      <c r="J1785" s="54"/>
      <c r="K1785" s="54"/>
    </row>
    <row r="1786">
      <c r="A1786" s="57"/>
      <c r="B1786" s="57" t="str">
        <f>IFERROR(__xludf.DUMMYFUNCTION("""COMPUTED_VALUE"""),"    ")</f>
        <v>    </v>
      </c>
      <c r="C1786" s="57" t="str">
        <f>IFERROR(__xludf.DUMMYFUNCTION("""COMPUTED_VALUE"""),"")</f>
        <v/>
      </c>
      <c r="D1786" s="58"/>
      <c r="E1786" s="56"/>
      <c r="F1786" s="54"/>
      <c r="G1786" s="54"/>
      <c r="H1786" s="54"/>
      <c r="I1786" s="54"/>
      <c r="J1786" s="54"/>
      <c r="K1786" s="54"/>
    </row>
    <row r="1787">
      <c r="A1787" s="57"/>
      <c r="B1787" s="57" t="str">
        <f>IFERROR(__xludf.DUMMYFUNCTION("""COMPUTED_VALUE"""),"    ")</f>
        <v>    </v>
      </c>
      <c r="C1787" s="57" t="str">
        <f>IFERROR(__xludf.DUMMYFUNCTION("""COMPUTED_VALUE"""),"")</f>
        <v/>
      </c>
      <c r="D1787" s="58"/>
      <c r="E1787" s="56"/>
      <c r="F1787" s="54"/>
      <c r="G1787" s="54"/>
      <c r="H1787" s="54"/>
      <c r="I1787" s="54"/>
      <c r="J1787" s="54"/>
      <c r="K1787" s="54"/>
    </row>
    <row r="1788">
      <c r="A1788" s="57"/>
      <c r="B1788" s="57" t="str">
        <f>IFERROR(__xludf.DUMMYFUNCTION("""COMPUTED_VALUE"""),"    ")</f>
        <v>    </v>
      </c>
      <c r="C1788" s="57" t="str">
        <f>IFERROR(__xludf.DUMMYFUNCTION("""COMPUTED_VALUE"""),"")</f>
        <v/>
      </c>
      <c r="D1788" s="58"/>
      <c r="E1788" s="56"/>
      <c r="F1788" s="54"/>
      <c r="G1788" s="54"/>
      <c r="H1788" s="54"/>
      <c r="I1788" s="54"/>
      <c r="J1788" s="54"/>
      <c r="K1788" s="54"/>
    </row>
    <row r="1789">
      <c r="A1789" s="57"/>
      <c r="B1789" s="57" t="str">
        <f>IFERROR(__xludf.DUMMYFUNCTION("""COMPUTED_VALUE"""),"    ")</f>
        <v>    </v>
      </c>
      <c r="C1789" s="57" t="str">
        <f>IFERROR(__xludf.DUMMYFUNCTION("""COMPUTED_VALUE"""),"")</f>
        <v/>
      </c>
      <c r="D1789" s="58"/>
      <c r="E1789" s="56"/>
      <c r="F1789" s="54"/>
      <c r="G1789" s="54"/>
      <c r="H1789" s="54"/>
      <c r="I1789" s="54"/>
      <c r="J1789" s="54"/>
      <c r="K1789" s="54"/>
    </row>
    <row r="1790">
      <c r="A1790" s="57"/>
      <c r="B1790" s="57" t="str">
        <f>IFERROR(__xludf.DUMMYFUNCTION("""COMPUTED_VALUE"""),"    ")</f>
        <v>    </v>
      </c>
      <c r="C1790" s="57" t="str">
        <f>IFERROR(__xludf.DUMMYFUNCTION("""COMPUTED_VALUE"""),"")</f>
        <v/>
      </c>
      <c r="D1790" s="58"/>
      <c r="E1790" s="56"/>
      <c r="F1790" s="54"/>
      <c r="G1790" s="54"/>
      <c r="H1790" s="54"/>
      <c r="I1790" s="54"/>
      <c r="J1790" s="54"/>
      <c r="K1790" s="54"/>
    </row>
    <row r="1791">
      <c r="A1791" s="57"/>
      <c r="B1791" s="57" t="str">
        <f>IFERROR(__xludf.DUMMYFUNCTION("""COMPUTED_VALUE"""),"    ")</f>
        <v>    </v>
      </c>
      <c r="C1791" s="57" t="str">
        <f>IFERROR(__xludf.DUMMYFUNCTION("""COMPUTED_VALUE"""),"")</f>
        <v/>
      </c>
      <c r="D1791" s="58"/>
      <c r="E1791" s="56"/>
      <c r="F1791" s="54"/>
      <c r="G1791" s="54"/>
      <c r="H1791" s="54"/>
      <c r="I1791" s="54"/>
      <c r="J1791" s="54"/>
      <c r="K1791" s="54"/>
    </row>
    <row r="1792">
      <c r="A1792" s="57"/>
      <c r="B1792" s="57" t="str">
        <f>IFERROR(__xludf.DUMMYFUNCTION("""COMPUTED_VALUE"""),"    ")</f>
        <v>    </v>
      </c>
      <c r="C1792" s="57" t="str">
        <f>IFERROR(__xludf.DUMMYFUNCTION("""COMPUTED_VALUE"""),"")</f>
        <v/>
      </c>
      <c r="D1792" s="58"/>
      <c r="E1792" s="56"/>
      <c r="F1792" s="54"/>
      <c r="G1792" s="54"/>
      <c r="H1792" s="54"/>
      <c r="I1792" s="54"/>
      <c r="J1792" s="54"/>
      <c r="K1792" s="54"/>
    </row>
    <row r="1793">
      <c r="A1793" s="57"/>
      <c r="B1793" s="57" t="str">
        <f>IFERROR(__xludf.DUMMYFUNCTION("""COMPUTED_VALUE"""),"    ")</f>
        <v>    </v>
      </c>
      <c r="C1793" s="57" t="str">
        <f>IFERROR(__xludf.DUMMYFUNCTION("""COMPUTED_VALUE"""),"")</f>
        <v/>
      </c>
      <c r="D1793" s="58"/>
      <c r="E1793" s="56"/>
      <c r="F1793" s="54"/>
      <c r="G1793" s="54"/>
      <c r="H1793" s="54"/>
      <c r="I1793" s="54"/>
      <c r="J1793" s="54"/>
      <c r="K1793" s="54"/>
    </row>
    <row r="1794">
      <c r="A1794" s="57"/>
      <c r="B1794" s="57" t="str">
        <f>IFERROR(__xludf.DUMMYFUNCTION("""COMPUTED_VALUE"""),"    ")</f>
        <v>    </v>
      </c>
      <c r="C1794" s="57" t="str">
        <f>IFERROR(__xludf.DUMMYFUNCTION("""COMPUTED_VALUE"""),"")</f>
        <v/>
      </c>
      <c r="D1794" s="58"/>
      <c r="E1794" s="56"/>
      <c r="F1794" s="54"/>
      <c r="G1794" s="54"/>
      <c r="H1794" s="54"/>
      <c r="I1794" s="54"/>
      <c r="J1794" s="54"/>
      <c r="K1794" s="54"/>
    </row>
    <row r="1795">
      <c r="A1795" s="57"/>
      <c r="B1795" s="57" t="str">
        <f>IFERROR(__xludf.DUMMYFUNCTION("""COMPUTED_VALUE"""),"    ")</f>
        <v>    </v>
      </c>
      <c r="C1795" s="57" t="str">
        <f>IFERROR(__xludf.DUMMYFUNCTION("""COMPUTED_VALUE"""),"")</f>
        <v/>
      </c>
      <c r="D1795" s="58"/>
      <c r="E1795" s="56"/>
      <c r="F1795" s="54"/>
      <c r="G1795" s="54"/>
      <c r="H1795" s="54"/>
      <c r="I1795" s="54"/>
      <c r="J1795" s="54"/>
      <c r="K1795" s="54"/>
    </row>
    <row r="1796">
      <c r="A1796" s="57"/>
      <c r="B1796" s="57" t="str">
        <f>IFERROR(__xludf.DUMMYFUNCTION("""COMPUTED_VALUE"""),"    ")</f>
        <v>    </v>
      </c>
      <c r="C1796" s="57" t="str">
        <f>IFERROR(__xludf.DUMMYFUNCTION("""COMPUTED_VALUE"""),"")</f>
        <v/>
      </c>
      <c r="D1796" s="58"/>
      <c r="E1796" s="56"/>
      <c r="F1796" s="54"/>
      <c r="G1796" s="54"/>
      <c r="H1796" s="54"/>
      <c r="I1796" s="54"/>
      <c r="J1796" s="54"/>
      <c r="K1796" s="54"/>
    </row>
    <row r="1797">
      <c r="A1797" s="57"/>
      <c r="B1797" s="57" t="str">
        <f>IFERROR(__xludf.DUMMYFUNCTION("""COMPUTED_VALUE"""),"    ")</f>
        <v>    </v>
      </c>
      <c r="C1797" s="57" t="str">
        <f>IFERROR(__xludf.DUMMYFUNCTION("""COMPUTED_VALUE"""),"")</f>
        <v/>
      </c>
      <c r="D1797" s="58"/>
      <c r="E1797" s="56"/>
      <c r="F1797" s="54"/>
      <c r="G1797" s="54"/>
      <c r="H1797" s="54"/>
      <c r="I1797" s="54"/>
      <c r="J1797" s="54"/>
      <c r="K1797" s="54"/>
    </row>
    <row r="1798">
      <c r="A1798" s="57"/>
      <c r="B1798" s="57" t="str">
        <f>IFERROR(__xludf.DUMMYFUNCTION("""COMPUTED_VALUE"""),"    ")</f>
        <v>    </v>
      </c>
      <c r="C1798" s="57" t="str">
        <f>IFERROR(__xludf.DUMMYFUNCTION("""COMPUTED_VALUE"""),"")</f>
        <v/>
      </c>
      <c r="D1798" s="58"/>
      <c r="E1798" s="56"/>
      <c r="F1798" s="54"/>
      <c r="G1798" s="54"/>
      <c r="H1798" s="54"/>
      <c r="I1798" s="54"/>
      <c r="J1798" s="54"/>
      <c r="K1798" s="54"/>
    </row>
    <row r="1799">
      <c r="A1799" s="57"/>
      <c r="B1799" s="57" t="str">
        <f>IFERROR(__xludf.DUMMYFUNCTION("""COMPUTED_VALUE"""),"    ")</f>
        <v>    </v>
      </c>
      <c r="C1799" s="57" t="str">
        <f>IFERROR(__xludf.DUMMYFUNCTION("""COMPUTED_VALUE"""),"")</f>
        <v/>
      </c>
      <c r="D1799" s="58"/>
      <c r="E1799" s="56"/>
      <c r="F1799" s="54"/>
      <c r="G1799" s="54"/>
      <c r="H1799" s="54"/>
      <c r="I1799" s="54"/>
      <c r="J1799" s="54"/>
      <c r="K1799" s="54"/>
    </row>
    <row r="1800">
      <c r="A1800" s="57"/>
      <c r="B1800" s="57" t="str">
        <f>IFERROR(__xludf.DUMMYFUNCTION("""COMPUTED_VALUE"""),"    ")</f>
        <v>    </v>
      </c>
      <c r="C1800" s="57" t="str">
        <f>IFERROR(__xludf.DUMMYFUNCTION("""COMPUTED_VALUE"""),"")</f>
        <v/>
      </c>
      <c r="D1800" s="58"/>
      <c r="E1800" s="56"/>
      <c r="F1800" s="54"/>
      <c r="G1800" s="54"/>
      <c r="H1800" s="54"/>
      <c r="I1800" s="54"/>
      <c r="J1800" s="54"/>
      <c r="K1800" s="54"/>
    </row>
    <row r="1801">
      <c r="A1801" s="57"/>
      <c r="B1801" s="57" t="str">
        <f>IFERROR(__xludf.DUMMYFUNCTION("""COMPUTED_VALUE"""),"    ")</f>
        <v>    </v>
      </c>
      <c r="C1801" s="57" t="str">
        <f>IFERROR(__xludf.DUMMYFUNCTION("""COMPUTED_VALUE"""),"")</f>
        <v/>
      </c>
      <c r="D1801" s="58"/>
      <c r="E1801" s="56"/>
      <c r="F1801" s="54"/>
      <c r="G1801" s="54"/>
      <c r="H1801" s="54"/>
      <c r="I1801" s="54"/>
      <c r="J1801" s="54"/>
      <c r="K1801" s="54"/>
    </row>
    <row r="1802">
      <c r="A1802" s="57"/>
      <c r="B1802" s="57" t="str">
        <f>IFERROR(__xludf.DUMMYFUNCTION("""COMPUTED_VALUE"""),"    ")</f>
        <v>    </v>
      </c>
      <c r="C1802" s="57" t="str">
        <f>IFERROR(__xludf.DUMMYFUNCTION("""COMPUTED_VALUE"""),"")</f>
        <v/>
      </c>
      <c r="D1802" s="58"/>
      <c r="E1802" s="56"/>
      <c r="F1802" s="54"/>
      <c r="G1802" s="54"/>
      <c r="H1802" s="54"/>
      <c r="I1802" s="54"/>
      <c r="J1802" s="54"/>
      <c r="K1802" s="54"/>
    </row>
    <row r="1803">
      <c r="A1803" s="57"/>
      <c r="B1803" s="57" t="str">
        <f>IFERROR(__xludf.DUMMYFUNCTION("""COMPUTED_VALUE"""),"    ")</f>
        <v>    </v>
      </c>
      <c r="C1803" s="57" t="str">
        <f>IFERROR(__xludf.DUMMYFUNCTION("""COMPUTED_VALUE"""),"")</f>
        <v/>
      </c>
      <c r="D1803" s="58"/>
      <c r="E1803" s="56"/>
      <c r="F1803" s="54"/>
      <c r="G1803" s="54"/>
      <c r="H1803" s="54"/>
      <c r="I1803" s="54"/>
      <c r="J1803" s="54"/>
      <c r="K1803" s="54"/>
    </row>
    <row r="1804">
      <c r="A1804" s="57"/>
      <c r="B1804" s="57" t="str">
        <f>IFERROR(__xludf.DUMMYFUNCTION("""COMPUTED_VALUE"""),"    ")</f>
        <v>    </v>
      </c>
      <c r="C1804" s="57" t="str">
        <f>IFERROR(__xludf.DUMMYFUNCTION("""COMPUTED_VALUE"""),"")</f>
        <v/>
      </c>
      <c r="D1804" s="58"/>
      <c r="E1804" s="56"/>
      <c r="F1804" s="54"/>
      <c r="G1804" s="54"/>
      <c r="H1804" s="54"/>
      <c r="I1804" s="54"/>
      <c r="J1804" s="54"/>
      <c r="K1804" s="54"/>
    </row>
    <row r="1805">
      <c r="A1805" s="57"/>
      <c r="B1805" s="57" t="str">
        <f>IFERROR(__xludf.DUMMYFUNCTION("""COMPUTED_VALUE"""),"    ")</f>
        <v>    </v>
      </c>
      <c r="C1805" s="57" t="str">
        <f>IFERROR(__xludf.DUMMYFUNCTION("""COMPUTED_VALUE"""),"")</f>
        <v/>
      </c>
      <c r="D1805" s="58"/>
      <c r="E1805" s="56"/>
      <c r="F1805" s="54"/>
      <c r="G1805" s="54"/>
      <c r="H1805" s="54"/>
      <c r="I1805" s="54"/>
      <c r="J1805" s="54"/>
      <c r="K1805" s="54"/>
    </row>
    <row r="1806">
      <c r="A1806" s="57"/>
      <c r="B1806" s="57" t="str">
        <f>IFERROR(__xludf.DUMMYFUNCTION("""COMPUTED_VALUE"""),"    ")</f>
        <v>    </v>
      </c>
      <c r="C1806" s="57" t="str">
        <f>IFERROR(__xludf.DUMMYFUNCTION("""COMPUTED_VALUE"""),"")</f>
        <v/>
      </c>
      <c r="D1806" s="58"/>
      <c r="E1806" s="56"/>
      <c r="F1806" s="54"/>
      <c r="G1806" s="54"/>
      <c r="H1806" s="54"/>
      <c r="I1806" s="54"/>
      <c r="J1806" s="54"/>
      <c r="K1806" s="54"/>
    </row>
    <row r="1807">
      <c r="A1807" s="57"/>
      <c r="B1807" s="57" t="str">
        <f>IFERROR(__xludf.DUMMYFUNCTION("""COMPUTED_VALUE"""),"    ")</f>
        <v>    </v>
      </c>
      <c r="C1807" s="57" t="str">
        <f>IFERROR(__xludf.DUMMYFUNCTION("""COMPUTED_VALUE"""),"")</f>
        <v/>
      </c>
      <c r="D1807" s="58"/>
      <c r="E1807" s="56"/>
      <c r="F1807" s="54"/>
      <c r="G1807" s="54"/>
      <c r="H1807" s="54"/>
      <c r="I1807" s="54"/>
      <c r="J1807" s="54"/>
      <c r="K1807" s="54"/>
    </row>
    <row r="1808">
      <c r="A1808" s="57"/>
      <c r="B1808" s="57" t="str">
        <f>IFERROR(__xludf.DUMMYFUNCTION("""COMPUTED_VALUE"""),"    ")</f>
        <v>    </v>
      </c>
      <c r="C1808" s="57" t="str">
        <f>IFERROR(__xludf.DUMMYFUNCTION("""COMPUTED_VALUE"""),"")</f>
        <v/>
      </c>
      <c r="D1808" s="58"/>
      <c r="E1808" s="56"/>
      <c r="F1808" s="54"/>
      <c r="G1808" s="54"/>
      <c r="H1808" s="54"/>
      <c r="I1808" s="54"/>
      <c r="J1808" s="54"/>
      <c r="K1808" s="54"/>
    </row>
    <row r="1809">
      <c r="A1809" s="57"/>
      <c r="B1809" s="57" t="str">
        <f>IFERROR(__xludf.DUMMYFUNCTION("""COMPUTED_VALUE"""),"    ")</f>
        <v>    </v>
      </c>
      <c r="C1809" s="57" t="str">
        <f>IFERROR(__xludf.DUMMYFUNCTION("""COMPUTED_VALUE"""),"")</f>
        <v/>
      </c>
      <c r="D1809" s="58"/>
      <c r="E1809" s="56"/>
      <c r="F1809" s="54"/>
      <c r="G1809" s="54"/>
      <c r="H1809" s="54"/>
      <c r="I1809" s="54"/>
      <c r="J1809" s="54"/>
      <c r="K1809" s="54"/>
    </row>
    <row r="1810">
      <c r="A1810" s="57"/>
      <c r="B1810" s="57" t="str">
        <f>IFERROR(__xludf.DUMMYFUNCTION("""COMPUTED_VALUE"""),"    ")</f>
        <v>    </v>
      </c>
      <c r="C1810" s="57" t="str">
        <f>IFERROR(__xludf.DUMMYFUNCTION("""COMPUTED_VALUE"""),"")</f>
        <v/>
      </c>
      <c r="D1810" s="58"/>
      <c r="E1810" s="56"/>
      <c r="F1810" s="54"/>
      <c r="G1810" s="54"/>
      <c r="H1810" s="54"/>
      <c r="I1810" s="54"/>
      <c r="J1810" s="54"/>
      <c r="K1810" s="54"/>
    </row>
    <row r="1811">
      <c r="A1811" s="57"/>
      <c r="B1811" s="57" t="str">
        <f>IFERROR(__xludf.DUMMYFUNCTION("""COMPUTED_VALUE"""),"    ")</f>
        <v>    </v>
      </c>
      <c r="C1811" s="57" t="str">
        <f>IFERROR(__xludf.DUMMYFUNCTION("""COMPUTED_VALUE"""),"")</f>
        <v/>
      </c>
      <c r="D1811" s="58"/>
      <c r="E1811" s="56"/>
      <c r="F1811" s="54"/>
      <c r="G1811" s="54"/>
      <c r="H1811" s="54"/>
      <c r="I1811" s="54"/>
      <c r="J1811" s="54"/>
      <c r="K1811" s="54"/>
    </row>
    <row r="1812">
      <c r="A1812" s="57"/>
      <c r="B1812" s="57" t="str">
        <f>IFERROR(__xludf.DUMMYFUNCTION("""COMPUTED_VALUE"""),"    ")</f>
        <v>    </v>
      </c>
      <c r="C1812" s="57" t="str">
        <f>IFERROR(__xludf.DUMMYFUNCTION("""COMPUTED_VALUE"""),"")</f>
        <v/>
      </c>
      <c r="D1812" s="58"/>
      <c r="E1812" s="56"/>
      <c r="F1812" s="54"/>
      <c r="G1812" s="54"/>
      <c r="H1812" s="54"/>
      <c r="I1812" s="54"/>
      <c r="J1812" s="54"/>
      <c r="K1812" s="54"/>
    </row>
    <row r="1813">
      <c r="A1813" s="57"/>
      <c r="B1813" s="57" t="str">
        <f>IFERROR(__xludf.DUMMYFUNCTION("""COMPUTED_VALUE"""),"    ")</f>
        <v>    </v>
      </c>
      <c r="C1813" s="57" t="str">
        <f>IFERROR(__xludf.DUMMYFUNCTION("""COMPUTED_VALUE"""),"")</f>
        <v/>
      </c>
      <c r="D1813" s="58"/>
      <c r="E1813" s="56"/>
      <c r="F1813" s="54"/>
      <c r="G1813" s="54"/>
      <c r="H1813" s="54"/>
      <c r="I1813" s="54"/>
      <c r="J1813" s="54"/>
      <c r="K1813" s="54"/>
    </row>
    <row r="1814">
      <c r="A1814" s="57"/>
      <c r="B1814" s="57" t="str">
        <f>IFERROR(__xludf.DUMMYFUNCTION("""COMPUTED_VALUE"""),"    ")</f>
        <v>    </v>
      </c>
      <c r="C1814" s="57" t="str">
        <f>IFERROR(__xludf.DUMMYFUNCTION("""COMPUTED_VALUE"""),"")</f>
        <v/>
      </c>
      <c r="D1814" s="58"/>
      <c r="E1814" s="56"/>
      <c r="F1814" s="54"/>
      <c r="G1814" s="54"/>
      <c r="H1814" s="54"/>
      <c r="I1814" s="54"/>
      <c r="J1814" s="54"/>
      <c r="K1814" s="54"/>
    </row>
    <row r="1815">
      <c r="A1815" s="57"/>
      <c r="B1815" s="57" t="str">
        <f>IFERROR(__xludf.DUMMYFUNCTION("""COMPUTED_VALUE"""),"    ")</f>
        <v>    </v>
      </c>
      <c r="C1815" s="57" t="str">
        <f>IFERROR(__xludf.DUMMYFUNCTION("""COMPUTED_VALUE"""),"")</f>
        <v/>
      </c>
      <c r="D1815" s="58"/>
      <c r="E1815" s="56"/>
      <c r="F1815" s="54"/>
      <c r="G1815" s="54"/>
      <c r="H1815" s="54"/>
      <c r="I1815" s="54"/>
      <c r="J1815" s="54"/>
      <c r="K1815" s="54"/>
    </row>
    <row r="1816">
      <c r="A1816" s="57"/>
      <c r="B1816" s="57" t="str">
        <f>IFERROR(__xludf.DUMMYFUNCTION("""COMPUTED_VALUE"""),"    ")</f>
        <v>    </v>
      </c>
      <c r="C1816" s="57" t="str">
        <f>IFERROR(__xludf.DUMMYFUNCTION("""COMPUTED_VALUE"""),"")</f>
        <v/>
      </c>
      <c r="D1816" s="58"/>
      <c r="E1816" s="56"/>
      <c r="F1816" s="54"/>
      <c r="G1816" s="54"/>
      <c r="H1816" s="54"/>
      <c r="I1816" s="54"/>
      <c r="J1816" s="54"/>
      <c r="K1816" s="54"/>
    </row>
    <row r="1817">
      <c r="A1817" s="57"/>
      <c r="B1817" s="57" t="str">
        <f>IFERROR(__xludf.DUMMYFUNCTION("""COMPUTED_VALUE"""),"    ")</f>
        <v>    </v>
      </c>
      <c r="C1817" s="57" t="str">
        <f>IFERROR(__xludf.DUMMYFUNCTION("""COMPUTED_VALUE"""),"")</f>
        <v/>
      </c>
      <c r="D1817" s="58"/>
      <c r="E1817" s="56"/>
      <c r="F1817" s="54"/>
      <c r="G1817" s="54"/>
      <c r="H1817" s="54"/>
      <c r="I1817" s="54"/>
      <c r="J1817" s="54"/>
      <c r="K1817" s="54"/>
    </row>
    <row r="1818">
      <c r="A1818" s="57"/>
      <c r="B1818" s="57" t="str">
        <f>IFERROR(__xludf.DUMMYFUNCTION("""COMPUTED_VALUE"""),"    ")</f>
        <v>    </v>
      </c>
      <c r="C1818" s="57" t="str">
        <f>IFERROR(__xludf.DUMMYFUNCTION("""COMPUTED_VALUE"""),"")</f>
        <v/>
      </c>
      <c r="D1818" s="58"/>
      <c r="E1818" s="56"/>
      <c r="F1818" s="54"/>
      <c r="G1818" s="54"/>
      <c r="H1818" s="54"/>
      <c r="I1818" s="54"/>
      <c r="J1818" s="54"/>
      <c r="K1818" s="54"/>
    </row>
    <row r="1819">
      <c r="A1819" s="57"/>
      <c r="B1819" s="57" t="str">
        <f>IFERROR(__xludf.DUMMYFUNCTION("""COMPUTED_VALUE"""),"    ")</f>
        <v>    </v>
      </c>
      <c r="C1819" s="57" t="str">
        <f>IFERROR(__xludf.DUMMYFUNCTION("""COMPUTED_VALUE"""),"")</f>
        <v/>
      </c>
      <c r="D1819" s="58"/>
      <c r="E1819" s="56"/>
      <c r="F1819" s="54"/>
      <c r="G1819" s="54"/>
      <c r="H1819" s="54"/>
      <c r="I1819" s="54"/>
      <c r="J1819" s="54"/>
      <c r="K1819" s="54"/>
    </row>
    <row r="1820">
      <c r="A1820" s="57"/>
      <c r="B1820" s="57" t="str">
        <f>IFERROR(__xludf.DUMMYFUNCTION("""COMPUTED_VALUE"""),"    ")</f>
        <v>    </v>
      </c>
      <c r="C1820" s="57" t="str">
        <f>IFERROR(__xludf.DUMMYFUNCTION("""COMPUTED_VALUE"""),"")</f>
        <v/>
      </c>
      <c r="D1820" s="58"/>
      <c r="E1820" s="56"/>
      <c r="F1820" s="54"/>
      <c r="G1820" s="54"/>
      <c r="H1820" s="54"/>
      <c r="I1820" s="54"/>
      <c r="J1820" s="54"/>
      <c r="K1820" s="54"/>
    </row>
    <row r="1821">
      <c r="A1821" s="57"/>
      <c r="B1821" s="57" t="str">
        <f>IFERROR(__xludf.DUMMYFUNCTION("""COMPUTED_VALUE"""),"    ")</f>
        <v>    </v>
      </c>
      <c r="C1821" s="57" t="str">
        <f>IFERROR(__xludf.DUMMYFUNCTION("""COMPUTED_VALUE"""),"")</f>
        <v/>
      </c>
      <c r="D1821" s="58"/>
      <c r="E1821" s="56"/>
      <c r="F1821" s="54"/>
      <c r="G1821" s="54"/>
      <c r="H1821" s="54"/>
      <c r="I1821" s="54"/>
      <c r="J1821" s="54"/>
      <c r="K1821" s="54"/>
    </row>
    <row r="1822">
      <c r="A1822" s="57"/>
      <c r="B1822" s="57" t="str">
        <f>IFERROR(__xludf.DUMMYFUNCTION("""COMPUTED_VALUE"""),"    ")</f>
        <v>    </v>
      </c>
      <c r="C1822" s="57" t="str">
        <f>IFERROR(__xludf.DUMMYFUNCTION("""COMPUTED_VALUE"""),"")</f>
        <v/>
      </c>
      <c r="D1822" s="58"/>
      <c r="E1822" s="56"/>
      <c r="F1822" s="54"/>
      <c r="G1822" s="54"/>
      <c r="H1822" s="54"/>
      <c r="I1822" s="54"/>
      <c r="J1822" s="54"/>
      <c r="K1822" s="54"/>
    </row>
    <row r="1823">
      <c r="A1823" s="57"/>
      <c r="B1823" s="57" t="str">
        <f>IFERROR(__xludf.DUMMYFUNCTION("""COMPUTED_VALUE"""),"    ")</f>
        <v>    </v>
      </c>
      <c r="C1823" s="57" t="str">
        <f>IFERROR(__xludf.DUMMYFUNCTION("""COMPUTED_VALUE"""),"")</f>
        <v/>
      </c>
      <c r="D1823" s="58"/>
      <c r="E1823" s="56"/>
      <c r="F1823" s="54"/>
      <c r="G1823" s="54"/>
      <c r="H1823" s="54"/>
      <c r="I1823" s="54"/>
      <c r="J1823" s="54"/>
      <c r="K1823" s="54"/>
    </row>
    <row r="1824">
      <c r="A1824" s="57"/>
      <c r="B1824" s="57" t="str">
        <f>IFERROR(__xludf.DUMMYFUNCTION("""COMPUTED_VALUE"""),"    ")</f>
        <v>    </v>
      </c>
      <c r="C1824" s="57" t="str">
        <f>IFERROR(__xludf.DUMMYFUNCTION("""COMPUTED_VALUE"""),"")</f>
        <v/>
      </c>
      <c r="D1824" s="58"/>
      <c r="E1824" s="56"/>
      <c r="F1824" s="54"/>
      <c r="G1824" s="54"/>
      <c r="H1824" s="54"/>
      <c r="I1824" s="54"/>
      <c r="J1824" s="54"/>
      <c r="K1824" s="54"/>
    </row>
    <row r="1825">
      <c r="A1825" s="57"/>
      <c r="B1825" s="57" t="str">
        <f>IFERROR(__xludf.DUMMYFUNCTION("""COMPUTED_VALUE"""),"    ")</f>
        <v>    </v>
      </c>
      <c r="C1825" s="57" t="str">
        <f>IFERROR(__xludf.DUMMYFUNCTION("""COMPUTED_VALUE"""),"")</f>
        <v/>
      </c>
      <c r="D1825" s="58"/>
      <c r="E1825" s="56"/>
      <c r="F1825" s="54"/>
      <c r="G1825" s="54"/>
      <c r="H1825" s="54"/>
      <c r="I1825" s="54"/>
      <c r="J1825" s="54"/>
      <c r="K1825" s="54"/>
    </row>
    <row r="1826">
      <c r="A1826" s="57"/>
      <c r="B1826" s="57" t="str">
        <f>IFERROR(__xludf.DUMMYFUNCTION("""COMPUTED_VALUE"""),"    ")</f>
        <v>    </v>
      </c>
      <c r="C1826" s="57" t="str">
        <f>IFERROR(__xludf.DUMMYFUNCTION("""COMPUTED_VALUE"""),"")</f>
        <v/>
      </c>
      <c r="D1826" s="58"/>
      <c r="E1826" s="56"/>
      <c r="F1826" s="54"/>
      <c r="G1826" s="54"/>
      <c r="H1826" s="54"/>
      <c r="I1826" s="54"/>
      <c r="J1826" s="54"/>
      <c r="K1826" s="54"/>
    </row>
    <row r="1827">
      <c r="A1827" s="57"/>
      <c r="B1827" s="57" t="str">
        <f>IFERROR(__xludf.DUMMYFUNCTION("""COMPUTED_VALUE"""),"    ")</f>
        <v>    </v>
      </c>
      <c r="C1827" s="57" t="str">
        <f>IFERROR(__xludf.DUMMYFUNCTION("""COMPUTED_VALUE"""),"")</f>
        <v/>
      </c>
      <c r="D1827" s="58"/>
      <c r="E1827" s="56"/>
      <c r="F1827" s="54"/>
      <c r="G1827" s="54"/>
      <c r="H1827" s="54"/>
      <c r="I1827" s="54"/>
      <c r="J1827" s="54"/>
      <c r="K1827" s="54"/>
    </row>
    <row r="1828">
      <c r="A1828" s="57"/>
      <c r="B1828" s="57" t="str">
        <f>IFERROR(__xludf.DUMMYFUNCTION("""COMPUTED_VALUE"""),"    ")</f>
        <v>    </v>
      </c>
      <c r="C1828" s="57" t="str">
        <f>IFERROR(__xludf.DUMMYFUNCTION("""COMPUTED_VALUE"""),"")</f>
        <v/>
      </c>
      <c r="D1828" s="58"/>
      <c r="E1828" s="56"/>
      <c r="F1828" s="54"/>
      <c r="G1828" s="54"/>
      <c r="H1828" s="54"/>
      <c r="I1828" s="54"/>
      <c r="J1828" s="54"/>
      <c r="K1828" s="54"/>
    </row>
    <row r="1829">
      <c r="A1829" s="57"/>
      <c r="B1829" s="57" t="str">
        <f>IFERROR(__xludf.DUMMYFUNCTION("""COMPUTED_VALUE"""),"    ")</f>
        <v>    </v>
      </c>
      <c r="C1829" s="57" t="str">
        <f>IFERROR(__xludf.DUMMYFUNCTION("""COMPUTED_VALUE"""),"")</f>
        <v/>
      </c>
      <c r="D1829" s="58"/>
      <c r="E1829" s="56"/>
      <c r="F1829" s="54"/>
      <c r="G1829" s="54"/>
      <c r="H1829" s="54"/>
      <c r="I1829" s="54"/>
      <c r="J1829" s="54"/>
      <c r="K1829" s="54"/>
    </row>
    <row r="1830">
      <c r="A1830" s="57"/>
      <c r="B1830" s="57" t="str">
        <f>IFERROR(__xludf.DUMMYFUNCTION("""COMPUTED_VALUE"""),"    ")</f>
        <v>    </v>
      </c>
      <c r="C1830" s="57" t="str">
        <f>IFERROR(__xludf.DUMMYFUNCTION("""COMPUTED_VALUE"""),"")</f>
        <v/>
      </c>
      <c r="D1830" s="58"/>
      <c r="E1830" s="56"/>
      <c r="F1830" s="54"/>
      <c r="G1830" s="54"/>
      <c r="H1830" s="54"/>
      <c r="I1830" s="54"/>
      <c r="J1830" s="54"/>
      <c r="K1830" s="54"/>
    </row>
    <row r="1831">
      <c r="A1831" s="57"/>
      <c r="B1831" s="57" t="str">
        <f>IFERROR(__xludf.DUMMYFUNCTION("""COMPUTED_VALUE"""),"    ")</f>
        <v>    </v>
      </c>
      <c r="C1831" s="57" t="str">
        <f>IFERROR(__xludf.DUMMYFUNCTION("""COMPUTED_VALUE"""),"")</f>
        <v/>
      </c>
      <c r="D1831" s="58"/>
      <c r="E1831" s="56"/>
      <c r="F1831" s="54"/>
      <c r="G1831" s="54"/>
      <c r="H1831" s="54"/>
      <c r="I1831" s="54"/>
      <c r="J1831" s="54"/>
      <c r="K1831" s="54"/>
    </row>
    <row r="1832">
      <c r="A1832" s="57"/>
      <c r="B1832" s="57" t="str">
        <f>IFERROR(__xludf.DUMMYFUNCTION("""COMPUTED_VALUE"""),"    ")</f>
        <v>    </v>
      </c>
      <c r="C1832" s="57" t="str">
        <f>IFERROR(__xludf.DUMMYFUNCTION("""COMPUTED_VALUE"""),"")</f>
        <v/>
      </c>
      <c r="D1832" s="58"/>
      <c r="E1832" s="56"/>
      <c r="F1832" s="54"/>
      <c r="G1832" s="54"/>
      <c r="H1832" s="54"/>
      <c r="I1832" s="54"/>
      <c r="J1832" s="54"/>
      <c r="K1832" s="54"/>
    </row>
    <row r="1833">
      <c r="A1833" s="57"/>
      <c r="B1833" s="57" t="str">
        <f>IFERROR(__xludf.DUMMYFUNCTION("""COMPUTED_VALUE"""),"    ")</f>
        <v>    </v>
      </c>
      <c r="C1833" s="57" t="str">
        <f>IFERROR(__xludf.DUMMYFUNCTION("""COMPUTED_VALUE"""),"")</f>
        <v/>
      </c>
      <c r="D1833" s="58"/>
      <c r="E1833" s="56"/>
      <c r="F1833" s="54"/>
      <c r="G1833" s="54"/>
      <c r="H1833" s="54"/>
      <c r="I1833" s="54"/>
      <c r="J1833" s="54"/>
      <c r="K1833" s="54"/>
    </row>
    <row r="1834">
      <c r="A1834" s="57"/>
      <c r="B1834" s="57" t="str">
        <f>IFERROR(__xludf.DUMMYFUNCTION("""COMPUTED_VALUE"""),"    ")</f>
        <v>    </v>
      </c>
      <c r="C1834" s="57" t="str">
        <f>IFERROR(__xludf.DUMMYFUNCTION("""COMPUTED_VALUE"""),"")</f>
        <v/>
      </c>
      <c r="D1834" s="58"/>
      <c r="E1834" s="56"/>
      <c r="F1834" s="54"/>
      <c r="G1834" s="54"/>
      <c r="H1834" s="54"/>
      <c r="I1834" s="54"/>
      <c r="J1834" s="54"/>
      <c r="K1834" s="54"/>
    </row>
    <row r="1835">
      <c r="A1835" s="57"/>
      <c r="B1835" s="57" t="str">
        <f>IFERROR(__xludf.DUMMYFUNCTION("""COMPUTED_VALUE"""),"    ")</f>
        <v>    </v>
      </c>
      <c r="C1835" s="57" t="str">
        <f>IFERROR(__xludf.DUMMYFUNCTION("""COMPUTED_VALUE"""),"")</f>
        <v/>
      </c>
      <c r="D1835" s="58"/>
      <c r="E1835" s="56"/>
      <c r="F1835" s="54"/>
      <c r="G1835" s="54"/>
      <c r="H1835" s="54"/>
      <c r="I1835" s="54"/>
      <c r="J1835" s="54"/>
      <c r="K1835" s="54"/>
    </row>
    <row r="1836">
      <c r="A1836" s="57"/>
      <c r="B1836" s="57" t="str">
        <f>IFERROR(__xludf.DUMMYFUNCTION("""COMPUTED_VALUE"""),"    ")</f>
        <v>    </v>
      </c>
      <c r="C1836" s="57" t="str">
        <f>IFERROR(__xludf.DUMMYFUNCTION("""COMPUTED_VALUE"""),"")</f>
        <v/>
      </c>
      <c r="D1836" s="58"/>
      <c r="E1836" s="56"/>
      <c r="F1836" s="54"/>
      <c r="G1836" s="54"/>
      <c r="H1836" s="54"/>
      <c r="I1836" s="54"/>
      <c r="J1836" s="54"/>
      <c r="K1836" s="54"/>
    </row>
    <row r="1837">
      <c r="A1837" s="57"/>
      <c r="B1837" s="57" t="str">
        <f>IFERROR(__xludf.DUMMYFUNCTION("""COMPUTED_VALUE"""),"    ")</f>
        <v>    </v>
      </c>
      <c r="C1837" s="57" t="str">
        <f>IFERROR(__xludf.DUMMYFUNCTION("""COMPUTED_VALUE"""),"")</f>
        <v/>
      </c>
      <c r="D1837" s="58"/>
      <c r="E1837" s="56"/>
      <c r="F1837" s="54"/>
      <c r="G1837" s="54"/>
      <c r="H1837" s="54"/>
      <c r="I1837" s="54"/>
      <c r="J1837" s="54"/>
      <c r="K1837" s="54"/>
    </row>
    <row r="1838">
      <c r="A1838" s="57"/>
      <c r="B1838" s="57" t="str">
        <f>IFERROR(__xludf.DUMMYFUNCTION("""COMPUTED_VALUE"""),"    ")</f>
        <v>    </v>
      </c>
      <c r="C1838" s="57" t="str">
        <f>IFERROR(__xludf.DUMMYFUNCTION("""COMPUTED_VALUE"""),"")</f>
        <v/>
      </c>
      <c r="D1838" s="58"/>
      <c r="E1838" s="56"/>
      <c r="F1838" s="54"/>
      <c r="G1838" s="54"/>
      <c r="H1838" s="54"/>
      <c r="I1838" s="54"/>
      <c r="J1838" s="54"/>
      <c r="K1838" s="54"/>
    </row>
    <row r="1839">
      <c r="A1839" s="57"/>
      <c r="B1839" s="57" t="str">
        <f>IFERROR(__xludf.DUMMYFUNCTION("""COMPUTED_VALUE"""),"    ")</f>
        <v>    </v>
      </c>
      <c r="C1839" s="57" t="str">
        <f>IFERROR(__xludf.DUMMYFUNCTION("""COMPUTED_VALUE"""),"")</f>
        <v/>
      </c>
      <c r="D1839" s="58"/>
      <c r="E1839" s="56"/>
      <c r="F1839" s="54"/>
      <c r="G1839" s="54"/>
      <c r="H1839" s="54"/>
      <c r="I1839" s="54"/>
      <c r="J1839" s="54"/>
      <c r="K1839" s="54"/>
    </row>
    <row r="1840">
      <c r="A1840" s="57"/>
      <c r="B1840" s="57" t="str">
        <f>IFERROR(__xludf.DUMMYFUNCTION("""COMPUTED_VALUE"""),"    ")</f>
        <v>    </v>
      </c>
      <c r="C1840" s="57" t="str">
        <f>IFERROR(__xludf.DUMMYFUNCTION("""COMPUTED_VALUE"""),"")</f>
        <v/>
      </c>
      <c r="D1840" s="58"/>
      <c r="E1840" s="56"/>
      <c r="F1840" s="54"/>
      <c r="G1840" s="54"/>
      <c r="H1840" s="54"/>
      <c r="I1840" s="54"/>
      <c r="J1840" s="54"/>
      <c r="K1840" s="54"/>
    </row>
    <row r="1841">
      <c r="A1841" s="57"/>
      <c r="B1841" s="57" t="str">
        <f>IFERROR(__xludf.DUMMYFUNCTION("""COMPUTED_VALUE"""),"    ")</f>
        <v>    </v>
      </c>
      <c r="C1841" s="57" t="str">
        <f>IFERROR(__xludf.DUMMYFUNCTION("""COMPUTED_VALUE"""),"")</f>
        <v/>
      </c>
      <c r="D1841" s="58"/>
      <c r="E1841" s="56"/>
      <c r="F1841" s="54"/>
      <c r="G1841" s="54"/>
      <c r="H1841" s="54"/>
      <c r="I1841" s="54"/>
      <c r="J1841" s="54"/>
      <c r="K1841" s="54"/>
    </row>
    <row r="1842">
      <c r="A1842" s="57"/>
      <c r="B1842" s="57" t="str">
        <f>IFERROR(__xludf.DUMMYFUNCTION("""COMPUTED_VALUE"""),"    ")</f>
        <v>    </v>
      </c>
      <c r="C1842" s="57" t="str">
        <f>IFERROR(__xludf.DUMMYFUNCTION("""COMPUTED_VALUE"""),"")</f>
        <v/>
      </c>
      <c r="D1842" s="58"/>
      <c r="E1842" s="56"/>
      <c r="F1842" s="54"/>
      <c r="G1842" s="54"/>
      <c r="H1842" s="54"/>
      <c r="I1842" s="54"/>
      <c r="J1842" s="54"/>
      <c r="K1842" s="54"/>
    </row>
    <row r="1843">
      <c r="A1843" s="57"/>
      <c r="B1843" s="57" t="str">
        <f>IFERROR(__xludf.DUMMYFUNCTION("""COMPUTED_VALUE"""),"    ")</f>
        <v>    </v>
      </c>
      <c r="C1843" s="57" t="str">
        <f>IFERROR(__xludf.DUMMYFUNCTION("""COMPUTED_VALUE"""),"")</f>
        <v/>
      </c>
      <c r="D1843" s="58"/>
      <c r="E1843" s="56"/>
      <c r="F1843" s="54"/>
      <c r="G1843" s="54"/>
      <c r="H1843" s="54"/>
      <c r="I1843" s="54"/>
      <c r="J1843" s="54"/>
      <c r="K1843" s="54"/>
    </row>
    <row r="1844">
      <c r="A1844" s="57"/>
      <c r="B1844" s="57" t="str">
        <f>IFERROR(__xludf.DUMMYFUNCTION("""COMPUTED_VALUE"""),"    ")</f>
        <v>    </v>
      </c>
      <c r="C1844" s="57" t="str">
        <f>IFERROR(__xludf.DUMMYFUNCTION("""COMPUTED_VALUE"""),"")</f>
        <v/>
      </c>
      <c r="D1844" s="58"/>
      <c r="E1844" s="56"/>
      <c r="F1844" s="54"/>
      <c r="G1844" s="54"/>
      <c r="H1844" s="54"/>
      <c r="I1844" s="54"/>
      <c r="J1844" s="54"/>
      <c r="K1844" s="54"/>
    </row>
    <row r="1845">
      <c r="A1845" s="57"/>
      <c r="B1845" s="57" t="str">
        <f>IFERROR(__xludf.DUMMYFUNCTION("""COMPUTED_VALUE"""),"    ")</f>
        <v>    </v>
      </c>
      <c r="C1845" s="57" t="str">
        <f>IFERROR(__xludf.DUMMYFUNCTION("""COMPUTED_VALUE"""),"")</f>
        <v/>
      </c>
      <c r="D1845" s="58"/>
      <c r="E1845" s="56"/>
      <c r="F1845" s="54"/>
      <c r="G1845" s="54"/>
      <c r="H1845" s="54"/>
      <c r="I1845" s="54"/>
      <c r="J1845" s="54"/>
      <c r="K1845" s="54"/>
    </row>
    <row r="1846">
      <c r="A1846" s="57"/>
      <c r="B1846" s="57" t="str">
        <f>IFERROR(__xludf.DUMMYFUNCTION("""COMPUTED_VALUE"""),"    ")</f>
        <v>    </v>
      </c>
      <c r="C1846" s="57" t="str">
        <f>IFERROR(__xludf.DUMMYFUNCTION("""COMPUTED_VALUE"""),"")</f>
        <v/>
      </c>
      <c r="D1846" s="58"/>
      <c r="E1846" s="56"/>
      <c r="F1846" s="54"/>
      <c r="G1846" s="54"/>
      <c r="H1846" s="54"/>
      <c r="I1846" s="54"/>
      <c r="J1846" s="54"/>
      <c r="K1846" s="54"/>
    </row>
    <row r="1847">
      <c r="A1847" s="57"/>
      <c r="B1847" s="57" t="str">
        <f>IFERROR(__xludf.DUMMYFUNCTION("""COMPUTED_VALUE"""),"    ")</f>
        <v>    </v>
      </c>
      <c r="C1847" s="57" t="str">
        <f>IFERROR(__xludf.DUMMYFUNCTION("""COMPUTED_VALUE"""),"")</f>
        <v/>
      </c>
      <c r="D1847" s="58"/>
      <c r="E1847" s="56"/>
      <c r="F1847" s="54"/>
      <c r="G1847" s="54"/>
      <c r="H1847" s="54"/>
      <c r="I1847" s="54"/>
      <c r="J1847" s="54"/>
      <c r="K1847" s="54"/>
    </row>
    <row r="1848">
      <c r="A1848" s="57"/>
      <c r="B1848" s="57" t="str">
        <f>IFERROR(__xludf.DUMMYFUNCTION("""COMPUTED_VALUE"""),"    ")</f>
        <v>    </v>
      </c>
      <c r="C1848" s="57" t="str">
        <f>IFERROR(__xludf.DUMMYFUNCTION("""COMPUTED_VALUE"""),"")</f>
        <v/>
      </c>
      <c r="D1848" s="58"/>
      <c r="E1848" s="56"/>
      <c r="F1848" s="54"/>
      <c r="G1848" s="54"/>
      <c r="H1848" s="54"/>
      <c r="I1848" s="54"/>
      <c r="J1848" s="54"/>
      <c r="K1848" s="54"/>
    </row>
    <row r="1849">
      <c r="A1849" s="57"/>
      <c r="B1849" s="57" t="str">
        <f>IFERROR(__xludf.DUMMYFUNCTION("""COMPUTED_VALUE"""),"    ")</f>
        <v>    </v>
      </c>
      <c r="C1849" s="57" t="str">
        <f>IFERROR(__xludf.DUMMYFUNCTION("""COMPUTED_VALUE"""),"")</f>
        <v/>
      </c>
      <c r="D1849" s="58"/>
      <c r="E1849" s="56"/>
      <c r="F1849" s="54"/>
      <c r="G1849" s="54"/>
      <c r="H1849" s="54"/>
      <c r="I1849" s="54"/>
      <c r="J1849" s="54"/>
      <c r="K1849" s="54"/>
    </row>
    <row r="1850">
      <c r="A1850" s="57"/>
      <c r="B1850" s="57" t="str">
        <f>IFERROR(__xludf.DUMMYFUNCTION("""COMPUTED_VALUE"""),"    ")</f>
        <v>    </v>
      </c>
      <c r="C1850" s="57" t="str">
        <f>IFERROR(__xludf.DUMMYFUNCTION("""COMPUTED_VALUE"""),"")</f>
        <v/>
      </c>
      <c r="D1850" s="58"/>
      <c r="E1850" s="56"/>
      <c r="F1850" s="54"/>
      <c r="G1850" s="54"/>
      <c r="H1850" s="54"/>
      <c r="I1850" s="54"/>
      <c r="J1850" s="54"/>
      <c r="K1850" s="54"/>
    </row>
    <row r="1851">
      <c r="A1851" s="57"/>
      <c r="B1851" s="57" t="str">
        <f>IFERROR(__xludf.DUMMYFUNCTION("""COMPUTED_VALUE"""),"    ")</f>
        <v>    </v>
      </c>
      <c r="C1851" s="57" t="str">
        <f>IFERROR(__xludf.DUMMYFUNCTION("""COMPUTED_VALUE"""),"")</f>
        <v/>
      </c>
      <c r="D1851" s="58"/>
      <c r="E1851" s="56"/>
      <c r="F1851" s="54"/>
      <c r="G1851" s="54"/>
      <c r="H1851" s="54"/>
      <c r="I1851" s="54"/>
      <c r="J1851" s="54"/>
      <c r="K1851" s="54"/>
    </row>
    <row r="1852">
      <c r="A1852" s="57"/>
      <c r="B1852" s="57" t="str">
        <f>IFERROR(__xludf.DUMMYFUNCTION("""COMPUTED_VALUE"""),"    ")</f>
        <v>    </v>
      </c>
      <c r="C1852" s="57" t="str">
        <f>IFERROR(__xludf.DUMMYFUNCTION("""COMPUTED_VALUE"""),"")</f>
        <v/>
      </c>
      <c r="D1852" s="58"/>
      <c r="E1852" s="56"/>
      <c r="F1852" s="54"/>
      <c r="G1852" s="54"/>
      <c r="H1852" s="54"/>
      <c r="I1852" s="54"/>
      <c r="J1852" s="54"/>
      <c r="K1852" s="54"/>
    </row>
    <row r="1853">
      <c r="A1853" s="57"/>
      <c r="B1853" s="57" t="str">
        <f>IFERROR(__xludf.DUMMYFUNCTION("""COMPUTED_VALUE"""),"    ")</f>
        <v>    </v>
      </c>
      <c r="C1853" s="57" t="str">
        <f>IFERROR(__xludf.DUMMYFUNCTION("""COMPUTED_VALUE"""),"")</f>
        <v/>
      </c>
      <c r="D1853" s="58"/>
      <c r="E1853" s="56"/>
      <c r="F1853" s="54"/>
      <c r="G1853" s="54"/>
      <c r="H1853" s="54"/>
      <c r="I1853" s="54"/>
      <c r="J1853" s="54"/>
      <c r="K1853" s="54"/>
    </row>
    <row r="1854">
      <c r="A1854" s="57"/>
      <c r="B1854" s="57" t="str">
        <f>IFERROR(__xludf.DUMMYFUNCTION("""COMPUTED_VALUE"""),"    ")</f>
        <v>    </v>
      </c>
      <c r="C1854" s="57" t="str">
        <f>IFERROR(__xludf.DUMMYFUNCTION("""COMPUTED_VALUE"""),"")</f>
        <v/>
      </c>
      <c r="D1854" s="58"/>
      <c r="E1854" s="56"/>
      <c r="F1854" s="54"/>
      <c r="G1854" s="54"/>
      <c r="H1854" s="54"/>
      <c r="I1854" s="54"/>
      <c r="J1854" s="54"/>
      <c r="K1854" s="54"/>
    </row>
    <row r="1855">
      <c r="A1855" s="57"/>
      <c r="B1855" s="57" t="str">
        <f>IFERROR(__xludf.DUMMYFUNCTION("""COMPUTED_VALUE"""),"    ")</f>
        <v>    </v>
      </c>
      <c r="C1855" s="57" t="str">
        <f>IFERROR(__xludf.DUMMYFUNCTION("""COMPUTED_VALUE"""),"")</f>
        <v/>
      </c>
      <c r="D1855" s="58"/>
      <c r="E1855" s="56"/>
      <c r="F1855" s="54"/>
      <c r="G1855" s="54"/>
      <c r="H1855" s="54"/>
      <c r="I1855" s="54"/>
      <c r="J1855" s="54"/>
      <c r="K1855" s="54"/>
    </row>
    <row r="1856">
      <c r="A1856" s="57"/>
      <c r="B1856" s="57" t="str">
        <f>IFERROR(__xludf.DUMMYFUNCTION("""COMPUTED_VALUE"""),"    ")</f>
        <v>    </v>
      </c>
      <c r="C1856" s="57" t="str">
        <f>IFERROR(__xludf.DUMMYFUNCTION("""COMPUTED_VALUE"""),"")</f>
        <v/>
      </c>
      <c r="D1856" s="58"/>
      <c r="E1856" s="56"/>
      <c r="F1856" s="54"/>
      <c r="G1856" s="54"/>
      <c r="H1856" s="54"/>
      <c r="I1856" s="54"/>
      <c r="J1856" s="54"/>
      <c r="K1856" s="54"/>
    </row>
    <row r="1857">
      <c r="A1857" s="57"/>
      <c r="B1857" s="57" t="str">
        <f>IFERROR(__xludf.DUMMYFUNCTION("""COMPUTED_VALUE"""),"    ")</f>
        <v>    </v>
      </c>
      <c r="C1857" s="57" t="str">
        <f>IFERROR(__xludf.DUMMYFUNCTION("""COMPUTED_VALUE"""),"")</f>
        <v/>
      </c>
      <c r="D1857" s="58"/>
      <c r="E1857" s="56"/>
      <c r="F1857" s="54"/>
      <c r="G1857" s="54"/>
      <c r="H1857" s="54"/>
      <c r="I1857" s="54"/>
      <c r="J1857" s="54"/>
      <c r="K1857" s="54"/>
    </row>
    <row r="1858">
      <c r="A1858" s="57"/>
      <c r="B1858" s="57" t="str">
        <f>IFERROR(__xludf.DUMMYFUNCTION("""COMPUTED_VALUE"""),"    ")</f>
        <v>    </v>
      </c>
      <c r="C1858" s="57" t="str">
        <f>IFERROR(__xludf.DUMMYFUNCTION("""COMPUTED_VALUE"""),"")</f>
        <v/>
      </c>
      <c r="D1858" s="58"/>
      <c r="E1858" s="56"/>
      <c r="F1858" s="54"/>
      <c r="G1858" s="54"/>
      <c r="H1858" s="54"/>
      <c r="I1858" s="54"/>
      <c r="J1858" s="54"/>
      <c r="K1858" s="54"/>
    </row>
    <row r="1859">
      <c r="A1859" s="57"/>
      <c r="B1859" s="57" t="str">
        <f>IFERROR(__xludf.DUMMYFUNCTION("""COMPUTED_VALUE"""),"    ")</f>
        <v>    </v>
      </c>
      <c r="C1859" s="57" t="str">
        <f>IFERROR(__xludf.DUMMYFUNCTION("""COMPUTED_VALUE"""),"")</f>
        <v/>
      </c>
      <c r="D1859" s="58"/>
      <c r="E1859" s="56"/>
      <c r="F1859" s="54"/>
      <c r="G1859" s="54"/>
      <c r="H1859" s="54"/>
      <c r="I1859" s="54"/>
      <c r="J1859" s="54"/>
      <c r="K1859" s="54"/>
    </row>
    <row r="1860">
      <c r="A1860" s="57"/>
      <c r="B1860" s="57" t="str">
        <f>IFERROR(__xludf.DUMMYFUNCTION("""COMPUTED_VALUE"""),"    ")</f>
        <v>    </v>
      </c>
      <c r="C1860" s="57" t="str">
        <f>IFERROR(__xludf.DUMMYFUNCTION("""COMPUTED_VALUE"""),"")</f>
        <v/>
      </c>
      <c r="D1860" s="58"/>
      <c r="E1860" s="56"/>
      <c r="F1860" s="54"/>
      <c r="G1860" s="54"/>
      <c r="H1860" s="54"/>
      <c r="I1860" s="54"/>
      <c r="J1860" s="54"/>
      <c r="K1860" s="54"/>
    </row>
    <row r="1861">
      <c r="A1861" s="57"/>
      <c r="B1861" s="57" t="str">
        <f>IFERROR(__xludf.DUMMYFUNCTION("""COMPUTED_VALUE"""),"    ")</f>
        <v>    </v>
      </c>
      <c r="C1861" s="57" t="str">
        <f>IFERROR(__xludf.DUMMYFUNCTION("""COMPUTED_VALUE"""),"")</f>
        <v/>
      </c>
      <c r="D1861" s="58"/>
      <c r="E1861" s="56"/>
      <c r="F1861" s="54"/>
      <c r="G1861" s="54"/>
      <c r="H1861" s="54"/>
      <c r="I1861" s="54"/>
      <c r="J1861" s="54"/>
      <c r="K1861" s="54"/>
    </row>
    <row r="1862">
      <c r="A1862" s="57"/>
      <c r="B1862" s="57" t="str">
        <f>IFERROR(__xludf.DUMMYFUNCTION("""COMPUTED_VALUE"""),"    ")</f>
        <v>    </v>
      </c>
      <c r="C1862" s="57" t="str">
        <f>IFERROR(__xludf.DUMMYFUNCTION("""COMPUTED_VALUE"""),"")</f>
        <v/>
      </c>
      <c r="D1862" s="58"/>
      <c r="E1862" s="56"/>
      <c r="F1862" s="54"/>
      <c r="G1862" s="54"/>
      <c r="H1862" s="54"/>
      <c r="I1862" s="54"/>
      <c r="J1862" s="54"/>
      <c r="K1862" s="54"/>
    </row>
    <row r="1863">
      <c r="A1863" s="57"/>
      <c r="B1863" s="57" t="str">
        <f>IFERROR(__xludf.DUMMYFUNCTION("""COMPUTED_VALUE"""),"    ")</f>
        <v>    </v>
      </c>
      <c r="C1863" s="57" t="str">
        <f>IFERROR(__xludf.DUMMYFUNCTION("""COMPUTED_VALUE"""),"")</f>
        <v/>
      </c>
      <c r="D1863" s="58"/>
      <c r="E1863" s="56"/>
      <c r="F1863" s="54"/>
      <c r="G1863" s="54"/>
      <c r="H1863" s="54"/>
      <c r="I1863" s="54"/>
      <c r="J1863" s="54"/>
      <c r="K1863" s="54"/>
    </row>
    <row r="1864">
      <c r="A1864" s="57"/>
      <c r="B1864" s="57" t="str">
        <f>IFERROR(__xludf.DUMMYFUNCTION("""COMPUTED_VALUE"""),"    ")</f>
        <v>    </v>
      </c>
      <c r="C1864" s="57" t="str">
        <f>IFERROR(__xludf.DUMMYFUNCTION("""COMPUTED_VALUE"""),"")</f>
        <v/>
      </c>
      <c r="D1864" s="58"/>
      <c r="E1864" s="56"/>
      <c r="F1864" s="54"/>
      <c r="G1864" s="54"/>
      <c r="H1864" s="54"/>
      <c r="I1864" s="54"/>
      <c r="J1864" s="54"/>
      <c r="K1864" s="54"/>
    </row>
    <row r="1865">
      <c r="A1865" s="57"/>
      <c r="B1865" s="57" t="str">
        <f>IFERROR(__xludf.DUMMYFUNCTION("""COMPUTED_VALUE"""),"    ")</f>
        <v>    </v>
      </c>
      <c r="C1865" s="57" t="str">
        <f>IFERROR(__xludf.DUMMYFUNCTION("""COMPUTED_VALUE"""),"")</f>
        <v/>
      </c>
      <c r="D1865" s="58"/>
      <c r="E1865" s="56"/>
      <c r="F1865" s="54"/>
      <c r="G1865" s="54"/>
      <c r="H1865" s="54"/>
      <c r="I1865" s="54"/>
      <c r="J1865" s="54"/>
      <c r="K1865" s="54"/>
    </row>
    <row r="1866">
      <c r="A1866" s="57"/>
      <c r="B1866" s="57" t="str">
        <f>IFERROR(__xludf.DUMMYFUNCTION("""COMPUTED_VALUE"""),"    ")</f>
        <v>    </v>
      </c>
      <c r="C1866" s="57" t="str">
        <f>IFERROR(__xludf.DUMMYFUNCTION("""COMPUTED_VALUE"""),"")</f>
        <v/>
      </c>
      <c r="D1866" s="58"/>
      <c r="E1866" s="56"/>
      <c r="F1866" s="54"/>
      <c r="G1866" s="54"/>
      <c r="H1866" s="54"/>
      <c r="I1866" s="54"/>
      <c r="J1866" s="54"/>
      <c r="K1866" s="54"/>
    </row>
    <row r="1867">
      <c r="A1867" s="57"/>
      <c r="B1867" s="57" t="str">
        <f>IFERROR(__xludf.DUMMYFUNCTION("""COMPUTED_VALUE"""),"    ")</f>
        <v>    </v>
      </c>
      <c r="C1867" s="57" t="str">
        <f>IFERROR(__xludf.DUMMYFUNCTION("""COMPUTED_VALUE"""),"")</f>
        <v/>
      </c>
      <c r="D1867" s="58"/>
      <c r="E1867" s="56"/>
      <c r="F1867" s="54"/>
      <c r="G1867" s="54"/>
      <c r="H1867" s="54"/>
      <c r="I1867" s="54"/>
      <c r="J1867" s="54"/>
      <c r="K1867" s="54"/>
    </row>
    <row r="1868">
      <c r="A1868" s="57"/>
      <c r="B1868" s="57" t="str">
        <f>IFERROR(__xludf.DUMMYFUNCTION("""COMPUTED_VALUE"""),"    ")</f>
        <v>    </v>
      </c>
      <c r="C1868" s="57" t="str">
        <f>IFERROR(__xludf.DUMMYFUNCTION("""COMPUTED_VALUE"""),"")</f>
        <v/>
      </c>
      <c r="D1868" s="58"/>
      <c r="E1868" s="56"/>
      <c r="F1868" s="54"/>
      <c r="G1868" s="54"/>
      <c r="H1868" s="54"/>
      <c r="I1868" s="54"/>
      <c r="J1868" s="54"/>
      <c r="K1868" s="54"/>
    </row>
    <row r="1869">
      <c r="A1869" s="57"/>
      <c r="B1869" s="57" t="str">
        <f>IFERROR(__xludf.DUMMYFUNCTION("""COMPUTED_VALUE"""),"    ")</f>
        <v>    </v>
      </c>
      <c r="C1869" s="57" t="str">
        <f>IFERROR(__xludf.DUMMYFUNCTION("""COMPUTED_VALUE"""),"")</f>
        <v/>
      </c>
      <c r="D1869" s="58"/>
      <c r="E1869" s="56"/>
      <c r="F1869" s="54"/>
      <c r="G1869" s="54"/>
      <c r="H1869" s="54"/>
      <c r="I1869" s="54"/>
      <c r="J1869" s="54"/>
      <c r="K1869" s="54"/>
    </row>
    <row r="1870">
      <c r="A1870" s="57"/>
      <c r="B1870" s="57" t="str">
        <f>IFERROR(__xludf.DUMMYFUNCTION("""COMPUTED_VALUE"""),"    ")</f>
        <v>    </v>
      </c>
      <c r="C1870" s="57" t="str">
        <f>IFERROR(__xludf.DUMMYFUNCTION("""COMPUTED_VALUE"""),"")</f>
        <v/>
      </c>
      <c r="D1870" s="58"/>
      <c r="E1870" s="56"/>
      <c r="F1870" s="54"/>
      <c r="G1870" s="54"/>
      <c r="H1870" s="54"/>
      <c r="I1870" s="54"/>
      <c r="J1870" s="54"/>
      <c r="K1870" s="54"/>
    </row>
    <row r="1871">
      <c r="A1871" s="57"/>
      <c r="B1871" s="57" t="str">
        <f>IFERROR(__xludf.DUMMYFUNCTION("""COMPUTED_VALUE"""),"    ")</f>
        <v>    </v>
      </c>
      <c r="C1871" s="57" t="str">
        <f>IFERROR(__xludf.DUMMYFUNCTION("""COMPUTED_VALUE"""),"")</f>
        <v/>
      </c>
      <c r="D1871" s="58"/>
      <c r="E1871" s="56"/>
      <c r="F1871" s="54"/>
      <c r="G1871" s="54"/>
      <c r="H1871" s="54"/>
      <c r="I1871" s="54"/>
      <c r="J1871" s="54"/>
      <c r="K1871" s="54"/>
    </row>
    <row r="1872">
      <c r="A1872" s="57"/>
      <c r="B1872" s="57" t="str">
        <f>IFERROR(__xludf.DUMMYFUNCTION("""COMPUTED_VALUE"""),"    ")</f>
        <v>    </v>
      </c>
      <c r="C1872" s="57" t="str">
        <f>IFERROR(__xludf.DUMMYFUNCTION("""COMPUTED_VALUE"""),"")</f>
        <v/>
      </c>
      <c r="D1872" s="58"/>
      <c r="E1872" s="56"/>
      <c r="F1872" s="54"/>
      <c r="G1872" s="54"/>
      <c r="H1872" s="54"/>
      <c r="I1872" s="54"/>
      <c r="J1872" s="54"/>
      <c r="K1872" s="54"/>
    </row>
    <row r="1873">
      <c r="A1873" s="57"/>
      <c r="B1873" s="57" t="str">
        <f>IFERROR(__xludf.DUMMYFUNCTION("""COMPUTED_VALUE"""),"    ")</f>
        <v>    </v>
      </c>
      <c r="C1873" s="57" t="str">
        <f>IFERROR(__xludf.DUMMYFUNCTION("""COMPUTED_VALUE"""),"")</f>
        <v/>
      </c>
      <c r="D1873" s="58"/>
      <c r="E1873" s="56"/>
      <c r="F1873" s="54"/>
      <c r="G1873" s="54"/>
      <c r="H1873" s="54"/>
      <c r="I1873" s="54"/>
      <c r="J1873" s="54"/>
      <c r="K1873" s="54"/>
    </row>
    <row r="1874">
      <c r="A1874" s="57"/>
      <c r="B1874" s="57" t="str">
        <f>IFERROR(__xludf.DUMMYFUNCTION("""COMPUTED_VALUE"""),"    ")</f>
        <v>    </v>
      </c>
      <c r="C1874" s="57" t="str">
        <f>IFERROR(__xludf.DUMMYFUNCTION("""COMPUTED_VALUE"""),"")</f>
        <v/>
      </c>
      <c r="D1874" s="58"/>
      <c r="E1874" s="56"/>
      <c r="F1874" s="54"/>
      <c r="G1874" s="54"/>
      <c r="H1874" s="54"/>
      <c r="I1874" s="54"/>
      <c r="J1874" s="54"/>
      <c r="K1874" s="54"/>
    </row>
    <row r="1875">
      <c r="A1875" s="57"/>
      <c r="B1875" s="57" t="str">
        <f>IFERROR(__xludf.DUMMYFUNCTION("""COMPUTED_VALUE"""),"    ")</f>
        <v>    </v>
      </c>
      <c r="C1875" s="57" t="str">
        <f>IFERROR(__xludf.DUMMYFUNCTION("""COMPUTED_VALUE"""),"")</f>
        <v/>
      </c>
      <c r="D1875" s="58"/>
      <c r="E1875" s="56"/>
      <c r="F1875" s="54"/>
      <c r="G1875" s="54"/>
      <c r="H1875" s="54"/>
      <c r="I1875" s="54"/>
      <c r="J1875" s="54"/>
      <c r="K1875" s="54"/>
    </row>
    <row r="1876">
      <c r="A1876" s="57"/>
      <c r="B1876" s="57" t="str">
        <f>IFERROR(__xludf.DUMMYFUNCTION("""COMPUTED_VALUE"""),"    ")</f>
        <v>    </v>
      </c>
      <c r="C1876" s="57" t="str">
        <f>IFERROR(__xludf.DUMMYFUNCTION("""COMPUTED_VALUE"""),"")</f>
        <v/>
      </c>
      <c r="D1876" s="58"/>
      <c r="E1876" s="56"/>
      <c r="F1876" s="54"/>
      <c r="G1876" s="54"/>
      <c r="H1876" s="54"/>
      <c r="I1876" s="54"/>
      <c r="J1876" s="54"/>
      <c r="K1876" s="54"/>
    </row>
    <row r="1877">
      <c r="A1877" s="57"/>
      <c r="B1877" s="57" t="str">
        <f>IFERROR(__xludf.DUMMYFUNCTION("""COMPUTED_VALUE"""),"    ")</f>
        <v>    </v>
      </c>
      <c r="C1877" s="57" t="str">
        <f>IFERROR(__xludf.DUMMYFUNCTION("""COMPUTED_VALUE"""),"")</f>
        <v/>
      </c>
      <c r="D1877" s="58"/>
      <c r="E1877" s="56"/>
      <c r="F1877" s="54"/>
      <c r="G1877" s="54"/>
      <c r="H1877" s="54"/>
      <c r="I1877" s="54"/>
      <c r="J1877" s="54"/>
      <c r="K1877" s="54"/>
    </row>
    <row r="1878">
      <c r="A1878" s="57"/>
      <c r="B1878" s="57" t="str">
        <f>IFERROR(__xludf.DUMMYFUNCTION("""COMPUTED_VALUE"""),"    ")</f>
        <v>    </v>
      </c>
      <c r="C1878" s="57" t="str">
        <f>IFERROR(__xludf.DUMMYFUNCTION("""COMPUTED_VALUE"""),"")</f>
        <v/>
      </c>
      <c r="D1878" s="58"/>
      <c r="E1878" s="56"/>
      <c r="F1878" s="54"/>
      <c r="G1878" s="54"/>
      <c r="H1878" s="54"/>
      <c r="I1878" s="54"/>
      <c r="J1878" s="54"/>
      <c r="K1878" s="54"/>
    </row>
    <row r="1879">
      <c r="A1879" s="57"/>
      <c r="B1879" s="57" t="str">
        <f>IFERROR(__xludf.DUMMYFUNCTION("""COMPUTED_VALUE"""),"    ")</f>
        <v>    </v>
      </c>
      <c r="C1879" s="57" t="str">
        <f>IFERROR(__xludf.DUMMYFUNCTION("""COMPUTED_VALUE"""),"")</f>
        <v/>
      </c>
      <c r="D1879" s="58"/>
      <c r="E1879" s="56"/>
      <c r="F1879" s="54"/>
      <c r="G1879" s="54"/>
      <c r="H1879" s="54"/>
      <c r="I1879" s="54"/>
      <c r="J1879" s="54"/>
      <c r="K1879" s="54"/>
    </row>
    <row r="1880">
      <c r="A1880" s="57"/>
      <c r="B1880" s="57" t="str">
        <f>IFERROR(__xludf.DUMMYFUNCTION("""COMPUTED_VALUE"""),"    ")</f>
        <v>    </v>
      </c>
      <c r="C1880" s="57" t="str">
        <f>IFERROR(__xludf.DUMMYFUNCTION("""COMPUTED_VALUE"""),"")</f>
        <v/>
      </c>
      <c r="D1880" s="58"/>
      <c r="E1880" s="56"/>
      <c r="F1880" s="54"/>
      <c r="G1880" s="54"/>
      <c r="H1880" s="54"/>
      <c r="I1880" s="54"/>
      <c r="J1880" s="54"/>
      <c r="K1880" s="54"/>
    </row>
    <row r="1881">
      <c r="A1881" s="57"/>
      <c r="B1881" s="57" t="str">
        <f>IFERROR(__xludf.DUMMYFUNCTION("""COMPUTED_VALUE"""),"    ")</f>
        <v>    </v>
      </c>
      <c r="C1881" s="57" t="str">
        <f>IFERROR(__xludf.DUMMYFUNCTION("""COMPUTED_VALUE"""),"")</f>
        <v/>
      </c>
      <c r="D1881" s="58"/>
      <c r="E1881" s="56"/>
      <c r="F1881" s="54"/>
      <c r="G1881" s="54"/>
      <c r="H1881" s="54"/>
      <c r="I1881" s="54"/>
      <c r="J1881" s="54"/>
      <c r="K1881" s="54"/>
    </row>
    <row r="1882">
      <c r="A1882" s="57"/>
      <c r="B1882" s="57" t="str">
        <f>IFERROR(__xludf.DUMMYFUNCTION("""COMPUTED_VALUE"""),"    ")</f>
        <v>    </v>
      </c>
      <c r="C1882" s="57" t="str">
        <f>IFERROR(__xludf.DUMMYFUNCTION("""COMPUTED_VALUE"""),"")</f>
        <v/>
      </c>
      <c r="D1882" s="58"/>
      <c r="E1882" s="56"/>
      <c r="F1882" s="54"/>
      <c r="G1882" s="54"/>
      <c r="H1882" s="54"/>
      <c r="I1882" s="54"/>
      <c r="J1882" s="54"/>
      <c r="K1882" s="54"/>
    </row>
    <row r="1883">
      <c r="A1883" s="57"/>
      <c r="B1883" s="57" t="str">
        <f>IFERROR(__xludf.DUMMYFUNCTION("""COMPUTED_VALUE"""),"    ")</f>
        <v>    </v>
      </c>
      <c r="C1883" s="57" t="str">
        <f>IFERROR(__xludf.DUMMYFUNCTION("""COMPUTED_VALUE"""),"")</f>
        <v/>
      </c>
      <c r="D1883" s="58"/>
      <c r="E1883" s="56"/>
      <c r="F1883" s="54"/>
      <c r="G1883" s="54"/>
      <c r="H1883" s="54"/>
      <c r="I1883" s="54"/>
      <c r="J1883" s="54"/>
      <c r="K1883" s="54"/>
    </row>
    <row r="1884">
      <c r="A1884" s="57"/>
      <c r="B1884" s="57" t="str">
        <f>IFERROR(__xludf.DUMMYFUNCTION("""COMPUTED_VALUE"""),"    ")</f>
        <v>    </v>
      </c>
      <c r="C1884" s="57" t="str">
        <f>IFERROR(__xludf.DUMMYFUNCTION("""COMPUTED_VALUE"""),"")</f>
        <v/>
      </c>
      <c r="D1884" s="58"/>
      <c r="E1884" s="56"/>
      <c r="F1884" s="54"/>
      <c r="G1884" s="54"/>
      <c r="H1884" s="54"/>
      <c r="I1884" s="54"/>
      <c r="J1884" s="54"/>
      <c r="K1884" s="54"/>
    </row>
    <row r="1885">
      <c r="A1885" s="57"/>
      <c r="B1885" s="57" t="str">
        <f>IFERROR(__xludf.DUMMYFUNCTION("""COMPUTED_VALUE"""),"    ")</f>
        <v>    </v>
      </c>
      <c r="C1885" s="57" t="str">
        <f>IFERROR(__xludf.DUMMYFUNCTION("""COMPUTED_VALUE"""),"")</f>
        <v/>
      </c>
      <c r="D1885" s="58"/>
      <c r="E1885" s="56"/>
      <c r="F1885" s="54"/>
      <c r="G1885" s="54"/>
      <c r="H1885" s="54"/>
      <c r="I1885" s="54"/>
      <c r="J1885" s="54"/>
      <c r="K1885" s="54"/>
    </row>
    <row r="1886">
      <c r="A1886" s="57"/>
      <c r="B1886" s="57" t="str">
        <f>IFERROR(__xludf.DUMMYFUNCTION("""COMPUTED_VALUE"""),"    ")</f>
        <v>    </v>
      </c>
      <c r="C1886" s="57" t="str">
        <f>IFERROR(__xludf.DUMMYFUNCTION("""COMPUTED_VALUE"""),"")</f>
        <v/>
      </c>
      <c r="D1886" s="58"/>
      <c r="E1886" s="56"/>
      <c r="F1886" s="54"/>
      <c r="G1886" s="54"/>
      <c r="H1886" s="54"/>
      <c r="I1886" s="54"/>
      <c r="J1886" s="54"/>
      <c r="K1886" s="54"/>
    </row>
    <row r="1887">
      <c r="A1887" s="57"/>
      <c r="B1887" s="57" t="str">
        <f>IFERROR(__xludf.DUMMYFUNCTION("""COMPUTED_VALUE"""),"    ")</f>
        <v>    </v>
      </c>
      <c r="C1887" s="57" t="str">
        <f>IFERROR(__xludf.DUMMYFUNCTION("""COMPUTED_VALUE"""),"")</f>
        <v/>
      </c>
      <c r="D1887" s="58"/>
      <c r="E1887" s="56"/>
      <c r="F1887" s="54"/>
      <c r="G1887" s="54"/>
      <c r="H1887" s="54"/>
      <c r="I1887" s="54"/>
      <c r="J1887" s="54"/>
      <c r="K1887" s="54"/>
    </row>
    <row r="1888">
      <c r="A1888" s="57"/>
      <c r="B1888" s="57" t="str">
        <f>IFERROR(__xludf.DUMMYFUNCTION("""COMPUTED_VALUE"""),"    ")</f>
        <v>    </v>
      </c>
      <c r="C1888" s="57" t="str">
        <f>IFERROR(__xludf.DUMMYFUNCTION("""COMPUTED_VALUE"""),"")</f>
        <v/>
      </c>
      <c r="D1888" s="58"/>
      <c r="E1888" s="56"/>
      <c r="F1888" s="54"/>
      <c r="G1888" s="54"/>
      <c r="H1888" s="54"/>
      <c r="I1888" s="54"/>
      <c r="J1888" s="54"/>
      <c r="K1888" s="54"/>
    </row>
    <row r="1889">
      <c r="A1889" s="57"/>
      <c r="B1889" s="57" t="str">
        <f>IFERROR(__xludf.DUMMYFUNCTION("""COMPUTED_VALUE"""),"    ")</f>
        <v>    </v>
      </c>
      <c r="C1889" s="57" t="str">
        <f>IFERROR(__xludf.DUMMYFUNCTION("""COMPUTED_VALUE"""),"")</f>
        <v/>
      </c>
      <c r="D1889" s="58"/>
      <c r="E1889" s="56"/>
      <c r="F1889" s="54"/>
      <c r="G1889" s="54"/>
      <c r="H1889" s="54"/>
      <c r="I1889" s="54"/>
      <c r="J1889" s="54"/>
      <c r="K1889" s="54"/>
    </row>
    <row r="1890">
      <c r="A1890" s="57"/>
      <c r="B1890" s="57" t="str">
        <f>IFERROR(__xludf.DUMMYFUNCTION("""COMPUTED_VALUE"""),"    ")</f>
        <v>    </v>
      </c>
      <c r="C1890" s="57" t="str">
        <f>IFERROR(__xludf.DUMMYFUNCTION("""COMPUTED_VALUE"""),"")</f>
        <v/>
      </c>
      <c r="D1890" s="58"/>
      <c r="E1890" s="56"/>
      <c r="F1890" s="54"/>
      <c r="G1890" s="54"/>
      <c r="H1890" s="54"/>
      <c r="I1890" s="54"/>
      <c r="J1890" s="54"/>
      <c r="K1890" s="54"/>
    </row>
    <row r="1891">
      <c r="A1891" s="57"/>
      <c r="B1891" s="57" t="str">
        <f>IFERROR(__xludf.DUMMYFUNCTION("""COMPUTED_VALUE"""),"    ")</f>
        <v>    </v>
      </c>
      <c r="C1891" s="57" t="str">
        <f>IFERROR(__xludf.DUMMYFUNCTION("""COMPUTED_VALUE"""),"")</f>
        <v/>
      </c>
      <c r="D1891" s="58"/>
      <c r="E1891" s="56"/>
      <c r="F1891" s="54"/>
      <c r="G1891" s="54"/>
      <c r="H1891" s="54"/>
      <c r="I1891" s="54"/>
      <c r="J1891" s="54"/>
      <c r="K1891" s="54"/>
    </row>
    <row r="1892">
      <c r="A1892" s="57"/>
      <c r="B1892" s="57" t="str">
        <f>IFERROR(__xludf.DUMMYFUNCTION("""COMPUTED_VALUE"""),"    ")</f>
        <v>    </v>
      </c>
      <c r="C1892" s="57" t="str">
        <f>IFERROR(__xludf.DUMMYFUNCTION("""COMPUTED_VALUE"""),"")</f>
        <v/>
      </c>
      <c r="D1892" s="58"/>
      <c r="E1892" s="56"/>
      <c r="F1892" s="54"/>
      <c r="G1892" s="54"/>
      <c r="H1892" s="54"/>
      <c r="I1892" s="54"/>
      <c r="J1892" s="54"/>
      <c r="K1892" s="54"/>
    </row>
    <row r="1893">
      <c r="A1893" s="57"/>
      <c r="B1893" s="57" t="str">
        <f>IFERROR(__xludf.DUMMYFUNCTION("""COMPUTED_VALUE"""),"    ")</f>
        <v>    </v>
      </c>
      <c r="C1893" s="57" t="str">
        <f>IFERROR(__xludf.DUMMYFUNCTION("""COMPUTED_VALUE"""),"")</f>
        <v/>
      </c>
      <c r="D1893" s="58"/>
      <c r="E1893" s="56"/>
      <c r="F1893" s="54"/>
      <c r="G1893" s="54"/>
      <c r="H1893" s="54"/>
      <c r="I1893" s="54"/>
      <c r="J1893" s="54"/>
      <c r="K1893" s="54"/>
    </row>
    <row r="1894">
      <c r="A1894" s="57"/>
      <c r="B1894" s="57" t="str">
        <f>IFERROR(__xludf.DUMMYFUNCTION("""COMPUTED_VALUE"""),"    ")</f>
        <v>    </v>
      </c>
      <c r="C1894" s="57" t="str">
        <f>IFERROR(__xludf.DUMMYFUNCTION("""COMPUTED_VALUE"""),"")</f>
        <v/>
      </c>
      <c r="D1894" s="58"/>
      <c r="E1894" s="56"/>
      <c r="F1894" s="54"/>
      <c r="G1894" s="54"/>
      <c r="H1894" s="54"/>
      <c r="I1894" s="54"/>
      <c r="J1894" s="54"/>
      <c r="K1894" s="54"/>
    </row>
    <row r="1895">
      <c r="A1895" s="57"/>
      <c r="B1895" s="57" t="str">
        <f>IFERROR(__xludf.DUMMYFUNCTION("""COMPUTED_VALUE"""),"    ")</f>
        <v>    </v>
      </c>
      <c r="C1895" s="57" t="str">
        <f>IFERROR(__xludf.DUMMYFUNCTION("""COMPUTED_VALUE"""),"")</f>
        <v/>
      </c>
      <c r="D1895" s="58"/>
      <c r="E1895" s="56"/>
      <c r="F1895" s="54"/>
      <c r="G1895" s="54"/>
      <c r="H1895" s="54"/>
      <c r="I1895" s="54"/>
      <c r="J1895" s="54"/>
      <c r="K1895" s="54"/>
    </row>
    <row r="1896">
      <c r="A1896" s="57"/>
      <c r="B1896" s="57" t="str">
        <f>IFERROR(__xludf.DUMMYFUNCTION("""COMPUTED_VALUE"""),"    ")</f>
        <v>    </v>
      </c>
      <c r="C1896" s="57" t="str">
        <f>IFERROR(__xludf.DUMMYFUNCTION("""COMPUTED_VALUE"""),"")</f>
        <v/>
      </c>
      <c r="D1896" s="58"/>
      <c r="E1896" s="56"/>
      <c r="F1896" s="54"/>
      <c r="G1896" s="54"/>
      <c r="H1896" s="54"/>
      <c r="I1896" s="54"/>
      <c r="J1896" s="54"/>
      <c r="K1896" s="54"/>
    </row>
    <row r="1897">
      <c r="A1897" s="57"/>
      <c r="B1897" s="57" t="str">
        <f>IFERROR(__xludf.DUMMYFUNCTION("""COMPUTED_VALUE"""),"    ")</f>
        <v>    </v>
      </c>
      <c r="C1897" s="57" t="str">
        <f>IFERROR(__xludf.DUMMYFUNCTION("""COMPUTED_VALUE"""),"")</f>
        <v/>
      </c>
      <c r="D1897" s="58"/>
      <c r="E1897" s="56"/>
      <c r="F1897" s="54"/>
      <c r="G1897" s="54"/>
      <c r="H1897" s="54"/>
      <c r="I1897" s="54"/>
      <c r="J1897" s="54"/>
      <c r="K1897" s="54"/>
    </row>
    <row r="1898">
      <c r="A1898" s="57"/>
      <c r="B1898" s="57" t="str">
        <f>IFERROR(__xludf.DUMMYFUNCTION("""COMPUTED_VALUE"""),"    ")</f>
        <v>    </v>
      </c>
      <c r="C1898" s="57" t="str">
        <f>IFERROR(__xludf.DUMMYFUNCTION("""COMPUTED_VALUE"""),"")</f>
        <v/>
      </c>
      <c r="D1898" s="58"/>
      <c r="E1898" s="56"/>
      <c r="F1898" s="54"/>
      <c r="G1898" s="54"/>
      <c r="H1898" s="54"/>
      <c r="I1898" s="54"/>
      <c r="J1898" s="54"/>
      <c r="K1898" s="54"/>
    </row>
    <row r="1899">
      <c r="A1899" s="57"/>
      <c r="B1899" s="57" t="str">
        <f>IFERROR(__xludf.DUMMYFUNCTION("""COMPUTED_VALUE"""),"    ")</f>
        <v>    </v>
      </c>
      <c r="C1899" s="57" t="str">
        <f>IFERROR(__xludf.DUMMYFUNCTION("""COMPUTED_VALUE"""),"")</f>
        <v/>
      </c>
      <c r="D1899" s="58"/>
      <c r="E1899" s="56"/>
      <c r="F1899" s="54"/>
      <c r="G1899" s="54"/>
      <c r="H1899" s="54"/>
      <c r="I1899" s="54"/>
      <c r="J1899" s="54"/>
      <c r="K1899" s="54"/>
    </row>
    <row r="1900">
      <c r="A1900" s="57"/>
      <c r="B1900" s="57" t="str">
        <f>IFERROR(__xludf.DUMMYFUNCTION("""COMPUTED_VALUE"""),"    ")</f>
        <v>    </v>
      </c>
      <c r="C1900" s="57" t="str">
        <f>IFERROR(__xludf.DUMMYFUNCTION("""COMPUTED_VALUE"""),"")</f>
        <v/>
      </c>
      <c r="D1900" s="58"/>
      <c r="E1900" s="56"/>
      <c r="F1900" s="54"/>
      <c r="G1900" s="54"/>
      <c r="H1900" s="54"/>
      <c r="I1900" s="54"/>
      <c r="J1900" s="54"/>
      <c r="K1900" s="54"/>
    </row>
    <row r="1901">
      <c r="A1901" s="57"/>
      <c r="B1901" s="57" t="str">
        <f>IFERROR(__xludf.DUMMYFUNCTION("""COMPUTED_VALUE"""),"    ")</f>
        <v>    </v>
      </c>
      <c r="C1901" s="57" t="str">
        <f>IFERROR(__xludf.DUMMYFUNCTION("""COMPUTED_VALUE"""),"")</f>
        <v/>
      </c>
      <c r="D1901" s="58"/>
      <c r="E1901" s="56"/>
      <c r="F1901" s="54"/>
      <c r="G1901" s="54"/>
      <c r="H1901" s="54"/>
      <c r="I1901" s="54"/>
      <c r="J1901" s="54"/>
      <c r="K1901" s="54"/>
    </row>
    <row r="1902">
      <c r="A1902" s="57"/>
      <c r="B1902" s="57" t="str">
        <f>IFERROR(__xludf.DUMMYFUNCTION("""COMPUTED_VALUE"""),"    ")</f>
        <v>    </v>
      </c>
      <c r="C1902" s="57" t="str">
        <f>IFERROR(__xludf.DUMMYFUNCTION("""COMPUTED_VALUE"""),"")</f>
        <v/>
      </c>
      <c r="D1902" s="58"/>
      <c r="E1902" s="56"/>
      <c r="F1902" s="54"/>
      <c r="G1902" s="54"/>
      <c r="H1902" s="54"/>
      <c r="I1902" s="54"/>
      <c r="J1902" s="54"/>
      <c r="K1902" s="54"/>
    </row>
    <row r="1903">
      <c r="A1903" s="57"/>
      <c r="B1903" s="57" t="str">
        <f>IFERROR(__xludf.DUMMYFUNCTION("""COMPUTED_VALUE"""),"    ")</f>
        <v>    </v>
      </c>
      <c r="C1903" s="57" t="str">
        <f>IFERROR(__xludf.DUMMYFUNCTION("""COMPUTED_VALUE"""),"")</f>
        <v/>
      </c>
      <c r="D1903" s="58"/>
      <c r="E1903" s="56"/>
      <c r="F1903" s="54"/>
      <c r="G1903" s="54"/>
      <c r="H1903" s="54"/>
      <c r="I1903" s="54"/>
      <c r="J1903" s="54"/>
      <c r="K1903" s="54"/>
    </row>
    <row r="1904">
      <c r="A1904" s="57"/>
      <c r="B1904" s="57" t="str">
        <f>IFERROR(__xludf.DUMMYFUNCTION("""COMPUTED_VALUE"""),"    ")</f>
        <v>    </v>
      </c>
      <c r="C1904" s="57" t="str">
        <f>IFERROR(__xludf.DUMMYFUNCTION("""COMPUTED_VALUE"""),"")</f>
        <v/>
      </c>
      <c r="D1904" s="58"/>
      <c r="E1904" s="56"/>
      <c r="F1904" s="54"/>
      <c r="G1904" s="54"/>
      <c r="H1904" s="54"/>
      <c r="I1904" s="54"/>
      <c r="J1904" s="54"/>
      <c r="K1904" s="54"/>
    </row>
    <row r="1905">
      <c r="A1905" s="57"/>
      <c r="B1905" s="57" t="str">
        <f>IFERROR(__xludf.DUMMYFUNCTION("""COMPUTED_VALUE"""),"    ")</f>
        <v>    </v>
      </c>
      <c r="C1905" s="57" t="str">
        <f>IFERROR(__xludf.DUMMYFUNCTION("""COMPUTED_VALUE"""),"")</f>
        <v/>
      </c>
      <c r="D1905" s="58"/>
      <c r="E1905" s="56"/>
      <c r="F1905" s="54"/>
      <c r="G1905" s="54"/>
      <c r="H1905" s="54"/>
      <c r="I1905" s="54"/>
      <c r="J1905" s="54"/>
      <c r="K1905" s="54"/>
    </row>
    <row r="1906">
      <c r="A1906" s="57"/>
      <c r="B1906" s="57" t="str">
        <f>IFERROR(__xludf.DUMMYFUNCTION("""COMPUTED_VALUE"""),"    ")</f>
        <v>    </v>
      </c>
      <c r="C1906" s="57" t="str">
        <f>IFERROR(__xludf.DUMMYFUNCTION("""COMPUTED_VALUE"""),"")</f>
        <v/>
      </c>
      <c r="D1906" s="58"/>
      <c r="E1906" s="56"/>
      <c r="F1906" s="54"/>
      <c r="G1906" s="54"/>
      <c r="H1906" s="54"/>
      <c r="I1906" s="54"/>
      <c r="J1906" s="54"/>
      <c r="K1906" s="54"/>
    </row>
    <row r="1907">
      <c r="A1907" s="57"/>
      <c r="B1907" s="57" t="str">
        <f>IFERROR(__xludf.DUMMYFUNCTION("""COMPUTED_VALUE"""),"    ")</f>
        <v>    </v>
      </c>
      <c r="C1907" s="57" t="str">
        <f>IFERROR(__xludf.DUMMYFUNCTION("""COMPUTED_VALUE"""),"")</f>
        <v/>
      </c>
      <c r="D1907" s="58"/>
      <c r="E1907" s="56"/>
      <c r="F1907" s="54"/>
      <c r="G1907" s="54"/>
      <c r="H1907" s="54"/>
      <c r="I1907" s="54"/>
      <c r="J1907" s="54"/>
      <c r="K1907" s="54"/>
    </row>
    <row r="1908">
      <c r="A1908" s="57"/>
      <c r="B1908" s="57" t="str">
        <f>IFERROR(__xludf.DUMMYFUNCTION("""COMPUTED_VALUE"""),"    ")</f>
        <v>    </v>
      </c>
      <c r="C1908" s="57" t="str">
        <f>IFERROR(__xludf.DUMMYFUNCTION("""COMPUTED_VALUE"""),"")</f>
        <v/>
      </c>
      <c r="D1908" s="58"/>
      <c r="E1908" s="56"/>
      <c r="F1908" s="54"/>
      <c r="G1908" s="54"/>
      <c r="H1908" s="54"/>
      <c r="I1908" s="54"/>
      <c r="J1908" s="54"/>
      <c r="K1908" s="54"/>
    </row>
    <row r="1909">
      <c r="A1909" s="57"/>
      <c r="B1909" s="57" t="str">
        <f>IFERROR(__xludf.DUMMYFUNCTION("""COMPUTED_VALUE"""),"    ")</f>
        <v>    </v>
      </c>
      <c r="C1909" s="57" t="str">
        <f>IFERROR(__xludf.DUMMYFUNCTION("""COMPUTED_VALUE"""),"")</f>
        <v/>
      </c>
      <c r="D1909" s="58"/>
      <c r="E1909" s="56"/>
      <c r="F1909" s="54"/>
      <c r="G1909" s="54"/>
      <c r="H1909" s="54"/>
      <c r="I1909" s="54"/>
      <c r="J1909" s="54"/>
      <c r="K1909" s="54"/>
    </row>
    <row r="1910">
      <c r="A1910" s="57"/>
      <c r="B1910" s="57" t="str">
        <f>IFERROR(__xludf.DUMMYFUNCTION("""COMPUTED_VALUE"""),"    ")</f>
        <v>    </v>
      </c>
      <c r="C1910" s="57" t="str">
        <f>IFERROR(__xludf.DUMMYFUNCTION("""COMPUTED_VALUE"""),"")</f>
        <v/>
      </c>
      <c r="D1910" s="58"/>
      <c r="E1910" s="56"/>
      <c r="F1910" s="54"/>
      <c r="G1910" s="54"/>
      <c r="H1910" s="54"/>
      <c r="I1910" s="54"/>
      <c r="J1910" s="54"/>
      <c r="K1910" s="54"/>
    </row>
    <row r="1911">
      <c r="A1911" s="57"/>
      <c r="B1911" s="57" t="str">
        <f>IFERROR(__xludf.DUMMYFUNCTION("""COMPUTED_VALUE"""),"    ")</f>
        <v>    </v>
      </c>
      <c r="C1911" s="57" t="str">
        <f>IFERROR(__xludf.DUMMYFUNCTION("""COMPUTED_VALUE"""),"")</f>
        <v/>
      </c>
      <c r="D1911" s="58"/>
      <c r="E1911" s="56"/>
      <c r="F1911" s="54"/>
      <c r="G1911" s="54"/>
      <c r="H1911" s="54"/>
      <c r="I1911" s="54"/>
      <c r="J1911" s="54"/>
      <c r="K1911" s="54"/>
    </row>
    <row r="1912">
      <c r="A1912" s="57"/>
      <c r="B1912" s="57" t="str">
        <f>IFERROR(__xludf.DUMMYFUNCTION("""COMPUTED_VALUE"""),"    ")</f>
        <v>    </v>
      </c>
      <c r="C1912" s="57" t="str">
        <f>IFERROR(__xludf.DUMMYFUNCTION("""COMPUTED_VALUE"""),"")</f>
        <v/>
      </c>
      <c r="D1912" s="58"/>
      <c r="E1912" s="56"/>
      <c r="F1912" s="54"/>
      <c r="G1912" s="54"/>
      <c r="H1912" s="54"/>
      <c r="I1912" s="54"/>
      <c r="J1912" s="54"/>
      <c r="K1912" s="54"/>
    </row>
    <row r="1913">
      <c r="A1913" s="57"/>
      <c r="B1913" s="57" t="str">
        <f>IFERROR(__xludf.DUMMYFUNCTION("""COMPUTED_VALUE"""),"    ")</f>
        <v>    </v>
      </c>
      <c r="C1913" s="57" t="str">
        <f>IFERROR(__xludf.DUMMYFUNCTION("""COMPUTED_VALUE"""),"")</f>
        <v/>
      </c>
      <c r="D1913" s="58"/>
      <c r="E1913" s="56"/>
      <c r="F1913" s="54"/>
      <c r="G1913" s="54"/>
      <c r="H1913" s="54"/>
      <c r="I1913" s="54"/>
      <c r="J1913" s="54"/>
      <c r="K1913" s="54"/>
    </row>
    <row r="1914">
      <c r="A1914" s="57"/>
      <c r="B1914" s="57" t="str">
        <f>IFERROR(__xludf.DUMMYFUNCTION("""COMPUTED_VALUE"""),"    ")</f>
        <v>    </v>
      </c>
      <c r="C1914" s="57" t="str">
        <f>IFERROR(__xludf.DUMMYFUNCTION("""COMPUTED_VALUE"""),"")</f>
        <v/>
      </c>
      <c r="D1914" s="58"/>
      <c r="E1914" s="56"/>
      <c r="F1914" s="54"/>
      <c r="G1914" s="54"/>
      <c r="H1914" s="54"/>
      <c r="I1914" s="54"/>
      <c r="J1914" s="54"/>
      <c r="K1914" s="54"/>
    </row>
    <row r="1915">
      <c r="A1915" s="57"/>
      <c r="B1915" s="57" t="str">
        <f>IFERROR(__xludf.DUMMYFUNCTION("""COMPUTED_VALUE"""),"    ")</f>
        <v>    </v>
      </c>
      <c r="C1915" s="57" t="str">
        <f>IFERROR(__xludf.DUMMYFUNCTION("""COMPUTED_VALUE"""),"")</f>
        <v/>
      </c>
      <c r="D1915" s="58"/>
      <c r="E1915" s="56"/>
      <c r="F1915" s="54"/>
      <c r="G1915" s="54"/>
      <c r="H1915" s="54"/>
      <c r="I1915" s="54"/>
      <c r="J1915" s="54"/>
      <c r="K1915" s="54"/>
    </row>
    <row r="1916">
      <c r="A1916" s="57"/>
      <c r="B1916" s="57" t="str">
        <f>IFERROR(__xludf.DUMMYFUNCTION("""COMPUTED_VALUE"""),"    ")</f>
        <v>    </v>
      </c>
      <c r="C1916" s="57" t="str">
        <f>IFERROR(__xludf.DUMMYFUNCTION("""COMPUTED_VALUE"""),"")</f>
        <v/>
      </c>
      <c r="D1916" s="58"/>
      <c r="E1916" s="56"/>
      <c r="F1916" s="54"/>
      <c r="G1916" s="54"/>
      <c r="H1916" s="54"/>
      <c r="I1916" s="54"/>
      <c r="J1916" s="54"/>
      <c r="K1916" s="54"/>
    </row>
    <row r="1917">
      <c r="A1917" s="57"/>
      <c r="B1917" s="57" t="str">
        <f>IFERROR(__xludf.DUMMYFUNCTION("""COMPUTED_VALUE"""),"    ")</f>
        <v>    </v>
      </c>
      <c r="C1917" s="57" t="str">
        <f>IFERROR(__xludf.DUMMYFUNCTION("""COMPUTED_VALUE"""),"")</f>
        <v/>
      </c>
      <c r="D1917" s="58"/>
      <c r="E1917" s="56"/>
      <c r="F1917" s="54"/>
      <c r="G1917" s="54"/>
      <c r="H1917" s="54"/>
      <c r="I1917" s="54"/>
      <c r="J1917" s="54"/>
      <c r="K1917" s="54"/>
    </row>
    <row r="1918">
      <c r="A1918" s="57"/>
      <c r="B1918" s="57" t="str">
        <f>IFERROR(__xludf.DUMMYFUNCTION("""COMPUTED_VALUE"""),"    ")</f>
        <v>    </v>
      </c>
      <c r="C1918" s="57" t="str">
        <f>IFERROR(__xludf.DUMMYFUNCTION("""COMPUTED_VALUE"""),"")</f>
        <v/>
      </c>
      <c r="D1918" s="58"/>
      <c r="E1918" s="56"/>
      <c r="F1918" s="54"/>
      <c r="G1918" s="54"/>
      <c r="H1918" s="54"/>
      <c r="I1918" s="54"/>
      <c r="J1918" s="54"/>
      <c r="K1918" s="54"/>
    </row>
    <row r="1919">
      <c r="A1919" s="57"/>
      <c r="B1919" s="57" t="str">
        <f>IFERROR(__xludf.DUMMYFUNCTION("""COMPUTED_VALUE"""),"    ")</f>
        <v>    </v>
      </c>
      <c r="C1919" s="57" t="str">
        <f>IFERROR(__xludf.DUMMYFUNCTION("""COMPUTED_VALUE"""),"")</f>
        <v/>
      </c>
      <c r="D1919" s="58"/>
      <c r="E1919" s="56"/>
      <c r="F1919" s="54"/>
      <c r="G1919" s="54"/>
      <c r="H1919" s="54"/>
      <c r="I1919" s="54"/>
      <c r="J1919" s="54"/>
      <c r="K1919" s="54"/>
    </row>
    <row r="1920">
      <c r="A1920" s="57"/>
      <c r="B1920" s="57" t="str">
        <f>IFERROR(__xludf.DUMMYFUNCTION("""COMPUTED_VALUE"""),"    ")</f>
        <v>    </v>
      </c>
      <c r="C1920" s="57" t="str">
        <f>IFERROR(__xludf.DUMMYFUNCTION("""COMPUTED_VALUE"""),"")</f>
        <v/>
      </c>
      <c r="D1920" s="58"/>
      <c r="E1920" s="56"/>
      <c r="F1920" s="54"/>
      <c r="G1920" s="54"/>
      <c r="H1920" s="54"/>
      <c r="I1920" s="54"/>
      <c r="J1920" s="54"/>
      <c r="K1920" s="54"/>
    </row>
    <row r="1921">
      <c r="A1921" s="57"/>
      <c r="B1921" s="57" t="str">
        <f>IFERROR(__xludf.DUMMYFUNCTION("""COMPUTED_VALUE"""),"    ")</f>
        <v>    </v>
      </c>
      <c r="C1921" s="57" t="str">
        <f>IFERROR(__xludf.DUMMYFUNCTION("""COMPUTED_VALUE"""),"")</f>
        <v/>
      </c>
      <c r="D1921" s="58"/>
      <c r="E1921" s="56"/>
      <c r="F1921" s="54"/>
      <c r="G1921" s="54"/>
      <c r="H1921" s="54"/>
      <c r="I1921" s="54"/>
      <c r="J1921" s="54"/>
      <c r="K1921" s="54"/>
    </row>
    <row r="1922">
      <c r="A1922" s="57"/>
      <c r="B1922" s="57" t="str">
        <f>IFERROR(__xludf.DUMMYFUNCTION("""COMPUTED_VALUE"""),"    ")</f>
        <v>    </v>
      </c>
      <c r="C1922" s="57" t="str">
        <f>IFERROR(__xludf.DUMMYFUNCTION("""COMPUTED_VALUE"""),"")</f>
        <v/>
      </c>
      <c r="D1922" s="58"/>
      <c r="E1922" s="56"/>
      <c r="F1922" s="54"/>
      <c r="G1922" s="54"/>
      <c r="H1922" s="54"/>
      <c r="I1922" s="54"/>
      <c r="J1922" s="54"/>
      <c r="K1922" s="54"/>
    </row>
    <row r="1923">
      <c r="A1923" s="57"/>
      <c r="B1923" s="57" t="str">
        <f>IFERROR(__xludf.DUMMYFUNCTION("""COMPUTED_VALUE"""),"    ")</f>
        <v>    </v>
      </c>
      <c r="C1923" s="57" t="str">
        <f>IFERROR(__xludf.DUMMYFUNCTION("""COMPUTED_VALUE"""),"")</f>
        <v/>
      </c>
      <c r="D1923" s="58"/>
      <c r="E1923" s="56"/>
      <c r="F1923" s="54"/>
      <c r="G1923" s="54"/>
      <c r="H1923" s="54"/>
      <c r="I1923" s="54"/>
      <c r="J1923" s="54"/>
      <c r="K1923" s="54"/>
    </row>
    <row r="1924">
      <c r="A1924" s="57"/>
      <c r="B1924" s="57" t="str">
        <f>IFERROR(__xludf.DUMMYFUNCTION("""COMPUTED_VALUE"""),"    ")</f>
        <v>    </v>
      </c>
      <c r="C1924" s="57" t="str">
        <f>IFERROR(__xludf.DUMMYFUNCTION("""COMPUTED_VALUE"""),"")</f>
        <v/>
      </c>
      <c r="D1924" s="58"/>
      <c r="E1924" s="56"/>
      <c r="F1924" s="54"/>
      <c r="G1924" s="54"/>
      <c r="H1924" s="54"/>
      <c r="I1924" s="54"/>
      <c r="J1924" s="54"/>
      <c r="K1924" s="54"/>
    </row>
    <row r="1925">
      <c r="A1925" s="57"/>
      <c r="B1925" s="57" t="str">
        <f>IFERROR(__xludf.DUMMYFUNCTION("""COMPUTED_VALUE"""),"    ")</f>
        <v>    </v>
      </c>
      <c r="C1925" s="57" t="str">
        <f>IFERROR(__xludf.DUMMYFUNCTION("""COMPUTED_VALUE"""),"")</f>
        <v/>
      </c>
      <c r="D1925" s="58"/>
      <c r="E1925" s="56"/>
      <c r="F1925" s="54"/>
      <c r="G1925" s="54"/>
      <c r="H1925" s="54"/>
      <c r="I1925" s="54"/>
      <c r="J1925" s="54"/>
      <c r="K1925" s="54"/>
    </row>
    <row r="1926">
      <c r="A1926" s="57"/>
      <c r="B1926" s="57" t="str">
        <f>IFERROR(__xludf.DUMMYFUNCTION("""COMPUTED_VALUE"""),"    ")</f>
        <v>    </v>
      </c>
      <c r="C1926" s="57" t="str">
        <f>IFERROR(__xludf.DUMMYFUNCTION("""COMPUTED_VALUE"""),"")</f>
        <v/>
      </c>
      <c r="D1926" s="58"/>
      <c r="E1926" s="56"/>
      <c r="F1926" s="54"/>
      <c r="G1926" s="54"/>
      <c r="H1926" s="54"/>
      <c r="I1926" s="54"/>
      <c r="J1926" s="54"/>
      <c r="K1926" s="54"/>
    </row>
    <row r="1927">
      <c r="A1927" s="57"/>
      <c r="B1927" s="57" t="str">
        <f>IFERROR(__xludf.DUMMYFUNCTION("""COMPUTED_VALUE"""),"    ")</f>
        <v>    </v>
      </c>
      <c r="C1927" s="57" t="str">
        <f>IFERROR(__xludf.DUMMYFUNCTION("""COMPUTED_VALUE"""),"")</f>
        <v/>
      </c>
      <c r="D1927" s="58"/>
      <c r="E1927" s="56"/>
      <c r="F1927" s="54"/>
      <c r="G1927" s="54"/>
      <c r="H1927" s="54"/>
      <c r="I1927" s="54"/>
      <c r="J1927" s="54"/>
      <c r="K1927" s="54"/>
    </row>
    <row r="1928">
      <c r="A1928" s="57"/>
      <c r="B1928" s="57" t="str">
        <f>IFERROR(__xludf.DUMMYFUNCTION("""COMPUTED_VALUE"""),"    ")</f>
        <v>    </v>
      </c>
      <c r="C1928" s="57" t="str">
        <f>IFERROR(__xludf.DUMMYFUNCTION("""COMPUTED_VALUE"""),"")</f>
        <v/>
      </c>
      <c r="D1928" s="58"/>
      <c r="E1928" s="56"/>
      <c r="F1928" s="54"/>
      <c r="G1928" s="54"/>
      <c r="H1928" s="54"/>
      <c r="I1928" s="54"/>
      <c r="J1928" s="54"/>
      <c r="K1928" s="54"/>
    </row>
    <row r="1929">
      <c r="A1929" s="57"/>
      <c r="B1929" s="57" t="str">
        <f>IFERROR(__xludf.DUMMYFUNCTION("""COMPUTED_VALUE"""),"    ")</f>
        <v>    </v>
      </c>
      <c r="C1929" s="57" t="str">
        <f>IFERROR(__xludf.DUMMYFUNCTION("""COMPUTED_VALUE"""),"")</f>
        <v/>
      </c>
      <c r="D1929" s="58"/>
      <c r="E1929" s="56"/>
      <c r="F1929" s="54"/>
      <c r="G1929" s="54"/>
      <c r="H1929" s="54"/>
      <c r="I1929" s="54"/>
      <c r="J1929" s="54"/>
      <c r="K1929" s="54"/>
    </row>
    <row r="1930">
      <c r="A1930" s="57"/>
      <c r="B1930" s="57" t="str">
        <f>IFERROR(__xludf.DUMMYFUNCTION("""COMPUTED_VALUE"""),"    ")</f>
        <v>    </v>
      </c>
      <c r="C1930" s="57" t="str">
        <f>IFERROR(__xludf.DUMMYFUNCTION("""COMPUTED_VALUE"""),"")</f>
        <v/>
      </c>
      <c r="D1930" s="58"/>
      <c r="E1930" s="56"/>
      <c r="F1930" s="54"/>
      <c r="G1930" s="54"/>
      <c r="H1930" s="54"/>
      <c r="I1930" s="54"/>
      <c r="J1930" s="54"/>
      <c r="K1930" s="54"/>
    </row>
    <row r="1931">
      <c r="A1931" s="57"/>
      <c r="B1931" s="57" t="str">
        <f>IFERROR(__xludf.DUMMYFUNCTION("""COMPUTED_VALUE"""),"    ")</f>
        <v>    </v>
      </c>
      <c r="C1931" s="57" t="str">
        <f>IFERROR(__xludf.DUMMYFUNCTION("""COMPUTED_VALUE"""),"")</f>
        <v/>
      </c>
      <c r="D1931" s="58"/>
      <c r="E1931" s="56"/>
      <c r="F1931" s="54"/>
      <c r="G1931" s="54"/>
      <c r="H1931" s="54"/>
      <c r="I1931" s="54"/>
      <c r="J1931" s="54"/>
      <c r="K1931" s="54"/>
    </row>
    <row r="1932">
      <c r="A1932" s="57"/>
      <c r="B1932" s="57" t="str">
        <f>IFERROR(__xludf.DUMMYFUNCTION("""COMPUTED_VALUE"""),"    ")</f>
        <v>    </v>
      </c>
      <c r="C1932" s="57" t="str">
        <f>IFERROR(__xludf.DUMMYFUNCTION("""COMPUTED_VALUE"""),"")</f>
        <v/>
      </c>
      <c r="D1932" s="58"/>
      <c r="E1932" s="56"/>
      <c r="F1932" s="54"/>
      <c r="G1932" s="54"/>
      <c r="H1932" s="54"/>
      <c r="I1932" s="54"/>
      <c r="J1932" s="54"/>
      <c r="K1932" s="54"/>
    </row>
    <row r="1933">
      <c r="A1933" s="57"/>
      <c r="B1933" s="57" t="str">
        <f>IFERROR(__xludf.DUMMYFUNCTION("""COMPUTED_VALUE"""),"    ")</f>
        <v>    </v>
      </c>
      <c r="C1933" s="57" t="str">
        <f>IFERROR(__xludf.DUMMYFUNCTION("""COMPUTED_VALUE"""),"")</f>
        <v/>
      </c>
      <c r="D1933" s="58"/>
      <c r="E1933" s="56"/>
      <c r="F1933" s="54"/>
      <c r="G1933" s="54"/>
      <c r="H1933" s="54"/>
      <c r="I1933" s="54"/>
      <c r="J1933" s="54"/>
      <c r="K1933" s="54"/>
    </row>
    <row r="1934">
      <c r="A1934" s="57"/>
      <c r="B1934" s="57" t="str">
        <f>IFERROR(__xludf.DUMMYFUNCTION("""COMPUTED_VALUE"""),"    ")</f>
        <v>    </v>
      </c>
      <c r="C1934" s="57" t="str">
        <f>IFERROR(__xludf.DUMMYFUNCTION("""COMPUTED_VALUE"""),"")</f>
        <v/>
      </c>
      <c r="D1934" s="58"/>
      <c r="E1934" s="56"/>
      <c r="F1934" s="54"/>
      <c r="G1934" s="54"/>
      <c r="H1934" s="54"/>
      <c r="I1934" s="54"/>
      <c r="J1934" s="54"/>
      <c r="K1934" s="54"/>
    </row>
    <row r="1935">
      <c r="A1935" s="57"/>
      <c r="B1935" s="57" t="str">
        <f>IFERROR(__xludf.DUMMYFUNCTION("""COMPUTED_VALUE"""),"    ")</f>
        <v>    </v>
      </c>
      <c r="C1935" s="57" t="str">
        <f>IFERROR(__xludf.DUMMYFUNCTION("""COMPUTED_VALUE"""),"")</f>
        <v/>
      </c>
      <c r="D1935" s="58"/>
      <c r="E1935" s="56"/>
      <c r="F1935" s="54"/>
      <c r="G1935" s="54"/>
      <c r="H1935" s="54"/>
      <c r="I1935" s="54"/>
      <c r="J1935" s="54"/>
      <c r="K1935" s="54"/>
    </row>
    <row r="1936">
      <c r="A1936" s="57"/>
      <c r="B1936" s="57" t="str">
        <f>IFERROR(__xludf.DUMMYFUNCTION("""COMPUTED_VALUE"""),"    ")</f>
        <v>    </v>
      </c>
      <c r="C1936" s="57" t="str">
        <f>IFERROR(__xludf.DUMMYFUNCTION("""COMPUTED_VALUE"""),"")</f>
        <v/>
      </c>
      <c r="D1936" s="58"/>
      <c r="E1936" s="56"/>
      <c r="F1936" s="54"/>
      <c r="G1936" s="54"/>
      <c r="H1936" s="54"/>
      <c r="I1936" s="54"/>
      <c r="J1936" s="54"/>
      <c r="K1936" s="54"/>
    </row>
    <row r="1937">
      <c r="A1937" s="57"/>
      <c r="B1937" s="57" t="str">
        <f>IFERROR(__xludf.DUMMYFUNCTION("""COMPUTED_VALUE"""),"    ")</f>
        <v>    </v>
      </c>
      <c r="C1937" s="57" t="str">
        <f>IFERROR(__xludf.DUMMYFUNCTION("""COMPUTED_VALUE"""),"")</f>
        <v/>
      </c>
      <c r="D1937" s="58"/>
      <c r="E1937" s="56"/>
      <c r="F1937" s="54"/>
      <c r="G1937" s="54"/>
      <c r="H1937" s="54"/>
      <c r="I1937" s="54"/>
      <c r="J1937" s="54"/>
      <c r="K1937" s="54"/>
    </row>
    <row r="1938">
      <c r="A1938" s="57"/>
      <c r="B1938" s="57" t="str">
        <f>IFERROR(__xludf.DUMMYFUNCTION("""COMPUTED_VALUE"""),"    ")</f>
        <v>    </v>
      </c>
      <c r="C1938" s="57" t="str">
        <f>IFERROR(__xludf.DUMMYFUNCTION("""COMPUTED_VALUE"""),"")</f>
        <v/>
      </c>
      <c r="D1938" s="58"/>
      <c r="E1938" s="56"/>
      <c r="F1938" s="54"/>
      <c r="G1938" s="54"/>
      <c r="H1938" s="54"/>
      <c r="I1938" s="54"/>
      <c r="J1938" s="54"/>
      <c r="K1938" s="54"/>
    </row>
    <row r="1939">
      <c r="A1939" s="57"/>
      <c r="B1939" s="57" t="str">
        <f>IFERROR(__xludf.DUMMYFUNCTION("""COMPUTED_VALUE"""),"    ")</f>
        <v>    </v>
      </c>
      <c r="C1939" s="57" t="str">
        <f>IFERROR(__xludf.DUMMYFUNCTION("""COMPUTED_VALUE"""),"")</f>
        <v/>
      </c>
      <c r="D1939" s="58"/>
      <c r="E1939" s="56"/>
      <c r="F1939" s="54"/>
      <c r="G1939" s="54"/>
      <c r="H1939" s="54"/>
      <c r="I1939" s="54"/>
      <c r="J1939" s="54"/>
      <c r="K1939" s="54"/>
    </row>
    <row r="1940">
      <c r="A1940" s="57"/>
      <c r="B1940" s="57" t="str">
        <f>IFERROR(__xludf.DUMMYFUNCTION("""COMPUTED_VALUE"""),"    ")</f>
        <v>    </v>
      </c>
      <c r="C1940" s="57" t="str">
        <f>IFERROR(__xludf.DUMMYFUNCTION("""COMPUTED_VALUE"""),"")</f>
        <v/>
      </c>
      <c r="D1940" s="58"/>
      <c r="E1940" s="56"/>
      <c r="F1940" s="54"/>
      <c r="G1940" s="54"/>
      <c r="H1940" s="54"/>
      <c r="I1940" s="54"/>
      <c r="J1940" s="54"/>
      <c r="K1940" s="54"/>
    </row>
    <row r="1941">
      <c r="A1941" s="57"/>
      <c r="B1941" s="57" t="str">
        <f>IFERROR(__xludf.DUMMYFUNCTION("""COMPUTED_VALUE"""),"    ")</f>
        <v>    </v>
      </c>
      <c r="C1941" s="57" t="str">
        <f>IFERROR(__xludf.DUMMYFUNCTION("""COMPUTED_VALUE"""),"")</f>
        <v/>
      </c>
      <c r="D1941" s="58"/>
      <c r="E1941" s="56"/>
      <c r="F1941" s="54"/>
      <c r="G1941" s="54"/>
      <c r="H1941" s="54"/>
      <c r="I1941" s="54"/>
      <c r="J1941" s="54"/>
      <c r="K1941" s="54"/>
    </row>
    <row r="1942">
      <c r="A1942" s="57"/>
      <c r="B1942" s="57" t="str">
        <f>IFERROR(__xludf.DUMMYFUNCTION("""COMPUTED_VALUE"""),"    ")</f>
        <v>    </v>
      </c>
      <c r="C1942" s="57" t="str">
        <f>IFERROR(__xludf.DUMMYFUNCTION("""COMPUTED_VALUE"""),"")</f>
        <v/>
      </c>
      <c r="D1942" s="58"/>
      <c r="E1942" s="56"/>
      <c r="F1942" s="54"/>
      <c r="G1942" s="54"/>
      <c r="H1942" s="54"/>
      <c r="I1942" s="54"/>
      <c r="J1942" s="54"/>
      <c r="K1942" s="54"/>
    </row>
    <row r="1943">
      <c r="A1943" s="57"/>
      <c r="B1943" s="57" t="str">
        <f>IFERROR(__xludf.DUMMYFUNCTION("""COMPUTED_VALUE"""),"    ")</f>
        <v>    </v>
      </c>
      <c r="C1943" s="57" t="str">
        <f>IFERROR(__xludf.DUMMYFUNCTION("""COMPUTED_VALUE"""),"")</f>
        <v/>
      </c>
      <c r="D1943" s="58"/>
      <c r="E1943" s="56"/>
      <c r="F1943" s="54"/>
      <c r="G1943" s="54"/>
      <c r="H1943" s="54"/>
      <c r="I1943" s="54"/>
      <c r="J1943" s="54"/>
      <c r="K1943" s="54"/>
    </row>
    <row r="1944">
      <c r="A1944" s="57"/>
      <c r="B1944" s="57" t="str">
        <f>IFERROR(__xludf.DUMMYFUNCTION("""COMPUTED_VALUE"""),"    ")</f>
        <v>    </v>
      </c>
      <c r="C1944" s="57" t="str">
        <f>IFERROR(__xludf.DUMMYFUNCTION("""COMPUTED_VALUE"""),"")</f>
        <v/>
      </c>
      <c r="D1944" s="58"/>
      <c r="E1944" s="56"/>
      <c r="F1944" s="54"/>
      <c r="G1944" s="54"/>
      <c r="H1944" s="54"/>
      <c r="I1944" s="54"/>
      <c r="J1944" s="54"/>
      <c r="K1944" s="54"/>
    </row>
    <row r="1945">
      <c r="A1945" s="57"/>
      <c r="B1945" s="57" t="str">
        <f>IFERROR(__xludf.DUMMYFUNCTION("""COMPUTED_VALUE"""),"    ")</f>
        <v>    </v>
      </c>
      <c r="C1945" s="57" t="str">
        <f>IFERROR(__xludf.DUMMYFUNCTION("""COMPUTED_VALUE"""),"")</f>
        <v/>
      </c>
      <c r="D1945" s="58"/>
      <c r="E1945" s="56"/>
      <c r="F1945" s="54"/>
      <c r="G1945" s="54"/>
      <c r="H1945" s="54"/>
      <c r="I1945" s="54"/>
      <c r="J1945" s="54"/>
      <c r="K1945" s="54"/>
    </row>
    <row r="1946">
      <c r="A1946" s="57"/>
      <c r="B1946" s="57" t="str">
        <f>IFERROR(__xludf.DUMMYFUNCTION("""COMPUTED_VALUE"""),"    ")</f>
        <v>    </v>
      </c>
      <c r="C1946" s="57" t="str">
        <f>IFERROR(__xludf.DUMMYFUNCTION("""COMPUTED_VALUE"""),"")</f>
        <v/>
      </c>
      <c r="D1946" s="58"/>
      <c r="E1946" s="56"/>
      <c r="F1946" s="54"/>
      <c r="G1946" s="54"/>
      <c r="H1946" s="54"/>
      <c r="I1946" s="54"/>
      <c r="J1946" s="54"/>
      <c r="K1946" s="54"/>
    </row>
    <row r="1947">
      <c r="A1947" s="57"/>
      <c r="B1947" s="57" t="str">
        <f>IFERROR(__xludf.DUMMYFUNCTION("""COMPUTED_VALUE"""),"    ")</f>
        <v>    </v>
      </c>
      <c r="C1947" s="57" t="str">
        <f>IFERROR(__xludf.DUMMYFUNCTION("""COMPUTED_VALUE"""),"")</f>
        <v/>
      </c>
      <c r="D1947" s="58"/>
      <c r="E1947" s="56"/>
      <c r="F1947" s="54"/>
      <c r="G1947" s="54"/>
      <c r="H1947" s="54"/>
      <c r="I1947" s="54"/>
      <c r="J1947" s="54"/>
      <c r="K1947" s="54"/>
    </row>
    <row r="1948">
      <c r="A1948" s="57"/>
      <c r="B1948" s="57" t="str">
        <f>IFERROR(__xludf.DUMMYFUNCTION("""COMPUTED_VALUE"""),"    ")</f>
        <v>    </v>
      </c>
      <c r="C1948" s="57" t="str">
        <f>IFERROR(__xludf.DUMMYFUNCTION("""COMPUTED_VALUE"""),"")</f>
        <v/>
      </c>
      <c r="D1948" s="58"/>
      <c r="E1948" s="56"/>
      <c r="F1948" s="54"/>
      <c r="G1948" s="54"/>
      <c r="H1948" s="54"/>
      <c r="I1948" s="54"/>
      <c r="J1948" s="54"/>
      <c r="K1948" s="54"/>
    </row>
    <row r="1949">
      <c r="A1949" s="57"/>
      <c r="B1949" s="57" t="str">
        <f>IFERROR(__xludf.DUMMYFUNCTION("""COMPUTED_VALUE"""),"    ")</f>
        <v>    </v>
      </c>
      <c r="C1949" s="57" t="str">
        <f>IFERROR(__xludf.DUMMYFUNCTION("""COMPUTED_VALUE"""),"")</f>
        <v/>
      </c>
      <c r="D1949" s="58"/>
      <c r="E1949" s="56"/>
      <c r="F1949" s="54"/>
      <c r="G1949" s="54"/>
      <c r="H1949" s="54"/>
      <c r="I1949" s="54"/>
      <c r="J1949" s="54"/>
      <c r="K1949" s="54"/>
    </row>
    <row r="1950">
      <c r="A1950" s="57"/>
      <c r="B1950" s="57" t="str">
        <f>IFERROR(__xludf.DUMMYFUNCTION("""COMPUTED_VALUE"""),"    ")</f>
        <v>    </v>
      </c>
      <c r="C1950" s="57" t="str">
        <f>IFERROR(__xludf.DUMMYFUNCTION("""COMPUTED_VALUE"""),"")</f>
        <v/>
      </c>
      <c r="D1950" s="58"/>
      <c r="E1950" s="56"/>
      <c r="F1950" s="54"/>
      <c r="G1950" s="54"/>
      <c r="H1950" s="54"/>
      <c r="I1950" s="54"/>
      <c r="J1950" s="54"/>
      <c r="K1950" s="54"/>
    </row>
    <row r="1951">
      <c r="A1951" s="57"/>
      <c r="B1951" s="57" t="str">
        <f>IFERROR(__xludf.DUMMYFUNCTION("""COMPUTED_VALUE"""),"    ")</f>
        <v>    </v>
      </c>
      <c r="C1951" s="57" t="str">
        <f>IFERROR(__xludf.DUMMYFUNCTION("""COMPUTED_VALUE"""),"")</f>
        <v/>
      </c>
      <c r="D1951" s="58"/>
      <c r="E1951" s="56"/>
      <c r="F1951" s="54"/>
      <c r="G1951" s="54"/>
      <c r="H1951" s="54"/>
      <c r="I1951" s="54"/>
      <c r="J1951" s="54"/>
      <c r="K1951" s="54"/>
    </row>
    <row r="1952">
      <c r="A1952" s="57"/>
      <c r="B1952" s="57" t="str">
        <f>IFERROR(__xludf.DUMMYFUNCTION("""COMPUTED_VALUE"""),"    ")</f>
        <v>    </v>
      </c>
      <c r="C1952" s="57" t="str">
        <f>IFERROR(__xludf.DUMMYFUNCTION("""COMPUTED_VALUE"""),"")</f>
        <v/>
      </c>
      <c r="D1952" s="58"/>
      <c r="E1952" s="56"/>
      <c r="F1952" s="54"/>
      <c r="G1952" s="54"/>
      <c r="H1952" s="54"/>
      <c r="I1952" s="54"/>
      <c r="J1952" s="54"/>
      <c r="K1952" s="54"/>
    </row>
    <row r="1953">
      <c r="A1953" s="57"/>
      <c r="B1953" s="57" t="str">
        <f>IFERROR(__xludf.DUMMYFUNCTION("""COMPUTED_VALUE"""),"    ")</f>
        <v>    </v>
      </c>
      <c r="C1953" s="57" t="str">
        <f>IFERROR(__xludf.DUMMYFUNCTION("""COMPUTED_VALUE"""),"")</f>
        <v/>
      </c>
      <c r="D1953" s="58"/>
      <c r="E1953" s="56"/>
      <c r="F1953" s="54"/>
      <c r="G1953" s="54"/>
      <c r="H1953" s="54"/>
      <c r="I1953" s="54"/>
      <c r="J1953" s="54"/>
      <c r="K1953" s="54"/>
    </row>
    <row r="1954">
      <c r="A1954" s="57"/>
      <c r="B1954" s="57" t="str">
        <f>IFERROR(__xludf.DUMMYFUNCTION("""COMPUTED_VALUE"""),"    ")</f>
        <v>    </v>
      </c>
      <c r="C1954" s="57" t="str">
        <f>IFERROR(__xludf.DUMMYFUNCTION("""COMPUTED_VALUE"""),"")</f>
        <v/>
      </c>
      <c r="D1954" s="58"/>
      <c r="E1954" s="56"/>
      <c r="F1954" s="54"/>
      <c r="G1954" s="54"/>
      <c r="H1954" s="54"/>
      <c r="I1954" s="54"/>
      <c r="J1954" s="54"/>
      <c r="K1954" s="54"/>
    </row>
    <row r="1955">
      <c r="A1955" s="57"/>
      <c r="B1955" s="57" t="str">
        <f>IFERROR(__xludf.DUMMYFUNCTION("""COMPUTED_VALUE"""),"    ")</f>
        <v>    </v>
      </c>
      <c r="C1955" s="57" t="str">
        <f>IFERROR(__xludf.DUMMYFUNCTION("""COMPUTED_VALUE"""),"")</f>
        <v/>
      </c>
      <c r="D1955" s="58"/>
      <c r="E1955" s="56"/>
      <c r="F1955" s="54"/>
      <c r="G1955" s="54"/>
      <c r="H1955" s="54"/>
      <c r="I1955" s="54"/>
      <c r="J1955" s="54"/>
      <c r="K1955" s="54"/>
    </row>
    <row r="1956">
      <c r="A1956" s="57"/>
      <c r="B1956" s="57" t="str">
        <f>IFERROR(__xludf.DUMMYFUNCTION("""COMPUTED_VALUE"""),"    ")</f>
        <v>    </v>
      </c>
      <c r="C1956" s="57" t="str">
        <f>IFERROR(__xludf.DUMMYFUNCTION("""COMPUTED_VALUE"""),"")</f>
        <v/>
      </c>
      <c r="D1956" s="58"/>
      <c r="E1956" s="56"/>
      <c r="F1956" s="54"/>
      <c r="G1956" s="54"/>
      <c r="H1956" s="54"/>
      <c r="I1956" s="54"/>
      <c r="J1956" s="54"/>
      <c r="K1956" s="54"/>
    </row>
    <row r="1957">
      <c r="A1957" s="57"/>
      <c r="B1957" s="57" t="str">
        <f>IFERROR(__xludf.DUMMYFUNCTION("""COMPUTED_VALUE"""),"    ")</f>
        <v>    </v>
      </c>
      <c r="C1957" s="57" t="str">
        <f>IFERROR(__xludf.DUMMYFUNCTION("""COMPUTED_VALUE"""),"")</f>
        <v/>
      </c>
      <c r="D1957" s="58"/>
      <c r="E1957" s="56"/>
      <c r="F1957" s="54"/>
      <c r="G1957" s="54"/>
      <c r="H1957" s="54"/>
      <c r="I1957" s="54"/>
      <c r="J1957" s="54"/>
      <c r="K1957" s="54"/>
    </row>
    <row r="1958">
      <c r="A1958" s="57"/>
      <c r="B1958" s="57" t="str">
        <f>IFERROR(__xludf.DUMMYFUNCTION("""COMPUTED_VALUE"""),"    ")</f>
        <v>    </v>
      </c>
      <c r="C1958" s="57" t="str">
        <f>IFERROR(__xludf.DUMMYFUNCTION("""COMPUTED_VALUE"""),"")</f>
        <v/>
      </c>
      <c r="D1958" s="58"/>
      <c r="E1958" s="56"/>
      <c r="F1958" s="54"/>
      <c r="G1958" s="54"/>
      <c r="H1958" s="54"/>
      <c r="I1958" s="54"/>
      <c r="J1958" s="54"/>
      <c r="K1958" s="54"/>
    </row>
    <row r="1959">
      <c r="A1959" s="57"/>
      <c r="B1959" s="57" t="str">
        <f>IFERROR(__xludf.DUMMYFUNCTION("""COMPUTED_VALUE"""),"    ")</f>
        <v>    </v>
      </c>
      <c r="C1959" s="57" t="str">
        <f>IFERROR(__xludf.DUMMYFUNCTION("""COMPUTED_VALUE"""),"")</f>
        <v/>
      </c>
      <c r="D1959" s="58"/>
      <c r="E1959" s="56"/>
      <c r="F1959" s="54"/>
      <c r="G1959" s="54"/>
      <c r="H1959" s="54"/>
      <c r="I1959" s="54"/>
      <c r="J1959" s="54"/>
      <c r="K1959" s="54"/>
    </row>
    <row r="1960">
      <c r="A1960" s="57"/>
      <c r="B1960" s="57" t="str">
        <f>IFERROR(__xludf.DUMMYFUNCTION("""COMPUTED_VALUE"""),"    ")</f>
        <v>    </v>
      </c>
      <c r="C1960" s="57" t="str">
        <f>IFERROR(__xludf.DUMMYFUNCTION("""COMPUTED_VALUE"""),"")</f>
        <v/>
      </c>
      <c r="D1960" s="58"/>
      <c r="E1960" s="56"/>
      <c r="F1960" s="54"/>
      <c r="G1960" s="54"/>
      <c r="H1960" s="54"/>
      <c r="I1960" s="54"/>
      <c r="J1960" s="54"/>
      <c r="K1960" s="54"/>
    </row>
    <row r="1961">
      <c r="A1961" s="57"/>
      <c r="B1961" s="57" t="str">
        <f>IFERROR(__xludf.DUMMYFUNCTION("""COMPUTED_VALUE"""),"    ")</f>
        <v>    </v>
      </c>
      <c r="C1961" s="57" t="str">
        <f>IFERROR(__xludf.DUMMYFUNCTION("""COMPUTED_VALUE"""),"")</f>
        <v/>
      </c>
      <c r="D1961" s="58"/>
      <c r="E1961" s="56"/>
      <c r="F1961" s="54"/>
      <c r="G1961" s="54"/>
      <c r="H1961" s="54"/>
      <c r="I1961" s="54"/>
      <c r="J1961" s="54"/>
      <c r="K1961" s="54"/>
    </row>
    <row r="1962">
      <c r="A1962" s="57"/>
      <c r="B1962" s="57" t="str">
        <f>IFERROR(__xludf.DUMMYFUNCTION("""COMPUTED_VALUE"""),"    ")</f>
        <v>    </v>
      </c>
      <c r="C1962" s="57" t="str">
        <f>IFERROR(__xludf.DUMMYFUNCTION("""COMPUTED_VALUE"""),"")</f>
        <v/>
      </c>
      <c r="D1962" s="58"/>
      <c r="E1962" s="56"/>
      <c r="F1962" s="54"/>
      <c r="G1962" s="54"/>
      <c r="H1962" s="54"/>
      <c r="I1962" s="54"/>
      <c r="J1962" s="54"/>
      <c r="K1962" s="54"/>
    </row>
    <row r="1963">
      <c r="A1963" s="57"/>
      <c r="B1963" s="57" t="str">
        <f>IFERROR(__xludf.DUMMYFUNCTION("""COMPUTED_VALUE"""),"    ")</f>
        <v>    </v>
      </c>
      <c r="C1963" s="57" t="str">
        <f>IFERROR(__xludf.DUMMYFUNCTION("""COMPUTED_VALUE"""),"")</f>
        <v/>
      </c>
      <c r="D1963" s="58"/>
      <c r="E1963" s="56"/>
      <c r="F1963" s="54"/>
      <c r="G1963" s="54"/>
      <c r="H1963" s="54"/>
      <c r="I1963" s="54"/>
      <c r="J1963" s="54"/>
      <c r="K1963" s="54"/>
    </row>
    <row r="1964">
      <c r="A1964" s="57"/>
      <c r="B1964" s="57" t="str">
        <f>IFERROR(__xludf.DUMMYFUNCTION("""COMPUTED_VALUE"""),"    ")</f>
        <v>    </v>
      </c>
      <c r="C1964" s="57" t="str">
        <f>IFERROR(__xludf.DUMMYFUNCTION("""COMPUTED_VALUE"""),"")</f>
        <v/>
      </c>
      <c r="D1964" s="58"/>
      <c r="E1964" s="56"/>
      <c r="F1964" s="54"/>
      <c r="G1964" s="54"/>
      <c r="H1964" s="54"/>
      <c r="I1964" s="54"/>
      <c r="J1964" s="54"/>
      <c r="K1964" s="54"/>
    </row>
    <row r="1965">
      <c r="A1965" s="57"/>
      <c r="B1965" s="57" t="str">
        <f>IFERROR(__xludf.DUMMYFUNCTION("""COMPUTED_VALUE"""),"    ")</f>
        <v>    </v>
      </c>
      <c r="C1965" s="57" t="str">
        <f>IFERROR(__xludf.DUMMYFUNCTION("""COMPUTED_VALUE"""),"")</f>
        <v/>
      </c>
      <c r="D1965" s="58"/>
      <c r="E1965" s="56"/>
      <c r="F1965" s="54"/>
      <c r="G1965" s="54"/>
      <c r="H1965" s="54"/>
      <c r="I1965" s="54"/>
      <c r="J1965" s="54"/>
      <c r="K1965" s="54"/>
    </row>
    <row r="1966">
      <c r="A1966" s="57"/>
      <c r="B1966" s="57" t="str">
        <f>IFERROR(__xludf.DUMMYFUNCTION("""COMPUTED_VALUE"""),"    ")</f>
        <v>    </v>
      </c>
      <c r="C1966" s="57" t="str">
        <f>IFERROR(__xludf.DUMMYFUNCTION("""COMPUTED_VALUE"""),"")</f>
        <v/>
      </c>
      <c r="D1966" s="58"/>
      <c r="E1966" s="56"/>
      <c r="F1966" s="54"/>
      <c r="G1966" s="54"/>
      <c r="H1966" s="54"/>
      <c r="I1966" s="54"/>
      <c r="J1966" s="54"/>
      <c r="K1966" s="54"/>
    </row>
    <row r="1967">
      <c r="A1967" s="57"/>
      <c r="B1967" s="57" t="str">
        <f>IFERROR(__xludf.DUMMYFUNCTION("""COMPUTED_VALUE"""),"    ")</f>
        <v>    </v>
      </c>
      <c r="C1967" s="57" t="str">
        <f>IFERROR(__xludf.DUMMYFUNCTION("""COMPUTED_VALUE"""),"")</f>
        <v/>
      </c>
      <c r="D1967" s="58"/>
      <c r="E1967" s="56"/>
      <c r="F1967" s="54"/>
      <c r="G1967" s="54"/>
      <c r="H1967" s="54"/>
      <c r="I1967" s="54"/>
      <c r="J1967" s="54"/>
      <c r="K1967" s="54"/>
    </row>
    <row r="1968">
      <c r="A1968" s="57"/>
      <c r="B1968" s="57" t="str">
        <f>IFERROR(__xludf.DUMMYFUNCTION("""COMPUTED_VALUE"""),"    ")</f>
        <v>    </v>
      </c>
      <c r="C1968" s="57" t="str">
        <f>IFERROR(__xludf.DUMMYFUNCTION("""COMPUTED_VALUE"""),"")</f>
        <v/>
      </c>
      <c r="D1968" s="58"/>
      <c r="E1968" s="56"/>
      <c r="F1968" s="54"/>
      <c r="G1968" s="54"/>
      <c r="H1968" s="54"/>
      <c r="I1968" s="54"/>
      <c r="J1968" s="54"/>
      <c r="K1968" s="54"/>
    </row>
    <row r="1969">
      <c r="A1969" s="57"/>
      <c r="B1969" s="57" t="str">
        <f>IFERROR(__xludf.DUMMYFUNCTION("""COMPUTED_VALUE"""),"    ")</f>
        <v>    </v>
      </c>
      <c r="C1969" s="57" t="str">
        <f>IFERROR(__xludf.DUMMYFUNCTION("""COMPUTED_VALUE"""),"")</f>
        <v/>
      </c>
      <c r="D1969" s="58"/>
      <c r="E1969" s="56"/>
      <c r="F1969" s="54"/>
      <c r="G1969" s="54"/>
      <c r="H1969" s="54"/>
      <c r="I1969" s="54"/>
      <c r="J1969" s="54"/>
      <c r="K1969" s="54"/>
    </row>
    <row r="1970">
      <c r="A1970" s="57"/>
      <c r="B1970" s="57" t="str">
        <f>IFERROR(__xludf.DUMMYFUNCTION("""COMPUTED_VALUE"""),"    ")</f>
        <v>    </v>
      </c>
      <c r="C1970" s="57" t="str">
        <f>IFERROR(__xludf.DUMMYFUNCTION("""COMPUTED_VALUE"""),"")</f>
        <v/>
      </c>
      <c r="D1970" s="58"/>
      <c r="E1970" s="56"/>
      <c r="F1970" s="54"/>
      <c r="G1970" s="54"/>
      <c r="H1970" s="54"/>
      <c r="I1970" s="54"/>
      <c r="J1970" s="54"/>
      <c r="K1970" s="54"/>
    </row>
    <row r="1971">
      <c r="A1971" s="57"/>
      <c r="B1971" s="57" t="str">
        <f>IFERROR(__xludf.DUMMYFUNCTION("""COMPUTED_VALUE"""),"    ")</f>
        <v>    </v>
      </c>
      <c r="C1971" s="57" t="str">
        <f>IFERROR(__xludf.DUMMYFUNCTION("""COMPUTED_VALUE"""),"")</f>
        <v/>
      </c>
      <c r="D1971" s="58"/>
      <c r="E1971" s="56"/>
      <c r="F1971" s="54"/>
      <c r="G1971" s="54"/>
      <c r="H1971" s="54"/>
      <c r="I1971" s="54"/>
      <c r="J1971" s="54"/>
      <c r="K1971" s="54"/>
    </row>
    <row r="1972">
      <c r="A1972" s="57"/>
      <c r="B1972" s="57" t="str">
        <f>IFERROR(__xludf.DUMMYFUNCTION("""COMPUTED_VALUE"""),"    ")</f>
        <v>    </v>
      </c>
      <c r="C1972" s="57" t="str">
        <f>IFERROR(__xludf.DUMMYFUNCTION("""COMPUTED_VALUE"""),"")</f>
        <v/>
      </c>
      <c r="D1972" s="58"/>
      <c r="E1972" s="56"/>
      <c r="F1972" s="54"/>
      <c r="G1972" s="54"/>
      <c r="H1972" s="54"/>
      <c r="I1972" s="54"/>
      <c r="J1972" s="54"/>
      <c r="K1972" s="54"/>
    </row>
    <row r="1973">
      <c r="A1973" s="57"/>
      <c r="B1973" s="57" t="str">
        <f>IFERROR(__xludf.DUMMYFUNCTION("""COMPUTED_VALUE"""),"    ")</f>
        <v>    </v>
      </c>
      <c r="C1973" s="57" t="str">
        <f>IFERROR(__xludf.DUMMYFUNCTION("""COMPUTED_VALUE"""),"")</f>
        <v/>
      </c>
      <c r="D1973" s="58"/>
      <c r="E1973" s="56"/>
      <c r="F1973" s="54"/>
      <c r="G1973" s="54"/>
      <c r="H1973" s="54"/>
      <c r="I1973" s="54"/>
      <c r="J1973" s="54"/>
      <c r="K1973" s="54"/>
    </row>
    <row r="1974">
      <c r="A1974" s="57"/>
      <c r="B1974" s="57" t="str">
        <f>IFERROR(__xludf.DUMMYFUNCTION("""COMPUTED_VALUE"""),"    ")</f>
        <v>    </v>
      </c>
      <c r="C1974" s="57" t="str">
        <f>IFERROR(__xludf.DUMMYFUNCTION("""COMPUTED_VALUE"""),"")</f>
        <v/>
      </c>
      <c r="D1974" s="58"/>
      <c r="E1974" s="56"/>
      <c r="F1974" s="54"/>
      <c r="G1974" s="54"/>
      <c r="H1974" s="54"/>
      <c r="I1974" s="54"/>
      <c r="J1974" s="54"/>
      <c r="K1974" s="54"/>
    </row>
    <row r="1975">
      <c r="A1975" s="57"/>
      <c r="B1975" s="57" t="str">
        <f>IFERROR(__xludf.DUMMYFUNCTION("""COMPUTED_VALUE"""),"    ")</f>
        <v>    </v>
      </c>
      <c r="C1975" s="57" t="str">
        <f>IFERROR(__xludf.DUMMYFUNCTION("""COMPUTED_VALUE"""),"")</f>
        <v/>
      </c>
      <c r="D1975" s="58"/>
      <c r="E1975" s="56"/>
      <c r="F1975" s="54"/>
      <c r="G1975" s="54"/>
      <c r="H1975" s="54"/>
      <c r="I1975" s="54"/>
      <c r="J1975" s="54"/>
      <c r="K1975" s="54"/>
    </row>
    <row r="1976">
      <c r="A1976" s="57"/>
      <c r="B1976" s="57" t="str">
        <f>IFERROR(__xludf.DUMMYFUNCTION("""COMPUTED_VALUE"""),"    ")</f>
        <v>    </v>
      </c>
      <c r="C1976" s="57" t="str">
        <f>IFERROR(__xludf.DUMMYFUNCTION("""COMPUTED_VALUE"""),"")</f>
        <v/>
      </c>
      <c r="D1976" s="58"/>
      <c r="E1976" s="56"/>
      <c r="F1976" s="54"/>
      <c r="G1976" s="54"/>
      <c r="H1976" s="54"/>
      <c r="I1976" s="54"/>
      <c r="J1976" s="54"/>
      <c r="K1976" s="54"/>
    </row>
    <row r="1977">
      <c r="A1977" s="57"/>
      <c r="B1977" s="57" t="str">
        <f>IFERROR(__xludf.DUMMYFUNCTION("""COMPUTED_VALUE"""),"    ")</f>
        <v>    </v>
      </c>
      <c r="C1977" s="57" t="str">
        <f>IFERROR(__xludf.DUMMYFUNCTION("""COMPUTED_VALUE"""),"")</f>
        <v/>
      </c>
      <c r="D1977" s="58"/>
      <c r="E1977" s="56"/>
      <c r="F1977" s="54"/>
      <c r="G1977" s="54"/>
      <c r="H1977" s="54"/>
      <c r="I1977" s="54"/>
      <c r="J1977" s="54"/>
      <c r="K1977" s="54"/>
    </row>
    <row r="1978">
      <c r="A1978" s="57"/>
      <c r="B1978" s="57" t="str">
        <f>IFERROR(__xludf.DUMMYFUNCTION("""COMPUTED_VALUE"""),"    ")</f>
        <v>    </v>
      </c>
      <c r="C1978" s="57" t="str">
        <f>IFERROR(__xludf.DUMMYFUNCTION("""COMPUTED_VALUE"""),"")</f>
        <v/>
      </c>
      <c r="D1978" s="58"/>
      <c r="E1978" s="56"/>
      <c r="F1978" s="54"/>
      <c r="G1978" s="54"/>
      <c r="H1978" s="54"/>
      <c r="I1978" s="54"/>
      <c r="J1978" s="54"/>
      <c r="K1978" s="54"/>
    </row>
    <row r="1979">
      <c r="A1979" s="57"/>
      <c r="B1979" s="57" t="str">
        <f>IFERROR(__xludf.DUMMYFUNCTION("""COMPUTED_VALUE"""),"    ")</f>
        <v>    </v>
      </c>
      <c r="C1979" s="57" t="str">
        <f>IFERROR(__xludf.DUMMYFUNCTION("""COMPUTED_VALUE"""),"")</f>
        <v/>
      </c>
      <c r="D1979" s="58"/>
      <c r="E1979" s="56"/>
      <c r="F1979" s="54"/>
      <c r="G1979" s="54"/>
      <c r="H1979" s="54"/>
      <c r="I1979" s="54"/>
      <c r="J1979" s="54"/>
      <c r="K1979" s="54"/>
    </row>
    <row r="1980">
      <c r="A1980" s="57"/>
      <c r="B1980" s="57" t="str">
        <f>IFERROR(__xludf.DUMMYFUNCTION("""COMPUTED_VALUE"""),"    ")</f>
        <v>    </v>
      </c>
      <c r="C1980" s="57" t="str">
        <f>IFERROR(__xludf.DUMMYFUNCTION("""COMPUTED_VALUE"""),"")</f>
        <v/>
      </c>
      <c r="D1980" s="58"/>
      <c r="E1980" s="56"/>
      <c r="F1980" s="54"/>
      <c r="G1980" s="54"/>
      <c r="H1980" s="54"/>
      <c r="I1980" s="54"/>
      <c r="J1980" s="54"/>
      <c r="K1980" s="54"/>
    </row>
    <row r="1981">
      <c r="A1981" s="57"/>
      <c r="B1981" s="57" t="str">
        <f>IFERROR(__xludf.DUMMYFUNCTION("""COMPUTED_VALUE"""),"    ")</f>
        <v>    </v>
      </c>
      <c r="C1981" s="57" t="str">
        <f>IFERROR(__xludf.DUMMYFUNCTION("""COMPUTED_VALUE"""),"")</f>
        <v/>
      </c>
      <c r="D1981" s="58"/>
      <c r="E1981" s="56"/>
      <c r="F1981" s="54"/>
      <c r="G1981" s="54"/>
      <c r="H1981" s="54"/>
      <c r="I1981" s="54"/>
      <c r="J1981" s="54"/>
      <c r="K1981" s="54"/>
    </row>
    <row r="1982">
      <c r="A1982" s="57"/>
      <c r="B1982" s="57" t="str">
        <f>IFERROR(__xludf.DUMMYFUNCTION("""COMPUTED_VALUE"""),"    ")</f>
        <v>    </v>
      </c>
      <c r="C1982" s="57" t="str">
        <f>IFERROR(__xludf.DUMMYFUNCTION("""COMPUTED_VALUE"""),"")</f>
        <v/>
      </c>
      <c r="D1982" s="58"/>
      <c r="E1982" s="56"/>
      <c r="F1982" s="54"/>
      <c r="G1982" s="54"/>
      <c r="H1982" s="54"/>
      <c r="I1982" s="54"/>
      <c r="J1982" s="54"/>
      <c r="K1982" s="54"/>
    </row>
    <row r="1983">
      <c r="A1983" s="57"/>
      <c r="B1983" s="57" t="str">
        <f>IFERROR(__xludf.DUMMYFUNCTION("""COMPUTED_VALUE"""),"    ")</f>
        <v>    </v>
      </c>
      <c r="C1983" s="57" t="str">
        <f>IFERROR(__xludf.DUMMYFUNCTION("""COMPUTED_VALUE"""),"")</f>
        <v/>
      </c>
      <c r="D1983" s="58"/>
      <c r="E1983" s="56"/>
      <c r="F1983" s="54"/>
      <c r="G1983" s="54"/>
      <c r="H1983" s="54"/>
      <c r="I1983" s="54"/>
      <c r="J1983" s="54"/>
      <c r="K1983" s="54"/>
    </row>
    <row r="1984">
      <c r="A1984" s="57"/>
      <c r="B1984" s="57" t="str">
        <f>IFERROR(__xludf.DUMMYFUNCTION("""COMPUTED_VALUE"""),"    ")</f>
        <v>    </v>
      </c>
      <c r="C1984" s="57" t="str">
        <f>IFERROR(__xludf.DUMMYFUNCTION("""COMPUTED_VALUE"""),"")</f>
        <v/>
      </c>
      <c r="D1984" s="58"/>
      <c r="E1984" s="56"/>
      <c r="F1984" s="54"/>
      <c r="G1984" s="54"/>
      <c r="H1984" s="54"/>
      <c r="I1984" s="54"/>
      <c r="J1984" s="54"/>
      <c r="K1984" s="54"/>
    </row>
    <row r="1985">
      <c r="A1985" s="57"/>
      <c r="B1985" s="57" t="str">
        <f>IFERROR(__xludf.DUMMYFUNCTION("""COMPUTED_VALUE"""),"    ")</f>
        <v>    </v>
      </c>
      <c r="C1985" s="57" t="str">
        <f>IFERROR(__xludf.DUMMYFUNCTION("""COMPUTED_VALUE"""),"")</f>
        <v/>
      </c>
      <c r="D1985" s="58"/>
      <c r="E1985" s="56"/>
      <c r="F1985" s="54"/>
      <c r="G1985" s="54"/>
      <c r="H1985" s="54"/>
      <c r="I1985" s="54"/>
      <c r="J1985" s="54"/>
      <c r="K1985" s="54"/>
    </row>
    <row r="1986">
      <c r="A1986" s="57"/>
      <c r="B1986" s="57" t="str">
        <f>IFERROR(__xludf.DUMMYFUNCTION("""COMPUTED_VALUE"""),"    ")</f>
        <v>    </v>
      </c>
      <c r="C1986" s="57" t="str">
        <f>IFERROR(__xludf.DUMMYFUNCTION("""COMPUTED_VALUE"""),"")</f>
        <v/>
      </c>
      <c r="D1986" s="58"/>
      <c r="E1986" s="56"/>
      <c r="F1986" s="54"/>
      <c r="G1986" s="54"/>
      <c r="H1986" s="54"/>
      <c r="I1986" s="54"/>
      <c r="J1986" s="54"/>
      <c r="K1986" s="54"/>
    </row>
    <row r="1987">
      <c r="A1987" s="57"/>
      <c r="B1987" s="57" t="str">
        <f>IFERROR(__xludf.DUMMYFUNCTION("""COMPUTED_VALUE"""),"    ")</f>
        <v>    </v>
      </c>
      <c r="C1987" s="57" t="str">
        <f>IFERROR(__xludf.DUMMYFUNCTION("""COMPUTED_VALUE"""),"")</f>
        <v/>
      </c>
      <c r="D1987" s="58"/>
      <c r="E1987" s="56"/>
      <c r="F1987" s="54"/>
      <c r="G1987" s="54"/>
      <c r="H1987" s="54"/>
      <c r="I1987" s="54"/>
      <c r="J1987" s="54"/>
      <c r="K1987" s="54"/>
    </row>
    <row r="1988">
      <c r="A1988" s="57"/>
      <c r="B1988" s="57" t="str">
        <f>IFERROR(__xludf.DUMMYFUNCTION("""COMPUTED_VALUE"""),"    ")</f>
        <v>    </v>
      </c>
      <c r="C1988" s="57" t="str">
        <f>IFERROR(__xludf.DUMMYFUNCTION("""COMPUTED_VALUE"""),"")</f>
        <v/>
      </c>
      <c r="D1988" s="58"/>
      <c r="E1988" s="56"/>
      <c r="F1988" s="54"/>
      <c r="G1988" s="54"/>
      <c r="H1988" s="54"/>
      <c r="I1988" s="54"/>
      <c r="J1988" s="54"/>
      <c r="K1988" s="54"/>
    </row>
    <row r="1989">
      <c r="A1989" s="57"/>
      <c r="B1989" s="57" t="str">
        <f>IFERROR(__xludf.DUMMYFUNCTION("""COMPUTED_VALUE"""),"    ")</f>
        <v>    </v>
      </c>
      <c r="C1989" s="57" t="str">
        <f>IFERROR(__xludf.DUMMYFUNCTION("""COMPUTED_VALUE"""),"")</f>
        <v/>
      </c>
      <c r="D1989" s="58"/>
      <c r="E1989" s="56"/>
      <c r="F1989" s="54"/>
      <c r="G1989" s="54"/>
      <c r="H1989" s="54"/>
      <c r="I1989" s="54"/>
      <c r="J1989" s="54"/>
      <c r="K1989" s="54"/>
    </row>
    <row r="1990">
      <c r="A1990" s="57"/>
      <c r="B1990" s="57" t="str">
        <f>IFERROR(__xludf.DUMMYFUNCTION("""COMPUTED_VALUE"""),"    ")</f>
        <v>    </v>
      </c>
      <c r="C1990" s="57" t="str">
        <f>IFERROR(__xludf.DUMMYFUNCTION("""COMPUTED_VALUE"""),"")</f>
        <v/>
      </c>
      <c r="D1990" s="58"/>
      <c r="E1990" s="56"/>
      <c r="F1990" s="54"/>
      <c r="G1990" s="54"/>
      <c r="H1990" s="54"/>
      <c r="I1990" s="54"/>
      <c r="J1990" s="54"/>
      <c r="K1990" s="54"/>
    </row>
    <row r="1991">
      <c r="A1991" s="57"/>
      <c r="B1991" s="57" t="str">
        <f>IFERROR(__xludf.DUMMYFUNCTION("""COMPUTED_VALUE"""),"    ")</f>
        <v>    </v>
      </c>
      <c r="C1991" s="57" t="str">
        <f>IFERROR(__xludf.DUMMYFUNCTION("""COMPUTED_VALUE"""),"")</f>
        <v/>
      </c>
      <c r="D1991" s="58"/>
      <c r="E1991" s="56"/>
      <c r="F1991" s="54"/>
      <c r="G1991" s="54"/>
      <c r="H1991" s="54"/>
      <c r="I1991" s="54"/>
      <c r="J1991" s="54"/>
      <c r="K1991" s="54"/>
    </row>
    <row r="1992">
      <c r="A1992" s="57"/>
      <c r="B1992" s="57" t="str">
        <f>IFERROR(__xludf.DUMMYFUNCTION("""COMPUTED_VALUE"""),"    ")</f>
        <v>    </v>
      </c>
      <c r="C1992" s="57" t="str">
        <f>IFERROR(__xludf.DUMMYFUNCTION("""COMPUTED_VALUE"""),"")</f>
        <v/>
      </c>
      <c r="D1992" s="58"/>
      <c r="E1992" s="56"/>
      <c r="F1992" s="54"/>
      <c r="G1992" s="54"/>
      <c r="H1992" s="54"/>
      <c r="I1992" s="54"/>
      <c r="J1992" s="54"/>
      <c r="K1992" s="54"/>
    </row>
    <row r="1993">
      <c r="A1993" s="57"/>
      <c r="B1993" s="57" t="str">
        <f>IFERROR(__xludf.DUMMYFUNCTION("""COMPUTED_VALUE"""),"    ")</f>
        <v>    </v>
      </c>
      <c r="C1993" s="57" t="str">
        <f>IFERROR(__xludf.DUMMYFUNCTION("""COMPUTED_VALUE"""),"")</f>
        <v/>
      </c>
      <c r="D1993" s="58"/>
      <c r="E1993" s="56"/>
      <c r="F1993" s="54"/>
      <c r="G1993" s="54"/>
      <c r="H1993" s="54"/>
      <c r="I1993" s="54"/>
      <c r="J1993" s="54"/>
      <c r="K1993" s="54"/>
    </row>
    <row r="1994">
      <c r="A1994" s="57"/>
      <c r="B1994" s="57" t="str">
        <f>IFERROR(__xludf.DUMMYFUNCTION("""COMPUTED_VALUE"""),"    ")</f>
        <v>    </v>
      </c>
      <c r="C1994" s="57" t="str">
        <f>IFERROR(__xludf.DUMMYFUNCTION("""COMPUTED_VALUE"""),"")</f>
        <v/>
      </c>
      <c r="D1994" s="58"/>
      <c r="E1994" s="56"/>
      <c r="F1994" s="54"/>
      <c r="G1994" s="54"/>
      <c r="H1994" s="54"/>
      <c r="I1994" s="54"/>
      <c r="J1994" s="54"/>
      <c r="K1994" s="54"/>
    </row>
    <row r="1995">
      <c r="A1995" s="57"/>
      <c r="B1995" s="57" t="str">
        <f>IFERROR(__xludf.DUMMYFUNCTION("""COMPUTED_VALUE"""),"    ")</f>
        <v>    </v>
      </c>
      <c r="C1995" s="57" t="str">
        <f>IFERROR(__xludf.DUMMYFUNCTION("""COMPUTED_VALUE"""),"")</f>
        <v/>
      </c>
      <c r="D1995" s="58"/>
      <c r="E1995" s="56"/>
      <c r="F1995" s="54"/>
      <c r="G1995" s="54"/>
      <c r="H1995" s="54"/>
      <c r="I1995" s="54"/>
      <c r="J1995" s="54"/>
      <c r="K1995" s="54"/>
    </row>
    <row r="1996">
      <c r="A1996" s="57"/>
      <c r="B1996" s="57" t="str">
        <f>IFERROR(__xludf.DUMMYFUNCTION("""COMPUTED_VALUE"""),"    ")</f>
        <v>    </v>
      </c>
      <c r="C1996" s="57" t="str">
        <f>IFERROR(__xludf.DUMMYFUNCTION("""COMPUTED_VALUE"""),"")</f>
        <v/>
      </c>
      <c r="D1996" s="58"/>
      <c r="E1996" s="56"/>
      <c r="F1996" s="54"/>
      <c r="G1996" s="54"/>
      <c r="H1996" s="54"/>
      <c r="I1996" s="54"/>
      <c r="J1996" s="54"/>
      <c r="K1996" s="54"/>
    </row>
    <row r="1997">
      <c r="A1997" s="57"/>
      <c r="B1997" s="57" t="str">
        <f>IFERROR(__xludf.DUMMYFUNCTION("""COMPUTED_VALUE"""),"    ")</f>
        <v>    </v>
      </c>
      <c r="C1997" s="57" t="str">
        <f>IFERROR(__xludf.DUMMYFUNCTION("""COMPUTED_VALUE"""),"")</f>
        <v/>
      </c>
      <c r="D1997" s="58"/>
      <c r="E1997" s="56"/>
      <c r="F1997" s="54"/>
      <c r="G1997" s="54"/>
      <c r="H1997" s="54"/>
      <c r="I1997" s="54"/>
      <c r="J1997" s="54"/>
      <c r="K1997" s="54"/>
    </row>
    <row r="1998">
      <c r="A1998" s="57"/>
      <c r="B1998" s="57" t="str">
        <f>IFERROR(__xludf.DUMMYFUNCTION("""COMPUTED_VALUE"""),"    ")</f>
        <v>    </v>
      </c>
      <c r="C1998" s="57" t="str">
        <f>IFERROR(__xludf.DUMMYFUNCTION("""COMPUTED_VALUE"""),"")</f>
        <v/>
      </c>
      <c r="D1998" s="58"/>
      <c r="E1998" s="56"/>
      <c r="F1998" s="54"/>
      <c r="G1998" s="54"/>
      <c r="H1998" s="54"/>
      <c r="I1998" s="54"/>
      <c r="J1998" s="54"/>
      <c r="K1998" s="54"/>
    </row>
    <row r="1999">
      <c r="A1999" s="57"/>
      <c r="B1999" s="57" t="str">
        <f>IFERROR(__xludf.DUMMYFUNCTION("""COMPUTED_VALUE"""),"    ")</f>
        <v>    </v>
      </c>
      <c r="C1999" s="57" t="str">
        <f>IFERROR(__xludf.DUMMYFUNCTION("""COMPUTED_VALUE"""),"")</f>
        <v/>
      </c>
      <c r="D1999" s="58"/>
      <c r="E1999" s="56"/>
      <c r="F1999" s="54"/>
      <c r="G1999" s="54"/>
      <c r="H1999" s="54"/>
      <c r="I1999" s="54"/>
      <c r="J1999" s="54"/>
      <c r="K1999" s="54"/>
    </row>
    <row r="2000">
      <c r="A2000" s="57"/>
      <c r="B2000" s="57" t="str">
        <f>IFERROR(__xludf.DUMMYFUNCTION("""COMPUTED_VALUE"""),"    ")</f>
        <v>    </v>
      </c>
      <c r="C2000" s="57" t="str">
        <f>IFERROR(__xludf.DUMMYFUNCTION("""COMPUTED_VALUE"""),"")</f>
        <v/>
      </c>
      <c r="D2000" s="58"/>
      <c r="E2000" s="56"/>
      <c r="F2000" s="54"/>
      <c r="G2000" s="54"/>
      <c r="H2000" s="54"/>
      <c r="I2000" s="54"/>
      <c r="J2000" s="54"/>
      <c r="K2000" s="54"/>
    </row>
    <row r="2001">
      <c r="A2001" s="57"/>
      <c r="B2001" s="57" t="str">
        <f>IFERROR(__xludf.DUMMYFUNCTION("""COMPUTED_VALUE"""),"    ")</f>
        <v>    </v>
      </c>
      <c r="C2001" s="57" t="str">
        <f>IFERROR(__xludf.DUMMYFUNCTION("""COMPUTED_VALUE"""),"")</f>
        <v/>
      </c>
      <c r="D2001" s="58"/>
      <c r="E2001" s="56"/>
      <c r="F2001" s="54"/>
      <c r="G2001" s="54"/>
      <c r="H2001" s="54"/>
      <c r="I2001" s="54"/>
      <c r="J2001" s="54"/>
      <c r="K2001" s="54"/>
    </row>
    <row r="2002">
      <c r="A2002" s="57"/>
      <c r="B2002" s="57" t="str">
        <f>IFERROR(__xludf.DUMMYFUNCTION("""COMPUTED_VALUE"""),"    ")</f>
        <v>    </v>
      </c>
      <c r="C2002" s="57" t="str">
        <f>IFERROR(__xludf.DUMMYFUNCTION("""COMPUTED_VALUE"""),"")</f>
        <v/>
      </c>
      <c r="D2002" s="58"/>
      <c r="E2002" s="56"/>
      <c r="F2002" s="54"/>
      <c r="G2002" s="54"/>
      <c r="H2002" s="54"/>
      <c r="I2002" s="54"/>
      <c r="J2002" s="54"/>
      <c r="K2002" s="54"/>
    </row>
    <row r="2003">
      <c r="A2003" s="57"/>
      <c r="B2003" s="57" t="str">
        <f>IFERROR(__xludf.DUMMYFUNCTION("""COMPUTED_VALUE"""),"    ")</f>
        <v>    </v>
      </c>
      <c r="C2003" s="57" t="str">
        <f>IFERROR(__xludf.DUMMYFUNCTION("""COMPUTED_VALUE"""),"")</f>
        <v/>
      </c>
      <c r="D2003" s="58"/>
      <c r="E2003" s="56"/>
      <c r="F2003" s="54"/>
      <c r="G2003" s="54"/>
      <c r="H2003" s="54"/>
      <c r="I2003" s="54"/>
      <c r="J2003" s="54"/>
      <c r="K2003" s="54"/>
    </row>
    <row r="2004">
      <c r="A2004" s="57"/>
      <c r="B2004" s="57" t="str">
        <f>IFERROR(__xludf.DUMMYFUNCTION("""COMPUTED_VALUE"""),"    ")</f>
        <v>    </v>
      </c>
      <c r="C2004" s="57" t="str">
        <f>IFERROR(__xludf.DUMMYFUNCTION("""COMPUTED_VALUE"""),"")</f>
        <v/>
      </c>
      <c r="D2004" s="58"/>
      <c r="E2004" s="56"/>
      <c r="F2004" s="54"/>
      <c r="G2004" s="54"/>
      <c r="H2004" s="54"/>
      <c r="I2004" s="54"/>
      <c r="J2004" s="54"/>
      <c r="K2004" s="54"/>
    </row>
    <row r="2005">
      <c r="A2005" s="57"/>
      <c r="B2005" s="57" t="str">
        <f>IFERROR(__xludf.DUMMYFUNCTION("""COMPUTED_VALUE"""),"    ")</f>
        <v>    </v>
      </c>
      <c r="C2005" s="57" t="str">
        <f>IFERROR(__xludf.DUMMYFUNCTION("""COMPUTED_VALUE"""),"")</f>
        <v/>
      </c>
      <c r="D2005" s="58"/>
      <c r="E2005" s="56"/>
      <c r="F2005" s="54"/>
      <c r="G2005" s="54"/>
      <c r="H2005" s="54"/>
      <c r="I2005" s="54"/>
      <c r="J2005" s="54"/>
      <c r="K2005" s="54"/>
    </row>
    <row r="2006">
      <c r="A2006" s="57"/>
      <c r="B2006" s="57" t="str">
        <f>IFERROR(__xludf.DUMMYFUNCTION("""COMPUTED_VALUE"""),"    ")</f>
        <v>    </v>
      </c>
      <c r="C2006" s="57" t="str">
        <f>IFERROR(__xludf.DUMMYFUNCTION("""COMPUTED_VALUE"""),"")</f>
        <v/>
      </c>
      <c r="D2006" s="58"/>
      <c r="E2006" s="56"/>
      <c r="F2006" s="54"/>
      <c r="G2006" s="54"/>
      <c r="H2006" s="54"/>
      <c r="I2006" s="54"/>
      <c r="J2006" s="54"/>
      <c r="K2006" s="54"/>
    </row>
    <row r="2007">
      <c r="A2007" s="57"/>
      <c r="B2007" s="57" t="str">
        <f>IFERROR(__xludf.DUMMYFUNCTION("""COMPUTED_VALUE"""),"    ")</f>
        <v>    </v>
      </c>
      <c r="C2007" s="57" t="str">
        <f>IFERROR(__xludf.DUMMYFUNCTION("""COMPUTED_VALUE"""),"")</f>
        <v/>
      </c>
      <c r="D2007" s="58"/>
      <c r="E2007" s="56"/>
      <c r="F2007" s="54"/>
      <c r="G2007" s="54"/>
      <c r="H2007" s="54"/>
      <c r="I2007" s="54"/>
      <c r="J2007" s="54"/>
      <c r="K2007" s="54"/>
    </row>
    <row r="2008">
      <c r="A2008" s="57"/>
      <c r="B2008" s="57" t="str">
        <f>IFERROR(__xludf.DUMMYFUNCTION("""COMPUTED_VALUE"""),"    ")</f>
        <v>    </v>
      </c>
      <c r="C2008" s="57" t="str">
        <f>IFERROR(__xludf.DUMMYFUNCTION("""COMPUTED_VALUE"""),"")</f>
        <v/>
      </c>
      <c r="D2008" s="58"/>
      <c r="E2008" s="56"/>
      <c r="F2008" s="54"/>
      <c r="G2008" s="54"/>
      <c r="H2008" s="54"/>
      <c r="I2008" s="54"/>
      <c r="J2008" s="54"/>
      <c r="K2008" s="54"/>
    </row>
    <row r="2009">
      <c r="A2009" s="57"/>
      <c r="B2009" s="57" t="str">
        <f>IFERROR(__xludf.DUMMYFUNCTION("""COMPUTED_VALUE"""),"    ")</f>
        <v>    </v>
      </c>
      <c r="C2009" s="57" t="str">
        <f>IFERROR(__xludf.DUMMYFUNCTION("""COMPUTED_VALUE"""),"")</f>
        <v/>
      </c>
      <c r="D2009" s="58"/>
      <c r="E2009" s="56"/>
      <c r="F2009" s="54"/>
      <c r="G2009" s="54"/>
      <c r="H2009" s="54"/>
      <c r="I2009" s="54"/>
      <c r="J2009" s="54"/>
      <c r="K2009" s="54"/>
    </row>
    <row r="2010">
      <c r="A2010" s="57"/>
      <c r="B2010" s="57" t="str">
        <f>IFERROR(__xludf.DUMMYFUNCTION("""COMPUTED_VALUE"""),"    ")</f>
        <v>    </v>
      </c>
      <c r="C2010" s="57" t="str">
        <f>IFERROR(__xludf.DUMMYFUNCTION("""COMPUTED_VALUE"""),"")</f>
        <v/>
      </c>
      <c r="D2010" s="58"/>
      <c r="E2010" s="56"/>
      <c r="F2010" s="54"/>
      <c r="G2010" s="54"/>
      <c r="H2010" s="54"/>
      <c r="I2010" s="54"/>
      <c r="J2010" s="54"/>
      <c r="K2010" s="54"/>
    </row>
    <row r="2011">
      <c r="A2011" s="57"/>
      <c r="B2011" s="57" t="str">
        <f>IFERROR(__xludf.DUMMYFUNCTION("""COMPUTED_VALUE"""),"    ")</f>
        <v>    </v>
      </c>
      <c r="C2011" s="57" t="str">
        <f>IFERROR(__xludf.DUMMYFUNCTION("""COMPUTED_VALUE"""),"")</f>
        <v/>
      </c>
      <c r="D2011" s="58"/>
      <c r="E2011" s="56"/>
      <c r="F2011" s="54"/>
      <c r="G2011" s="54"/>
      <c r="H2011" s="54"/>
      <c r="I2011" s="54"/>
      <c r="J2011" s="54"/>
      <c r="K2011" s="54"/>
    </row>
    <row r="2012">
      <c r="A2012" s="57"/>
      <c r="B2012" s="57" t="str">
        <f>IFERROR(__xludf.DUMMYFUNCTION("""COMPUTED_VALUE"""),"    ")</f>
        <v>    </v>
      </c>
      <c r="C2012" s="57" t="str">
        <f>IFERROR(__xludf.DUMMYFUNCTION("""COMPUTED_VALUE"""),"")</f>
        <v/>
      </c>
      <c r="D2012" s="58"/>
      <c r="E2012" s="56"/>
      <c r="F2012" s="54"/>
      <c r="G2012" s="54"/>
      <c r="H2012" s="54"/>
      <c r="I2012" s="54"/>
      <c r="J2012" s="54"/>
      <c r="K2012" s="54"/>
    </row>
    <row r="2013">
      <c r="A2013" s="57"/>
      <c r="B2013" s="57" t="str">
        <f>IFERROR(__xludf.DUMMYFUNCTION("""COMPUTED_VALUE"""),"    ")</f>
        <v>    </v>
      </c>
      <c r="C2013" s="57" t="str">
        <f>IFERROR(__xludf.DUMMYFUNCTION("""COMPUTED_VALUE"""),"")</f>
        <v/>
      </c>
      <c r="D2013" s="58"/>
      <c r="E2013" s="56"/>
      <c r="F2013" s="54"/>
      <c r="G2013" s="54"/>
      <c r="H2013" s="54"/>
      <c r="I2013" s="54"/>
      <c r="J2013" s="54"/>
      <c r="K2013" s="54"/>
    </row>
    <row r="2014">
      <c r="A2014" s="57"/>
      <c r="B2014" s="57" t="str">
        <f>IFERROR(__xludf.DUMMYFUNCTION("""COMPUTED_VALUE"""),"    ")</f>
        <v>    </v>
      </c>
      <c r="C2014" s="57" t="str">
        <f>IFERROR(__xludf.DUMMYFUNCTION("""COMPUTED_VALUE"""),"")</f>
        <v/>
      </c>
      <c r="D2014" s="58"/>
      <c r="E2014" s="56"/>
      <c r="F2014" s="54"/>
      <c r="G2014" s="54"/>
      <c r="H2014" s="54"/>
      <c r="I2014" s="54"/>
      <c r="J2014" s="54"/>
      <c r="K2014" s="54"/>
    </row>
    <row r="2015">
      <c r="A2015" s="57"/>
      <c r="B2015" s="57" t="str">
        <f>IFERROR(__xludf.DUMMYFUNCTION("""COMPUTED_VALUE"""),"    ")</f>
        <v>    </v>
      </c>
      <c r="C2015" s="57" t="str">
        <f>IFERROR(__xludf.DUMMYFUNCTION("""COMPUTED_VALUE"""),"")</f>
        <v/>
      </c>
      <c r="D2015" s="58"/>
      <c r="E2015" s="56"/>
      <c r="F2015" s="54"/>
      <c r="G2015" s="54"/>
      <c r="H2015" s="54"/>
      <c r="I2015" s="54"/>
      <c r="J2015" s="54"/>
      <c r="K2015" s="54"/>
    </row>
    <row r="2016">
      <c r="A2016" s="57"/>
      <c r="B2016" s="57" t="str">
        <f>IFERROR(__xludf.DUMMYFUNCTION("""COMPUTED_VALUE"""),"    ")</f>
        <v>    </v>
      </c>
      <c r="C2016" s="57" t="str">
        <f>IFERROR(__xludf.DUMMYFUNCTION("""COMPUTED_VALUE"""),"")</f>
        <v/>
      </c>
      <c r="D2016" s="58"/>
      <c r="E2016" s="56"/>
      <c r="F2016" s="54"/>
      <c r="G2016" s="54"/>
      <c r="H2016" s="54"/>
      <c r="I2016" s="54"/>
      <c r="J2016" s="54"/>
      <c r="K2016" s="54"/>
    </row>
    <row r="2017">
      <c r="A2017" s="57"/>
      <c r="B2017" s="57" t="str">
        <f>IFERROR(__xludf.DUMMYFUNCTION("""COMPUTED_VALUE"""),"    ")</f>
        <v>    </v>
      </c>
      <c r="C2017" s="57" t="str">
        <f>IFERROR(__xludf.DUMMYFUNCTION("""COMPUTED_VALUE"""),"")</f>
        <v/>
      </c>
      <c r="D2017" s="58"/>
      <c r="E2017" s="56"/>
      <c r="F2017" s="54"/>
      <c r="G2017" s="54"/>
      <c r="H2017" s="54"/>
      <c r="I2017" s="54"/>
      <c r="J2017" s="54"/>
      <c r="K2017" s="54"/>
    </row>
    <row r="2018">
      <c r="A2018" s="57"/>
      <c r="B2018" s="57" t="str">
        <f>IFERROR(__xludf.DUMMYFUNCTION("""COMPUTED_VALUE"""),"    ")</f>
        <v>    </v>
      </c>
      <c r="C2018" s="57" t="str">
        <f>IFERROR(__xludf.DUMMYFUNCTION("""COMPUTED_VALUE"""),"")</f>
        <v/>
      </c>
      <c r="D2018" s="58"/>
      <c r="E2018" s="56"/>
      <c r="F2018" s="54"/>
      <c r="G2018" s="54"/>
      <c r="H2018" s="54"/>
      <c r="I2018" s="54"/>
      <c r="J2018" s="54"/>
      <c r="K2018" s="54"/>
    </row>
    <row r="2019">
      <c r="A2019" s="57"/>
      <c r="B2019" s="57" t="str">
        <f>IFERROR(__xludf.DUMMYFUNCTION("""COMPUTED_VALUE"""),"    ")</f>
        <v>    </v>
      </c>
      <c r="C2019" s="57" t="str">
        <f>IFERROR(__xludf.DUMMYFUNCTION("""COMPUTED_VALUE"""),"")</f>
        <v/>
      </c>
      <c r="D2019" s="58"/>
      <c r="E2019" s="56"/>
      <c r="F2019" s="54"/>
      <c r="G2019" s="54"/>
      <c r="H2019" s="54"/>
      <c r="I2019" s="54"/>
      <c r="J2019" s="54"/>
      <c r="K2019" s="54"/>
    </row>
    <row r="2020">
      <c r="A2020" s="57"/>
      <c r="B2020" s="57" t="str">
        <f>IFERROR(__xludf.DUMMYFUNCTION("""COMPUTED_VALUE"""),"    ")</f>
        <v>    </v>
      </c>
      <c r="C2020" s="57" t="str">
        <f>IFERROR(__xludf.DUMMYFUNCTION("""COMPUTED_VALUE"""),"")</f>
        <v/>
      </c>
      <c r="D2020" s="58"/>
      <c r="E2020" s="56"/>
      <c r="F2020" s="54"/>
      <c r="G2020" s="54"/>
      <c r="H2020" s="54"/>
      <c r="I2020" s="54"/>
      <c r="J2020" s="54"/>
      <c r="K2020" s="54"/>
    </row>
    <row r="2021">
      <c r="A2021" s="57"/>
      <c r="B2021" s="57" t="str">
        <f>IFERROR(__xludf.DUMMYFUNCTION("""COMPUTED_VALUE"""),"    ")</f>
        <v>    </v>
      </c>
      <c r="C2021" s="57" t="str">
        <f>IFERROR(__xludf.DUMMYFUNCTION("""COMPUTED_VALUE"""),"")</f>
        <v/>
      </c>
      <c r="D2021" s="58"/>
      <c r="E2021" s="56"/>
      <c r="F2021" s="54"/>
      <c r="G2021" s="54"/>
      <c r="H2021" s="54"/>
      <c r="I2021" s="54"/>
      <c r="J2021" s="54"/>
      <c r="K2021" s="54"/>
    </row>
    <row r="2022">
      <c r="A2022" s="57"/>
      <c r="B2022" s="57" t="str">
        <f>IFERROR(__xludf.DUMMYFUNCTION("""COMPUTED_VALUE"""),"    ")</f>
        <v>    </v>
      </c>
      <c r="C2022" s="57" t="str">
        <f>IFERROR(__xludf.DUMMYFUNCTION("""COMPUTED_VALUE"""),"")</f>
        <v/>
      </c>
      <c r="D2022" s="58"/>
      <c r="E2022" s="56"/>
      <c r="F2022" s="54"/>
      <c r="G2022" s="54"/>
      <c r="H2022" s="54"/>
      <c r="I2022" s="54"/>
      <c r="J2022" s="54"/>
      <c r="K2022" s="54"/>
    </row>
    <row r="2023">
      <c r="A2023" s="57"/>
      <c r="B2023" s="57" t="str">
        <f>IFERROR(__xludf.DUMMYFUNCTION("""COMPUTED_VALUE"""),"    ")</f>
        <v>    </v>
      </c>
      <c r="C2023" s="57" t="str">
        <f>IFERROR(__xludf.DUMMYFUNCTION("""COMPUTED_VALUE"""),"")</f>
        <v/>
      </c>
      <c r="D2023" s="58"/>
      <c r="E2023" s="56"/>
      <c r="F2023" s="54"/>
      <c r="G2023" s="54"/>
      <c r="H2023" s="54"/>
      <c r="I2023" s="54"/>
      <c r="J2023" s="54"/>
      <c r="K2023" s="54"/>
    </row>
    <row r="2024">
      <c r="A2024" s="57"/>
      <c r="B2024" s="57" t="str">
        <f>IFERROR(__xludf.DUMMYFUNCTION("""COMPUTED_VALUE"""),"    ")</f>
        <v>    </v>
      </c>
      <c r="C2024" s="57" t="str">
        <f>IFERROR(__xludf.DUMMYFUNCTION("""COMPUTED_VALUE"""),"")</f>
        <v/>
      </c>
      <c r="D2024" s="58"/>
      <c r="E2024" s="56"/>
      <c r="F2024" s="54"/>
      <c r="G2024" s="54"/>
      <c r="H2024" s="54"/>
      <c r="I2024" s="54"/>
      <c r="J2024" s="54"/>
      <c r="K2024" s="54"/>
    </row>
    <row r="2025">
      <c r="A2025" s="57"/>
      <c r="B2025" s="57" t="str">
        <f>IFERROR(__xludf.DUMMYFUNCTION("""COMPUTED_VALUE"""),"    ")</f>
        <v>    </v>
      </c>
      <c r="C2025" s="57" t="str">
        <f>IFERROR(__xludf.DUMMYFUNCTION("""COMPUTED_VALUE"""),"")</f>
        <v/>
      </c>
      <c r="D2025" s="58"/>
      <c r="E2025" s="56"/>
      <c r="F2025" s="54"/>
      <c r="G2025" s="54"/>
      <c r="H2025" s="54"/>
      <c r="I2025" s="54"/>
      <c r="J2025" s="54"/>
      <c r="K2025" s="54"/>
    </row>
    <row r="2026">
      <c r="A2026" s="57"/>
      <c r="B2026" s="57" t="str">
        <f>IFERROR(__xludf.DUMMYFUNCTION("""COMPUTED_VALUE"""),"    ")</f>
        <v>    </v>
      </c>
      <c r="C2026" s="57" t="str">
        <f>IFERROR(__xludf.DUMMYFUNCTION("""COMPUTED_VALUE"""),"")</f>
        <v/>
      </c>
      <c r="D2026" s="58"/>
      <c r="E2026" s="56"/>
      <c r="F2026" s="54"/>
      <c r="G2026" s="54"/>
      <c r="H2026" s="54"/>
      <c r="I2026" s="54"/>
      <c r="J2026" s="54"/>
      <c r="K2026" s="54"/>
    </row>
    <row r="2027">
      <c r="A2027" s="57"/>
      <c r="B2027" s="57" t="str">
        <f>IFERROR(__xludf.DUMMYFUNCTION("""COMPUTED_VALUE"""),"    ")</f>
        <v>    </v>
      </c>
      <c r="C2027" s="57" t="str">
        <f>IFERROR(__xludf.DUMMYFUNCTION("""COMPUTED_VALUE"""),"")</f>
        <v/>
      </c>
      <c r="D2027" s="58"/>
      <c r="E2027" s="56"/>
      <c r="F2027" s="54"/>
      <c r="G2027" s="54"/>
      <c r="H2027" s="54"/>
      <c r="I2027" s="54"/>
      <c r="J2027" s="54"/>
      <c r="K2027" s="54"/>
    </row>
    <row r="2028">
      <c r="A2028" s="57"/>
      <c r="B2028" s="57" t="str">
        <f>IFERROR(__xludf.DUMMYFUNCTION("""COMPUTED_VALUE"""),"    ")</f>
        <v>    </v>
      </c>
      <c r="C2028" s="57" t="str">
        <f>IFERROR(__xludf.DUMMYFUNCTION("""COMPUTED_VALUE"""),"")</f>
        <v/>
      </c>
      <c r="D2028" s="58"/>
      <c r="E2028" s="56"/>
      <c r="F2028" s="54"/>
      <c r="G2028" s="54"/>
      <c r="H2028" s="54"/>
      <c r="I2028" s="54"/>
      <c r="J2028" s="54"/>
      <c r="K2028" s="54"/>
    </row>
    <row r="2029">
      <c r="A2029" s="57"/>
      <c r="B2029" s="57" t="str">
        <f>IFERROR(__xludf.DUMMYFUNCTION("""COMPUTED_VALUE"""),"    ")</f>
        <v>    </v>
      </c>
      <c r="C2029" s="57" t="str">
        <f>IFERROR(__xludf.DUMMYFUNCTION("""COMPUTED_VALUE"""),"")</f>
        <v/>
      </c>
      <c r="D2029" s="58"/>
      <c r="E2029" s="56"/>
      <c r="F2029" s="54"/>
      <c r="G2029" s="54"/>
      <c r="H2029" s="54"/>
      <c r="I2029" s="54"/>
      <c r="J2029" s="54"/>
      <c r="K2029" s="54"/>
    </row>
    <row r="2030">
      <c r="A2030" s="57"/>
      <c r="B2030" s="57" t="str">
        <f>IFERROR(__xludf.DUMMYFUNCTION("""COMPUTED_VALUE"""),"    ")</f>
        <v>    </v>
      </c>
      <c r="C2030" s="57" t="str">
        <f>IFERROR(__xludf.DUMMYFUNCTION("""COMPUTED_VALUE"""),"")</f>
        <v/>
      </c>
      <c r="D2030" s="58"/>
      <c r="E2030" s="56"/>
      <c r="F2030" s="54"/>
      <c r="G2030" s="54"/>
      <c r="H2030" s="54"/>
      <c r="I2030" s="54"/>
      <c r="J2030" s="54"/>
      <c r="K2030" s="54"/>
    </row>
    <row r="2031">
      <c r="A2031" s="57"/>
      <c r="B2031" s="57" t="str">
        <f>IFERROR(__xludf.DUMMYFUNCTION("""COMPUTED_VALUE"""),"    ")</f>
        <v>    </v>
      </c>
      <c r="C2031" s="57" t="str">
        <f>IFERROR(__xludf.DUMMYFUNCTION("""COMPUTED_VALUE"""),"")</f>
        <v/>
      </c>
      <c r="D2031" s="58"/>
      <c r="E2031" s="56"/>
      <c r="F2031" s="54"/>
      <c r="G2031" s="54"/>
      <c r="H2031" s="54"/>
      <c r="I2031" s="54"/>
      <c r="J2031" s="54"/>
      <c r="K2031" s="54"/>
    </row>
    <row r="2032">
      <c r="A2032" s="57"/>
      <c r="B2032" s="57" t="str">
        <f>IFERROR(__xludf.DUMMYFUNCTION("""COMPUTED_VALUE"""),"    ")</f>
        <v>    </v>
      </c>
      <c r="C2032" s="57" t="str">
        <f>IFERROR(__xludf.DUMMYFUNCTION("""COMPUTED_VALUE"""),"")</f>
        <v/>
      </c>
      <c r="D2032" s="58"/>
      <c r="E2032" s="56"/>
      <c r="F2032" s="54"/>
      <c r="G2032" s="54"/>
      <c r="H2032" s="54"/>
      <c r="I2032" s="54"/>
      <c r="J2032" s="54"/>
      <c r="K2032" s="54"/>
    </row>
    <row r="2033">
      <c r="A2033" s="57"/>
      <c r="B2033" s="57" t="str">
        <f>IFERROR(__xludf.DUMMYFUNCTION("""COMPUTED_VALUE"""),"    ")</f>
        <v>    </v>
      </c>
      <c r="C2033" s="57" t="str">
        <f>IFERROR(__xludf.DUMMYFUNCTION("""COMPUTED_VALUE"""),"")</f>
        <v/>
      </c>
      <c r="D2033" s="58"/>
      <c r="E2033" s="56"/>
      <c r="F2033" s="54"/>
      <c r="G2033" s="54"/>
      <c r="H2033" s="54"/>
      <c r="I2033" s="54"/>
      <c r="J2033" s="54"/>
      <c r="K2033" s="54"/>
    </row>
    <row r="2034">
      <c r="A2034" s="57"/>
      <c r="B2034" s="57" t="str">
        <f>IFERROR(__xludf.DUMMYFUNCTION("""COMPUTED_VALUE"""),"    ")</f>
        <v>    </v>
      </c>
      <c r="C2034" s="57" t="str">
        <f>IFERROR(__xludf.DUMMYFUNCTION("""COMPUTED_VALUE"""),"")</f>
        <v/>
      </c>
      <c r="D2034" s="58"/>
      <c r="E2034" s="56"/>
      <c r="F2034" s="54"/>
      <c r="G2034" s="54"/>
      <c r="H2034" s="54"/>
      <c r="I2034" s="54"/>
      <c r="J2034" s="54"/>
      <c r="K2034" s="54"/>
    </row>
    <row r="2035">
      <c r="A2035" s="57"/>
      <c r="B2035" s="57" t="str">
        <f>IFERROR(__xludf.DUMMYFUNCTION("""COMPUTED_VALUE"""),"    ")</f>
        <v>    </v>
      </c>
      <c r="C2035" s="57" t="str">
        <f>IFERROR(__xludf.DUMMYFUNCTION("""COMPUTED_VALUE"""),"")</f>
        <v/>
      </c>
      <c r="D2035" s="58"/>
      <c r="E2035" s="56"/>
      <c r="F2035" s="54"/>
      <c r="G2035" s="54"/>
      <c r="H2035" s="54"/>
      <c r="I2035" s="54"/>
      <c r="J2035" s="54"/>
      <c r="K2035" s="54"/>
    </row>
    <row r="2036">
      <c r="A2036" s="57"/>
      <c r="B2036" s="57" t="str">
        <f>IFERROR(__xludf.DUMMYFUNCTION("""COMPUTED_VALUE"""),"    ")</f>
        <v>    </v>
      </c>
      <c r="C2036" s="57" t="str">
        <f>IFERROR(__xludf.DUMMYFUNCTION("""COMPUTED_VALUE"""),"")</f>
        <v/>
      </c>
      <c r="D2036" s="58"/>
      <c r="E2036" s="56"/>
      <c r="F2036" s="54"/>
      <c r="G2036" s="54"/>
      <c r="H2036" s="54"/>
      <c r="I2036" s="54"/>
      <c r="J2036" s="54"/>
      <c r="K2036" s="54"/>
    </row>
    <row r="2037">
      <c r="A2037" s="57"/>
      <c r="B2037" s="57" t="str">
        <f>IFERROR(__xludf.DUMMYFUNCTION("""COMPUTED_VALUE"""),"    ")</f>
        <v>    </v>
      </c>
      <c r="C2037" s="57" t="str">
        <f>IFERROR(__xludf.DUMMYFUNCTION("""COMPUTED_VALUE"""),"")</f>
        <v/>
      </c>
      <c r="D2037" s="58"/>
      <c r="E2037" s="56"/>
      <c r="F2037" s="54"/>
      <c r="G2037" s="54"/>
      <c r="H2037" s="54"/>
      <c r="I2037" s="54"/>
      <c r="J2037" s="54"/>
      <c r="K2037" s="54"/>
    </row>
    <row r="2038">
      <c r="A2038" s="57"/>
      <c r="B2038" s="57" t="str">
        <f>IFERROR(__xludf.DUMMYFUNCTION("""COMPUTED_VALUE"""),"    ")</f>
        <v>    </v>
      </c>
      <c r="C2038" s="57" t="str">
        <f>IFERROR(__xludf.DUMMYFUNCTION("""COMPUTED_VALUE"""),"")</f>
        <v/>
      </c>
      <c r="D2038" s="58"/>
      <c r="E2038" s="56"/>
      <c r="F2038" s="54"/>
      <c r="G2038" s="54"/>
      <c r="H2038" s="54"/>
      <c r="I2038" s="54"/>
      <c r="J2038" s="54"/>
      <c r="K2038" s="54"/>
    </row>
    <row r="2039">
      <c r="A2039" s="57"/>
      <c r="B2039" s="57" t="str">
        <f>IFERROR(__xludf.DUMMYFUNCTION("""COMPUTED_VALUE"""),"    ")</f>
        <v>    </v>
      </c>
      <c r="C2039" s="57" t="str">
        <f>IFERROR(__xludf.DUMMYFUNCTION("""COMPUTED_VALUE"""),"")</f>
        <v/>
      </c>
      <c r="D2039" s="58"/>
      <c r="E2039" s="56"/>
      <c r="F2039" s="54"/>
      <c r="G2039" s="54"/>
      <c r="H2039" s="54"/>
      <c r="I2039" s="54"/>
      <c r="J2039" s="54"/>
      <c r="K2039" s="54"/>
    </row>
    <row r="2040">
      <c r="A2040" s="57"/>
      <c r="B2040" s="57" t="str">
        <f>IFERROR(__xludf.DUMMYFUNCTION("""COMPUTED_VALUE"""),"    ")</f>
        <v>    </v>
      </c>
      <c r="C2040" s="57" t="str">
        <f>IFERROR(__xludf.DUMMYFUNCTION("""COMPUTED_VALUE"""),"")</f>
        <v/>
      </c>
      <c r="D2040" s="58"/>
      <c r="E2040" s="56"/>
      <c r="F2040" s="54"/>
      <c r="G2040" s="54"/>
      <c r="H2040" s="54"/>
      <c r="I2040" s="54"/>
      <c r="J2040" s="54"/>
      <c r="K2040" s="54"/>
    </row>
    <row r="2041">
      <c r="A2041" s="57"/>
      <c r="B2041" s="57" t="str">
        <f>IFERROR(__xludf.DUMMYFUNCTION("""COMPUTED_VALUE"""),"    ")</f>
        <v>    </v>
      </c>
      <c r="C2041" s="57" t="str">
        <f>IFERROR(__xludf.DUMMYFUNCTION("""COMPUTED_VALUE"""),"")</f>
        <v/>
      </c>
      <c r="D2041" s="58"/>
      <c r="E2041" s="56"/>
      <c r="F2041" s="54"/>
      <c r="G2041" s="54"/>
      <c r="H2041" s="54"/>
      <c r="I2041" s="54"/>
      <c r="J2041" s="54"/>
      <c r="K2041" s="54"/>
    </row>
    <row r="2042">
      <c r="A2042" s="57"/>
      <c r="B2042" s="57" t="str">
        <f>IFERROR(__xludf.DUMMYFUNCTION("""COMPUTED_VALUE"""),"    ")</f>
        <v>    </v>
      </c>
      <c r="C2042" s="57" t="str">
        <f>IFERROR(__xludf.DUMMYFUNCTION("""COMPUTED_VALUE"""),"")</f>
        <v/>
      </c>
      <c r="D2042" s="58"/>
      <c r="E2042" s="56"/>
      <c r="F2042" s="54"/>
      <c r="G2042" s="54"/>
      <c r="H2042" s="54"/>
      <c r="I2042" s="54"/>
      <c r="J2042" s="54"/>
      <c r="K2042" s="54"/>
    </row>
    <row r="2043">
      <c r="A2043" s="57"/>
      <c r="B2043" s="57" t="str">
        <f>IFERROR(__xludf.DUMMYFUNCTION("""COMPUTED_VALUE"""),"    ")</f>
        <v>    </v>
      </c>
      <c r="C2043" s="57" t="str">
        <f>IFERROR(__xludf.DUMMYFUNCTION("""COMPUTED_VALUE"""),"")</f>
        <v/>
      </c>
      <c r="D2043" s="58"/>
      <c r="E2043" s="56"/>
      <c r="F2043" s="54"/>
      <c r="G2043" s="54"/>
      <c r="H2043" s="54"/>
      <c r="I2043" s="54"/>
      <c r="J2043" s="54"/>
      <c r="K2043" s="54"/>
    </row>
    <row r="2044">
      <c r="A2044" s="57"/>
      <c r="B2044" s="57" t="str">
        <f>IFERROR(__xludf.DUMMYFUNCTION("""COMPUTED_VALUE"""),"    ")</f>
        <v>    </v>
      </c>
      <c r="C2044" s="57" t="str">
        <f>IFERROR(__xludf.DUMMYFUNCTION("""COMPUTED_VALUE"""),"")</f>
        <v/>
      </c>
      <c r="D2044" s="58"/>
      <c r="E2044" s="56"/>
      <c r="F2044" s="54"/>
      <c r="G2044" s="54"/>
      <c r="H2044" s="54"/>
      <c r="I2044" s="54"/>
      <c r="J2044" s="54"/>
      <c r="K2044" s="54"/>
    </row>
    <row r="2045">
      <c r="A2045" s="57"/>
      <c r="B2045" s="57" t="str">
        <f>IFERROR(__xludf.DUMMYFUNCTION("""COMPUTED_VALUE"""),"    ")</f>
        <v>    </v>
      </c>
      <c r="C2045" s="57" t="str">
        <f>IFERROR(__xludf.DUMMYFUNCTION("""COMPUTED_VALUE"""),"")</f>
        <v/>
      </c>
      <c r="D2045" s="58"/>
      <c r="E2045" s="56"/>
      <c r="F2045" s="54"/>
      <c r="G2045" s="54"/>
      <c r="H2045" s="54"/>
      <c r="I2045" s="54"/>
      <c r="J2045" s="54"/>
      <c r="K2045" s="54"/>
    </row>
    <row r="2046">
      <c r="A2046" s="57"/>
      <c r="B2046" s="57" t="str">
        <f>IFERROR(__xludf.DUMMYFUNCTION("""COMPUTED_VALUE"""),"    ")</f>
        <v>    </v>
      </c>
      <c r="C2046" s="57" t="str">
        <f>IFERROR(__xludf.DUMMYFUNCTION("""COMPUTED_VALUE"""),"")</f>
        <v/>
      </c>
      <c r="D2046" s="58"/>
      <c r="E2046" s="56"/>
      <c r="F2046" s="54"/>
      <c r="G2046" s="54"/>
      <c r="H2046" s="54"/>
      <c r="I2046" s="54"/>
      <c r="J2046" s="54"/>
      <c r="K2046" s="54"/>
    </row>
    <row r="2047">
      <c r="A2047" s="57"/>
      <c r="B2047" s="57" t="str">
        <f>IFERROR(__xludf.DUMMYFUNCTION("""COMPUTED_VALUE"""),"    ")</f>
        <v>    </v>
      </c>
      <c r="C2047" s="57" t="str">
        <f>IFERROR(__xludf.DUMMYFUNCTION("""COMPUTED_VALUE"""),"")</f>
        <v/>
      </c>
      <c r="D2047" s="58"/>
      <c r="E2047" s="56"/>
      <c r="F2047" s="54"/>
      <c r="G2047" s="54"/>
      <c r="H2047" s="54"/>
      <c r="I2047" s="54"/>
      <c r="J2047" s="54"/>
      <c r="K2047" s="54"/>
    </row>
    <row r="2048">
      <c r="A2048" s="57"/>
      <c r="B2048" s="57" t="str">
        <f>IFERROR(__xludf.DUMMYFUNCTION("""COMPUTED_VALUE"""),"    ")</f>
        <v>    </v>
      </c>
      <c r="C2048" s="57" t="str">
        <f>IFERROR(__xludf.DUMMYFUNCTION("""COMPUTED_VALUE"""),"")</f>
        <v/>
      </c>
      <c r="D2048" s="58"/>
      <c r="E2048" s="56"/>
      <c r="F2048" s="54"/>
      <c r="G2048" s="54"/>
      <c r="H2048" s="54"/>
      <c r="I2048" s="54"/>
      <c r="J2048" s="54"/>
      <c r="K2048" s="54"/>
    </row>
    <row r="2049">
      <c r="A2049" s="57"/>
      <c r="B2049" s="57" t="str">
        <f>IFERROR(__xludf.DUMMYFUNCTION("""COMPUTED_VALUE"""),"    ")</f>
        <v>    </v>
      </c>
      <c r="C2049" s="57" t="str">
        <f>IFERROR(__xludf.DUMMYFUNCTION("""COMPUTED_VALUE"""),"")</f>
        <v/>
      </c>
      <c r="D2049" s="58"/>
      <c r="E2049" s="56"/>
      <c r="F2049" s="54"/>
      <c r="G2049" s="54"/>
      <c r="H2049" s="54"/>
      <c r="I2049" s="54"/>
      <c r="J2049" s="54"/>
      <c r="K2049" s="54"/>
    </row>
    <row r="2050">
      <c r="A2050" s="57"/>
      <c r="B2050" s="57" t="str">
        <f>IFERROR(__xludf.DUMMYFUNCTION("""COMPUTED_VALUE"""),"    ")</f>
        <v>    </v>
      </c>
      <c r="C2050" s="57" t="str">
        <f>IFERROR(__xludf.DUMMYFUNCTION("""COMPUTED_VALUE"""),"")</f>
        <v/>
      </c>
      <c r="D2050" s="58"/>
      <c r="E2050" s="56"/>
      <c r="F2050" s="54"/>
      <c r="G2050" s="54"/>
      <c r="H2050" s="54"/>
      <c r="I2050" s="54"/>
      <c r="J2050" s="54"/>
      <c r="K2050" s="54"/>
    </row>
    <row r="2051">
      <c r="A2051" s="57"/>
      <c r="B2051" s="57" t="str">
        <f>IFERROR(__xludf.DUMMYFUNCTION("""COMPUTED_VALUE"""),"    ")</f>
        <v>    </v>
      </c>
      <c r="C2051" s="57" t="str">
        <f>IFERROR(__xludf.DUMMYFUNCTION("""COMPUTED_VALUE"""),"")</f>
        <v/>
      </c>
      <c r="D2051" s="58"/>
      <c r="E2051" s="56"/>
      <c r="F2051" s="54"/>
      <c r="G2051" s="54"/>
      <c r="H2051" s="54"/>
      <c r="I2051" s="54"/>
      <c r="J2051" s="54"/>
      <c r="K2051" s="54"/>
    </row>
    <row r="2052">
      <c r="A2052" s="57"/>
      <c r="B2052" s="57" t="str">
        <f>IFERROR(__xludf.DUMMYFUNCTION("""COMPUTED_VALUE"""),"    ")</f>
        <v>    </v>
      </c>
      <c r="C2052" s="57" t="str">
        <f>IFERROR(__xludf.DUMMYFUNCTION("""COMPUTED_VALUE"""),"")</f>
        <v/>
      </c>
      <c r="D2052" s="58"/>
      <c r="E2052" s="56"/>
      <c r="F2052" s="54"/>
      <c r="G2052" s="54"/>
      <c r="H2052" s="54"/>
      <c r="I2052" s="54"/>
      <c r="J2052" s="54"/>
      <c r="K2052" s="54"/>
    </row>
    <row r="2053">
      <c r="A2053" s="57"/>
      <c r="B2053" s="57" t="str">
        <f>IFERROR(__xludf.DUMMYFUNCTION("""COMPUTED_VALUE"""),"    ")</f>
        <v>    </v>
      </c>
      <c r="C2053" s="57" t="str">
        <f>IFERROR(__xludf.DUMMYFUNCTION("""COMPUTED_VALUE"""),"")</f>
        <v/>
      </c>
      <c r="D2053" s="58"/>
      <c r="E2053" s="56"/>
      <c r="F2053" s="54"/>
      <c r="G2053" s="54"/>
      <c r="H2053" s="54"/>
      <c r="I2053" s="54"/>
      <c r="J2053" s="54"/>
      <c r="K2053" s="54"/>
    </row>
    <row r="2054">
      <c r="A2054" s="57"/>
      <c r="B2054" s="57" t="str">
        <f>IFERROR(__xludf.DUMMYFUNCTION("""COMPUTED_VALUE"""),"    ")</f>
        <v>    </v>
      </c>
      <c r="C2054" s="57" t="str">
        <f>IFERROR(__xludf.DUMMYFUNCTION("""COMPUTED_VALUE"""),"")</f>
        <v/>
      </c>
      <c r="D2054" s="58"/>
      <c r="E2054" s="56"/>
      <c r="F2054" s="54"/>
      <c r="G2054" s="54"/>
      <c r="H2054" s="54"/>
      <c r="I2054" s="54"/>
      <c r="J2054" s="54"/>
      <c r="K2054" s="54"/>
    </row>
    <row r="2055">
      <c r="A2055" s="57"/>
      <c r="B2055" s="57" t="str">
        <f>IFERROR(__xludf.DUMMYFUNCTION("""COMPUTED_VALUE"""),"    ")</f>
        <v>    </v>
      </c>
      <c r="C2055" s="57" t="str">
        <f>IFERROR(__xludf.DUMMYFUNCTION("""COMPUTED_VALUE"""),"")</f>
        <v/>
      </c>
      <c r="D2055" s="58"/>
      <c r="E2055" s="56"/>
      <c r="F2055" s="54"/>
      <c r="G2055" s="54"/>
      <c r="H2055" s="54"/>
      <c r="I2055" s="54"/>
      <c r="J2055" s="54"/>
      <c r="K2055" s="54"/>
    </row>
    <row r="2056">
      <c r="A2056" s="57"/>
      <c r="B2056" s="57" t="str">
        <f>IFERROR(__xludf.DUMMYFUNCTION("""COMPUTED_VALUE"""),"    ")</f>
        <v>    </v>
      </c>
      <c r="C2056" s="57" t="str">
        <f>IFERROR(__xludf.DUMMYFUNCTION("""COMPUTED_VALUE"""),"")</f>
        <v/>
      </c>
      <c r="D2056" s="58"/>
      <c r="E2056" s="56"/>
      <c r="F2056" s="54"/>
      <c r="G2056" s="54"/>
      <c r="H2056" s="54"/>
      <c r="I2056" s="54"/>
      <c r="J2056" s="54"/>
      <c r="K2056" s="54"/>
    </row>
    <row r="2057">
      <c r="A2057" s="57"/>
      <c r="B2057" s="57" t="str">
        <f>IFERROR(__xludf.DUMMYFUNCTION("""COMPUTED_VALUE"""),"    ")</f>
        <v>    </v>
      </c>
      <c r="C2057" s="57" t="str">
        <f>IFERROR(__xludf.DUMMYFUNCTION("""COMPUTED_VALUE"""),"")</f>
        <v/>
      </c>
      <c r="D2057" s="58"/>
      <c r="E2057" s="56"/>
      <c r="F2057" s="54"/>
      <c r="G2057" s="54"/>
      <c r="H2057" s="54"/>
      <c r="I2057" s="54"/>
      <c r="J2057" s="54"/>
      <c r="K2057" s="54"/>
    </row>
    <row r="2058">
      <c r="A2058" s="57"/>
      <c r="B2058" s="57" t="str">
        <f>IFERROR(__xludf.DUMMYFUNCTION("""COMPUTED_VALUE"""),"    ")</f>
        <v>    </v>
      </c>
      <c r="C2058" s="57" t="str">
        <f>IFERROR(__xludf.DUMMYFUNCTION("""COMPUTED_VALUE"""),"")</f>
        <v/>
      </c>
      <c r="D2058" s="58"/>
      <c r="E2058" s="56"/>
      <c r="F2058" s="54"/>
      <c r="G2058" s="54"/>
      <c r="H2058" s="54"/>
      <c r="I2058" s="54"/>
      <c r="J2058" s="54"/>
      <c r="K2058" s="54"/>
    </row>
    <row r="2059">
      <c r="A2059" s="57"/>
      <c r="B2059" s="57" t="str">
        <f>IFERROR(__xludf.DUMMYFUNCTION("""COMPUTED_VALUE"""),"    ")</f>
        <v>    </v>
      </c>
      <c r="C2059" s="57" t="str">
        <f>IFERROR(__xludf.DUMMYFUNCTION("""COMPUTED_VALUE"""),"")</f>
        <v/>
      </c>
      <c r="D2059" s="58"/>
      <c r="E2059" s="56"/>
      <c r="F2059" s="54"/>
      <c r="G2059" s="54"/>
      <c r="H2059" s="54"/>
      <c r="I2059" s="54"/>
      <c r="J2059" s="54"/>
      <c r="K2059" s="54"/>
    </row>
    <row r="2060">
      <c r="A2060" s="57"/>
      <c r="B2060" s="57" t="str">
        <f>IFERROR(__xludf.DUMMYFUNCTION("""COMPUTED_VALUE"""),"    ")</f>
        <v>    </v>
      </c>
      <c r="C2060" s="57" t="str">
        <f>IFERROR(__xludf.DUMMYFUNCTION("""COMPUTED_VALUE"""),"")</f>
        <v/>
      </c>
      <c r="D2060" s="58"/>
      <c r="E2060" s="56"/>
      <c r="F2060" s="54"/>
      <c r="G2060" s="54"/>
      <c r="H2060" s="54"/>
      <c r="I2060" s="54"/>
      <c r="J2060" s="54"/>
      <c r="K2060" s="54"/>
    </row>
    <row r="2061">
      <c r="A2061" s="57"/>
      <c r="B2061" s="57" t="str">
        <f>IFERROR(__xludf.DUMMYFUNCTION("""COMPUTED_VALUE"""),"    ")</f>
        <v>    </v>
      </c>
      <c r="C2061" s="57" t="str">
        <f>IFERROR(__xludf.DUMMYFUNCTION("""COMPUTED_VALUE"""),"")</f>
        <v/>
      </c>
      <c r="D2061" s="58"/>
      <c r="E2061" s="56"/>
      <c r="F2061" s="54"/>
      <c r="G2061" s="54"/>
      <c r="H2061" s="54"/>
      <c r="I2061" s="54"/>
      <c r="J2061" s="54"/>
      <c r="K2061" s="54"/>
    </row>
    <row r="2062">
      <c r="A2062" s="57"/>
      <c r="B2062" s="57" t="str">
        <f>IFERROR(__xludf.DUMMYFUNCTION("""COMPUTED_VALUE"""),"    ")</f>
        <v>    </v>
      </c>
      <c r="C2062" s="57" t="str">
        <f>IFERROR(__xludf.DUMMYFUNCTION("""COMPUTED_VALUE"""),"")</f>
        <v/>
      </c>
      <c r="D2062" s="58"/>
      <c r="E2062" s="56"/>
      <c r="F2062" s="54"/>
      <c r="G2062" s="54"/>
      <c r="H2062" s="54"/>
      <c r="I2062" s="54"/>
      <c r="J2062" s="54"/>
      <c r="K2062" s="54"/>
    </row>
    <row r="2063">
      <c r="A2063" s="57"/>
      <c r="B2063" s="57" t="str">
        <f>IFERROR(__xludf.DUMMYFUNCTION("""COMPUTED_VALUE"""),"    ")</f>
        <v>    </v>
      </c>
      <c r="C2063" s="57" t="str">
        <f>IFERROR(__xludf.DUMMYFUNCTION("""COMPUTED_VALUE"""),"")</f>
        <v/>
      </c>
      <c r="D2063" s="58"/>
      <c r="E2063" s="56"/>
      <c r="F2063" s="54"/>
      <c r="G2063" s="54"/>
      <c r="H2063" s="54"/>
      <c r="I2063" s="54"/>
      <c r="J2063" s="54"/>
      <c r="K2063" s="54"/>
    </row>
    <row r="2064">
      <c r="A2064" s="57"/>
      <c r="B2064" s="57" t="str">
        <f>IFERROR(__xludf.DUMMYFUNCTION("""COMPUTED_VALUE"""),"    ")</f>
        <v>    </v>
      </c>
      <c r="C2064" s="57" t="str">
        <f>IFERROR(__xludf.DUMMYFUNCTION("""COMPUTED_VALUE"""),"")</f>
        <v/>
      </c>
      <c r="D2064" s="58"/>
      <c r="E2064" s="56"/>
      <c r="F2064" s="54"/>
      <c r="G2064" s="54"/>
      <c r="H2064" s="54"/>
      <c r="I2064" s="54"/>
      <c r="J2064" s="54"/>
      <c r="K2064" s="54"/>
    </row>
    <row r="2065">
      <c r="A2065" s="57"/>
      <c r="B2065" s="57" t="str">
        <f>IFERROR(__xludf.DUMMYFUNCTION("""COMPUTED_VALUE"""),"    ")</f>
        <v>    </v>
      </c>
      <c r="C2065" s="57" t="str">
        <f>IFERROR(__xludf.DUMMYFUNCTION("""COMPUTED_VALUE"""),"")</f>
        <v/>
      </c>
      <c r="D2065" s="58"/>
      <c r="E2065" s="56"/>
      <c r="F2065" s="54"/>
      <c r="G2065" s="54"/>
      <c r="H2065" s="54"/>
      <c r="I2065" s="54"/>
      <c r="J2065" s="54"/>
      <c r="K2065" s="54"/>
    </row>
    <row r="2066">
      <c r="A2066" s="57"/>
      <c r="B2066" s="57" t="str">
        <f>IFERROR(__xludf.DUMMYFUNCTION("""COMPUTED_VALUE"""),"    ")</f>
        <v>    </v>
      </c>
      <c r="C2066" s="57" t="str">
        <f>IFERROR(__xludf.DUMMYFUNCTION("""COMPUTED_VALUE"""),"")</f>
        <v/>
      </c>
      <c r="D2066" s="58"/>
      <c r="E2066" s="56"/>
      <c r="F2066" s="54"/>
      <c r="G2066" s="54"/>
      <c r="H2066" s="54"/>
      <c r="I2066" s="54"/>
      <c r="J2066" s="54"/>
      <c r="K2066" s="54"/>
    </row>
    <row r="2067">
      <c r="A2067" s="57"/>
      <c r="B2067" s="57" t="str">
        <f>IFERROR(__xludf.DUMMYFUNCTION("""COMPUTED_VALUE"""),"    ")</f>
        <v>    </v>
      </c>
      <c r="C2067" s="57" t="str">
        <f>IFERROR(__xludf.DUMMYFUNCTION("""COMPUTED_VALUE"""),"")</f>
        <v/>
      </c>
      <c r="D2067" s="58"/>
      <c r="E2067" s="56"/>
      <c r="F2067" s="54"/>
      <c r="G2067" s="54"/>
      <c r="H2067" s="54"/>
      <c r="I2067" s="54"/>
      <c r="J2067" s="54"/>
      <c r="K2067" s="54"/>
    </row>
    <row r="2068">
      <c r="A2068" s="57"/>
      <c r="B2068" s="57" t="str">
        <f>IFERROR(__xludf.DUMMYFUNCTION("""COMPUTED_VALUE"""),"    ")</f>
        <v>    </v>
      </c>
      <c r="C2068" s="57" t="str">
        <f>IFERROR(__xludf.DUMMYFUNCTION("""COMPUTED_VALUE"""),"")</f>
        <v/>
      </c>
      <c r="D2068" s="58"/>
      <c r="E2068" s="56"/>
      <c r="F2068" s="54"/>
      <c r="G2068" s="54"/>
      <c r="H2068" s="54"/>
      <c r="I2068" s="54"/>
      <c r="J2068" s="54"/>
      <c r="K2068" s="54"/>
    </row>
    <row r="2069">
      <c r="A2069" s="57"/>
      <c r="B2069" s="57" t="str">
        <f>IFERROR(__xludf.DUMMYFUNCTION("""COMPUTED_VALUE"""),"    ")</f>
        <v>    </v>
      </c>
      <c r="C2069" s="57" t="str">
        <f>IFERROR(__xludf.DUMMYFUNCTION("""COMPUTED_VALUE"""),"")</f>
        <v/>
      </c>
      <c r="D2069" s="58"/>
      <c r="E2069" s="56"/>
      <c r="F2069" s="54"/>
      <c r="G2069" s="54"/>
      <c r="H2069" s="54"/>
      <c r="I2069" s="54"/>
      <c r="J2069" s="54"/>
      <c r="K2069" s="54"/>
    </row>
    <row r="2070">
      <c r="A2070" s="57"/>
      <c r="B2070" s="57" t="str">
        <f>IFERROR(__xludf.DUMMYFUNCTION("""COMPUTED_VALUE"""),"    ")</f>
        <v>    </v>
      </c>
      <c r="C2070" s="57" t="str">
        <f>IFERROR(__xludf.DUMMYFUNCTION("""COMPUTED_VALUE"""),"")</f>
        <v/>
      </c>
      <c r="D2070" s="58"/>
      <c r="E2070" s="56"/>
      <c r="F2070" s="54"/>
      <c r="G2070" s="54"/>
      <c r="H2070" s="54"/>
      <c r="I2070" s="54"/>
      <c r="J2070" s="54"/>
      <c r="K2070" s="54"/>
    </row>
    <row r="2071">
      <c r="A2071" s="57"/>
      <c r="B2071" s="57" t="str">
        <f>IFERROR(__xludf.DUMMYFUNCTION("""COMPUTED_VALUE"""),"    ")</f>
        <v>    </v>
      </c>
      <c r="C2071" s="57" t="str">
        <f>IFERROR(__xludf.DUMMYFUNCTION("""COMPUTED_VALUE"""),"")</f>
        <v/>
      </c>
      <c r="D2071" s="58"/>
      <c r="E2071" s="56"/>
      <c r="F2071" s="54"/>
      <c r="G2071" s="54"/>
      <c r="H2071" s="54"/>
      <c r="I2071" s="54"/>
      <c r="J2071" s="54"/>
      <c r="K2071" s="54"/>
    </row>
    <row r="2072">
      <c r="A2072" s="57"/>
      <c r="B2072" s="57" t="str">
        <f>IFERROR(__xludf.DUMMYFUNCTION("""COMPUTED_VALUE"""),"    ")</f>
        <v>    </v>
      </c>
      <c r="C2072" s="57" t="str">
        <f>IFERROR(__xludf.DUMMYFUNCTION("""COMPUTED_VALUE"""),"")</f>
        <v/>
      </c>
      <c r="D2072" s="58"/>
      <c r="E2072" s="56"/>
      <c r="F2072" s="54"/>
      <c r="G2072" s="54"/>
      <c r="H2072" s="54"/>
      <c r="I2072" s="54"/>
      <c r="J2072" s="54"/>
      <c r="K2072" s="54"/>
    </row>
    <row r="2073">
      <c r="A2073" s="57"/>
      <c r="B2073" s="57" t="str">
        <f>IFERROR(__xludf.DUMMYFUNCTION("""COMPUTED_VALUE"""),"    ")</f>
        <v>    </v>
      </c>
      <c r="C2073" s="57" t="str">
        <f>IFERROR(__xludf.DUMMYFUNCTION("""COMPUTED_VALUE"""),"")</f>
        <v/>
      </c>
      <c r="D2073" s="58"/>
      <c r="E2073" s="56"/>
      <c r="F2073" s="54"/>
      <c r="G2073" s="54"/>
      <c r="H2073" s="54"/>
      <c r="I2073" s="54"/>
      <c r="J2073" s="54"/>
      <c r="K2073" s="54"/>
    </row>
    <row r="2074">
      <c r="A2074" s="57"/>
      <c r="B2074" s="57" t="str">
        <f>IFERROR(__xludf.DUMMYFUNCTION("""COMPUTED_VALUE"""),"    ")</f>
        <v>    </v>
      </c>
      <c r="C2074" s="57" t="str">
        <f>IFERROR(__xludf.DUMMYFUNCTION("""COMPUTED_VALUE"""),"")</f>
        <v/>
      </c>
      <c r="D2074" s="58"/>
      <c r="E2074" s="56"/>
      <c r="F2074" s="54"/>
      <c r="G2074" s="54"/>
      <c r="H2074" s="54"/>
      <c r="I2074" s="54"/>
      <c r="J2074" s="54"/>
      <c r="K2074" s="54"/>
    </row>
    <row r="2075">
      <c r="A2075" s="57"/>
      <c r="B2075" s="57" t="str">
        <f>IFERROR(__xludf.DUMMYFUNCTION("""COMPUTED_VALUE"""),"    ")</f>
        <v>    </v>
      </c>
      <c r="C2075" s="57" t="str">
        <f>IFERROR(__xludf.DUMMYFUNCTION("""COMPUTED_VALUE"""),"")</f>
        <v/>
      </c>
      <c r="D2075" s="58"/>
      <c r="E2075" s="56"/>
      <c r="F2075" s="54"/>
      <c r="G2075" s="54"/>
      <c r="H2075" s="54"/>
      <c r="I2075" s="54"/>
      <c r="J2075" s="54"/>
      <c r="K2075" s="54"/>
    </row>
    <row r="2076">
      <c r="A2076" s="57"/>
      <c r="B2076" s="57" t="str">
        <f>IFERROR(__xludf.DUMMYFUNCTION("""COMPUTED_VALUE"""),"    ")</f>
        <v>    </v>
      </c>
      <c r="C2076" s="57" t="str">
        <f>IFERROR(__xludf.DUMMYFUNCTION("""COMPUTED_VALUE"""),"")</f>
        <v/>
      </c>
      <c r="D2076" s="58"/>
      <c r="E2076" s="56"/>
      <c r="F2076" s="54"/>
      <c r="G2076" s="54"/>
      <c r="H2076" s="54"/>
      <c r="I2076" s="54"/>
      <c r="J2076" s="54"/>
      <c r="K2076" s="54"/>
    </row>
    <row r="2077">
      <c r="A2077" s="57"/>
      <c r="B2077" s="57" t="str">
        <f>IFERROR(__xludf.DUMMYFUNCTION("""COMPUTED_VALUE"""),"    ")</f>
        <v>    </v>
      </c>
      <c r="C2077" s="57" t="str">
        <f>IFERROR(__xludf.DUMMYFUNCTION("""COMPUTED_VALUE"""),"")</f>
        <v/>
      </c>
      <c r="D2077" s="58"/>
      <c r="E2077" s="56"/>
      <c r="F2077" s="54"/>
      <c r="G2077" s="54"/>
      <c r="H2077" s="54"/>
      <c r="I2077" s="54"/>
      <c r="J2077" s="54"/>
      <c r="K2077" s="54"/>
    </row>
    <row r="2078">
      <c r="A2078" s="57"/>
      <c r="B2078" s="57" t="str">
        <f>IFERROR(__xludf.DUMMYFUNCTION("""COMPUTED_VALUE"""),"    ")</f>
        <v>    </v>
      </c>
      <c r="C2078" s="57" t="str">
        <f>IFERROR(__xludf.DUMMYFUNCTION("""COMPUTED_VALUE"""),"")</f>
        <v/>
      </c>
      <c r="D2078" s="58"/>
      <c r="E2078" s="56"/>
      <c r="F2078" s="54"/>
      <c r="G2078" s="54"/>
      <c r="H2078" s="54"/>
      <c r="I2078" s="54"/>
      <c r="J2078" s="54"/>
      <c r="K2078" s="54"/>
    </row>
    <row r="2079">
      <c r="A2079" s="57"/>
      <c r="B2079" s="57" t="str">
        <f>IFERROR(__xludf.DUMMYFUNCTION("""COMPUTED_VALUE"""),"    ")</f>
        <v>    </v>
      </c>
      <c r="C2079" s="57" t="str">
        <f>IFERROR(__xludf.DUMMYFUNCTION("""COMPUTED_VALUE"""),"")</f>
        <v/>
      </c>
      <c r="D2079" s="58"/>
      <c r="E2079" s="56"/>
      <c r="F2079" s="54"/>
      <c r="G2079" s="54"/>
      <c r="H2079" s="54"/>
      <c r="I2079" s="54"/>
      <c r="J2079" s="54"/>
      <c r="K2079" s="54"/>
    </row>
    <row r="2080">
      <c r="A2080" s="57"/>
      <c r="B2080" s="57" t="str">
        <f>IFERROR(__xludf.DUMMYFUNCTION("""COMPUTED_VALUE"""),"    ")</f>
        <v>    </v>
      </c>
      <c r="C2080" s="57" t="str">
        <f>IFERROR(__xludf.DUMMYFUNCTION("""COMPUTED_VALUE"""),"")</f>
        <v/>
      </c>
      <c r="D2080" s="58"/>
      <c r="E2080" s="56"/>
      <c r="F2080" s="54"/>
      <c r="G2080" s="54"/>
      <c r="H2080" s="54"/>
      <c r="I2080" s="54"/>
      <c r="J2080" s="54"/>
      <c r="K2080" s="54"/>
    </row>
    <row r="2081">
      <c r="A2081" s="57"/>
      <c r="B2081" s="57" t="str">
        <f>IFERROR(__xludf.DUMMYFUNCTION("""COMPUTED_VALUE"""),"    ")</f>
        <v>    </v>
      </c>
      <c r="C2081" s="57" t="str">
        <f>IFERROR(__xludf.DUMMYFUNCTION("""COMPUTED_VALUE"""),"")</f>
        <v/>
      </c>
      <c r="D2081" s="58"/>
      <c r="E2081" s="56"/>
      <c r="F2081" s="54"/>
      <c r="G2081" s="54"/>
      <c r="H2081" s="54"/>
      <c r="I2081" s="54"/>
      <c r="J2081" s="54"/>
      <c r="K2081" s="54"/>
    </row>
    <row r="2082">
      <c r="A2082" s="57"/>
      <c r="B2082" s="57" t="str">
        <f>IFERROR(__xludf.DUMMYFUNCTION("""COMPUTED_VALUE"""),"    ")</f>
        <v>    </v>
      </c>
      <c r="C2082" s="57" t="str">
        <f>IFERROR(__xludf.DUMMYFUNCTION("""COMPUTED_VALUE"""),"")</f>
        <v/>
      </c>
      <c r="D2082" s="58"/>
      <c r="E2082" s="56"/>
      <c r="F2082" s="54"/>
      <c r="G2082" s="54"/>
      <c r="H2082" s="54"/>
      <c r="I2082" s="54"/>
      <c r="J2082" s="54"/>
      <c r="K2082" s="54"/>
    </row>
    <row r="2083">
      <c r="A2083" s="57"/>
      <c r="B2083" s="57" t="str">
        <f>IFERROR(__xludf.DUMMYFUNCTION("""COMPUTED_VALUE"""),"    ")</f>
        <v>    </v>
      </c>
      <c r="C2083" s="57" t="str">
        <f>IFERROR(__xludf.DUMMYFUNCTION("""COMPUTED_VALUE"""),"")</f>
        <v/>
      </c>
      <c r="D2083" s="58"/>
      <c r="E2083" s="56"/>
      <c r="F2083" s="54"/>
      <c r="G2083" s="54"/>
      <c r="H2083" s="54"/>
      <c r="I2083" s="54"/>
      <c r="J2083" s="54"/>
      <c r="K2083" s="54"/>
    </row>
    <row r="2084">
      <c r="A2084" s="57"/>
      <c r="B2084" s="57" t="str">
        <f>IFERROR(__xludf.DUMMYFUNCTION("""COMPUTED_VALUE"""),"    ")</f>
        <v>    </v>
      </c>
      <c r="C2084" s="57" t="str">
        <f>IFERROR(__xludf.DUMMYFUNCTION("""COMPUTED_VALUE"""),"")</f>
        <v/>
      </c>
      <c r="D2084" s="58"/>
      <c r="E2084" s="56"/>
      <c r="F2084" s="54"/>
      <c r="G2084" s="54"/>
      <c r="H2084" s="54"/>
      <c r="I2084" s="54"/>
      <c r="J2084" s="54"/>
      <c r="K2084" s="54"/>
    </row>
    <row r="2085">
      <c r="A2085" s="57"/>
      <c r="B2085" s="57" t="str">
        <f>IFERROR(__xludf.DUMMYFUNCTION("""COMPUTED_VALUE"""),"    ")</f>
        <v>    </v>
      </c>
      <c r="C2085" s="57" t="str">
        <f>IFERROR(__xludf.DUMMYFUNCTION("""COMPUTED_VALUE"""),"")</f>
        <v/>
      </c>
      <c r="D2085" s="58"/>
      <c r="E2085" s="56"/>
      <c r="F2085" s="54"/>
      <c r="G2085" s="54"/>
      <c r="H2085" s="54"/>
      <c r="I2085" s="54"/>
      <c r="J2085" s="54"/>
      <c r="K2085" s="54"/>
    </row>
    <row r="2086">
      <c r="A2086" s="57"/>
      <c r="B2086" s="57" t="str">
        <f>IFERROR(__xludf.DUMMYFUNCTION("""COMPUTED_VALUE"""),"    ")</f>
        <v>    </v>
      </c>
      <c r="C2086" s="57" t="str">
        <f>IFERROR(__xludf.DUMMYFUNCTION("""COMPUTED_VALUE"""),"")</f>
        <v/>
      </c>
      <c r="D2086" s="58"/>
      <c r="E2086" s="56"/>
      <c r="F2086" s="54"/>
      <c r="G2086" s="54"/>
      <c r="H2086" s="54"/>
      <c r="I2086" s="54"/>
      <c r="J2086" s="54"/>
      <c r="K2086" s="54"/>
    </row>
    <row r="2087">
      <c r="A2087" s="57"/>
      <c r="B2087" s="57" t="str">
        <f>IFERROR(__xludf.DUMMYFUNCTION("""COMPUTED_VALUE"""),"    ")</f>
        <v>    </v>
      </c>
      <c r="C2087" s="57" t="str">
        <f>IFERROR(__xludf.DUMMYFUNCTION("""COMPUTED_VALUE"""),"")</f>
        <v/>
      </c>
      <c r="D2087" s="58"/>
      <c r="E2087" s="56"/>
      <c r="F2087" s="54"/>
      <c r="G2087" s="54"/>
      <c r="H2087" s="54"/>
      <c r="I2087" s="54"/>
      <c r="J2087" s="54"/>
      <c r="K2087" s="54"/>
    </row>
    <row r="2088">
      <c r="A2088" s="57"/>
      <c r="B2088" s="57" t="str">
        <f>IFERROR(__xludf.DUMMYFUNCTION("""COMPUTED_VALUE"""),"    ")</f>
        <v>    </v>
      </c>
      <c r="C2088" s="57" t="str">
        <f>IFERROR(__xludf.DUMMYFUNCTION("""COMPUTED_VALUE"""),"")</f>
        <v/>
      </c>
      <c r="D2088" s="58"/>
      <c r="E2088" s="56"/>
      <c r="F2088" s="54"/>
      <c r="G2088" s="54"/>
      <c r="H2088" s="54"/>
      <c r="I2088" s="54"/>
      <c r="J2088" s="54"/>
      <c r="K2088" s="54"/>
    </row>
    <row r="2089">
      <c r="A2089" s="57"/>
      <c r="B2089" s="57" t="str">
        <f>IFERROR(__xludf.DUMMYFUNCTION("""COMPUTED_VALUE"""),"    ")</f>
        <v>    </v>
      </c>
      <c r="C2089" s="57" t="str">
        <f>IFERROR(__xludf.DUMMYFUNCTION("""COMPUTED_VALUE"""),"")</f>
        <v/>
      </c>
      <c r="D2089" s="58"/>
      <c r="E2089" s="56"/>
      <c r="F2089" s="54"/>
      <c r="G2089" s="54"/>
      <c r="H2089" s="54"/>
      <c r="I2089" s="54"/>
      <c r="J2089" s="54"/>
      <c r="K2089" s="54"/>
    </row>
    <row r="2090">
      <c r="A2090" s="57"/>
      <c r="B2090" s="57" t="str">
        <f>IFERROR(__xludf.DUMMYFUNCTION("""COMPUTED_VALUE"""),"    ")</f>
        <v>    </v>
      </c>
      <c r="C2090" s="57" t="str">
        <f>IFERROR(__xludf.DUMMYFUNCTION("""COMPUTED_VALUE"""),"")</f>
        <v/>
      </c>
      <c r="D2090" s="58"/>
      <c r="E2090" s="56"/>
      <c r="F2090" s="54"/>
      <c r="G2090" s="54"/>
      <c r="H2090" s="54"/>
      <c r="I2090" s="54"/>
      <c r="J2090" s="54"/>
      <c r="K2090" s="54"/>
    </row>
    <row r="2091">
      <c r="A2091" s="57"/>
      <c r="B2091" s="57" t="str">
        <f>IFERROR(__xludf.DUMMYFUNCTION("""COMPUTED_VALUE"""),"    ")</f>
        <v>    </v>
      </c>
      <c r="C2091" s="57" t="str">
        <f>IFERROR(__xludf.DUMMYFUNCTION("""COMPUTED_VALUE"""),"")</f>
        <v/>
      </c>
      <c r="D2091" s="58"/>
      <c r="E2091" s="56"/>
      <c r="F2091" s="54"/>
      <c r="G2091" s="54"/>
      <c r="H2091" s="54"/>
      <c r="I2091" s="54"/>
      <c r="J2091" s="54"/>
      <c r="K2091" s="54"/>
    </row>
    <row r="2092">
      <c r="A2092" s="57"/>
      <c r="B2092" s="57" t="str">
        <f>IFERROR(__xludf.DUMMYFUNCTION("""COMPUTED_VALUE"""),"    ")</f>
        <v>    </v>
      </c>
      <c r="C2092" s="57" t="str">
        <f>IFERROR(__xludf.DUMMYFUNCTION("""COMPUTED_VALUE"""),"")</f>
        <v/>
      </c>
      <c r="D2092" s="58"/>
      <c r="E2092" s="56"/>
      <c r="F2092" s="54"/>
      <c r="G2092" s="54"/>
      <c r="H2092" s="54"/>
      <c r="I2092" s="54"/>
      <c r="J2092" s="54"/>
      <c r="K2092" s="54"/>
    </row>
    <row r="2093">
      <c r="A2093" s="57"/>
      <c r="B2093" s="57" t="str">
        <f>IFERROR(__xludf.DUMMYFUNCTION("""COMPUTED_VALUE"""),"    ")</f>
        <v>    </v>
      </c>
      <c r="C2093" s="57" t="str">
        <f>IFERROR(__xludf.DUMMYFUNCTION("""COMPUTED_VALUE"""),"")</f>
        <v/>
      </c>
      <c r="D2093" s="58"/>
      <c r="E2093" s="56"/>
      <c r="F2093" s="54"/>
      <c r="G2093" s="54"/>
      <c r="H2093" s="54"/>
      <c r="I2093" s="54"/>
      <c r="J2093" s="54"/>
      <c r="K2093" s="54"/>
    </row>
    <row r="2094">
      <c r="A2094" s="57"/>
      <c r="B2094" s="57" t="str">
        <f>IFERROR(__xludf.DUMMYFUNCTION("""COMPUTED_VALUE"""),"    ")</f>
        <v>    </v>
      </c>
      <c r="C2094" s="57" t="str">
        <f>IFERROR(__xludf.DUMMYFUNCTION("""COMPUTED_VALUE"""),"")</f>
        <v/>
      </c>
      <c r="D2094" s="58"/>
      <c r="E2094" s="56"/>
      <c r="F2094" s="54"/>
      <c r="G2094" s="54"/>
      <c r="H2094" s="54"/>
      <c r="I2094" s="54"/>
      <c r="J2094" s="54"/>
      <c r="K2094" s="54"/>
    </row>
    <row r="2095">
      <c r="A2095" s="57"/>
      <c r="B2095" s="57" t="str">
        <f>IFERROR(__xludf.DUMMYFUNCTION("""COMPUTED_VALUE"""),"    ")</f>
        <v>    </v>
      </c>
      <c r="C2095" s="57" t="str">
        <f>IFERROR(__xludf.DUMMYFUNCTION("""COMPUTED_VALUE"""),"")</f>
        <v/>
      </c>
      <c r="D2095" s="58"/>
      <c r="E2095" s="56"/>
      <c r="F2095" s="54"/>
      <c r="G2095" s="54"/>
      <c r="H2095" s="54"/>
      <c r="I2095" s="54"/>
      <c r="J2095" s="54"/>
      <c r="K2095" s="54"/>
    </row>
    <row r="2096">
      <c r="A2096" s="57"/>
      <c r="B2096" s="57" t="str">
        <f>IFERROR(__xludf.DUMMYFUNCTION("""COMPUTED_VALUE"""),"    ")</f>
        <v>    </v>
      </c>
      <c r="C2096" s="57" t="str">
        <f>IFERROR(__xludf.DUMMYFUNCTION("""COMPUTED_VALUE"""),"")</f>
        <v/>
      </c>
      <c r="D2096" s="58"/>
      <c r="E2096" s="56"/>
      <c r="F2096" s="54"/>
      <c r="G2096" s="54"/>
      <c r="H2096" s="54"/>
      <c r="I2096" s="54"/>
      <c r="J2096" s="54"/>
      <c r="K2096" s="54"/>
    </row>
    <row r="2097">
      <c r="A2097" s="57"/>
      <c r="B2097" s="57" t="str">
        <f>IFERROR(__xludf.DUMMYFUNCTION("""COMPUTED_VALUE"""),"    ")</f>
        <v>    </v>
      </c>
      <c r="C2097" s="57" t="str">
        <f>IFERROR(__xludf.DUMMYFUNCTION("""COMPUTED_VALUE"""),"")</f>
        <v/>
      </c>
      <c r="D2097" s="58"/>
      <c r="E2097" s="56"/>
      <c r="F2097" s="54"/>
      <c r="G2097" s="54"/>
      <c r="H2097" s="54"/>
      <c r="I2097" s="54"/>
      <c r="J2097" s="54"/>
      <c r="K2097" s="54"/>
    </row>
    <row r="2098">
      <c r="A2098" s="57"/>
      <c r="B2098" s="57" t="str">
        <f>IFERROR(__xludf.DUMMYFUNCTION("""COMPUTED_VALUE"""),"    ")</f>
        <v>    </v>
      </c>
      <c r="C2098" s="57" t="str">
        <f>IFERROR(__xludf.DUMMYFUNCTION("""COMPUTED_VALUE"""),"")</f>
        <v/>
      </c>
      <c r="D2098" s="58"/>
      <c r="E2098" s="56"/>
      <c r="F2098" s="54"/>
      <c r="G2098" s="54"/>
      <c r="H2098" s="54"/>
      <c r="I2098" s="54"/>
      <c r="J2098" s="54"/>
      <c r="K2098" s="54"/>
    </row>
    <row r="2099">
      <c r="A2099" s="57"/>
      <c r="B2099" s="57" t="str">
        <f>IFERROR(__xludf.DUMMYFUNCTION("""COMPUTED_VALUE"""),"    ")</f>
        <v>    </v>
      </c>
      <c r="C2099" s="57" t="str">
        <f>IFERROR(__xludf.DUMMYFUNCTION("""COMPUTED_VALUE"""),"")</f>
        <v/>
      </c>
      <c r="D2099" s="58"/>
      <c r="E2099" s="56"/>
      <c r="F2099" s="54"/>
      <c r="G2099" s="54"/>
      <c r="H2099" s="54"/>
      <c r="I2099" s="54"/>
      <c r="J2099" s="54"/>
      <c r="K2099" s="54"/>
    </row>
    <row r="2100">
      <c r="A2100" s="57"/>
      <c r="B2100" s="57" t="str">
        <f>IFERROR(__xludf.DUMMYFUNCTION("""COMPUTED_VALUE"""),"    ")</f>
        <v>    </v>
      </c>
      <c r="C2100" s="57" t="str">
        <f>IFERROR(__xludf.DUMMYFUNCTION("""COMPUTED_VALUE"""),"")</f>
        <v/>
      </c>
      <c r="D2100" s="58"/>
      <c r="E2100" s="56"/>
      <c r="F2100" s="54"/>
      <c r="G2100" s="54"/>
      <c r="H2100" s="54"/>
      <c r="I2100" s="54"/>
      <c r="J2100" s="54"/>
      <c r="K2100" s="54"/>
    </row>
    <row r="2101">
      <c r="A2101" s="57"/>
      <c r="B2101" s="57" t="str">
        <f>IFERROR(__xludf.DUMMYFUNCTION("""COMPUTED_VALUE"""),"    ")</f>
        <v>    </v>
      </c>
      <c r="C2101" s="57" t="str">
        <f>IFERROR(__xludf.DUMMYFUNCTION("""COMPUTED_VALUE"""),"")</f>
        <v/>
      </c>
      <c r="D2101" s="58"/>
      <c r="E2101" s="56"/>
      <c r="F2101" s="54"/>
      <c r="G2101" s="54"/>
      <c r="H2101" s="54"/>
      <c r="I2101" s="54"/>
      <c r="J2101" s="54"/>
      <c r="K2101" s="54"/>
    </row>
    <row r="2102">
      <c r="A2102" s="57"/>
      <c r="B2102" s="57" t="str">
        <f>IFERROR(__xludf.DUMMYFUNCTION("""COMPUTED_VALUE"""),"    ")</f>
        <v>    </v>
      </c>
      <c r="C2102" s="57" t="str">
        <f>IFERROR(__xludf.DUMMYFUNCTION("""COMPUTED_VALUE"""),"")</f>
        <v/>
      </c>
      <c r="D2102" s="58"/>
      <c r="E2102" s="56"/>
      <c r="F2102" s="54"/>
      <c r="G2102" s="54"/>
      <c r="H2102" s="54"/>
      <c r="I2102" s="54"/>
      <c r="J2102" s="54"/>
      <c r="K2102" s="54"/>
    </row>
    <row r="2103">
      <c r="A2103" s="57"/>
      <c r="B2103" s="57" t="str">
        <f>IFERROR(__xludf.DUMMYFUNCTION("""COMPUTED_VALUE"""),"    ")</f>
        <v>    </v>
      </c>
      <c r="C2103" s="57" t="str">
        <f>IFERROR(__xludf.DUMMYFUNCTION("""COMPUTED_VALUE"""),"")</f>
        <v/>
      </c>
      <c r="D2103" s="58"/>
      <c r="E2103" s="56"/>
      <c r="F2103" s="54"/>
      <c r="G2103" s="54"/>
      <c r="H2103" s="54"/>
      <c r="I2103" s="54"/>
      <c r="J2103" s="54"/>
      <c r="K2103" s="54"/>
    </row>
    <row r="2104">
      <c r="A2104" s="57"/>
      <c r="B2104" s="57" t="str">
        <f>IFERROR(__xludf.DUMMYFUNCTION("""COMPUTED_VALUE"""),"    ")</f>
        <v>    </v>
      </c>
      <c r="C2104" s="57" t="str">
        <f>IFERROR(__xludf.DUMMYFUNCTION("""COMPUTED_VALUE"""),"")</f>
        <v/>
      </c>
      <c r="D2104" s="58"/>
      <c r="E2104" s="56"/>
      <c r="F2104" s="54"/>
      <c r="G2104" s="54"/>
      <c r="H2104" s="54"/>
      <c r="I2104" s="54"/>
      <c r="J2104" s="54"/>
      <c r="K2104" s="54"/>
    </row>
    <row r="2105">
      <c r="A2105" s="57"/>
      <c r="B2105" s="57" t="str">
        <f>IFERROR(__xludf.DUMMYFUNCTION("""COMPUTED_VALUE"""),"    ")</f>
        <v>    </v>
      </c>
      <c r="C2105" s="57" t="str">
        <f>IFERROR(__xludf.DUMMYFUNCTION("""COMPUTED_VALUE"""),"")</f>
        <v/>
      </c>
      <c r="D2105" s="58"/>
      <c r="E2105" s="56"/>
      <c r="F2105" s="54"/>
      <c r="G2105" s="54"/>
      <c r="H2105" s="54"/>
      <c r="I2105" s="54"/>
      <c r="J2105" s="54"/>
      <c r="K2105" s="54"/>
    </row>
    <row r="2106">
      <c r="A2106" s="57"/>
      <c r="B2106" s="57" t="str">
        <f>IFERROR(__xludf.DUMMYFUNCTION("""COMPUTED_VALUE"""),"    ")</f>
        <v>    </v>
      </c>
      <c r="C2106" s="57" t="str">
        <f>IFERROR(__xludf.DUMMYFUNCTION("""COMPUTED_VALUE"""),"")</f>
        <v/>
      </c>
      <c r="D2106" s="58"/>
      <c r="E2106" s="56"/>
      <c r="F2106" s="54"/>
      <c r="G2106" s="54"/>
      <c r="H2106" s="54"/>
      <c r="I2106" s="54"/>
      <c r="J2106" s="54"/>
      <c r="K2106" s="54"/>
    </row>
    <row r="2107">
      <c r="A2107" s="57"/>
      <c r="B2107" s="57" t="str">
        <f>IFERROR(__xludf.DUMMYFUNCTION("""COMPUTED_VALUE"""),"    ")</f>
        <v>    </v>
      </c>
      <c r="C2107" s="57" t="str">
        <f>IFERROR(__xludf.DUMMYFUNCTION("""COMPUTED_VALUE"""),"")</f>
        <v/>
      </c>
      <c r="D2107" s="58"/>
      <c r="E2107" s="56"/>
      <c r="F2107" s="54"/>
      <c r="G2107" s="54"/>
      <c r="H2107" s="54"/>
      <c r="I2107" s="54"/>
      <c r="J2107" s="54"/>
      <c r="K2107" s="54"/>
    </row>
    <row r="2108">
      <c r="A2108" s="57"/>
      <c r="B2108" s="57" t="str">
        <f>IFERROR(__xludf.DUMMYFUNCTION("""COMPUTED_VALUE"""),"    ")</f>
        <v>    </v>
      </c>
      <c r="C2108" s="57" t="str">
        <f>IFERROR(__xludf.DUMMYFUNCTION("""COMPUTED_VALUE"""),"")</f>
        <v/>
      </c>
      <c r="D2108" s="58"/>
      <c r="E2108" s="56"/>
      <c r="F2108" s="54"/>
      <c r="G2108" s="54"/>
      <c r="H2108" s="54"/>
      <c r="I2108" s="54"/>
      <c r="J2108" s="54"/>
      <c r="K2108" s="54"/>
    </row>
    <row r="2109">
      <c r="A2109" s="57"/>
      <c r="B2109" s="57" t="str">
        <f>IFERROR(__xludf.DUMMYFUNCTION("""COMPUTED_VALUE"""),"    ")</f>
        <v>    </v>
      </c>
      <c r="C2109" s="57" t="str">
        <f>IFERROR(__xludf.DUMMYFUNCTION("""COMPUTED_VALUE"""),"")</f>
        <v/>
      </c>
      <c r="D2109" s="58"/>
      <c r="E2109" s="56"/>
      <c r="F2109" s="54"/>
      <c r="G2109" s="54"/>
      <c r="H2109" s="54"/>
      <c r="I2109" s="54"/>
      <c r="J2109" s="54"/>
      <c r="K2109" s="54"/>
    </row>
    <row r="2110">
      <c r="A2110" s="57"/>
      <c r="B2110" s="57" t="str">
        <f>IFERROR(__xludf.DUMMYFUNCTION("""COMPUTED_VALUE"""),"    ")</f>
        <v>    </v>
      </c>
      <c r="C2110" s="57" t="str">
        <f>IFERROR(__xludf.DUMMYFUNCTION("""COMPUTED_VALUE"""),"")</f>
        <v/>
      </c>
      <c r="D2110" s="58"/>
      <c r="E2110" s="56"/>
      <c r="F2110" s="54"/>
      <c r="G2110" s="54"/>
      <c r="H2110" s="54"/>
      <c r="I2110" s="54"/>
      <c r="J2110" s="54"/>
      <c r="K2110" s="54"/>
    </row>
    <row r="2111">
      <c r="A2111" s="57"/>
      <c r="B2111" s="57" t="str">
        <f>IFERROR(__xludf.DUMMYFUNCTION("""COMPUTED_VALUE"""),"    ")</f>
        <v>    </v>
      </c>
      <c r="C2111" s="57" t="str">
        <f>IFERROR(__xludf.DUMMYFUNCTION("""COMPUTED_VALUE"""),"")</f>
        <v/>
      </c>
      <c r="D2111" s="58"/>
      <c r="E2111" s="56"/>
      <c r="F2111" s="54"/>
      <c r="G2111" s="54"/>
      <c r="H2111" s="54"/>
      <c r="I2111" s="54"/>
      <c r="J2111" s="54"/>
      <c r="K2111" s="54"/>
    </row>
    <row r="2112">
      <c r="A2112" s="57"/>
      <c r="B2112" s="57" t="str">
        <f>IFERROR(__xludf.DUMMYFUNCTION("""COMPUTED_VALUE"""),"    ")</f>
        <v>    </v>
      </c>
      <c r="C2112" s="57" t="str">
        <f>IFERROR(__xludf.DUMMYFUNCTION("""COMPUTED_VALUE"""),"")</f>
        <v/>
      </c>
      <c r="D2112" s="58"/>
      <c r="E2112" s="56"/>
      <c r="F2112" s="54"/>
      <c r="G2112" s="54"/>
      <c r="H2112" s="54"/>
      <c r="I2112" s="54"/>
      <c r="J2112" s="54"/>
      <c r="K2112" s="54"/>
    </row>
    <row r="2113">
      <c r="A2113" s="57"/>
      <c r="B2113" s="57" t="str">
        <f>IFERROR(__xludf.DUMMYFUNCTION("""COMPUTED_VALUE"""),"    ")</f>
        <v>    </v>
      </c>
      <c r="C2113" s="57" t="str">
        <f>IFERROR(__xludf.DUMMYFUNCTION("""COMPUTED_VALUE"""),"")</f>
        <v/>
      </c>
      <c r="D2113" s="58"/>
      <c r="E2113" s="56"/>
      <c r="F2113" s="54"/>
      <c r="G2113" s="54"/>
      <c r="H2113" s="54"/>
      <c r="I2113" s="54"/>
      <c r="J2113" s="54"/>
      <c r="K2113" s="54"/>
    </row>
    <row r="2114">
      <c r="A2114" s="57"/>
      <c r="B2114" s="57" t="str">
        <f>IFERROR(__xludf.DUMMYFUNCTION("""COMPUTED_VALUE"""),"    ")</f>
        <v>    </v>
      </c>
      <c r="C2114" s="57" t="str">
        <f>IFERROR(__xludf.DUMMYFUNCTION("""COMPUTED_VALUE"""),"")</f>
        <v/>
      </c>
      <c r="D2114" s="58"/>
      <c r="E2114" s="56"/>
      <c r="F2114" s="54"/>
      <c r="G2114" s="54"/>
      <c r="H2114" s="54"/>
      <c r="I2114" s="54"/>
      <c r="J2114" s="54"/>
      <c r="K2114" s="54"/>
    </row>
    <row r="2115">
      <c r="A2115" s="57"/>
      <c r="B2115" s="57" t="str">
        <f>IFERROR(__xludf.DUMMYFUNCTION("""COMPUTED_VALUE"""),"    ")</f>
        <v>    </v>
      </c>
      <c r="C2115" s="57" t="str">
        <f>IFERROR(__xludf.DUMMYFUNCTION("""COMPUTED_VALUE"""),"")</f>
        <v/>
      </c>
      <c r="D2115" s="58"/>
      <c r="E2115" s="56"/>
      <c r="F2115" s="54"/>
      <c r="G2115" s="54"/>
      <c r="H2115" s="54"/>
      <c r="I2115" s="54"/>
      <c r="J2115" s="54"/>
      <c r="K2115" s="54"/>
    </row>
    <row r="2116">
      <c r="A2116" s="57"/>
      <c r="B2116" s="57" t="str">
        <f>IFERROR(__xludf.DUMMYFUNCTION("""COMPUTED_VALUE"""),"    ")</f>
        <v>    </v>
      </c>
      <c r="C2116" s="57" t="str">
        <f>IFERROR(__xludf.DUMMYFUNCTION("""COMPUTED_VALUE"""),"")</f>
        <v/>
      </c>
      <c r="D2116" s="58"/>
      <c r="E2116" s="56"/>
      <c r="F2116" s="54"/>
      <c r="G2116" s="54"/>
      <c r="H2116" s="54"/>
      <c r="I2116" s="54"/>
      <c r="J2116" s="54"/>
      <c r="K2116" s="54"/>
    </row>
    <row r="2117">
      <c r="A2117" s="57"/>
      <c r="B2117" s="57" t="str">
        <f>IFERROR(__xludf.DUMMYFUNCTION("""COMPUTED_VALUE"""),"    ")</f>
        <v>    </v>
      </c>
      <c r="C2117" s="57" t="str">
        <f>IFERROR(__xludf.DUMMYFUNCTION("""COMPUTED_VALUE"""),"")</f>
        <v/>
      </c>
      <c r="D2117" s="58"/>
      <c r="E2117" s="56"/>
      <c r="F2117" s="54"/>
      <c r="G2117" s="54"/>
      <c r="H2117" s="54"/>
      <c r="I2117" s="54"/>
      <c r="J2117" s="54"/>
      <c r="K2117" s="54"/>
    </row>
    <row r="2118">
      <c r="A2118" s="57"/>
      <c r="B2118" s="57" t="str">
        <f>IFERROR(__xludf.DUMMYFUNCTION("""COMPUTED_VALUE"""),"    ")</f>
        <v>    </v>
      </c>
      <c r="C2118" s="57" t="str">
        <f>IFERROR(__xludf.DUMMYFUNCTION("""COMPUTED_VALUE"""),"")</f>
        <v/>
      </c>
      <c r="D2118" s="58"/>
      <c r="E2118" s="56"/>
      <c r="F2118" s="54"/>
      <c r="G2118" s="54"/>
      <c r="H2118" s="54"/>
      <c r="I2118" s="54"/>
      <c r="J2118" s="54"/>
      <c r="K2118" s="54"/>
    </row>
    <row r="2119">
      <c r="A2119" s="57"/>
      <c r="B2119" s="57" t="str">
        <f>IFERROR(__xludf.DUMMYFUNCTION("""COMPUTED_VALUE"""),"    ")</f>
        <v>    </v>
      </c>
      <c r="C2119" s="57" t="str">
        <f>IFERROR(__xludf.DUMMYFUNCTION("""COMPUTED_VALUE"""),"")</f>
        <v/>
      </c>
      <c r="D2119" s="58"/>
      <c r="E2119" s="56"/>
      <c r="F2119" s="54"/>
      <c r="G2119" s="54"/>
      <c r="H2119" s="54"/>
      <c r="I2119" s="54"/>
      <c r="J2119" s="54"/>
      <c r="K2119" s="54"/>
    </row>
    <row r="2120">
      <c r="A2120" s="57"/>
      <c r="B2120" s="57" t="str">
        <f>IFERROR(__xludf.DUMMYFUNCTION("""COMPUTED_VALUE"""),"    ")</f>
        <v>    </v>
      </c>
      <c r="C2120" s="57" t="str">
        <f>IFERROR(__xludf.DUMMYFUNCTION("""COMPUTED_VALUE"""),"")</f>
        <v/>
      </c>
      <c r="D2120" s="58"/>
      <c r="E2120" s="56"/>
      <c r="F2120" s="54"/>
      <c r="G2120" s="54"/>
      <c r="H2120" s="54"/>
      <c r="I2120" s="54"/>
      <c r="J2120" s="54"/>
      <c r="K2120" s="54"/>
    </row>
    <row r="2121">
      <c r="A2121" s="57"/>
      <c r="B2121" s="57" t="str">
        <f>IFERROR(__xludf.DUMMYFUNCTION("""COMPUTED_VALUE"""),"    ")</f>
        <v>    </v>
      </c>
      <c r="C2121" s="57" t="str">
        <f>IFERROR(__xludf.DUMMYFUNCTION("""COMPUTED_VALUE"""),"")</f>
        <v/>
      </c>
      <c r="D2121" s="58"/>
      <c r="E2121" s="56"/>
      <c r="F2121" s="54"/>
      <c r="G2121" s="54"/>
      <c r="H2121" s="54"/>
      <c r="I2121" s="54"/>
      <c r="J2121" s="54"/>
      <c r="K2121" s="54"/>
    </row>
    <row r="2122">
      <c r="A2122" s="57"/>
      <c r="B2122" s="57" t="str">
        <f>IFERROR(__xludf.DUMMYFUNCTION("""COMPUTED_VALUE"""),"    ")</f>
        <v>    </v>
      </c>
      <c r="C2122" s="57" t="str">
        <f>IFERROR(__xludf.DUMMYFUNCTION("""COMPUTED_VALUE"""),"")</f>
        <v/>
      </c>
      <c r="D2122" s="58"/>
      <c r="E2122" s="56"/>
      <c r="F2122" s="54"/>
      <c r="G2122" s="54"/>
      <c r="H2122" s="54"/>
      <c r="I2122" s="54"/>
      <c r="J2122" s="54"/>
      <c r="K2122" s="54"/>
    </row>
    <row r="2123">
      <c r="A2123" s="57"/>
      <c r="B2123" s="57" t="str">
        <f>IFERROR(__xludf.DUMMYFUNCTION("""COMPUTED_VALUE"""),"    ")</f>
        <v>    </v>
      </c>
      <c r="C2123" s="57" t="str">
        <f>IFERROR(__xludf.DUMMYFUNCTION("""COMPUTED_VALUE"""),"")</f>
        <v/>
      </c>
      <c r="D2123" s="58"/>
      <c r="E2123" s="56"/>
      <c r="F2123" s="54"/>
      <c r="G2123" s="54"/>
      <c r="H2123" s="54"/>
      <c r="I2123" s="54"/>
      <c r="J2123" s="54"/>
      <c r="K2123" s="54"/>
    </row>
    <row r="2124">
      <c r="A2124" s="57"/>
      <c r="B2124" s="57" t="str">
        <f>IFERROR(__xludf.DUMMYFUNCTION("""COMPUTED_VALUE"""),"    ")</f>
        <v>    </v>
      </c>
      <c r="C2124" s="57" t="str">
        <f>IFERROR(__xludf.DUMMYFUNCTION("""COMPUTED_VALUE"""),"")</f>
        <v/>
      </c>
      <c r="D2124" s="58"/>
      <c r="E2124" s="56"/>
      <c r="F2124" s="54"/>
      <c r="G2124" s="54"/>
      <c r="H2124" s="54"/>
      <c r="I2124" s="54"/>
      <c r="J2124" s="54"/>
      <c r="K2124" s="54"/>
    </row>
    <row r="2125">
      <c r="A2125" s="57"/>
      <c r="B2125" s="57" t="str">
        <f>IFERROR(__xludf.DUMMYFUNCTION("""COMPUTED_VALUE"""),"    ")</f>
        <v>    </v>
      </c>
      <c r="C2125" s="57" t="str">
        <f>IFERROR(__xludf.DUMMYFUNCTION("""COMPUTED_VALUE"""),"")</f>
        <v/>
      </c>
      <c r="D2125" s="58"/>
      <c r="E2125" s="56"/>
      <c r="F2125" s="54"/>
      <c r="G2125" s="54"/>
      <c r="H2125" s="54"/>
      <c r="I2125" s="54"/>
      <c r="J2125" s="54"/>
      <c r="K2125" s="54"/>
    </row>
    <row r="2126">
      <c r="A2126" s="57"/>
      <c r="B2126" s="57" t="str">
        <f>IFERROR(__xludf.DUMMYFUNCTION("""COMPUTED_VALUE"""),"    ")</f>
        <v>    </v>
      </c>
      <c r="C2126" s="57" t="str">
        <f>IFERROR(__xludf.DUMMYFUNCTION("""COMPUTED_VALUE"""),"")</f>
        <v/>
      </c>
      <c r="D2126" s="58"/>
      <c r="E2126" s="56"/>
      <c r="F2126" s="54"/>
      <c r="G2126" s="54"/>
      <c r="H2126" s="54"/>
      <c r="I2126" s="54"/>
      <c r="J2126" s="54"/>
      <c r="K2126" s="54"/>
    </row>
    <row r="2127">
      <c r="A2127" s="57"/>
      <c r="B2127" s="57" t="str">
        <f>IFERROR(__xludf.DUMMYFUNCTION("""COMPUTED_VALUE"""),"    ")</f>
        <v>    </v>
      </c>
      <c r="C2127" s="57" t="str">
        <f>IFERROR(__xludf.DUMMYFUNCTION("""COMPUTED_VALUE"""),"")</f>
        <v/>
      </c>
      <c r="D2127" s="58"/>
      <c r="E2127" s="56"/>
      <c r="F2127" s="54"/>
      <c r="G2127" s="54"/>
      <c r="H2127" s="54"/>
      <c r="I2127" s="54"/>
      <c r="J2127" s="54"/>
      <c r="K2127" s="54"/>
    </row>
    <row r="2128">
      <c r="A2128" s="57"/>
      <c r="B2128" s="57" t="str">
        <f>IFERROR(__xludf.DUMMYFUNCTION("""COMPUTED_VALUE"""),"    ")</f>
        <v>    </v>
      </c>
      <c r="C2128" s="57" t="str">
        <f>IFERROR(__xludf.DUMMYFUNCTION("""COMPUTED_VALUE"""),"")</f>
        <v/>
      </c>
      <c r="D2128" s="58"/>
      <c r="E2128" s="56"/>
      <c r="F2128" s="54"/>
      <c r="G2128" s="54"/>
      <c r="H2128" s="54"/>
      <c r="I2128" s="54"/>
      <c r="J2128" s="54"/>
      <c r="K2128" s="54"/>
    </row>
    <row r="2129">
      <c r="A2129" s="57"/>
      <c r="B2129" s="57" t="str">
        <f>IFERROR(__xludf.DUMMYFUNCTION("""COMPUTED_VALUE"""),"    ")</f>
        <v>    </v>
      </c>
      <c r="C2129" s="57" t="str">
        <f>IFERROR(__xludf.DUMMYFUNCTION("""COMPUTED_VALUE"""),"")</f>
        <v/>
      </c>
      <c r="D2129" s="58"/>
      <c r="E2129" s="56"/>
      <c r="F2129" s="54"/>
      <c r="G2129" s="54"/>
      <c r="H2129" s="54"/>
      <c r="I2129" s="54"/>
      <c r="J2129" s="54"/>
      <c r="K2129" s="54"/>
    </row>
    <row r="2130">
      <c r="A2130" s="57"/>
      <c r="B2130" s="57" t="str">
        <f>IFERROR(__xludf.DUMMYFUNCTION("""COMPUTED_VALUE"""),"    ")</f>
        <v>    </v>
      </c>
      <c r="C2130" s="57" t="str">
        <f>IFERROR(__xludf.DUMMYFUNCTION("""COMPUTED_VALUE"""),"")</f>
        <v/>
      </c>
      <c r="D2130" s="58"/>
      <c r="E2130" s="56"/>
      <c r="F2130" s="54"/>
      <c r="G2130" s="54"/>
      <c r="H2130" s="54"/>
      <c r="I2130" s="54"/>
      <c r="J2130" s="54"/>
      <c r="K2130" s="54"/>
    </row>
    <row r="2131">
      <c r="A2131" s="57"/>
      <c r="B2131" s="57" t="str">
        <f>IFERROR(__xludf.DUMMYFUNCTION("""COMPUTED_VALUE"""),"    ")</f>
        <v>    </v>
      </c>
      <c r="C2131" s="57" t="str">
        <f>IFERROR(__xludf.DUMMYFUNCTION("""COMPUTED_VALUE"""),"")</f>
        <v/>
      </c>
      <c r="D2131" s="58"/>
      <c r="E2131" s="56"/>
      <c r="F2131" s="54"/>
      <c r="G2131" s="54"/>
      <c r="H2131" s="54"/>
      <c r="I2131" s="54"/>
      <c r="J2131" s="54"/>
      <c r="K2131" s="54"/>
    </row>
    <row r="2132">
      <c r="A2132" s="57"/>
      <c r="B2132" s="57" t="str">
        <f>IFERROR(__xludf.DUMMYFUNCTION("""COMPUTED_VALUE"""),"    ")</f>
        <v>    </v>
      </c>
      <c r="C2132" s="57" t="str">
        <f>IFERROR(__xludf.DUMMYFUNCTION("""COMPUTED_VALUE"""),"")</f>
        <v/>
      </c>
      <c r="D2132" s="58"/>
      <c r="E2132" s="56"/>
      <c r="F2132" s="54"/>
      <c r="G2132" s="54"/>
      <c r="H2132" s="54"/>
      <c r="I2132" s="54"/>
      <c r="J2132" s="54"/>
      <c r="K2132" s="54"/>
    </row>
    <row r="2133">
      <c r="A2133" s="57"/>
      <c r="B2133" s="57" t="str">
        <f>IFERROR(__xludf.DUMMYFUNCTION("""COMPUTED_VALUE"""),"    ")</f>
        <v>    </v>
      </c>
      <c r="C2133" s="57" t="str">
        <f>IFERROR(__xludf.DUMMYFUNCTION("""COMPUTED_VALUE"""),"")</f>
        <v/>
      </c>
      <c r="D2133" s="58"/>
      <c r="E2133" s="56"/>
      <c r="F2133" s="54"/>
      <c r="G2133" s="54"/>
      <c r="H2133" s="54"/>
      <c r="I2133" s="54"/>
      <c r="J2133" s="54"/>
      <c r="K2133" s="54"/>
    </row>
    <row r="2134">
      <c r="A2134" s="57"/>
      <c r="B2134" s="57" t="str">
        <f>IFERROR(__xludf.DUMMYFUNCTION("""COMPUTED_VALUE"""),"    ")</f>
        <v>    </v>
      </c>
      <c r="C2134" s="57" t="str">
        <f>IFERROR(__xludf.DUMMYFUNCTION("""COMPUTED_VALUE"""),"")</f>
        <v/>
      </c>
      <c r="D2134" s="58"/>
      <c r="E2134" s="56"/>
      <c r="F2134" s="54"/>
      <c r="G2134" s="54"/>
      <c r="H2134" s="54"/>
      <c r="I2134" s="54"/>
      <c r="J2134" s="54"/>
      <c r="K2134" s="54"/>
    </row>
    <row r="2135">
      <c r="A2135" s="57"/>
      <c r="B2135" s="57" t="str">
        <f>IFERROR(__xludf.DUMMYFUNCTION("""COMPUTED_VALUE"""),"    ")</f>
        <v>    </v>
      </c>
      <c r="C2135" s="57" t="str">
        <f>IFERROR(__xludf.DUMMYFUNCTION("""COMPUTED_VALUE"""),"")</f>
        <v/>
      </c>
      <c r="D2135" s="58"/>
      <c r="E2135" s="56"/>
      <c r="F2135" s="54"/>
      <c r="G2135" s="54"/>
      <c r="H2135" s="54"/>
      <c r="I2135" s="54"/>
      <c r="J2135" s="54"/>
      <c r="K2135" s="54"/>
    </row>
    <row r="2136">
      <c r="A2136" s="57"/>
      <c r="B2136" s="57" t="str">
        <f>IFERROR(__xludf.DUMMYFUNCTION("""COMPUTED_VALUE"""),"    ")</f>
        <v>    </v>
      </c>
      <c r="C2136" s="57" t="str">
        <f>IFERROR(__xludf.DUMMYFUNCTION("""COMPUTED_VALUE"""),"")</f>
        <v/>
      </c>
      <c r="D2136" s="58"/>
      <c r="E2136" s="56"/>
      <c r="F2136" s="54"/>
      <c r="G2136" s="54"/>
      <c r="H2136" s="54"/>
      <c r="I2136" s="54"/>
      <c r="J2136" s="54"/>
      <c r="K2136" s="54"/>
    </row>
    <row r="2137">
      <c r="A2137" s="57"/>
      <c r="B2137" s="57" t="str">
        <f>IFERROR(__xludf.DUMMYFUNCTION("""COMPUTED_VALUE"""),"    ")</f>
        <v>    </v>
      </c>
      <c r="C2137" s="57" t="str">
        <f>IFERROR(__xludf.DUMMYFUNCTION("""COMPUTED_VALUE"""),"")</f>
        <v/>
      </c>
      <c r="D2137" s="58"/>
      <c r="E2137" s="56"/>
      <c r="F2137" s="54"/>
      <c r="G2137" s="54"/>
      <c r="H2137" s="54"/>
      <c r="I2137" s="54"/>
      <c r="J2137" s="54"/>
      <c r="K2137" s="54"/>
    </row>
    <row r="2138">
      <c r="A2138" s="57"/>
      <c r="B2138" s="57" t="str">
        <f>IFERROR(__xludf.DUMMYFUNCTION("""COMPUTED_VALUE"""),"    ")</f>
        <v>    </v>
      </c>
      <c r="C2138" s="57" t="str">
        <f>IFERROR(__xludf.DUMMYFUNCTION("""COMPUTED_VALUE"""),"")</f>
        <v/>
      </c>
      <c r="D2138" s="58"/>
      <c r="E2138" s="56"/>
      <c r="F2138" s="54"/>
      <c r="G2138" s="54"/>
      <c r="H2138" s="54"/>
      <c r="I2138" s="54"/>
      <c r="J2138" s="54"/>
      <c r="K2138" s="54"/>
    </row>
    <row r="2139">
      <c r="A2139" s="57"/>
      <c r="B2139" s="57" t="str">
        <f>IFERROR(__xludf.DUMMYFUNCTION("""COMPUTED_VALUE"""),"    ")</f>
        <v>    </v>
      </c>
      <c r="C2139" s="57" t="str">
        <f>IFERROR(__xludf.DUMMYFUNCTION("""COMPUTED_VALUE"""),"")</f>
        <v/>
      </c>
      <c r="D2139" s="58"/>
      <c r="E2139" s="56"/>
      <c r="F2139" s="54"/>
      <c r="G2139" s="54"/>
      <c r="H2139" s="54"/>
      <c r="I2139" s="54"/>
      <c r="J2139" s="54"/>
      <c r="K2139" s="54"/>
    </row>
    <row r="2140">
      <c r="A2140" s="57"/>
      <c r="B2140" s="57" t="str">
        <f>IFERROR(__xludf.DUMMYFUNCTION("""COMPUTED_VALUE"""),"    ")</f>
        <v>    </v>
      </c>
      <c r="C2140" s="57" t="str">
        <f>IFERROR(__xludf.DUMMYFUNCTION("""COMPUTED_VALUE"""),"")</f>
        <v/>
      </c>
      <c r="D2140" s="58"/>
      <c r="E2140" s="56"/>
      <c r="F2140" s="54"/>
      <c r="G2140" s="54"/>
      <c r="H2140" s="54"/>
      <c r="I2140" s="54"/>
      <c r="J2140" s="54"/>
      <c r="K2140" s="54"/>
    </row>
    <row r="2141">
      <c r="A2141" s="57"/>
      <c r="B2141" s="57" t="str">
        <f>IFERROR(__xludf.DUMMYFUNCTION("""COMPUTED_VALUE"""),"    ")</f>
        <v>    </v>
      </c>
      <c r="C2141" s="57" t="str">
        <f>IFERROR(__xludf.DUMMYFUNCTION("""COMPUTED_VALUE"""),"")</f>
        <v/>
      </c>
      <c r="D2141" s="58"/>
      <c r="E2141" s="56"/>
      <c r="F2141" s="54"/>
      <c r="G2141" s="54"/>
      <c r="H2141" s="54"/>
      <c r="I2141" s="54"/>
      <c r="J2141" s="54"/>
      <c r="K2141" s="54"/>
    </row>
    <row r="2142">
      <c r="A2142" s="57"/>
      <c r="B2142" s="57"/>
      <c r="C2142" s="57"/>
      <c r="D2142" s="58"/>
      <c r="E2142" s="56"/>
      <c r="F2142" s="54"/>
      <c r="G2142" s="54"/>
      <c r="H2142" s="54"/>
      <c r="I2142" s="54"/>
      <c r="J2142" s="54"/>
      <c r="K2142" s="54"/>
    </row>
    <row r="2143">
      <c r="A2143" s="57"/>
      <c r="B2143" s="57"/>
      <c r="C2143" s="57"/>
      <c r="D2143" s="58"/>
      <c r="E2143" s="56"/>
      <c r="F2143" s="54"/>
      <c r="G2143" s="54"/>
      <c r="H2143" s="54"/>
      <c r="I2143" s="54"/>
      <c r="J2143" s="54"/>
      <c r="K2143" s="54"/>
    </row>
    <row r="2144">
      <c r="A2144" s="57"/>
      <c r="B2144" s="57"/>
      <c r="C2144" s="57"/>
      <c r="D2144" s="58"/>
      <c r="E2144" s="56"/>
      <c r="F2144" s="54"/>
      <c r="G2144" s="54"/>
      <c r="H2144" s="54"/>
      <c r="I2144" s="54"/>
      <c r="J2144" s="54"/>
      <c r="K2144" s="54"/>
    </row>
    <row r="2145">
      <c r="A2145" s="57"/>
      <c r="B2145" s="57"/>
      <c r="C2145" s="57"/>
      <c r="D2145" s="58"/>
      <c r="E2145" s="56"/>
      <c r="F2145" s="54"/>
      <c r="G2145" s="54"/>
      <c r="H2145" s="54"/>
      <c r="I2145" s="54"/>
      <c r="J2145" s="54"/>
      <c r="K2145" s="54"/>
    </row>
    <row r="2146">
      <c r="A2146" s="57"/>
      <c r="B2146" s="57"/>
      <c r="C2146" s="57"/>
      <c r="D2146" s="58"/>
      <c r="E2146" s="56"/>
      <c r="F2146" s="54"/>
      <c r="G2146" s="54"/>
      <c r="H2146" s="54"/>
      <c r="I2146" s="54"/>
      <c r="J2146" s="54"/>
      <c r="K2146" s="54"/>
    </row>
    <row r="2147">
      <c r="A2147" s="57"/>
      <c r="B2147" s="57"/>
      <c r="C2147" s="57"/>
      <c r="D2147" s="58"/>
      <c r="E2147" s="56"/>
      <c r="F2147" s="54"/>
      <c r="G2147" s="54"/>
      <c r="H2147" s="54"/>
      <c r="I2147" s="54"/>
      <c r="J2147" s="54"/>
      <c r="K2147" s="54"/>
    </row>
    <row r="2148">
      <c r="A2148" s="57"/>
      <c r="B2148" s="57"/>
      <c r="C2148" s="57"/>
      <c r="D2148" s="58"/>
      <c r="E2148" s="56"/>
      <c r="F2148" s="54"/>
      <c r="G2148" s="54"/>
      <c r="H2148" s="54"/>
      <c r="I2148" s="54"/>
      <c r="J2148" s="54"/>
      <c r="K2148" s="54"/>
    </row>
    <row r="2149">
      <c r="A2149" s="57"/>
      <c r="B2149" s="57"/>
      <c r="C2149" s="57"/>
      <c r="D2149" s="58"/>
      <c r="E2149" s="56"/>
      <c r="F2149" s="54"/>
      <c r="G2149" s="54"/>
      <c r="H2149" s="54"/>
      <c r="I2149" s="54"/>
      <c r="J2149" s="54"/>
      <c r="K2149" s="54"/>
    </row>
    <row r="2150">
      <c r="A2150" s="57"/>
      <c r="B2150" s="57"/>
      <c r="C2150" s="57"/>
      <c r="D2150" s="58"/>
      <c r="E2150" s="56"/>
      <c r="F2150" s="54"/>
      <c r="G2150" s="54"/>
      <c r="H2150" s="54"/>
      <c r="I2150" s="54"/>
      <c r="J2150" s="54"/>
      <c r="K2150" s="54"/>
    </row>
    <row r="2151">
      <c r="A2151" s="57"/>
      <c r="B2151" s="57"/>
      <c r="C2151" s="57"/>
      <c r="D2151" s="58"/>
      <c r="E2151" s="56"/>
      <c r="F2151" s="54"/>
      <c r="G2151" s="54"/>
      <c r="H2151" s="54"/>
      <c r="I2151" s="54"/>
      <c r="J2151" s="54"/>
      <c r="K2151" s="54"/>
    </row>
    <row r="2152">
      <c r="A2152" s="57"/>
      <c r="B2152" s="57"/>
      <c r="C2152" s="57"/>
      <c r="D2152" s="58"/>
      <c r="E2152" s="56"/>
      <c r="F2152" s="54"/>
      <c r="G2152" s="54"/>
      <c r="H2152" s="54"/>
      <c r="I2152" s="54"/>
      <c r="J2152" s="54"/>
      <c r="K2152" s="54"/>
    </row>
    <row r="2153">
      <c r="A2153" s="57"/>
      <c r="B2153" s="57"/>
      <c r="C2153" s="57"/>
      <c r="D2153" s="58"/>
      <c r="E2153" s="56"/>
      <c r="F2153" s="54"/>
      <c r="G2153" s="54"/>
      <c r="H2153" s="54"/>
      <c r="I2153" s="54"/>
      <c r="J2153" s="54"/>
      <c r="K2153" s="54"/>
    </row>
    <row r="2154">
      <c r="A2154" s="57"/>
      <c r="B2154" s="57"/>
      <c r="C2154" s="57"/>
      <c r="D2154" s="58"/>
      <c r="E2154" s="56"/>
      <c r="F2154" s="54"/>
      <c r="G2154" s="54"/>
      <c r="H2154" s="54"/>
      <c r="I2154" s="54"/>
      <c r="J2154" s="54"/>
      <c r="K2154" s="54"/>
    </row>
    <row r="2155">
      <c r="A2155" s="57"/>
      <c r="B2155" s="57"/>
      <c r="C2155" s="57"/>
      <c r="D2155" s="58"/>
      <c r="E2155" s="56"/>
      <c r="F2155" s="54"/>
      <c r="G2155" s="54"/>
      <c r="H2155" s="54"/>
      <c r="I2155" s="54"/>
      <c r="J2155" s="54"/>
      <c r="K2155" s="54"/>
    </row>
    <row r="2156">
      <c r="A2156" s="57"/>
      <c r="B2156" s="57"/>
      <c r="C2156" s="57"/>
      <c r="D2156" s="58"/>
      <c r="E2156" s="56"/>
      <c r="F2156" s="54"/>
      <c r="G2156" s="54"/>
      <c r="H2156" s="54"/>
      <c r="I2156" s="54"/>
      <c r="J2156" s="54"/>
      <c r="K2156" s="54"/>
    </row>
    <row r="2157">
      <c r="A2157" s="57"/>
      <c r="B2157" s="57"/>
      <c r="C2157" s="57"/>
      <c r="D2157" s="58"/>
      <c r="E2157" s="56"/>
      <c r="F2157" s="54"/>
      <c r="G2157" s="54"/>
      <c r="H2157" s="54"/>
      <c r="I2157" s="54"/>
      <c r="J2157" s="54"/>
      <c r="K2157" s="54"/>
    </row>
    <row r="2158">
      <c r="A2158" s="57"/>
      <c r="B2158" s="57"/>
      <c r="C2158" s="57"/>
      <c r="D2158" s="58"/>
      <c r="E2158" s="56"/>
      <c r="F2158" s="54"/>
      <c r="G2158" s="54"/>
      <c r="H2158" s="54"/>
      <c r="I2158" s="54"/>
      <c r="J2158" s="54"/>
      <c r="K2158" s="54"/>
    </row>
    <row r="2159">
      <c r="A2159" s="57"/>
      <c r="B2159" s="57"/>
      <c r="C2159" s="57"/>
      <c r="D2159" s="58"/>
      <c r="E2159" s="56"/>
      <c r="F2159" s="54"/>
      <c r="G2159" s="54"/>
      <c r="H2159" s="54"/>
      <c r="I2159" s="54"/>
      <c r="J2159" s="54"/>
      <c r="K2159" s="54"/>
    </row>
    <row r="2160">
      <c r="A2160" s="57"/>
      <c r="B2160" s="57"/>
      <c r="C2160" s="57"/>
      <c r="D2160" s="58"/>
      <c r="E2160" s="56"/>
      <c r="F2160" s="54"/>
      <c r="G2160" s="54"/>
      <c r="H2160" s="54"/>
      <c r="I2160" s="54"/>
      <c r="J2160" s="54"/>
      <c r="K2160" s="54"/>
    </row>
    <row r="2161">
      <c r="A2161" s="57"/>
      <c r="B2161" s="57"/>
      <c r="C2161" s="57"/>
      <c r="D2161" s="58"/>
      <c r="E2161" s="56"/>
      <c r="F2161" s="54"/>
      <c r="G2161" s="54"/>
      <c r="H2161" s="54"/>
      <c r="I2161" s="54"/>
      <c r="J2161" s="54"/>
      <c r="K2161" s="54"/>
    </row>
    <row r="2162">
      <c r="A2162" s="57"/>
      <c r="B2162" s="57"/>
      <c r="C2162" s="57"/>
      <c r="D2162" s="58"/>
      <c r="E2162" s="56"/>
      <c r="F2162" s="54"/>
      <c r="G2162" s="54"/>
      <c r="H2162" s="54"/>
      <c r="I2162" s="54"/>
      <c r="J2162" s="54"/>
      <c r="K2162" s="54"/>
    </row>
    <row r="2163">
      <c r="A2163" s="57"/>
      <c r="B2163" s="57"/>
      <c r="C2163" s="57"/>
      <c r="D2163" s="58"/>
      <c r="E2163" s="56"/>
      <c r="F2163" s="54"/>
      <c r="G2163" s="54"/>
      <c r="H2163" s="54"/>
      <c r="I2163" s="54"/>
      <c r="J2163" s="54"/>
      <c r="K2163" s="54"/>
    </row>
    <row r="2164">
      <c r="A2164" s="57"/>
      <c r="B2164" s="57"/>
      <c r="C2164" s="57"/>
      <c r="D2164" s="58"/>
      <c r="E2164" s="56"/>
      <c r="F2164" s="54"/>
      <c r="G2164" s="54"/>
      <c r="H2164" s="54"/>
      <c r="I2164" s="54"/>
      <c r="J2164" s="54"/>
      <c r="K2164" s="54"/>
    </row>
    <row r="2165">
      <c r="A2165" s="57"/>
      <c r="B2165" s="57"/>
      <c r="C2165" s="57"/>
      <c r="D2165" s="58"/>
      <c r="E2165" s="56"/>
      <c r="F2165" s="54"/>
      <c r="G2165" s="54"/>
      <c r="H2165" s="54"/>
      <c r="I2165" s="54"/>
      <c r="J2165" s="54"/>
      <c r="K2165" s="54"/>
    </row>
    <row r="2166">
      <c r="A2166" s="57"/>
      <c r="B2166" s="57"/>
      <c r="C2166" s="57"/>
      <c r="D2166" s="58"/>
      <c r="E2166" s="56"/>
      <c r="F2166" s="54"/>
      <c r="G2166" s="54"/>
      <c r="H2166" s="54"/>
      <c r="I2166" s="54"/>
      <c r="J2166" s="54"/>
      <c r="K2166" s="54"/>
    </row>
    <row r="2167">
      <c r="A2167" s="57"/>
      <c r="B2167" s="57"/>
      <c r="C2167" s="57"/>
      <c r="D2167" s="58"/>
      <c r="E2167" s="56"/>
      <c r="F2167" s="54"/>
      <c r="G2167" s="54"/>
      <c r="H2167" s="54"/>
      <c r="I2167" s="54"/>
      <c r="J2167" s="54"/>
      <c r="K2167" s="54"/>
    </row>
    <row r="2168">
      <c r="A2168" s="57"/>
      <c r="B2168" s="57"/>
      <c r="C2168" s="57"/>
      <c r="D2168" s="58"/>
      <c r="E2168" s="56"/>
      <c r="F2168" s="54"/>
      <c r="G2168" s="54"/>
      <c r="H2168" s="54"/>
      <c r="I2168" s="54"/>
      <c r="J2168" s="54"/>
      <c r="K2168" s="54"/>
    </row>
    <row r="2169">
      <c r="A2169" s="57"/>
      <c r="B2169" s="57"/>
      <c r="C2169" s="57"/>
      <c r="D2169" s="58"/>
      <c r="E2169" s="56"/>
      <c r="F2169" s="54"/>
      <c r="G2169" s="54"/>
      <c r="H2169" s="54"/>
      <c r="I2169" s="54"/>
      <c r="J2169" s="54"/>
      <c r="K2169" s="54"/>
    </row>
    <row r="2170">
      <c r="A2170" s="57"/>
      <c r="B2170" s="57"/>
      <c r="C2170" s="57"/>
      <c r="D2170" s="58"/>
      <c r="E2170" s="56"/>
      <c r="F2170" s="54"/>
      <c r="G2170" s="54"/>
      <c r="H2170" s="54"/>
      <c r="I2170" s="54"/>
      <c r="J2170" s="54"/>
      <c r="K2170" s="54"/>
    </row>
    <row r="2171">
      <c r="A2171" s="57"/>
      <c r="B2171" s="57"/>
      <c r="C2171" s="57"/>
      <c r="D2171" s="58"/>
      <c r="E2171" s="56"/>
      <c r="F2171" s="54"/>
      <c r="G2171" s="54"/>
      <c r="H2171" s="54"/>
      <c r="I2171" s="54"/>
      <c r="J2171" s="54"/>
      <c r="K2171" s="54"/>
    </row>
    <row r="2172">
      <c r="A2172" s="57"/>
      <c r="B2172" s="57"/>
      <c r="C2172" s="57"/>
      <c r="D2172" s="58"/>
      <c r="E2172" s="56"/>
      <c r="F2172" s="54"/>
      <c r="G2172" s="54"/>
      <c r="H2172" s="54"/>
      <c r="I2172" s="54"/>
      <c r="J2172" s="54"/>
      <c r="K2172" s="54"/>
    </row>
    <row r="2173">
      <c r="A2173" s="57"/>
      <c r="B2173" s="57"/>
      <c r="C2173" s="57"/>
      <c r="D2173" s="58"/>
      <c r="E2173" s="56"/>
      <c r="F2173" s="54"/>
      <c r="G2173" s="54"/>
      <c r="H2173" s="54"/>
      <c r="I2173" s="54"/>
      <c r="J2173" s="54"/>
      <c r="K2173" s="54"/>
    </row>
    <row r="2174">
      <c r="A2174" s="57"/>
      <c r="B2174" s="57"/>
      <c r="C2174" s="57"/>
      <c r="D2174" s="58"/>
      <c r="E2174" s="56"/>
      <c r="F2174" s="54"/>
      <c r="G2174" s="54"/>
      <c r="H2174" s="54"/>
      <c r="I2174" s="54"/>
      <c r="J2174" s="54"/>
      <c r="K2174" s="54"/>
    </row>
    <row r="2175">
      <c r="A2175" s="57"/>
      <c r="B2175" s="57"/>
      <c r="C2175" s="57"/>
      <c r="D2175" s="58"/>
      <c r="E2175" s="56"/>
      <c r="F2175" s="54"/>
      <c r="G2175" s="54"/>
      <c r="H2175" s="54"/>
      <c r="I2175" s="54"/>
      <c r="J2175" s="54"/>
      <c r="K2175" s="54"/>
    </row>
    <row r="2176">
      <c r="A2176" s="57"/>
      <c r="B2176" s="57"/>
      <c r="C2176" s="57"/>
      <c r="D2176" s="58"/>
      <c r="E2176" s="56"/>
      <c r="F2176" s="54"/>
      <c r="G2176" s="54"/>
      <c r="H2176" s="54"/>
      <c r="I2176" s="54"/>
      <c r="J2176" s="54"/>
      <c r="K2176" s="54"/>
    </row>
    <row r="2177">
      <c r="A2177" s="57"/>
      <c r="B2177" s="57"/>
      <c r="C2177" s="57"/>
      <c r="D2177" s="58"/>
      <c r="E2177" s="56"/>
      <c r="F2177" s="54"/>
      <c r="G2177" s="54"/>
      <c r="H2177" s="54"/>
      <c r="I2177" s="54"/>
      <c r="J2177" s="54"/>
      <c r="K2177" s="54"/>
    </row>
    <row r="2178">
      <c r="A2178" s="57"/>
      <c r="B2178" s="57"/>
      <c r="C2178" s="57"/>
      <c r="D2178" s="58"/>
      <c r="E2178" s="56"/>
      <c r="F2178" s="54"/>
      <c r="G2178" s="54"/>
      <c r="H2178" s="54"/>
      <c r="I2178" s="54"/>
      <c r="J2178" s="54"/>
      <c r="K2178" s="54"/>
    </row>
    <row r="2179">
      <c r="A2179" s="57"/>
      <c r="B2179" s="57"/>
      <c r="C2179" s="57"/>
      <c r="D2179" s="58"/>
      <c r="E2179" s="56"/>
      <c r="F2179" s="54"/>
      <c r="G2179" s="54"/>
      <c r="H2179" s="54"/>
      <c r="I2179" s="54"/>
      <c r="J2179" s="54"/>
      <c r="K2179" s="54"/>
    </row>
    <row r="2180">
      <c r="A2180" s="57"/>
      <c r="B2180" s="57"/>
      <c r="C2180" s="57"/>
      <c r="D2180" s="58"/>
      <c r="E2180" s="56"/>
      <c r="F2180" s="54"/>
      <c r="G2180" s="54"/>
      <c r="H2180" s="54"/>
      <c r="I2180" s="54"/>
      <c r="J2180" s="54"/>
      <c r="K2180" s="54"/>
    </row>
    <row r="2181">
      <c r="A2181" s="57"/>
      <c r="B2181" s="57"/>
      <c r="C2181" s="57"/>
      <c r="D2181" s="58"/>
      <c r="E2181" s="56"/>
      <c r="F2181" s="54"/>
      <c r="G2181" s="54"/>
      <c r="H2181" s="54"/>
      <c r="I2181" s="54"/>
      <c r="J2181" s="54"/>
      <c r="K2181" s="54"/>
    </row>
    <row r="2182">
      <c r="A2182" s="57"/>
      <c r="B2182" s="57"/>
      <c r="C2182" s="57"/>
      <c r="D2182" s="58"/>
      <c r="E2182" s="56"/>
      <c r="F2182" s="54"/>
      <c r="G2182" s="54"/>
      <c r="H2182" s="54"/>
      <c r="I2182" s="54"/>
      <c r="J2182" s="54"/>
      <c r="K2182" s="54"/>
    </row>
    <row r="2183">
      <c r="A2183" s="57"/>
      <c r="B2183" s="57"/>
      <c r="C2183" s="57"/>
      <c r="D2183" s="58"/>
      <c r="E2183" s="56"/>
      <c r="F2183" s="54"/>
      <c r="G2183" s="54"/>
      <c r="H2183" s="54"/>
      <c r="I2183" s="54"/>
      <c r="J2183" s="54"/>
      <c r="K2183" s="54"/>
    </row>
    <row r="2184">
      <c r="A2184" s="57"/>
      <c r="B2184" s="57"/>
      <c r="C2184" s="57"/>
      <c r="D2184" s="58"/>
      <c r="E2184" s="56"/>
      <c r="F2184" s="54"/>
      <c r="G2184" s="54"/>
      <c r="H2184" s="54"/>
      <c r="I2184" s="54"/>
      <c r="J2184" s="54"/>
      <c r="K2184" s="54"/>
    </row>
    <row r="2185">
      <c r="A2185" s="57"/>
      <c r="B2185" s="57"/>
      <c r="C2185" s="57"/>
      <c r="D2185" s="58"/>
      <c r="E2185" s="56"/>
      <c r="F2185" s="54"/>
      <c r="G2185" s="54"/>
      <c r="H2185" s="54"/>
      <c r="I2185" s="54"/>
      <c r="J2185" s="54"/>
      <c r="K2185" s="54"/>
    </row>
    <row r="2186">
      <c r="A2186" s="57"/>
      <c r="B2186" s="57"/>
      <c r="C2186" s="57"/>
      <c r="D2186" s="58"/>
      <c r="E2186" s="56"/>
      <c r="F2186" s="54"/>
      <c r="G2186" s="54"/>
      <c r="H2186" s="54"/>
      <c r="I2186" s="54"/>
      <c r="J2186" s="54"/>
      <c r="K2186" s="54"/>
    </row>
    <row r="2187">
      <c r="A2187" s="57"/>
      <c r="B2187" s="57"/>
      <c r="C2187" s="57"/>
      <c r="D2187" s="58"/>
      <c r="E2187" s="56"/>
      <c r="F2187" s="54"/>
      <c r="G2187" s="54"/>
      <c r="H2187" s="54"/>
      <c r="I2187" s="54"/>
      <c r="J2187" s="54"/>
      <c r="K2187" s="54"/>
    </row>
    <row r="2188">
      <c r="A2188" s="57"/>
      <c r="B2188" s="57"/>
      <c r="C2188" s="57"/>
      <c r="D2188" s="58"/>
      <c r="E2188" s="56"/>
      <c r="F2188" s="54"/>
      <c r="G2188" s="54"/>
      <c r="H2188" s="54"/>
      <c r="I2188" s="54"/>
      <c r="J2188" s="54"/>
      <c r="K2188" s="54"/>
    </row>
    <row r="2189">
      <c r="A2189" s="57"/>
      <c r="B2189" s="57"/>
      <c r="C2189" s="57"/>
      <c r="D2189" s="58"/>
      <c r="E2189" s="56"/>
      <c r="F2189" s="54"/>
      <c r="G2189" s="54"/>
      <c r="H2189" s="54"/>
      <c r="I2189" s="54"/>
      <c r="J2189" s="54"/>
      <c r="K2189" s="54"/>
    </row>
    <row r="2190">
      <c r="A2190" s="57"/>
      <c r="B2190" s="57"/>
      <c r="C2190" s="57"/>
      <c r="D2190" s="58"/>
      <c r="E2190" s="56"/>
      <c r="F2190" s="54"/>
      <c r="G2190" s="54"/>
      <c r="H2190" s="54"/>
      <c r="I2190" s="54"/>
      <c r="J2190" s="54"/>
      <c r="K2190" s="54"/>
    </row>
    <row r="2191">
      <c r="A2191" s="57"/>
      <c r="B2191" s="57"/>
      <c r="C2191" s="57"/>
      <c r="D2191" s="58"/>
      <c r="E2191" s="56"/>
      <c r="F2191" s="54"/>
      <c r="G2191" s="54"/>
      <c r="H2191" s="54"/>
      <c r="I2191" s="54"/>
      <c r="J2191" s="54"/>
      <c r="K2191" s="54"/>
    </row>
    <row r="2192">
      <c r="A2192" s="57"/>
      <c r="B2192" s="57"/>
      <c r="C2192" s="57"/>
      <c r="D2192" s="58"/>
      <c r="E2192" s="56"/>
      <c r="F2192" s="54"/>
      <c r="G2192" s="54"/>
      <c r="H2192" s="54"/>
      <c r="I2192" s="54"/>
      <c r="J2192" s="54"/>
      <c r="K2192" s="54"/>
    </row>
    <row r="2193">
      <c r="A2193" s="57"/>
      <c r="B2193" s="57"/>
      <c r="C2193" s="57"/>
      <c r="D2193" s="58"/>
      <c r="E2193" s="56"/>
      <c r="F2193" s="54"/>
      <c r="G2193" s="54"/>
      <c r="H2193" s="54"/>
      <c r="I2193" s="54"/>
      <c r="J2193" s="54"/>
      <c r="K2193" s="54"/>
    </row>
    <row r="2194">
      <c r="A2194" s="57"/>
      <c r="B2194" s="57"/>
      <c r="C2194" s="57"/>
      <c r="D2194" s="58"/>
      <c r="E2194" s="56"/>
      <c r="F2194" s="54"/>
      <c r="G2194" s="54"/>
      <c r="H2194" s="54"/>
      <c r="I2194" s="54"/>
      <c r="J2194" s="54"/>
      <c r="K2194" s="54"/>
    </row>
    <row r="2195">
      <c r="A2195" s="57"/>
      <c r="B2195" s="57"/>
      <c r="C2195" s="57"/>
      <c r="D2195" s="58"/>
      <c r="E2195" s="56"/>
      <c r="F2195" s="54"/>
      <c r="G2195" s="54"/>
      <c r="H2195" s="54"/>
      <c r="I2195" s="54"/>
      <c r="J2195" s="54"/>
      <c r="K2195" s="54"/>
    </row>
    <row r="2196">
      <c r="A2196" s="57"/>
      <c r="B2196" s="57"/>
      <c r="C2196" s="57"/>
      <c r="D2196" s="58"/>
      <c r="E2196" s="56"/>
      <c r="F2196" s="54"/>
      <c r="G2196" s="54"/>
      <c r="H2196" s="54"/>
      <c r="I2196" s="54"/>
      <c r="J2196" s="54"/>
      <c r="K2196" s="54"/>
    </row>
    <row r="2197">
      <c r="A2197" s="57"/>
      <c r="B2197" s="57"/>
      <c r="C2197" s="57"/>
      <c r="D2197" s="58"/>
      <c r="E2197" s="56"/>
      <c r="F2197" s="54"/>
      <c r="G2197" s="54"/>
      <c r="H2197" s="54"/>
      <c r="I2197" s="54"/>
      <c r="J2197" s="54"/>
      <c r="K2197" s="54"/>
    </row>
    <row r="2198">
      <c r="A2198" s="57"/>
      <c r="B2198" s="57"/>
      <c r="C2198" s="57"/>
      <c r="D2198" s="58"/>
      <c r="E2198" s="56"/>
      <c r="F2198" s="54"/>
      <c r="G2198" s="54"/>
      <c r="H2198" s="54"/>
      <c r="I2198" s="54"/>
      <c r="J2198" s="54"/>
      <c r="K2198" s="54"/>
    </row>
    <row r="2199">
      <c r="A2199" s="57"/>
      <c r="B2199" s="57"/>
      <c r="C2199" s="57"/>
      <c r="D2199" s="58"/>
      <c r="E2199" s="56"/>
      <c r="F2199" s="54"/>
      <c r="G2199" s="54"/>
      <c r="H2199" s="54"/>
      <c r="I2199" s="54"/>
      <c r="J2199" s="54"/>
      <c r="K2199" s="54"/>
    </row>
    <row r="2200">
      <c r="A2200" s="57"/>
      <c r="B2200" s="57"/>
      <c r="C2200" s="57"/>
      <c r="D2200" s="58"/>
      <c r="E2200" s="56"/>
      <c r="F2200" s="54"/>
      <c r="G2200" s="54"/>
      <c r="H2200" s="54"/>
      <c r="I2200" s="54"/>
      <c r="J2200" s="54"/>
      <c r="K2200" s="54"/>
    </row>
    <row r="2201">
      <c r="A2201" s="57"/>
      <c r="B2201" s="57"/>
      <c r="C2201" s="57"/>
      <c r="D2201" s="58"/>
      <c r="E2201" s="56"/>
      <c r="F2201" s="54"/>
      <c r="G2201" s="54"/>
      <c r="H2201" s="54"/>
      <c r="I2201" s="54"/>
      <c r="J2201" s="54"/>
      <c r="K2201" s="54"/>
    </row>
    <row r="2202">
      <c r="A2202" s="57"/>
      <c r="B2202" s="57"/>
      <c r="C2202" s="57"/>
      <c r="D2202" s="58"/>
      <c r="E2202" s="56"/>
      <c r="F2202" s="54"/>
      <c r="G2202" s="54"/>
      <c r="H2202" s="54"/>
      <c r="I2202" s="54"/>
      <c r="J2202" s="54"/>
      <c r="K2202" s="54"/>
    </row>
    <row r="2203">
      <c r="A2203" s="57"/>
      <c r="B2203" s="57"/>
      <c r="C2203" s="57"/>
      <c r="D2203" s="58"/>
      <c r="E2203" s="56"/>
      <c r="F2203" s="54"/>
      <c r="G2203" s="54"/>
      <c r="H2203" s="54"/>
      <c r="I2203" s="54"/>
      <c r="J2203" s="54"/>
      <c r="K2203" s="54"/>
    </row>
    <row r="2204">
      <c r="A2204" s="57"/>
      <c r="B2204" s="57"/>
      <c r="C2204" s="57"/>
      <c r="D2204" s="58"/>
      <c r="E2204" s="56"/>
      <c r="F2204" s="54"/>
      <c r="G2204" s="54"/>
      <c r="H2204" s="54"/>
      <c r="I2204" s="54"/>
      <c r="J2204" s="54"/>
      <c r="K2204" s="54"/>
    </row>
    <row r="2205">
      <c r="A2205" s="57"/>
      <c r="B2205" s="57"/>
      <c r="C2205" s="57"/>
      <c r="D2205" s="58"/>
      <c r="E2205" s="56"/>
      <c r="F2205" s="54"/>
      <c r="G2205" s="54"/>
      <c r="H2205" s="54"/>
      <c r="I2205" s="54"/>
      <c r="J2205" s="54"/>
      <c r="K2205" s="54"/>
    </row>
    <row r="2206">
      <c r="A2206" s="57"/>
      <c r="B2206" s="57"/>
      <c r="C2206" s="57"/>
      <c r="D2206" s="58"/>
      <c r="E2206" s="56"/>
      <c r="F2206" s="54"/>
      <c r="G2206" s="54"/>
      <c r="H2206" s="54"/>
      <c r="I2206" s="54"/>
      <c r="J2206" s="54"/>
      <c r="K2206" s="54"/>
    </row>
    <row r="2207">
      <c r="A2207" s="57"/>
      <c r="B2207" s="57"/>
      <c r="C2207" s="57"/>
      <c r="D2207" s="58"/>
      <c r="E2207" s="56"/>
      <c r="F2207" s="54"/>
      <c r="G2207" s="54"/>
      <c r="H2207" s="54"/>
      <c r="I2207" s="54"/>
      <c r="J2207" s="54"/>
      <c r="K2207" s="54"/>
    </row>
    <row r="2208">
      <c r="A2208" s="57"/>
      <c r="B2208" s="57"/>
      <c r="C2208" s="57"/>
      <c r="D2208" s="58"/>
      <c r="E2208" s="56"/>
      <c r="F2208" s="54"/>
      <c r="G2208" s="54"/>
      <c r="H2208" s="54"/>
      <c r="I2208" s="54"/>
      <c r="J2208" s="54"/>
      <c r="K2208" s="54"/>
    </row>
    <row r="2209">
      <c r="A2209" s="57"/>
      <c r="B2209" s="57"/>
      <c r="C2209" s="57"/>
      <c r="D2209" s="58"/>
      <c r="E2209" s="56"/>
      <c r="F2209" s="54"/>
      <c r="G2209" s="54"/>
      <c r="H2209" s="54"/>
      <c r="I2209" s="54"/>
      <c r="J2209" s="54"/>
      <c r="K2209" s="54"/>
    </row>
    <row r="2210">
      <c r="A2210" s="57"/>
      <c r="B2210" s="57"/>
      <c r="C2210" s="57"/>
      <c r="D2210" s="58"/>
      <c r="E2210" s="56"/>
      <c r="F2210" s="54"/>
      <c r="G2210" s="54"/>
      <c r="H2210" s="54"/>
      <c r="I2210" s="54"/>
      <c r="J2210" s="54"/>
      <c r="K2210" s="54"/>
    </row>
    <row r="2211">
      <c r="A2211" s="57"/>
      <c r="B2211" s="57"/>
      <c r="C2211" s="57"/>
      <c r="D2211" s="58"/>
      <c r="E2211" s="56"/>
      <c r="F2211" s="54"/>
      <c r="G2211" s="54"/>
      <c r="H2211" s="54"/>
      <c r="I2211" s="54"/>
      <c r="J2211" s="54"/>
      <c r="K2211" s="54"/>
    </row>
    <row r="2212">
      <c r="A2212" s="57"/>
      <c r="B2212" s="57"/>
      <c r="C2212" s="57"/>
      <c r="D2212" s="58"/>
      <c r="E2212" s="56"/>
      <c r="F2212" s="54"/>
      <c r="G2212" s="54"/>
      <c r="H2212" s="54"/>
      <c r="I2212" s="54"/>
      <c r="J2212" s="54"/>
      <c r="K2212" s="54"/>
    </row>
    <row r="2213">
      <c r="A2213" s="57"/>
      <c r="B2213" s="57"/>
      <c r="C2213" s="57"/>
      <c r="D2213" s="58"/>
      <c r="E2213" s="56"/>
      <c r="F2213" s="54"/>
      <c r="G2213" s="54"/>
      <c r="H2213" s="54"/>
      <c r="I2213" s="54"/>
      <c r="J2213" s="54"/>
      <c r="K2213" s="54"/>
    </row>
    <row r="2214">
      <c r="A2214" s="57"/>
      <c r="B2214" s="57"/>
      <c r="C2214" s="57"/>
      <c r="D2214" s="58"/>
      <c r="E2214" s="56"/>
      <c r="F2214" s="54"/>
      <c r="G2214" s="54"/>
      <c r="H2214" s="54"/>
      <c r="I2214" s="54"/>
      <c r="J2214" s="54"/>
      <c r="K2214" s="54"/>
    </row>
    <row r="2215">
      <c r="A2215" s="57"/>
      <c r="B2215" s="57"/>
      <c r="C2215" s="57"/>
      <c r="D2215" s="58"/>
      <c r="E2215" s="56"/>
      <c r="F2215" s="54"/>
      <c r="G2215" s="54"/>
      <c r="H2215" s="54"/>
      <c r="I2215" s="54"/>
      <c r="J2215" s="54"/>
      <c r="K2215" s="54"/>
    </row>
    <row r="2216">
      <c r="A2216" s="57"/>
      <c r="B2216" s="57"/>
      <c r="C2216" s="57"/>
      <c r="D2216" s="58"/>
      <c r="E2216" s="56"/>
      <c r="F2216" s="54"/>
      <c r="G2216" s="54"/>
      <c r="H2216" s="54"/>
      <c r="I2216" s="54"/>
      <c r="J2216" s="54"/>
      <c r="K2216" s="54"/>
    </row>
    <row r="2217">
      <c r="A2217" s="57"/>
      <c r="B2217" s="57"/>
      <c r="C2217" s="57"/>
      <c r="D2217" s="58"/>
      <c r="E2217" s="56"/>
      <c r="F2217" s="54"/>
      <c r="G2217" s="54"/>
      <c r="H2217" s="54"/>
      <c r="I2217" s="54"/>
      <c r="J2217" s="54"/>
      <c r="K2217" s="54"/>
    </row>
    <row r="2218">
      <c r="A2218" s="57"/>
      <c r="B2218" s="57"/>
      <c r="C2218" s="57"/>
      <c r="D2218" s="58"/>
      <c r="E2218" s="56"/>
      <c r="F2218" s="54"/>
      <c r="G2218" s="54"/>
      <c r="H2218" s="54"/>
      <c r="I2218" s="54"/>
      <c r="J2218" s="54"/>
      <c r="K2218" s="54"/>
    </row>
    <row r="2219">
      <c r="A2219" s="57"/>
      <c r="B2219" s="57"/>
      <c r="C2219" s="57"/>
      <c r="D2219" s="58"/>
      <c r="E2219" s="56"/>
      <c r="F2219" s="54"/>
      <c r="G2219" s="54"/>
      <c r="H2219" s="54"/>
      <c r="I2219" s="54"/>
      <c r="J2219" s="54"/>
      <c r="K2219" s="54"/>
    </row>
    <row r="2220">
      <c r="A2220" s="57"/>
      <c r="B2220" s="57"/>
      <c r="C2220" s="57"/>
      <c r="D2220" s="58"/>
      <c r="E2220" s="56"/>
      <c r="F2220" s="54"/>
      <c r="G2220" s="54"/>
      <c r="H2220" s="54"/>
      <c r="I2220" s="54"/>
      <c r="J2220" s="54"/>
      <c r="K2220" s="54"/>
    </row>
    <row r="2221">
      <c r="A2221" s="57"/>
      <c r="B2221" s="57"/>
      <c r="C2221" s="57"/>
      <c r="D2221" s="58"/>
      <c r="E2221" s="56"/>
      <c r="F2221" s="54"/>
      <c r="G2221" s="54"/>
      <c r="H2221" s="54"/>
      <c r="I2221" s="54"/>
      <c r="J2221" s="54"/>
      <c r="K2221" s="54"/>
    </row>
    <row r="2222">
      <c r="A2222" s="57"/>
      <c r="B2222" s="57"/>
      <c r="C2222" s="57"/>
      <c r="D2222" s="58"/>
      <c r="E2222" s="56"/>
      <c r="F2222" s="54"/>
      <c r="G2222" s="54"/>
      <c r="H2222" s="54"/>
      <c r="I2222" s="54"/>
      <c r="J2222" s="54"/>
      <c r="K2222" s="54"/>
    </row>
    <row r="2223">
      <c r="A2223" s="57"/>
      <c r="B2223" s="57"/>
      <c r="C2223" s="57"/>
      <c r="D2223" s="58"/>
      <c r="E2223" s="56"/>
      <c r="F2223" s="54"/>
      <c r="G2223" s="54"/>
      <c r="H2223" s="54"/>
      <c r="I2223" s="54"/>
      <c r="J2223" s="54"/>
      <c r="K2223" s="54"/>
    </row>
    <row r="2224">
      <c r="A2224" s="57"/>
      <c r="B2224" s="57"/>
      <c r="C2224" s="57"/>
      <c r="D2224" s="58"/>
      <c r="E2224" s="56"/>
      <c r="F2224" s="54"/>
      <c r="G2224" s="54"/>
      <c r="H2224" s="54"/>
      <c r="I2224" s="54"/>
      <c r="J2224" s="54"/>
      <c r="K2224" s="54"/>
    </row>
    <row r="2225">
      <c r="A2225" s="57"/>
      <c r="B2225" s="57"/>
      <c r="C2225" s="57"/>
      <c r="D2225" s="58"/>
      <c r="E2225" s="56"/>
      <c r="F2225" s="54"/>
      <c r="G2225" s="54"/>
      <c r="H2225" s="54"/>
      <c r="I2225" s="54"/>
      <c r="J2225" s="54"/>
      <c r="K2225" s="54"/>
    </row>
    <row r="2226">
      <c r="A2226" s="57"/>
      <c r="B2226" s="57"/>
      <c r="C2226" s="57"/>
      <c r="D2226" s="58"/>
      <c r="E2226" s="56"/>
      <c r="F2226" s="54"/>
      <c r="G2226" s="54"/>
      <c r="H2226" s="54"/>
      <c r="I2226" s="54"/>
      <c r="J2226" s="54"/>
      <c r="K2226" s="54"/>
    </row>
    <row r="2227">
      <c r="A2227" s="57"/>
      <c r="B2227" s="57"/>
      <c r="C2227" s="57"/>
      <c r="D2227" s="58"/>
      <c r="E2227" s="56"/>
      <c r="F2227" s="54"/>
      <c r="G2227" s="54"/>
      <c r="H2227" s="54"/>
      <c r="I2227" s="54"/>
      <c r="J2227" s="54"/>
      <c r="K2227" s="54"/>
    </row>
    <row r="2228">
      <c r="A2228" s="57"/>
      <c r="B2228" s="57"/>
      <c r="C2228" s="57"/>
      <c r="D2228" s="58"/>
      <c r="E2228" s="56"/>
      <c r="F2228" s="54"/>
      <c r="G2228" s="54"/>
      <c r="H2228" s="54"/>
      <c r="I2228" s="54"/>
      <c r="J2228" s="54"/>
      <c r="K2228" s="54"/>
    </row>
    <row r="2229">
      <c r="A2229" s="57"/>
      <c r="B2229" s="57"/>
      <c r="C2229" s="57"/>
      <c r="D2229" s="58"/>
      <c r="E2229" s="56"/>
      <c r="F2229" s="54"/>
      <c r="G2229" s="54"/>
      <c r="H2229" s="54"/>
      <c r="I2229" s="54"/>
      <c r="J2229" s="54"/>
      <c r="K2229" s="54"/>
    </row>
    <row r="2230">
      <c r="A2230" s="57"/>
      <c r="B2230" s="57"/>
      <c r="C2230" s="57"/>
      <c r="D2230" s="58"/>
      <c r="E2230" s="56"/>
      <c r="F2230" s="54"/>
      <c r="G2230" s="54"/>
      <c r="H2230" s="54"/>
      <c r="I2230" s="54"/>
      <c r="J2230" s="54"/>
      <c r="K2230" s="54"/>
    </row>
    <row r="2231">
      <c r="A2231" s="57"/>
      <c r="B2231" s="57"/>
      <c r="C2231" s="57"/>
      <c r="D2231" s="58"/>
      <c r="E2231" s="56"/>
      <c r="F2231" s="54"/>
      <c r="G2231" s="54"/>
      <c r="H2231" s="54"/>
      <c r="I2231" s="54"/>
      <c r="J2231" s="54"/>
      <c r="K2231" s="54"/>
    </row>
    <row r="2232">
      <c r="A2232" s="57"/>
      <c r="B2232" s="57"/>
      <c r="C2232" s="57"/>
      <c r="D2232" s="58"/>
      <c r="E2232" s="56"/>
      <c r="F2232" s="54"/>
      <c r="G2232" s="54"/>
      <c r="H2232" s="54"/>
      <c r="I2232" s="54"/>
      <c r="J2232" s="54"/>
      <c r="K2232" s="54"/>
    </row>
    <row r="2233">
      <c r="A2233" s="57"/>
      <c r="B2233" s="57"/>
      <c r="C2233" s="57"/>
      <c r="D2233" s="58"/>
      <c r="E2233" s="56"/>
      <c r="F2233" s="54"/>
      <c r="G2233" s="54"/>
      <c r="H2233" s="54"/>
      <c r="I2233" s="54"/>
      <c r="J2233" s="54"/>
      <c r="K2233" s="54"/>
    </row>
    <row r="2234">
      <c r="A2234" s="57"/>
      <c r="B2234" s="57"/>
      <c r="C2234" s="57"/>
      <c r="D2234" s="58"/>
      <c r="E2234" s="56"/>
      <c r="F2234" s="54"/>
      <c r="G2234" s="54"/>
      <c r="H2234" s="54"/>
      <c r="I2234" s="54"/>
      <c r="J2234" s="54"/>
      <c r="K2234" s="54"/>
    </row>
    <row r="2235">
      <c r="A2235" s="57"/>
      <c r="B2235" s="57"/>
      <c r="C2235" s="57"/>
      <c r="D2235" s="58"/>
      <c r="E2235" s="56"/>
      <c r="F2235" s="54"/>
      <c r="G2235" s="54"/>
      <c r="H2235" s="54"/>
      <c r="I2235" s="54"/>
      <c r="J2235" s="54"/>
      <c r="K2235" s="54"/>
    </row>
    <row r="2236">
      <c r="A2236" s="57"/>
      <c r="B2236" s="57"/>
      <c r="C2236" s="57"/>
      <c r="D2236" s="58"/>
      <c r="E2236" s="56"/>
      <c r="F2236" s="54"/>
      <c r="G2236" s="54"/>
      <c r="H2236" s="54"/>
      <c r="I2236" s="54"/>
      <c r="J2236" s="54"/>
      <c r="K2236" s="54"/>
    </row>
    <row r="2237">
      <c r="A2237" s="57"/>
      <c r="B2237" s="57"/>
      <c r="C2237" s="57"/>
      <c r="D2237" s="58"/>
      <c r="E2237" s="56"/>
      <c r="F2237" s="54"/>
      <c r="G2237" s="54"/>
      <c r="H2237" s="54"/>
      <c r="I2237" s="54"/>
      <c r="J2237" s="54"/>
      <c r="K2237" s="54"/>
    </row>
    <row r="2238">
      <c r="A2238" s="57"/>
      <c r="B2238" s="57"/>
      <c r="C2238" s="57"/>
      <c r="D2238" s="58"/>
      <c r="E2238" s="56"/>
      <c r="F2238" s="54"/>
      <c r="G2238" s="54"/>
      <c r="H2238" s="54"/>
      <c r="I2238" s="54"/>
      <c r="J2238" s="54"/>
      <c r="K2238" s="54"/>
    </row>
    <row r="2239">
      <c r="A2239" s="57"/>
      <c r="B2239" s="57"/>
      <c r="C2239" s="57"/>
      <c r="D2239" s="58"/>
      <c r="E2239" s="56"/>
      <c r="F2239" s="54"/>
      <c r="G2239" s="54"/>
      <c r="H2239" s="54"/>
      <c r="I2239" s="54"/>
      <c r="J2239" s="54"/>
      <c r="K2239" s="54"/>
    </row>
    <row r="2240">
      <c r="A2240" s="57"/>
      <c r="B2240" s="57"/>
      <c r="C2240" s="57"/>
      <c r="D2240" s="58"/>
      <c r="E2240" s="56"/>
      <c r="F2240" s="54"/>
      <c r="G2240" s="54"/>
      <c r="H2240" s="54"/>
      <c r="I2240" s="54"/>
      <c r="J2240" s="54"/>
      <c r="K2240" s="54"/>
    </row>
    <row r="2241">
      <c r="A2241" s="57"/>
      <c r="B2241" s="57"/>
      <c r="C2241" s="57"/>
      <c r="D2241" s="58"/>
      <c r="E2241" s="56"/>
      <c r="F2241" s="54"/>
      <c r="G2241" s="54"/>
      <c r="H2241" s="54"/>
      <c r="I2241" s="54"/>
      <c r="J2241" s="54"/>
      <c r="K2241" s="54"/>
    </row>
    <row r="2242">
      <c r="A2242" s="57"/>
      <c r="B2242" s="57"/>
      <c r="C2242" s="57"/>
      <c r="D2242" s="58"/>
      <c r="E2242" s="56"/>
      <c r="F2242" s="54"/>
      <c r="G2242" s="54"/>
      <c r="H2242" s="54"/>
      <c r="I2242" s="54"/>
      <c r="J2242" s="54"/>
      <c r="K2242" s="54"/>
    </row>
    <row r="2243">
      <c r="A2243" s="57"/>
      <c r="B2243" s="57"/>
      <c r="C2243" s="57"/>
      <c r="D2243" s="58"/>
      <c r="E2243" s="56"/>
      <c r="F2243" s="54"/>
      <c r="G2243" s="54"/>
      <c r="H2243" s="54"/>
      <c r="I2243" s="54"/>
      <c r="J2243" s="54"/>
      <c r="K2243" s="54"/>
    </row>
    <row r="2244">
      <c r="A2244" s="57"/>
      <c r="B2244" s="57"/>
      <c r="C2244" s="57"/>
      <c r="D2244" s="58"/>
      <c r="E2244" s="56"/>
      <c r="F2244" s="54"/>
      <c r="G2244" s="54"/>
      <c r="H2244" s="54"/>
      <c r="I2244" s="54"/>
      <c r="J2244" s="54"/>
      <c r="K2244" s="54"/>
    </row>
    <row r="2245">
      <c r="A2245" s="57"/>
      <c r="B2245" s="57"/>
      <c r="C2245" s="57"/>
      <c r="D2245" s="58"/>
      <c r="E2245" s="56"/>
      <c r="F2245" s="54"/>
      <c r="G2245" s="54"/>
      <c r="H2245" s="54"/>
      <c r="I2245" s="54"/>
      <c r="J2245" s="54"/>
      <c r="K2245" s="54"/>
    </row>
    <row r="2246">
      <c r="A2246" s="57"/>
      <c r="B2246" s="57"/>
      <c r="C2246" s="57"/>
      <c r="D2246" s="58"/>
      <c r="E2246" s="56"/>
      <c r="F2246" s="54"/>
      <c r="G2246" s="54"/>
      <c r="H2246" s="54"/>
      <c r="I2246" s="54"/>
      <c r="J2246" s="54"/>
      <c r="K2246" s="54"/>
    </row>
    <row r="2247">
      <c r="A2247" s="57"/>
      <c r="B2247" s="57"/>
      <c r="C2247" s="57"/>
      <c r="D2247" s="58"/>
      <c r="E2247" s="56"/>
      <c r="F2247" s="54"/>
      <c r="G2247" s="54"/>
      <c r="H2247" s="54"/>
      <c r="I2247" s="54"/>
      <c r="J2247" s="54"/>
      <c r="K2247" s="54"/>
    </row>
    <row r="2248">
      <c r="A2248" s="57"/>
      <c r="B2248" s="57"/>
      <c r="C2248" s="57"/>
      <c r="D2248" s="58"/>
      <c r="E2248" s="56"/>
      <c r="F2248" s="54"/>
      <c r="G2248" s="54"/>
      <c r="H2248" s="54"/>
      <c r="I2248" s="54"/>
      <c r="J2248" s="54"/>
      <c r="K2248" s="54"/>
    </row>
    <row r="2249">
      <c r="A2249" s="57"/>
      <c r="B2249" s="57"/>
      <c r="C2249" s="57"/>
      <c r="D2249" s="58"/>
      <c r="E2249" s="56"/>
      <c r="F2249" s="54"/>
      <c r="G2249" s="54"/>
      <c r="H2249" s="54"/>
      <c r="I2249" s="54"/>
      <c r="J2249" s="54"/>
      <c r="K2249" s="54"/>
    </row>
    <row r="2250">
      <c r="A2250" s="57"/>
      <c r="B2250" s="57"/>
      <c r="C2250" s="57"/>
      <c r="D2250" s="58"/>
      <c r="E2250" s="56"/>
      <c r="F2250" s="54"/>
      <c r="G2250" s="54"/>
      <c r="H2250" s="54"/>
      <c r="I2250" s="54"/>
      <c r="J2250" s="54"/>
      <c r="K2250" s="54"/>
    </row>
    <row r="2251">
      <c r="A2251" s="57"/>
      <c r="B2251" s="57"/>
      <c r="C2251" s="57"/>
      <c r="D2251" s="58"/>
      <c r="E2251" s="56"/>
      <c r="F2251" s="54"/>
      <c r="G2251" s="54"/>
      <c r="H2251" s="54"/>
      <c r="I2251" s="54"/>
      <c r="J2251" s="54"/>
      <c r="K2251" s="54"/>
    </row>
    <row r="2252">
      <c r="A2252" s="57"/>
      <c r="B2252" s="57"/>
      <c r="C2252" s="57"/>
      <c r="D2252" s="58"/>
      <c r="E2252" s="56"/>
      <c r="F2252" s="54"/>
      <c r="G2252" s="54"/>
      <c r="H2252" s="54"/>
      <c r="I2252" s="54"/>
      <c r="J2252" s="54"/>
      <c r="K2252" s="54"/>
    </row>
    <row r="2253">
      <c r="A2253" s="57"/>
      <c r="B2253" s="57"/>
      <c r="C2253" s="57"/>
      <c r="D2253" s="58"/>
      <c r="E2253" s="56"/>
      <c r="F2253" s="54"/>
      <c r="G2253" s="54"/>
      <c r="H2253" s="54"/>
      <c r="I2253" s="54"/>
      <c r="J2253" s="54"/>
      <c r="K2253" s="54"/>
    </row>
    <row r="2254">
      <c r="A2254" s="57"/>
      <c r="B2254" s="57"/>
      <c r="C2254" s="57"/>
      <c r="D2254" s="58"/>
      <c r="E2254" s="56"/>
      <c r="F2254" s="54"/>
      <c r="G2254" s="54"/>
      <c r="H2254" s="54"/>
      <c r="I2254" s="54"/>
      <c r="J2254" s="54"/>
      <c r="K2254" s="54"/>
    </row>
    <row r="2255">
      <c r="A2255" s="57"/>
      <c r="B2255" s="57"/>
      <c r="C2255" s="57"/>
      <c r="D2255" s="58"/>
      <c r="E2255" s="56"/>
      <c r="F2255" s="54"/>
      <c r="G2255" s="54"/>
      <c r="H2255" s="54"/>
      <c r="I2255" s="54"/>
      <c r="J2255" s="54"/>
      <c r="K2255" s="54"/>
    </row>
    <row r="2256">
      <c r="A2256" s="57"/>
      <c r="B2256" s="57"/>
      <c r="C2256" s="57"/>
      <c r="D2256" s="58"/>
      <c r="E2256" s="56"/>
      <c r="F2256" s="54"/>
      <c r="G2256" s="54"/>
      <c r="H2256" s="54"/>
      <c r="I2256" s="54"/>
      <c r="J2256" s="54"/>
      <c r="K2256" s="54"/>
    </row>
    <row r="2257">
      <c r="A2257" s="57"/>
      <c r="B2257" s="57"/>
      <c r="C2257" s="57"/>
      <c r="D2257" s="58"/>
      <c r="E2257" s="56"/>
      <c r="F2257" s="54"/>
      <c r="G2257" s="54"/>
      <c r="H2257" s="54"/>
      <c r="I2257" s="54"/>
      <c r="J2257" s="54"/>
      <c r="K2257" s="54"/>
    </row>
    <row r="2258">
      <c r="A2258" s="57"/>
      <c r="B2258" s="57"/>
      <c r="C2258" s="57"/>
      <c r="D2258" s="58"/>
      <c r="E2258" s="56"/>
      <c r="F2258" s="54"/>
      <c r="G2258" s="54"/>
      <c r="H2258" s="54"/>
      <c r="I2258" s="54"/>
      <c r="J2258" s="54"/>
      <c r="K2258" s="54"/>
    </row>
    <row r="2259">
      <c r="A2259" s="57"/>
      <c r="B2259" s="57"/>
      <c r="C2259" s="57"/>
      <c r="D2259" s="58"/>
      <c r="E2259" s="56"/>
      <c r="F2259" s="54"/>
      <c r="G2259" s="54"/>
      <c r="H2259" s="54"/>
      <c r="I2259" s="54"/>
      <c r="J2259" s="54"/>
      <c r="K2259" s="54"/>
    </row>
    <row r="2260">
      <c r="A2260" s="57"/>
      <c r="B2260" s="57"/>
      <c r="C2260" s="57"/>
      <c r="D2260" s="58"/>
      <c r="E2260" s="56"/>
      <c r="F2260" s="54"/>
      <c r="G2260" s="54"/>
      <c r="H2260" s="54"/>
      <c r="I2260" s="54"/>
      <c r="J2260" s="54"/>
      <c r="K2260" s="54"/>
    </row>
    <row r="2261">
      <c r="A2261" s="57"/>
      <c r="B2261" s="57"/>
      <c r="C2261" s="57"/>
      <c r="D2261" s="58"/>
      <c r="E2261" s="56"/>
      <c r="F2261" s="54"/>
      <c r="G2261" s="54"/>
      <c r="H2261" s="54"/>
      <c r="I2261" s="54"/>
      <c r="J2261" s="54"/>
      <c r="K2261" s="54"/>
    </row>
    <row r="2262">
      <c r="A2262" s="57"/>
      <c r="B2262" s="57"/>
      <c r="C2262" s="57"/>
      <c r="D2262" s="58"/>
      <c r="E2262" s="56"/>
      <c r="F2262" s="54"/>
      <c r="G2262" s="54"/>
      <c r="H2262" s="54"/>
      <c r="I2262" s="54"/>
      <c r="J2262" s="54"/>
      <c r="K2262" s="54"/>
    </row>
    <row r="2263">
      <c r="A2263" s="57"/>
      <c r="B2263" s="57"/>
      <c r="C2263" s="57"/>
      <c r="D2263" s="58"/>
      <c r="E2263" s="56"/>
      <c r="F2263" s="54"/>
      <c r="G2263" s="54"/>
      <c r="H2263" s="54"/>
      <c r="I2263" s="54"/>
      <c r="J2263" s="54"/>
      <c r="K2263" s="54"/>
    </row>
    <row r="2264">
      <c r="A2264" s="57"/>
      <c r="B2264" s="57"/>
      <c r="C2264" s="57"/>
      <c r="D2264" s="58"/>
      <c r="E2264" s="56"/>
      <c r="F2264" s="54"/>
      <c r="G2264" s="54"/>
      <c r="H2264" s="54"/>
      <c r="I2264" s="54"/>
      <c r="J2264" s="54"/>
      <c r="K2264" s="54"/>
    </row>
    <row r="2265">
      <c r="A2265" s="57"/>
      <c r="B2265" s="57"/>
      <c r="C2265" s="57"/>
      <c r="D2265" s="58"/>
      <c r="E2265" s="56"/>
      <c r="F2265" s="54"/>
      <c r="G2265" s="54"/>
      <c r="H2265" s="54"/>
      <c r="I2265" s="54"/>
      <c r="J2265" s="54"/>
      <c r="K2265" s="54"/>
    </row>
    <row r="2266">
      <c r="A2266" s="57"/>
      <c r="B2266" s="57"/>
      <c r="C2266" s="57"/>
      <c r="D2266" s="58"/>
      <c r="E2266" s="56"/>
      <c r="F2266" s="54"/>
      <c r="G2266" s="54"/>
      <c r="H2266" s="54"/>
      <c r="I2266" s="54"/>
      <c r="J2266" s="54"/>
      <c r="K2266" s="54"/>
    </row>
    <row r="2267">
      <c r="A2267" s="57"/>
      <c r="B2267" s="57"/>
      <c r="C2267" s="57"/>
      <c r="D2267" s="58"/>
      <c r="E2267" s="56"/>
      <c r="F2267" s="54"/>
      <c r="G2267" s="54"/>
      <c r="H2267" s="54"/>
      <c r="I2267" s="54"/>
      <c r="J2267" s="54"/>
      <c r="K2267" s="54"/>
    </row>
    <row r="2268">
      <c r="A2268" s="57"/>
      <c r="B2268" s="57"/>
      <c r="C2268" s="57"/>
      <c r="D2268" s="58"/>
      <c r="E2268" s="56"/>
      <c r="F2268" s="54"/>
      <c r="G2268" s="54"/>
      <c r="H2268" s="54"/>
      <c r="I2268" s="54"/>
      <c r="J2268" s="54"/>
      <c r="K2268" s="54"/>
    </row>
    <row r="2269">
      <c r="A2269" s="57"/>
      <c r="B2269" s="57"/>
      <c r="C2269" s="57"/>
      <c r="D2269" s="58"/>
      <c r="E2269" s="56"/>
      <c r="F2269" s="54"/>
      <c r="G2269" s="54"/>
      <c r="H2269" s="54"/>
      <c r="I2269" s="54"/>
      <c r="J2269" s="54"/>
      <c r="K2269" s="54"/>
    </row>
    <row r="2270">
      <c r="A2270" s="57"/>
      <c r="B2270" s="57"/>
      <c r="C2270" s="57"/>
      <c r="D2270" s="58"/>
      <c r="E2270" s="56"/>
      <c r="F2270" s="54"/>
      <c r="G2270" s="54"/>
      <c r="H2270" s="54"/>
      <c r="I2270" s="54"/>
      <c r="J2270" s="54"/>
      <c r="K2270" s="54"/>
    </row>
    <row r="2271">
      <c r="A2271" s="57"/>
      <c r="B2271" s="57"/>
      <c r="C2271" s="57"/>
      <c r="D2271" s="58"/>
      <c r="E2271" s="56"/>
      <c r="F2271" s="54"/>
      <c r="G2271" s="54"/>
      <c r="H2271" s="54"/>
      <c r="I2271" s="54"/>
      <c r="J2271" s="54"/>
      <c r="K2271" s="54"/>
    </row>
    <row r="2272">
      <c r="A2272" s="57"/>
      <c r="B2272" s="57"/>
      <c r="C2272" s="57"/>
      <c r="D2272" s="58"/>
      <c r="E2272" s="56"/>
      <c r="F2272" s="54"/>
      <c r="G2272" s="54"/>
      <c r="H2272" s="54"/>
      <c r="I2272" s="54"/>
      <c r="J2272" s="54"/>
      <c r="K2272" s="54"/>
    </row>
    <row r="2273">
      <c r="A2273" s="57"/>
      <c r="B2273" s="57"/>
      <c r="C2273" s="57"/>
      <c r="D2273" s="58"/>
      <c r="E2273" s="56"/>
      <c r="F2273" s="54"/>
      <c r="G2273" s="54"/>
      <c r="H2273" s="54"/>
      <c r="I2273" s="54"/>
      <c r="J2273" s="54"/>
      <c r="K2273" s="54"/>
    </row>
    <row r="2274">
      <c r="A2274" s="57"/>
      <c r="B2274" s="57"/>
      <c r="C2274" s="57"/>
      <c r="D2274" s="58"/>
      <c r="E2274" s="56"/>
      <c r="F2274" s="54"/>
      <c r="G2274" s="54"/>
      <c r="H2274" s="54"/>
      <c r="I2274" s="54"/>
      <c r="J2274" s="54"/>
      <c r="K2274" s="54"/>
    </row>
    <row r="2275">
      <c r="A2275" s="57"/>
      <c r="B2275" s="57"/>
      <c r="C2275" s="57"/>
      <c r="D2275" s="58"/>
      <c r="E2275" s="56"/>
      <c r="F2275" s="54"/>
      <c r="G2275" s="54"/>
      <c r="H2275" s="54"/>
      <c r="I2275" s="54"/>
      <c r="J2275" s="54"/>
      <c r="K2275" s="54"/>
    </row>
    <row r="2276">
      <c r="A2276" s="57"/>
      <c r="B2276" s="57"/>
      <c r="C2276" s="57"/>
      <c r="D2276" s="58"/>
      <c r="E2276" s="56"/>
      <c r="F2276" s="54"/>
      <c r="G2276" s="54"/>
      <c r="H2276" s="54"/>
      <c r="I2276" s="54"/>
      <c r="J2276" s="54"/>
      <c r="K2276" s="54"/>
    </row>
    <row r="2277">
      <c r="A2277" s="57"/>
      <c r="B2277" s="57"/>
      <c r="C2277" s="57"/>
      <c r="D2277" s="58"/>
      <c r="E2277" s="56"/>
      <c r="F2277" s="54"/>
      <c r="G2277" s="54"/>
      <c r="H2277" s="54"/>
      <c r="I2277" s="54"/>
      <c r="J2277" s="54"/>
      <c r="K2277" s="54"/>
    </row>
    <row r="2278">
      <c r="A2278" s="57"/>
      <c r="B2278" s="57"/>
      <c r="C2278" s="57"/>
      <c r="D2278" s="58"/>
      <c r="E2278" s="56"/>
      <c r="F2278" s="54"/>
      <c r="G2278" s="54"/>
      <c r="H2278" s="54"/>
      <c r="I2278" s="54"/>
      <c r="J2278" s="54"/>
      <c r="K2278" s="54"/>
    </row>
    <row r="2279">
      <c r="A2279" s="57"/>
      <c r="B2279" s="57"/>
      <c r="C2279" s="57"/>
      <c r="D2279" s="58"/>
      <c r="E2279" s="56"/>
      <c r="F2279" s="54"/>
      <c r="G2279" s="54"/>
      <c r="H2279" s="54"/>
      <c r="I2279" s="54"/>
      <c r="J2279" s="54"/>
      <c r="K2279" s="54"/>
    </row>
    <row r="2280">
      <c r="A2280" s="57"/>
      <c r="B2280" s="57"/>
      <c r="C2280" s="57"/>
      <c r="D2280" s="58"/>
      <c r="E2280" s="56"/>
      <c r="F2280" s="54"/>
      <c r="G2280" s="54"/>
      <c r="H2280" s="54"/>
      <c r="I2280" s="54"/>
      <c r="J2280" s="54"/>
      <c r="K2280" s="54"/>
    </row>
    <row r="2281">
      <c r="A2281" s="57"/>
      <c r="B2281" s="57"/>
      <c r="C2281" s="57"/>
      <c r="D2281" s="58"/>
      <c r="E2281" s="56"/>
      <c r="F2281" s="54"/>
      <c r="G2281" s="54"/>
      <c r="H2281" s="54"/>
      <c r="I2281" s="54"/>
      <c r="J2281" s="54"/>
      <c r="K2281" s="54"/>
    </row>
    <row r="2282">
      <c r="A2282" s="57"/>
      <c r="B2282" s="57"/>
      <c r="C2282" s="57"/>
      <c r="D2282" s="58"/>
      <c r="E2282" s="56"/>
      <c r="F2282" s="54"/>
      <c r="G2282" s="54"/>
      <c r="H2282" s="54"/>
      <c r="I2282" s="54"/>
      <c r="J2282" s="54"/>
      <c r="K2282" s="54"/>
    </row>
    <row r="2283">
      <c r="A2283" s="57"/>
      <c r="B2283" s="57"/>
      <c r="C2283" s="57"/>
      <c r="D2283" s="58"/>
      <c r="E2283" s="56"/>
      <c r="F2283" s="54"/>
      <c r="G2283" s="54"/>
      <c r="H2283" s="54"/>
      <c r="I2283" s="54"/>
      <c r="J2283" s="54"/>
      <c r="K2283" s="54"/>
    </row>
    <row r="2284">
      <c r="A2284" s="57"/>
      <c r="B2284" s="57"/>
      <c r="C2284" s="57"/>
      <c r="D2284" s="58"/>
      <c r="E2284" s="56"/>
      <c r="F2284" s="54"/>
      <c r="G2284" s="54"/>
      <c r="H2284" s="54"/>
      <c r="I2284" s="54"/>
      <c r="J2284" s="54"/>
      <c r="K2284" s="54"/>
    </row>
    <row r="2285">
      <c r="A2285" s="57"/>
      <c r="B2285" s="57"/>
      <c r="C2285" s="57"/>
      <c r="D2285" s="58"/>
      <c r="E2285" s="56"/>
      <c r="F2285" s="54"/>
      <c r="G2285" s="54"/>
      <c r="H2285" s="54"/>
      <c r="I2285" s="54"/>
      <c r="J2285" s="54"/>
      <c r="K2285" s="54"/>
    </row>
    <row r="2286">
      <c r="A2286" s="57"/>
      <c r="B2286" s="57"/>
      <c r="C2286" s="57"/>
      <c r="D2286" s="58"/>
      <c r="E2286" s="56"/>
      <c r="F2286" s="54"/>
      <c r="G2286" s="54"/>
      <c r="H2286" s="54"/>
      <c r="I2286" s="54"/>
      <c r="J2286" s="54"/>
      <c r="K2286" s="54"/>
    </row>
    <row r="2287">
      <c r="A2287" s="57"/>
      <c r="B2287" s="57"/>
      <c r="C2287" s="57"/>
      <c r="D2287" s="58"/>
      <c r="E2287" s="56"/>
      <c r="F2287" s="54"/>
      <c r="G2287" s="54"/>
      <c r="H2287" s="54"/>
      <c r="I2287" s="54"/>
      <c r="J2287" s="54"/>
      <c r="K2287" s="54"/>
    </row>
    <row r="2288">
      <c r="A2288" s="57"/>
      <c r="B2288" s="57"/>
      <c r="C2288" s="57"/>
      <c r="D2288" s="58"/>
      <c r="E2288" s="56"/>
      <c r="F2288" s="54"/>
      <c r="G2288" s="54"/>
      <c r="H2288" s="54"/>
      <c r="I2288" s="54"/>
      <c r="J2288" s="54"/>
      <c r="K2288" s="54"/>
    </row>
    <row r="2289">
      <c r="A2289" s="57"/>
      <c r="B2289" s="57"/>
      <c r="C2289" s="57"/>
      <c r="D2289" s="58"/>
      <c r="E2289" s="56"/>
      <c r="F2289" s="54"/>
      <c r="G2289" s="54"/>
      <c r="H2289" s="54"/>
      <c r="I2289" s="54"/>
      <c r="J2289" s="54"/>
      <c r="K2289" s="54"/>
    </row>
    <row r="2290">
      <c r="A2290" s="57"/>
      <c r="B2290" s="57"/>
      <c r="C2290" s="57"/>
      <c r="D2290" s="58"/>
      <c r="E2290" s="56"/>
      <c r="F2290" s="54"/>
      <c r="G2290" s="54"/>
      <c r="H2290" s="54"/>
      <c r="I2290" s="54"/>
      <c r="J2290" s="54"/>
      <c r="K2290" s="54"/>
    </row>
    <row r="2291">
      <c r="A2291" s="57"/>
      <c r="B2291" s="57"/>
      <c r="C2291" s="57"/>
      <c r="D2291" s="58"/>
      <c r="E2291" s="56"/>
      <c r="F2291" s="54"/>
      <c r="G2291" s="54"/>
      <c r="H2291" s="54"/>
      <c r="I2291" s="54"/>
      <c r="J2291" s="54"/>
      <c r="K2291" s="54"/>
    </row>
    <row r="2292">
      <c r="A2292" s="57"/>
      <c r="B2292" s="57"/>
      <c r="C2292" s="57"/>
      <c r="D2292" s="58"/>
      <c r="E2292" s="56"/>
      <c r="F2292" s="54"/>
      <c r="G2292" s="54"/>
      <c r="H2292" s="54"/>
      <c r="I2292" s="54"/>
      <c r="J2292" s="54"/>
      <c r="K2292" s="54"/>
    </row>
    <row r="2293">
      <c r="A2293" s="57"/>
      <c r="B2293" s="57"/>
      <c r="C2293" s="57"/>
      <c r="D2293" s="58"/>
      <c r="E2293" s="56"/>
      <c r="F2293" s="54"/>
      <c r="G2293" s="54"/>
      <c r="H2293" s="54"/>
      <c r="I2293" s="54"/>
      <c r="J2293" s="54"/>
      <c r="K2293" s="54"/>
    </row>
    <row r="2294">
      <c r="A2294" s="57"/>
      <c r="B2294" s="57"/>
      <c r="C2294" s="57"/>
      <c r="D2294" s="58"/>
      <c r="E2294" s="56"/>
      <c r="F2294" s="54"/>
      <c r="G2294" s="54"/>
      <c r="H2294" s="54"/>
      <c r="I2294" s="54"/>
      <c r="J2294" s="54"/>
      <c r="K2294" s="54"/>
    </row>
    <row r="2295">
      <c r="A2295" s="57"/>
      <c r="B2295" s="57"/>
      <c r="C2295" s="57"/>
      <c r="D2295" s="58"/>
      <c r="E2295" s="56"/>
      <c r="F2295" s="54"/>
      <c r="G2295" s="54"/>
      <c r="H2295" s="54"/>
      <c r="I2295" s="54"/>
      <c r="J2295" s="54"/>
      <c r="K2295" s="54"/>
    </row>
    <row r="2296">
      <c r="A2296" s="57"/>
      <c r="B2296" s="57"/>
      <c r="C2296" s="57"/>
      <c r="D2296" s="58"/>
      <c r="E2296" s="56"/>
      <c r="F2296" s="54"/>
      <c r="G2296" s="54"/>
      <c r="H2296" s="54"/>
      <c r="I2296" s="54"/>
      <c r="J2296" s="54"/>
      <c r="K2296" s="54"/>
    </row>
    <row r="2297">
      <c r="A2297" s="57"/>
      <c r="B2297" s="57"/>
      <c r="C2297" s="57"/>
      <c r="D2297" s="58"/>
      <c r="E2297" s="56"/>
      <c r="F2297" s="54"/>
      <c r="G2297" s="54"/>
      <c r="H2297" s="54"/>
      <c r="I2297" s="54"/>
      <c r="J2297" s="54"/>
      <c r="K2297" s="54"/>
    </row>
    <row r="2298">
      <c r="A2298" s="57"/>
      <c r="B2298" s="57"/>
      <c r="C2298" s="57"/>
      <c r="D2298" s="58"/>
      <c r="E2298" s="56"/>
      <c r="F2298" s="54"/>
      <c r="G2298" s="54"/>
      <c r="H2298" s="54"/>
      <c r="I2298" s="54"/>
      <c r="J2298" s="54"/>
      <c r="K2298" s="54"/>
    </row>
    <row r="2299">
      <c r="A2299" s="57"/>
      <c r="B2299" s="57"/>
      <c r="C2299" s="57"/>
      <c r="D2299" s="58"/>
      <c r="E2299" s="56"/>
      <c r="F2299" s="54"/>
      <c r="G2299" s="54"/>
      <c r="H2299" s="54"/>
      <c r="I2299" s="54"/>
      <c r="J2299" s="54"/>
      <c r="K2299" s="54"/>
    </row>
    <row r="2300">
      <c r="A2300" s="57"/>
      <c r="B2300" s="57"/>
      <c r="C2300" s="57"/>
      <c r="D2300" s="58"/>
      <c r="E2300" s="56"/>
      <c r="F2300" s="54"/>
      <c r="G2300" s="54"/>
      <c r="H2300" s="54"/>
      <c r="I2300" s="54"/>
      <c r="J2300" s="54"/>
      <c r="K2300" s="54"/>
    </row>
    <row r="2301">
      <c r="A2301" s="57"/>
      <c r="B2301" s="57"/>
      <c r="C2301" s="57"/>
      <c r="D2301" s="58"/>
      <c r="E2301" s="56"/>
      <c r="F2301" s="54"/>
      <c r="G2301" s="54"/>
      <c r="H2301" s="54"/>
      <c r="I2301" s="54"/>
      <c r="J2301" s="54"/>
      <c r="K2301" s="54"/>
    </row>
    <row r="2302">
      <c r="A2302" s="57"/>
      <c r="B2302" s="57"/>
      <c r="C2302" s="57"/>
      <c r="D2302" s="58"/>
      <c r="E2302" s="56"/>
      <c r="F2302" s="54"/>
      <c r="G2302" s="54"/>
      <c r="H2302" s="54"/>
      <c r="I2302" s="54"/>
      <c r="J2302" s="54"/>
      <c r="K2302" s="54"/>
    </row>
    <row r="2303">
      <c r="A2303" s="57"/>
      <c r="B2303" s="57"/>
      <c r="C2303" s="57"/>
      <c r="D2303" s="58"/>
      <c r="E2303" s="56"/>
      <c r="F2303" s="54"/>
      <c r="G2303" s="54"/>
      <c r="H2303" s="54"/>
      <c r="I2303" s="54"/>
      <c r="J2303" s="54"/>
      <c r="K2303" s="54"/>
    </row>
    <row r="2304">
      <c r="A2304" s="57"/>
      <c r="B2304" s="57"/>
      <c r="C2304" s="57"/>
      <c r="D2304" s="58"/>
      <c r="E2304" s="56"/>
      <c r="F2304" s="54"/>
      <c r="G2304" s="54"/>
      <c r="H2304" s="54"/>
      <c r="I2304" s="54"/>
      <c r="J2304" s="54"/>
      <c r="K2304" s="54"/>
    </row>
    <row r="2305">
      <c r="A2305" s="57"/>
      <c r="B2305" s="57"/>
      <c r="C2305" s="57"/>
      <c r="D2305" s="58"/>
      <c r="E2305" s="56"/>
      <c r="F2305" s="54"/>
      <c r="G2305" s="54"/>
      <c r="H2305" s="54"/>
      <c r="I2305" s="54"/>
      <c r="J2305" s="54"/>
      <c r="K2305" s="54"/>
    </row>
    <row r="2306">
      <c r="A2306" s="57"/>
      <c r="B2306" s="57"/>
      <c r="C2306" s="57"/>
      <c r="D2306" s="58"/>
      <c r="E2306" s="56"/>
      <c r="F2306" s="54"/>
      <c r="G2306" s="54"/>
      <c r="H2306" s="54"/>
      <c r="I2306" s="54"/>
      <c r="J2306" s="54"/>
      <c r="K2306" s="54"/>
    </row>
    <row r="2307">
      <c r="A2307" s="57"/>
      <c r="B2307" s="57"/>
      <c r="C2307" s="57"/>
      <c r="D2307" s="58"/>
      <c r="E2307" s="56"/>
      <c r="F2307" s="54"/>
      <c r="G2307" s="54"/>
      <c r="H2307" s="54"/>
      <c r="I2307" s="54"/>
      <c r="J2307" s="54"/>
      <c r="K2307" s="54"/>
    </row>
    <row r="2308">
      <c r="A2308" s="57"/>
      <c r="B2308" s="57"/>
      <c r="C2308" s="57"/>
      <c r="D2308" s="58"/>
      <c r="E2308" s="56"/>
      <c r="F2308" s="54"/>
      <c r="G2308" s="54"/>
      <c r="H2308" s="54"/>
      <c r="I2308" s="54"/>
      <c r="J2308" s="54"/>
      <c r="K2308" s="54"/>
    </row>
    <row r="2309">
      <c r="A2309" s="57"/>
      <c r="B2309" s="57"/>
      <c r="C2309" s="57"/>
      <c r="D2309" s="58"/>
      <c r="E2309" s="56"/>
      <c r="F2309" s="54"/>
      <c r="G2309" s="54"/>
      <c r="H2309" s="54"/>
      <c r="I2309" s="54"/>
      <c r="J2309" s="54"/>
      <c r="K2309" s="54"/>
    </row>
    <row r="2310">
      <c r="A2310" s="57"/>
      <c r="B2310" s="57"/>
      <c r="C2310" s="57"/>
      <c r="D2310" s="58"/>
      <c r="E2310" s="56"/>
      <c r="F2310" s="54"/>
      <c r="G2310" s="54"/>
      <c r="H2310" s="54"/>
      <c r="I2310" s="54"/>
      <c r="J2310" s="54"/>
      <c r="K2310" s="54"/>
    </row>
    <row r="2311">
      <c r="A2311" s="57"/>
      <c r="B2311" s="57"/>
      <c r="C2311" s="57"/>
      <c r="D2311" s="58"/>
      <c r="E2311" s="56"/>
      <c r="F2311" s="54"/>
      <c r="G2311" s="54"/>
      <c r="H2311" s="54"/>
      <c r="I2311" s="54"/>
      <c r="J2311" s="54"/>
      <c r="K2311" s="54"/>
    </row>
    <row r="2312">
      <c r="A2312" s="57"/>
      <c r="B2312" s="57"/>
      <c r="C2312" s="57"/>
      <c r="D2312" s="58"/>
      <c r="E2312" s="56"/>
      <c r="F2312" s="54"/>
      <c r="G2312" s="54"/>
      <c r="H2312" s="54"/>
      <c r="I2312" s="54"/>
      <c r="J2312" s="54"/>
      <c r="K2312" s="54"/>
    </row>
    <row r="2313">
      <c r="A2313" s="57"/>
      <c r="B2313" s="57"/>
      <c r="C2313" s="57"/>
      <c r="D2313" s="58"/>
      <c r="E2313" s="56"/>
      <c r="F2313" s="54"/>
      <c r="G2313" s="54"/>
      <c r="H2313" s="54"/>
      <c r="I2313" s="54"/>
      <c r="J2313" s="54"/>
      <c r="K2313" s="54"/>
    </row>
    <row r="2314">
      <c r="A2314" s="57"/>
      <c r="B2314" s="57"/>
      <c r="C2314" s="57"/>
      <c r="D2314" s="58"/>
      <c r="E2314" s="56"/>
      <c r="F2314" s="54"/>
      <c r="G2314" s="54"/>
      <c r="H2314" s="54"/>
      <c r="I2314" s="54"/>
      <c r="J2314" s="54"/>
      <c r="K2314" s="54"/>
    </row>
    <row r="2315">
      <c r="A2315" s="57"/>
      <c r="B2315" s="57"/>
      <c r="C2315" s="57"/>
      <c r="D2315" s="58"/>
      <c r="E2315" s="56"/>
      <c r="F2315" s="54"/>
      <c r="G2315" s="54"/>
      <c r="H2315" s="54"/>
      <c r="I2315" s="54"/>
      <c r="J2315" s="54"/>
      <c r="K2315" s="54"/>
    </row>
    <row r="2316">
      <c r="A2316" s="57"/>
      <c r="B2316" s="57"/>
      <c r="C2316" s="57"/>
      <c r="D2316" s="58"/>
      <c r="E2316" s="56"/>
      <c r="F2316" s="54"/>
      <c r="G2316" s="54"/>
      <c r="H2316" s="54"/>
      <c r="I2316" s="54"/>
      <c r="J2316" s="54"/>
      <c r="K2316" s="54"/>
    </row>
    <row r="2317">
      <c r="A2317" s="57"/>
      <c r="B2317" s="57"/>
      <c r="C2317" s="57"/>
      <c r="D2317" s="58"/>
      <c r="E2317" s="56"/>
      <c r="F2317" s="54"/>
      <c r="G2317" s="54"/>
      <c r="H2317" s="54"/>
      <c r="I2317" s="54"/>
      <c r="J2317" s="54"/>
      <c r="K2317" s="54"/>
    </row>
    <row r="2318">
      <c r="A2318" s="57"/>
      <c r="B2318" s="57"/>
      <c r="C2318" s="57"/>
      <c r="D2318" s="58"/>
      <c r="E2318" s="56"/>
      <c r="F2318" s="54"/>
      <c r="G2318" s="54"/>
      <c r="H2318" s="54"/>
      <c r="I2318" s="54"/>
      <c r="J2318" s="54"/>
      <c r="K2318" s="54"/>
    </row>
    <row r="2319">
      <c r="A2319" s="57"/>
      <c r="B2319" s="57"/>
      <c r="C2319" s="57"/>
      <c r="D2319" s="58"/>
      <c r="E2319" s="56"/>
      <c r="F2319" s="54"/>
      <c r="G2319" s="54"/>
      <c r="H2319" s="54"/>
      <c r="I2319" s="54"/>
      <c r="J2319" s="54"/>
      <c r="K2319" s="54"/>
    </row>
    <row r="2320">
      <c r="A2320" s="57"/>
      <c r="B2320" s="57"/>
      <c r="C2320" s="57"/>
      <c r="D2320" s="58"/>
      <c r="E2320" s="56"/>
      <c r="F2320" s="54"/>
      <c r="G2320" s="54"/>
      <c r="H2320" s="54"/>
      <c r="I2320" s="54"/>
      <c r="J2320" s="54"/>
      <c r="K2320" s="54"/>
    </row>
    <row r="2321">
      <c r="A2321" s="57"/>
      <c r="B2321" s="57"/>
      <c r="C2321" s="57"/>
      <c r="D2321" s="58"/>
      <c r="E2321" s="56"/>
      <c r="F2321" s="54"/>
      <c r="G2321" s="54"/>
      <c r="H2321" s="54"/>
      <c r="I2321" s="54"/>
      <c r="J2321" s="54"/>
      <c r="K2321" s="54"/>
    </row>
    <row r="2322">
      <c r="A2322" s="57"/>
      <c r="B2322" s="57"/>
      <c r="C2322" s="57"/>
      <c r="D2322" s="58"/>
      <c r="E2322" s="56"/>
      <c r="F2322" s="54"/>
      <c r="G2322" s="54"/>
      <c r="H2322" s="54"/>
      <c r="I2322" s="54"/>
      <c r="J2322" s="54"/>
      <c r="K2322" s="54"/>
    </row>
    <row r="2323">
      <c r="A2323" s="57"/>
      <c r="B2323" s="57"/>
      <c r="C2323" s="57"/>
      <c r="D2323" s="58"/>
      <c r="E2323" s="56"/>
      <c r="F2323" s="54"/>
      <c r="G2323" s="54"/>
      <c r="H2323" s="54"/>
      <c r="I2323" s="54"/>
      <c r="J2323" s="54"/>
      <c r="K2323" s="54"/>
    </row>
    <row r="2324">
      <c r="A2324" s="57"/>
      <c r="B2324" s="57"/>
      <c r="C2324" s="57"/>
      <c r="D2324" s="58"/>
      <c r="E2324" s="56"/>
      <c r="F2324" s="54"/>
      <c r="G2324" s="54"/>
      <c r="H2324" s="54"/>
      <c r="I2324" s="54"/>
      <c r="J2324" s="54"/>
      <c r="K2324" s="54"/>
    </row>
    <row r="2325">
      <c r="A2325" s="57"/>
      <c r="B2325" s="57"/>
      <c r="C2325" s="57"/>
      <c r="D2325" s="58"/>
      <c r="E2325" s="56"/>
      <c r="F2325" s="54"/>
      <c r="G2325" s="54"/>
      <c r="H2325" s="54"/>
      <c r="I2325" s="54"/>
      <c r="J2325" s="54"/>
      <c r="K2325" s="54"/>
    </row>
    <row r="2326">
      <c r="A2326" s="57"/>
      <c r="B2326" s="57"/>
      <c r="C2326" s="57"/>
      <c r="D2326" s="58"/>
      <c r="E2326" s="56"/>
      <c r="F2326" s="54"/>
      <c r="G2326" s="54"/>
      <c r="H2326" s="54"/>
      <c r="I2326" s="54"/>
      <c r="J2326" s="54"/>
      <c r="K2326" s="54"/>
    </row>
    <row r="2327">
      <c r="A2327" s="57"/>
      <c r="B2327" s="57"/>
      <c r="C2327" s="57"/>
      <c r="D2327" s="58"/>
      <c r="E2327" s="56"/>
      <c r="F2327" s="54"/>
      <c r="G2327" s="54"/>
      <c r="H2327" s="54"/>
      <c r="I2327" s="54"/>
      <c r="J2327" s="54"/>
      <c r="K2327" s="54"/>
    </row>
    <row r="2328">
      <c r="A2328" s="57"/>
      <c r="B2328" s="57"/>
      <c r="C2328" s="57"/>
      <c r="D2328" s="58"/>
      <c r="E2328" s="56"/>
      <c r="F2328" s="54"/>
      <c r="G2328" s="54"/>
      <c r="H2328" s="54"/>
      <c r="I2328" s="54"/>
      <c r="J2328" s="54"/>
      <c r="K2328" s="54"/>
    </row>
    <row r="2329">
      <c r="A2329" s="57"/>
      <c r="B2329" s="57"/>
      <c r="C2329" s="57"/>
      <c r="D2329" s="58"/>
      <c r="E2329" s="56"/>
      <c r="F2329" s="54"/>
      <c r="G2329" s="54"/>
      <c r="H2329" s="54"/>
      <c r="I2329" s="54"/>
      <c r="J2329" s="54"/>
      <c r="K2329" s="54"/>
    </row>
    <row r="2330">
      <c r="A2330" s="57"/>
      <c r="B2330" s="57"/>
      <c r="C2330" s="57"/>
      <c r="D2330" s="58"/>
      <c r="E2330" s="56"/>
      <c r="F2330" s="54"/>
      <c r="G2330" s="54"/>
      <c r="H2330" s="54"/>
      <c r="I2330" s="54"/>
      <c r="J2330" s="54"/>
      <c r="K2330" s="54"/>
    </row>
    <row r="2331">
      <c r="A2331" s="57"/>
      <c r="B2331" s="57"/>
      <c r="C2331" s="57"/>
      <c r="D2331" s="58"/>
      <c r="E2331" s="56"/>
      <c r="F2331" s="54"/>
      <c r="G2331" s="54"/>
      <c r="H2331" s="54"/>
      <c r="I2331" s="54"/>
      <c r="J2331" s="54"/>
      <c r="K2331" s="54"/>
    </row>
    <row r="2332">
      <c r="A2332" s="57"/>
      <c r="B2332" s="57"/>
      <c r="C2332" s="57"/>
      <c r="D2332" s="58"/>
      <c r="E2332" s="56"/>
      <c r="F2332" s="54"/>
      <c r="G2332" s="54"/>
      <c r="H2332" s="54"/>
      <c r="I2332" s="54"/>
      <c r="J2332" s="54"/>
      <c r="K2332" s="54"/>
    </row>
    <row r="2333">
      <c r="A2333" s="57"/>
      <c r="B2333" s="57"/>
      <c r="C2333" s="57"/>
      <c r="D2333" s="58"/>
      <c r="E2333" s="56"/>
      <c r="F2333" s="54"/>
      <c r="G2333" s="54"/>
      <c r="H2333" s="54"/>
      <c r="I2333" s="54"/>
      <c r="J2333" s="54"/>
      <c r="K2333" s="54"/>
    </row>
    <row r="2334">
      <c r="A2334" s="57"/>
      <c r="B2334" s="57"/>
      <c r="C2334" s="57"/>
      <c r="D2334" s="58"/>
      <c r="E2334" s="56"/>
      <c r="F2334" s="54"/>
      <c r="G2334" s="54"/>
      <c r="H2334" s="54"/>
      <c r="I2334" s="54"/>
      <c r="J2334" s="54"/>
      <c r="K2334" s="54"/>
    </row>
    <row r="2335">
      <c r="A2335" s="57"/>
      <c r="B2335" s="57"/>
      <c r="C2335" s="57"/>
      <c r="D2335" s="58"/>
      <c r="E2335" s="56"/>
      <c r="F2335" s="54"/>
      <c r="G2335" s="54"/>
      <c r="H2335" s="54"/>
      <c r="I2335" s="54"/>
      <c r="J2335" s="54"/>
      <c r="K2335" s="54"/>
    </row>
    <row r="2336">
      <c r="A2336" s="57"/>
      <c r="B2336" s="57"/>
      <c r="C2336" s="57"/>
      <c r="D2336" s="58"/>
      <c r="E2336" s="56"/>
      <c r="F2336" s="54"/>
      <c r="G2336" s="54"/>
      <c r="H2336" s="54"/>
      <c r="I2336" s="54"/>
      <c r="J2336" s="54"/>
      <c r="K2336" s="54"/>
    </row>
    <row r="2337">
      <c r="A2337" s="57"/>
      <c r="B2337" s="57"/>
      <c r="C2337" s="57"/>
      <c r="D2337" s="58"/>
      <c r="E2337" s="56"/>
      <c r="F2337" s="54"/>
      <c r="G2337" s="54"/>
      <c r="H2337" s="54"/>
      <c r="I2337" s="54"/>
      <c r="J2337" s="54"/>
      <c r="K2337" s="54"/>
    </row>
    <row r="2338">
      <c r="A2338" s="57"/>
      <c r="B2338" s="57"/>
      <c r="C2338" s="57"/>
      <c r="D2338" s="58"/>
      <c r="E2338" s="56"/>
      <c r="F2338" s="54"/>
      <c r="G2338" s="54"/>
      <c r="H2338" s="54"/>
      <c r="I2338" s="54"/>
      <c r="J2338" s="54"/>
      <c r="K2338" s="54"/>
    </row>
    <row r="2339">
      <c r="A2339" s="57"/>
      <c r="B2339" s="57"/>
      <c r="C2339" s="57"/>
      <c r="D2339" s="58"/>
      <c r="E2339" s="56"/>
      <c r="F2339" s="54"/>
      <c r="G2339" s="54"/>
      <c r="H2339" s="54"/>
      <c r="I2339" s="54"/>
      <c r="J2339" s="54"/>
      <c r="K2339" s="54"/>
    </row>
    <row r="2340">
      <c r="A2340" s="57"/>
      <c r="B2340" s="57"/>
      <c r="C2340" s="57"/>
      <c r="D2340" s="58"/>
      <c r="E2340" s="56"/>
      <c r="F2340" s="54"/>
      <c r="G2340" s="54"/>
      <c r="H2340" s="54"/>
      <c r="I2340" s="54"/>
      <c r="J2340" s="54"/>
      <c r="K2340" s="54"/>
    </row>
    <row r="2341">
      <c r="A2341" s="57"/>
      <c r="B2341" s="57"/>
      <c r="C2341" s="57"/>
      <c r="D2341" s="58"/>
      <c r="E2341" s="56"/>
      <c r="F2341" s="54"/>
      <c r="G2341" s="54"/>
      <c r="H2341" s="54"/>
      <c r="I2341" s="54"/>
      <c r="J2341" s="54"/>
      <c r="K2341" s="54"/>
    </row>
    <row r="2342">
      <c r="A2342" s="57"/>
      <c r="B2342" s="57"/>
      <c r="C2342" s="57"/>
      <c r="D2342" s="58"/>
      <c r="E2342" s="56"/>
      <c r="F2342" s="54"/>
      <c r="G2342" s="54"/>
      <c r="H2342" s="54"/>
      <c r="I2342" s="54"/>
      <c r="J2342" s="54"/>
      <c r="K2342" s="54"/>
    </row>
    <row r="2343">
      <c r="A2343" s="57"/>
      <c r="B2343" s="57"/>
      <c r="C2343" s="57"/>
      <c r="D2343" s="58"/>
      <c r="E2343" s="56"/>
      <c r="F2343" s="54"/>
      <c r="G2343" s="54"/>
      <c r="H2343" s="54"/>
      <c r="I2343" s="54"/>
      <c r="J2343" s="54"/>
      <c r="K2343" s="54"/>
    </row>
    <row r="2344">
      <c r="A2344" s="57"/>
      <c r="B2344" s="57"/>
      <c r="C2344" s="57"/>
      <c r="D2344" s="58"/>
      <c r="E2344" s="56"/>
      <c r="F2344" s="54"/>
      <c r="G2344" s="54"/>
      <c r="H2344" s="54"/>
      <c r="I2344" s="54"/>
      <c r="J2344" s="54"/>
      <c r="K2344" s="54"/>
    </row>
    <row r="2345">
      <c r="A2345" s="57"/>
      <c r="B2345" s="57"/>
      <c r="C2345" s="57"/>
      <c r="D2345" s="58"/>
      <c r="E2345" s="56"/>
      <c r="F2345" s="54"/>
      <c r="G2345" s="54"/>
      <c r="H2345" s="54"/>
      <c r="I2345" s="54"/>
      <c r="J2345" s="54"/>
      <c r="K2345" s="54"/>
    </row>
    <row r="2346">
      <c r="A2346" s="57"/>
      <c r="B2346" s="57"/>
      <c r="C2346" s="57"/>
      <c r="D2346" s="58"/>
      <c r="E2346" s="56"/>
      <c r="F2346" s="54"/>
      <c r="G2346" s="54"/>
      <c r="H2346" s="54"/>
      <c r="I2346" s="54"/>
      <c r="J2346" s="54"/>
      <c r="K2346" s="54"/>
    </row>
    <row r="2347">
      <c r="A2347" s="57"/>
      <c r="B2347" s="57"/>
      <c r="C2347" s="57"/>
      <c r="D2347" s="58"/>
      <c r="E2347" s="56"/>
      <c r="F2347" s="54"/>
      <c r="G2347" s="54"/>
      <c r="H2347" s="54"/>
      <c r="I2347" s="54"/>
      <c r="J2347" s="54"/>
      <c r="K2347" s="54"/>
    </row>
    <row r="2348">
      <c r="A2348" s="57"/>
      <c r="B2348" s="57"/>
      <c r="C2348" s="57"/>
      <c r="D2348" s="58"/>
      <c r="E2348" s="56"/>
      <c r="F2348" s="54"/>
      <c r="G2348" s="54"/>
      <c r="H2348" s="54"/>
      <c r="I2348" s="54"/>
      <c r="J2348" s="54"/>
      <c r="K2348" s="54"/>
    </row>
    <row r="2349">
      <c r="A2349" s="57"/>
      <c r="B2349" s="57"/>
      <c r="C2349" s="57"/>
      <c r="D2349" s="58"/>
      <c r="E2349" s="56"/>
      <c r="F2349" s="54"/>
      <c r="G2349" s="54"/>
      <c r="H2349" s="54"/>
      <c r="I2349" s="54"/>
      <c r="J2349" s="54"/>
      <c r="K2349" s="54"/>
    </row>
    <row r="2350">
      <c r="A2350" s="57"/>
      <c r="B2350" s="57"/>
      <c r="C2350" s="57"/>
      <c r="D2350" s="58"/>
      <c r="E2350" s="56"/>
      <c r="F2350" s="54"/>
      <c r="G2350" s="54"/>
      <c r="H2350" s="54"/>
      <c r="I2350" s="54"/>
      <c r="J2350" s="54"/>
      <c r="K2350" s="54"/>
    </row>
    <row r="2351">
      <c r="A2351" s="57"/>
      <c r="B2351" s="57"/>
      <c r="C2351" s="57"/>
      <c r="D2351" s="58"/>
      <c r="E2351" s="56"/>
      <c r="F2351" s="54"/>
      <c r="G2351" s="54"/>
      <c r="H2351" s="54"/>
      <c r="I2351" s="54"/>
      <c r="J2351" s="54"/>
      <c r="K2351" s="54"/>
    </row>
    <row r="2352">
      <c r="A2352" s="57"/>
      <c r="B2352" s="57"/>
      <c r="C2352" s="57"/>
      <c r="D2352" s="58"/>
      <c r="E2352" s="56"/>
      <c r="F2352" s="54"/>
      <c r="G2352" s="54"/>
      <c r="H2352" s="54"/>
      <c r="I2352" s="54"/>
      <c r="J2352" s="54"/>
      <c r="K2352" s="54"/>
    </row>
    <row r="2353">
      <c r="A2353" s="57"/>
      <c r="B2353" s="57"/>
      <c r="C2353" s="57"/>
      <c r="D2353" s="58"/>
      <c r="E2353" s="56"/>
      <c r="F2353" s="54"/>
      <c r="G2353" s="54"/>
      <c r="H2353" s="54"/>
      <c r="I2353" s="54"/>
      <c r="J2353" s="54"/>
      <c r="K2353" s="54"/>
    </row>
    <row r="2354">
      <c r="A2354" s="57"/>
      <c r="B2354" s="57"/>
      <c r="C2354" s="57"/>
      <c r="D2354" s="58"/>
      <c r="E2354" s="56"/>
      <c r="F2354" s="54"/>
      <c r="G2354" s="54"/>
      <c r="H2354" s="54"/>
      <c r="I2354" s="54"/>
      <c r="J2354" s="54"/>
      <c r="K2354" s="54"/>
    </row>
    <row r="2355">
      <c r="A2355" s="57"/>
      <c r="B2355" s="57"/>
      <c r="C2355" s="57"/>
      <c r="D2355" s="58"/>
      <c r="E2355" s="56"/>
      <c r="F2355" s="54"/>
      <c r="G2355" s="54"/>
      <c r="H2355" s="54"/>
      <c r="I2355" s="54"/>
      <c r="J2355" s="54"/>
      <c r="K2355" s="54"/>
    </row>
    <row r="2356">
      <c r="A2356" s="57"/>
      <c r="B2356" s="57"/>
      <c r="C2356" s="57"/>
      <c r="D2356" s="58"/>
      <c r="E2356" s="56"/>
      <c r="F2356" s="54"/>
      <c r="G2356" s="54"/>
      <c r="H2356" s="54"/>
      <c r="I2356" s="54"/>
      <c r="J2356" s="54"/>
      <c r="K2356" s="54"/>
    </row>
    <row r="2357">
      <c r="A2357" s="57"/>
      <c r="B2357" s="57"/>
      <c r="C2357" s="57"/>
      <c r="D2357" s="58"/>
      <c r="E2357" s="56"/>
      <c r="F2357" s="54"/>
      <c r="G2357" s="54"/>
      <c r="H2357" s="54"/>
      <c r="I2357" s="54"/>
      <c r="J2357" s="54"/>
      <c r="K2357" s="54"/>
    </row>
    <row r="2358">
      <c r="A2358" s="57"/>
      <c r="B2358" s="57"/>
      <c r="C2358" s="57"/>
      <c r="D2358" s="58"/>
      <c r="E2358" s="56"/>
      <c r="F2358" s="54"/>
      <c r="G2358" s="54"/>
      <c r="H2358" s="54"/>
      <c r="I2358" s="54"/>
      <c r="J2358" s="54"/>
      <c r="K2358" s="54"/>
    </row>
    <row r="2359">
      <c r="A2359" s="57"/>
      <c r="B2359" s="57"/>
      <c r="C2359" s="57"/>
      <c r="D2359" s="58"/>
      <c r="E2359" s="56"/>
      <c r="F2359" s="54"/>
      <c r="G2359" s="54"/>
      <c r="H2359" s="54"/>
      <c r="I2359" s="54"/>
      <c r="J2359" s="54"/>
      <c r="K2359" s="54"/>
    </row>
    <row r="2360">
      <c r="A2360" s="57"/>
      <c r="B2360" s="57"/>
      <c r="C2360" s="57"/>
      <c r="D2360" s="58"/>
      <c r="E2360" s="56"/>
      <c r="F2360" s="54"/>
      <c r="G2360" s="54"/>
      <c r="H2360" s="54"/>
      <c r="I2360" s="54"/>
      <c r="J2360" s="54"/>
      <c r="K2360" s="54"/>
    </row>
    <row r="2361">
      <c r="A2361" s="57"/>
      <c r="B2361" s="57"/>
      <c r="C2361" s="57"/>
      <c r="D2361" s="58"/>
      <c r="E2361" s="56"/>
      <c r="F2361" s="54"/>
      <c r="G2361" s="54"/>
      <c r="H2361" s="54"/>
      <c r="I2361" s="54"/>
      <c r="J2361" s="54"/>
      <c r="K2361" s="54"/>
    </row>
    <row r="2362">
      <c r="A2362" s="57"/>
      <c r="B2362" s="57"/>
      <c r="C2362" s="57"/>
      <c r="D2362" s="58"/>
      <c r="E2362" s="56"/>
      <c r="F2362" s="54"/>
      <c r="G2362" s="54"/>
      <c r="H2362" s="54"/>
      <c r="I2362" s="54"/>
      <c r="J2362" s="54"/>
      <c r="K2362" s="54"/>
    </row>
    <row r="2363">
      <c r="A2363" s="57"/>
      <c r="B2363" s="57"/>
      <c r="C2363" s="57"/>
      <c r="D2363" s="58"/>
      <c r="E2363" s="56"/>
      <c r="F2363" s="54"/>
      <c r="G2363" s="54"/>
      <c r="H2363" s="54"/>
      <c r="I2363" s="54"/>
      <c r="J2363" s="54"/>
      <c r="K2363" s="54"/>
    </row>
    <row r="2364">
      <c r="A2364" s="57"/>
      <c r="B2364" s="57"/>
      <c r="C2364" s="57"/>
      <c r="D2364" s="58"/>
      <c r="E2364" s="56"/>
      <c r="F2364" s="54"/>
      <c r="G2364" s="54"/>
      <c r="H2364" s="54"/>
      <c r="I2364" s="54"/>
      <c r="J2364" s="54"/>
      <c r="K2364" s="54"/>
    </row>
    <row r="2365">
      <c r="A2365" s="57"/>
      <c r="B2365" s="57"/>
      <c r="C2365" s="57"/>
      <c r="D2365" s="58"/>
      <c r="E2365" s="56"/>
      <c r="F2365" s="54"/>
      <c r="G2365" s="54"/>
      <c r="H2365" s="54"/>
      <c r="I2365" s="54"/>
      <c r="J2365" s="54"/>
      <c r="K2365" s="54"/>
    </row>
    <row r="2366">
      <c r="A2366" s="57"/>
      <c r="B2366" s="57"/>
      <c r="C2366" s="57"/>
      <c r="D2366" s="58"/>
      <c r="E2366" s="56"/>
      <c r="F2366" s="54"/>
      <c r="G2366" s="54"/>
      <c r="H2366" s="54"/>
      <c r="I2366" s="54"/>
      <c r="J2366" s="54"/>
      <c r="K2366" s="54"/>
    </row>
    <row r="2367">
      <c r="A2367" s="57"/>
      <c r="B2367" s="57"/>
      <c r="C2367" s="57"/>
      <c r="D2367" s="58"/>
      <c r="E2367" s="56"/>
      <c r="F2367" s="54"/>
      <c r="G2367" s="54"/>
      <c r="H2367" s="54"/>
      <c r="I2367" s="54"/>
      <c r="J2367" s="54"/>
      <c r="K2367" s="54"/>
    </row>
    <row r="2368">
      <c r="A2368" s="57"/>
      <c r="B2368" s="57"/>
      <c r="C2368" s="57"/>
      <c r="D2368" s="58"/>
      <c r="E2368" s="56"/>
      <c r="F2368" s="54"/>
      <c r="G2368" s="54"/>
      <c r="H2368" s="54"/>
      <c r="I2368" s="54"/>
      <c r="J2368" s="54"/>
      <c r="K2368" s="54"/>
    </row>
    <row r="2369">
      <c r="A2369" s="57"/>
      <c r="B2369" s="57"/>
      <c r="C2369" s="57"/>
      <c r="D2369" s="58"/>
      <c r="E2369" s="56"/>
      <c r="F2369" s="54"/>
      <c r="G2369" s="54"/>
      <c r="H2369" s="54"/>
      <c r="I2369" s="54"/>
      <c r="J2369" s="54"/>
      <c r="K2369" s="54"/>
    </row>
    <row r="2370">
      <c r="A2370" s="57"/>
      <c r="B2370" s="57"/>
      <c r="C2370" s="57"/>
      <c r="D2370" s="58"/>
      <c r="E2370" s="56"/>
      <c r="F2370" s="54"/>
      <c r="G2370" s="54"/>
      <c r="H2370" s="54"/>
      <c r="I2370" s="54"/>
      <c r="J2370" s="54"/>
      <c r="K2370" s="54"/>
    </row>
    <row r="2371">
      <c r="A2371" s="57"/>
      <c r="B2371" s="57"/>
      <c r="C2371" s="57"/>
      <c r="D2371" s="58"/>
      <c r="E2371" s="56"/>
      <c r="F2371" s="54"/>
      <c r="G2371" s="54"/>
      <c r="H2371" s="54"/>
      <c r="I2371" s="54"/>
      <c r="J2371" s="54"/>
      <c r="K2371" s="54"/>
    </row>
    <row r="2372">
      <c r="A2372" s="57"/>
      <c r="B2372" s="57"/>
      <c r="C2372" s="57"/>
      <c r="D2372" s="58"/>
      <c r="E2372" s="56"/>
      <c r="F2372" s="54"/>
      <c r="G2372" s="54"/>
      <c r="H2372" s="54"/>
      <c r="I2372" s="54"/>
      <c r="J2372" s="54"/>
      <c r="K2372" s="54"/>
    </row>
    <row r="2373">
      <c r="A2373" s="57"/>
      <c r="B2373" s="57"/>
      <c r="C2373" s="57"/>
      <c r="D2373" s="58"/>
      <c r="E2373" s="56"/>
      <c r="F2373" s="54"/>
      <c r="G2373" s="54"/>
      <c r="H2373" s="54"/>
      <c r="I2373" s="54"/>
      <c r="J2373" s="54"/>
      <c r="K2373" s="54"/>
    </row>
    <row r="2374">
      <c r="A2374" s="57"/>
      <c r="B2374" s="57"/>
      <c r="C2374" s="57"/>
      <c r="D2374" s="58"/>
      <c r="E2374" s="56"/>
      <c r="F2374" s="54"/>
      <c r="G2374" s="54"/>
      <c r="H2374" s="54"/>
      <c r="I2374" s="54"/>
      <c r="J2374" s="54"/>
      <c r="K2374" s="54"/>
    </row>
    <row r="2375">
      <c r="A2375" s="57"/>
      <c r="B2375" s="57"/>
      <c r="C2375" s="57"/>
      <c r="D2375" s="58"/>
      <c r="E2375" s="56"/>
      <c r="F2375" s="54"/>
      <c r="G2375" s="54"/>
      <c r="H2375" s="54"/>
      <c r="I2375" s="54"/>
      <c r="J2375" s="54"/>
      <c r="K2375" s="54"/>
    </row>
    <row r="2376">
      <c r="A2376" s="57"/>
      <c r="B2376" s="57"/>
      <c r="C2376" s="57"/>
      <c r="D2376" s="58"/>
      <c r="E2376" s="56"/>
      <c r="F2376" s="54"/>
      <c r="G2376" s="54"/>
      <c r="H2376" s="54"/>
      <c r="I2376" s="54"/>
      <c r="J2376" s="54"/>
      <c r="K2376" s="54"/>
    </row>
    <row r="2377">
      <c r="A2377" s="57"/>
      <c r="B2377" s="57"/>
      <c r="C2377" s="57"/>
      <c r="D2377" s="58"/>
      <c r="E2377" s="56"/>
      <c r="F2377" s="54"/>
      <c r="G2377" s="54"/>
      <c r="H2377" s="54"/>
      <c r="I2377" s="54"/>
      <c r="J2377" s="54"/>
      <c r="K2377" s="54"/>
    </row>
    <row r="2378">
      <c r="A2378" s="57"/>
      <c r="B2378" s="57"/>
      <c r="C2378" s="57"/>
      <c r="D2378" s="58"/>
      <c r="E2378" s="56"/>
      <c r="F2378" s="54"/>
      <c r="G2378" s="54"/>
      <c r="H2378" s="54"/>
      <c r="I2378" s="54"/>
      <c r="J2378" s="54"/>
      <c r="K2378" s="54"/>
    </row>
    <row r="2379">
      <c r="A2379" s="57"/>
      <c r="B2379" s="57"/>
      <c r="C2379" s="57"/>
      <c r="D2379" s="58"/>
      <c r="E2379" s="56"/>
      <c r="F2379" s="54"/>
      <c r="G2379" s="54"/>
      <c r="H2379" s="54"/>
      <c r="I2379" s="54"/>
      <c r="J2379" s="54"/>
      <c r="K2379" s="54"/>
    </row>
    <row r="2380">
      <c r="A2380" s="57"/>
      <c r="B2380" s="57"/>
      <c r="C2380" s="57"/>
      <c r="D2380" s="58"/>
      <c r="E2380" s="56"/>
      <c r="F2380" s="54"/>
      <c r="G2380" s="54"/>
      <c r="H2380" s="54"/>
      <c r="I2380" s="54"/>
      <c r="J2380" s="54"/>
      <c r="K2380" s="54"/>
    </row>
    <row r="2381">
      <c r="A2381" s="57"/>
      <c r="B2381" s="57"/>
      <c r="C2381" s="57"/>
      <c r="D2381" s="58"/>
      <c r="E2381" s="56"/>
      <c r="F2381" s="54"/>
      <c r="G2381" s="54"/>
      <c r="H2381" s="54"/>
      <c r="I2381" s="54"/>
      <c r="J2381" s="54"/>
      <c r="K2381" s="54"/>
    </row>
    <row r="2382">
      <c r="A2382" s="57"/>
      <c r="B2382" s="57"/>
      <c r="C2382" s="57"/>
      <c r="D2382" s="58"/>
      <c r="E2382" s="56"/>
      <c r="F2382" s="54"/>
      <c r="G2382" s="54"/>
      <c r="H2382" s="54"/>
      <c r="I2382" s="54"/>
      <c r="J2382" s="54"/>
      <c r="K2382" s="54"/>
    </row>
    <row r="2383">
      <c r="A2383" s="57"/>
      <c r="B2383" s="57"/>
      <c r="C2383" s="57"/>
      <c r="D2383" s="58"/>
      <c r="E2383" s="56"/>
      <c r="F2383" s="54"/>
      <c r="G2383" s="54"/>
      <c r="H2383" s="54"/>
      <c r="I2383" s="54"/>
      <c r="J2383" s="54"/>
      <c r="K2383" s="54"/>
    </row>
    <row r="2384">
      <c r="A2384" s="57"/>
      <c r="B2384" s="57"/>
      <c r="C2384" s="57"/>
      <c r="D2384" s="58"/>
      <c r="E2384" s="56"/>
      <c r="F2384" s="54"/>
      <c r="G2384" s="54"/>
      <c r="H2384" s="54"/>
      <c r="I2384" s="54"/>
      <c r="J2384" s="54"/>
      <c r="K2384" s="54"/>
    </row>
    <row r="2385">
      <c r="A2385" s="57"/>
      <c r="B2385" s="57"/>
      <c r="C2385" s="57"/>
      <c r="D2385" s="58"/>
      <c r="E2385" s="56"/>
      <c r="F2385" s="54"/>
      <c r="G2385" s="54"/>
      <c r="H2385" s="54"/>
      <c r="I2385" s="54"/>
      <c r="J2385" s="54"/>
      <c r="K2385" s="54"/>
    </row>
    <row r="2386">
      <c r="A2386" s="57"/>
      <c r="B2386" s="57"/>
      <c r="C2386" s="57"/>
      <c r="D2386" s="58"/>
      <c r="E2386" s="56"/>
      <c r="F2386" s="54"/>
      <c r="G2386" s="54"/>
      <c r="H2386" s="54"/>
      <c r="I2386" s="54"/>
      <c r="J2386" s="54"/>
      <c r="K2386" s="54"/>
    </row>
    <row r="2387">
      <c r="A2387" s="57"/>
      <c r="B2387" s="57"/>
      <c r="C2387" s="57"/>
      <c r="D2387" s="58"/>
      <c r="E2387" s="56"/>
      <c r="F2387" s="54"/>
      <c r="G2387" s="54"/>
      <c r="H2387" s="54"/>
      <c r="I2387" s="54"/>
      <c r="J2387" s="54"/>
      <c r="K2387" s="54"/>
    </row>
    <row r="2388">
      <c r="A2388" s="57"/>
      <c r="B2388" s="57"/>
      <c r="C2388" s="57"/>
      <c r="D2388" s="58"/>
      <c r="E2388" s="56"/>
      <c r="F2388" s="54"/>
      <c r="G2388" s="54"/>
      <c r="H2388" s="54"/>
      <c r="I2388" s="54"/>
      <c r="J2388" s="54"/>
      <c r="K2388" s="54"/>
    </row>
    <row r="2389">
      <c r="A2389" s="57"/>
      <c r="B2389" s="57"/>
      <c r="C2389" s="57"/>
      <c r="D2389" s="58"/>
      <c r="E2389" s="56"/>
      <c r="F2389" s="54"/>
      <c r="G2389" s="54"/>
      <c r="H2389" s="54"/>
      <c r="I2389" s="54"/>
      <c r="J2389" s="54"/>
      <c r="K2389" s="54"/>
    </row>
    <row r="2390">
      <c r="A2390" s="57"/>
      <c r="B2390" s="57"/>
      <c r="C2390" s="57"/>
      <c r="D2390" s="58"/>
      <c r="E2390" s="56"/>
      <c r="F2390" s="54"/>
      <c r="G2390" s="54"/>
      <c r="H2390" s="54"/>
      <c r="I2390" s="54"/>
      <c r="J2390" s="54"/>
      <c r="K2390" s="54"/>
    </row>
    <row r="2391">
      <c r="A2391" s="57"/>
      <c r="B2391" s="57"/>
      <c r="C2391" s="57"/>
      <c r="D2391" s="58"/>
      <c r="E2391" s="56"/>
      <c r="F2391" s="54"/>
      <c r="G2391" s="54"/>
      <c r="H2391" s="54"/>
      <c r="I2391" s="54"/>
      <c r="J2391" s="54"/>
      <c r="K2391" s="54"/>
    </row>
    <row r="2392">
      <c r="A2392" s="57"/>
      <c r="B2392" s="57"/>
      <c r="C2392" s="57"/>
      <c r="D2392" s="58"/>
      <c r="E2392" s="56"/>
      <c r="F2392" s="54"/>
      <c r="G2392" s="54"/>
      <c r="H2392" s="54"/>
      <c r="I2392" s="54"/>
      <c r="J2392" s="54"/>
      <c r="K2392" s="54"/>
    </row>
    <row r="2393">
      <c r="A2393" s="57"/>
      <c r="B2393" s="57"/>
      <c r="C2393" s="57"/>
      <c r="D2393" s="58"/>
      <c r="E2393" s="56"/>
      <c r="F2393" s="54"/>
      <c r="G2393" s="54"/>
      <c r="H2393" s="54"/>
      <c r="I2393" s="54"/>
      <c r="J2393" s="54"/>
      <c r="K2393" s="54"/>
    </row>
    <row r="2394">
      <c r="A2394" s="57"/>
      <c r="B2394" s="57"/>
      <c r="C2394" s="57"/>
      <c r="D2394" s="58"/>
      <c r="E2394" s="56"/>
      <c r="F2394" s="54"/>
      <c r="G2394" s="54"/>
      <c r="H2394" s="54"/>
      <c r="I2394" s="54"/>
      <c r="J2394" s="54"/>
      <c r="K2394" s="54"/>
    </row>
    <row r="2395">
      <c r="A2395" s="57"/>
      <c r="B2395" s="57"/>
      <c r="C2395" s="57"/>
      <c r="D2395" s="58"/>
      <c r="E2395" s="56"/>
      <c r="F2395" s="54"/>
      <c r="G2395" s="54"/>
      <c r="H2395" s="54"/>
      <c r="I2395" s="54"/>
      <c r="J2395" s="54"/>
      <c r="K2395" s="54"/>
    </row>
    <row r="2396">
      <c r="A2396" s="57"/>
      <c r="B2396" s="57"/>
      <c r="C2396" s="57"/>
      <c r="D2396" s="58"/>
      <c r="E2396" s="56"/>
      <c r="F2396" s="54"/>
      <c r="G2396" s="54"/>
      <c r="H2396" s="54"/>
      <c r="I2396" s="54"/>
      <c r="J2396" s="54"/>
      <c r="K2396" s="54"/>
    </row>
    <row r="2397">
      <c r="A2397" s="57"/>
      <c r="B2397" s="57"/>
      <c r="C2397" s="57"/>
      <c r="D2397" s="58"/>
      <c r="E2397" s="56"/>
      <c r="F2397" s="54"/>
      <c r="G2397" s="54"/>
      <c r="H2397" s="54"/>
      <c r="I2397" s="54"/>
      <c r="J2397" s="54"/>
      <c r="K2397" s="54"/>
    </row>
    <row r="2398">
      <c r="A2398" s="57"/>
      <c r="B2398" s="57"/>
      <c r="C2398" s="57"/>
      <c r="D2398" s="58"/>
      <c r="E2398" s="56"/>
      <c r="F2398" s="54"/>
      <c r="G2398" s="54"/>
      <c r="H2398" s="54"/>
      <c r="I2398" s="54"/>
      <c r="J2398" s="54"/>
      <c r="K2398" s="54"/>
    </row>
    <row r="2399">
      <c r="A2399" s="57"/>
      <c r="B2399" s="57"/>
      <c r="C2399" s="57"/>
      <c r="D2399" s="58"/>
      <c r="E2399" s="56"/>
      <c r="F2399" s="54"/>
      <c r="G2399" s="54"/>
      <c r="H2399" s="54"/>
      <c r="I2399" s="54"/>
      <c r="J2399" s="54"/>
      <c r="K2399" s="54"/>
    </row>
    <row r="2400">
      <c r="A2400" s="57"/>
      <c r="B2400" s="57"/>
      <c r="C2400" s="57"/>
      <c r="D2400" s="58"/>
      <c r="E2400" s="56"/>
      <c r="F2400" s="54"/>
      <c r="G2400" s="54"/>
      <c r="H2400" s="54"/>
      <c r="I2400" s="54"/>
      <c r="J2400" s="54"/>
      <c r="K2400" s="54"/>
    </row>
    <row r="2401">
      <c r="A2401" s="57"/>
      <c r="B2401" s="57"/>
      <c r="C2401" s="57"/>
      <c r="D2401" s="58"/>
      <c r="E2401" s="56"/>
      <c r="F2401" s="54"/>
      <c r="G2401" s="54"/>
      <c r="H2401" s="54"/>
      <c r="I2401" s="54"/>
      <c r="J2401" s="54"/>
      <c r="K2401" s="54"/>
    </row>
    <row r="2402">
      <c r="A2402" s="57"/>
      <c r="B2402" s="57"/>
      <c r="C2402" s="57"/>
      <c r="D2402" s="58"/>
      <c r="E2402" s="56"/>
      <c r="F2402" s="54"/>
      <c r="G2402" s="54"/>
      <c r="H2402" s="54"/>
      <c r="I2402" s="54"/>
      <c r="J2402" s="54"/>
      <c r="K2402" s="54"/>
    </row>
    <row r="2403">
      <c r="A2403" s="57"/>
      <c r="B2403" s="57"/>
      <c r="C2403" s="57"/>
      <c r="D2403" s="58"/>
      <c r="E2403" s="56"/>
      <c r="F2403" s="54"/>
      <c r="G2403" s="54"/>
      <c r="H2403" s="54"/>
      <c r="I2403" s="54"/>
      <c r="J2403" s="54"/>
      <c r="K2403" s="54"/>
    </row>
    <row r="2404">
      <c r="A2404" s="57"/>
      <c r="B2404" s="57"/>
      <c r="C2404" s="57"/>
      <c r="D2404" s="58"/>
      <c r="E2404" s="56"/>
      <c r="F2404" s="54"/>
      <c r="G2404" s="54"/>
      <c r="H2404" s="54"/>
      <c r="I2404" s="54"/>
      <c r="J2404" s="54"/>
      <c r="K2404" s="54"/>
    </row>
    <row r="2405">
      <c r="A2405" s="57"/>
      <c r="B2405" s="57"/>
      <c r="C2405" s="57"/>
      <c r="D2405" s="58"/>
      <c r="E2405" s="56"/>
      <c r="F2405" s="54"/>
      <c r="G2405" s="54"/>
      <c r="H2405" s="54"/>
      <c r="I2405" s="54"/>
      <c r="J2405" s="54"/>
      <c r="K2405" s="54"/>
    </row>
    <row r="2406">
      <c r="A2406" s="57"/>
      <c r="B2406" s="57"/>
      <c r="C2406" s="57"/>
      <c r="D2406" s="58"/>
      <c r="E2406" s="56"/>
      <c r="F2406" s="54"/>
      <c r="G2406" s="54"/>
      <c r="H2406" s="54"/>
      <c r="I2406" s="54"/>
      <c r="J2406" s="54"/>
      <c r="K2406" s="54"/>
    </row>
    <row r="2407">
      <c r="A2407" s="57"/>
      <c r="B2407" s="57"/>
      <c r="C2407" s="57"/>
      <c r="D2407" s="58"/>
      <c r="E2407" s="56"/>
      <c r="F2407" s="54"/>
      <c r="G2407" s="54"/>
      <c r="H2407" s="54"/>
      <c r="I2407" s="54"/>
      <c r="J2407" s="54"/>
      <c r="K2407" s="54"/>
    </row>
    <row r="2408">
      <c r="A2408" s="57"/>
      <c r="B2408" s="57"/>
      <c r="C2408" s="57"/>
      <c r="D2408" s="58"/>
      <c r="E2408" s="56"/>
      <c r="F2408" s="54"/>
      <c r="G2408" s="54"/>
      <c r="H2408" s="54"/>
      <c r="I2408" s="54"/>
      <c r="J2408" s="54"/>
      <c r="K2408" s="54"/>
    </row>
    <row r="2409">
      <c r="A2409" s="57"/>
      <c r="B2409" s="57"/>
      <c r="C2409" s="57"/>
      <c r="D2409" s="58"/>
      <c r="E2409" s="56"/>
      <c r="F2409" s="54"/>
      <c r="G2409" s="54"/>
      <c r="H2409" s="54"/>
      <c r="I2409" s="54"/>
      <c r="J2409" s="54"/>
      <c r="K2409" s="54"/>
    </row>
    <row r="2410">
      <c r="A2410" s="57"/>
      <c r="B2410" s="57"/>
      <c r="C2410" s="57"/>
      <c r="D2410" s="58"/>
      <c r="E2410" s="56"/>
      <c r="F2410" s="54"/>
      <c r="G2410" s="54"/>
      <c r="H2410" s="54"/>
      <c r="I2410" s="54"/>
      <c r="J2410" s="54"/>
      <c r="K2410" s="54"/>
    </row>
    <row r="2411">
      <c r="A2411" s="57"/>
      <c r="B2411" s="57"/>
      <c r="C2411" s="57"/>
      <c r="D2411" s="58"/>
      <c r="E2411" s="56"/>
      <c r="F2411" s="54"/>
      <c r="G2411" s="54"/>
      <c r="H2411" s="54"/>
      <c r="I2411" s="54"/>
      <c r="J2411" s="54"/>
      <c r="K2411" s="54"/>
    </row>
    <row r="2412">
      <c r="A2412" s="57"/>
      <c r="B2412" s="57"/>
      <c r="C2412" s="57"/>
      <c r="D2412" s="58"/>
      <c r="E2412" s="56"/>
      <c r="F2412" s="54"/>
      <c r="G2412" s="54"/>
      <c r="H2412" s="54"/>
      <c r="I2412" s="54"/>
      <c r="J2412" s="54"/>
      <c r="K2412" s="54"/>
    </row>
    <row r="2413">
      <c r="A2413" s="57"/>
      <c r="B2413" s="57"/>
      <c r="C2413" s="57"/>
      <c r="D2413" s="58"/>
      <c r="E2413" s="56"/>
      <c r="F2413" s="54"/>
      <c r="G2413" s="54"/>
      <c r="H2413" s="54"/>
      <c r="I2413" s="54"/>
      <c r="J2413" s="54"/>
      <c r="K2413" s="54"/>
    </row>
    <row r="2414">
      <c r="A2414" s="57"/>
      <c r="B2414" s="57"/>
      <c r="C2414" s="57"/>
      <c r="D2414" s="58"/>
      <c r="E2414" s="56"/>
      <c r="F2414" s="54"/>
      <c r="G2414" s="54"/>
      <c r="H2414" s="54"/>
      <c r="I2414" s="54"/>
      <c r="J2414" s="54"/>
      <c r="K2414" s="54"/>
    </row>
    <row r="2415">
      <c r="A2415" s="57"/>
      <c r="B2415" s="57"/>
      <c r="C2415" s="57"/>
      <c r="D2415" s="58"/>
      <c r="E2415" s="56"/>
      <c r="F2415" s="54"/>
      <c r="G2415" s="54"/>
      <c r="H2415" s="54"/>
      <c r="I2415" s="54"/>
      <c r="J2415" s="54"/>
      <c r="K2415" s="54"/>
    </row>
    <row r="2416">
      <c r="A2416" s="57"/>
      <c r="B2416" s="57"/>
      <c r="C2416" s="57"/>
      <c r="D2416" s="58"/>
      <c r="E2416" s="56"/>
      <c r="F2416" s="54"/>
      <c r="G2416" s="54"/>
      <c r="H2416" s="54"/>
      <c r="I2416" s="54"/>
      <c r="J2416" s="54"/>
      <c r="K2416" s="54"/>
    </row>
    <row r="2417">
      <c r="A2417" s="57"/>
      <c r="B2417" s="57"/>
      <c r="C2417" s="57"/>
      <c r="D2417" s="58"/>
      <c r="E2417" s="56"/>
      <c r="F2417" s="54"/>
      <c r="G2417" s="54"/>
      <c r="H2417" s="54"/>
      <c r="I2417" s="54"/>
      <c r="J2417" s="54"/>
      <c r="K2417" s="54"/>
    </row>
    <row r="2418">
      <c r="A2418" s="57"/>
      <c r="B2418" s="57"/>
      <c r="C2418" s="57"/>
      <c r="D2418" s="58"/>
      <c r="E2418" s="56"/>
      <c r="F2418" s="54"/>
      <c r="G2418" s="54"/>
      <c r="H2418" s="54"/>
      <c r="I2418" s="54"/>
      <c r="J2418" s="54"/>
      <c r="K2418" s="54"/>
    </row>
    <row r="2419">
      <c r="A2419" s="57"/>
      <c r="B2419" s="57"/>
      <c r="C2419" s="57"/>
      <c r="D2419" s="58"/>
      <c r="E2419" s="56"/>
      <c r="F2419" s="54"/>
      <c r="G2419" s="54"/>
      <c r="H2419" s="54"/>
      <c r="I2419" s="54"/>
      <c r="J2419" s="54"/>
      <c r="K2419" s="54"/>
    </row>
    <row r="2420">
      <c r="A2420" s="57"/>
      <c r="B2420" s="57"/>
      <c r="C2420" s="57"/>
      <c r="D2420" s="58"/>
      <c r="E2420" s="56"/>
      <c r="F2420" s="54"/>
      <c r="G2420" s="54"/>
      <c r="H2420" s="54"/>
      <c r="I2420" s="54"/>
      <c r="J2420" s="54"/>
      <c r="K2420" s="54"/>
    </row>
    <row r="2421">
      <c r="A2421" s="57"/>
      <c r="B2421" s="57"/>
      <c r="C2421" s="57"/>
      <c r="D2421" s="58"/>
      <c r="E2421" s="56"/>
      <c r="F2421" s="54"/>
      <c r="G2421" s="54"/>
      <c r="H2421" s="54"/>
      <c r="I2421" s="54"/>
      <c r="J2421" s="54"/>
      <c r="K2421" s="54"/>
    </row>
    <row r="2422">
      <c r="A2422" s="57"/>
      <c r="B2422" s="57"/>
      <c r="C2422" s="57"/>
      <c r="D2422" s="58"/>
      <c r="E2422" s="56"/>
      <c r="F2422" s="54"/>
      <c r="G2422" s="54"/>
      <c r="H2422" s="54"/>
      <c r="I2422" s="54"/>
      <c r="J2422" s="54"/>
      <c r="K2422" s="54"/>
    </row>
    <row r="2423">
      <c r="A2423" s="57"/>
      <c r="B2423" s="57"/>
      <c r="C2423" s="57"/>
      <c r="D2423" s="58"/>
      <c r="E2423" s="56"/>
      <c r="F2423" s="54"/>
      <c r="G2423" s="54"/>
      <c r="H2423" s="54"/>
      <c r="I2423" s="54"/>
      <c r="J2423" s="54"/>
      <c r="K2423" s="54"/>
    </row>
    <row r="2424">
      <c r="A2424" s="57"/>
      <c r="B2424" s="57"/>
      <c r="C2424" s="57"/>
      <c r="D2424" s="58"/>
      <c r="E2424" s="56"/>
      <c r="F2424" s="54"/>
      <c r="G2424" s="54"/>
      <c r="H2424" s="54"/>
      <c r="I2424" s="54"/>
      <c r="J2424" s="54"/>
      <c r="K2424" s="54"/>
    </row>
    <row r="2425">
      <c r="A2425" s="57"/>
      <c r="B2425" s="57"/>
      <c r="C2425" s="57"/>
      <c r="D2425" s="58"/>
      <c r="E2425" s="56"/>
      <c r="F2425" s="54"/>
      <c r="G2425" s="54"/>
      <c r="H2425" s="54"/>
      <c r="I2425" s="54"/>
      <c r="J2425" s="54"/>
      <c r="K2425" s="54"/>
    </row>
    <row r="2426">
      <c r="A2426" s="57"/>
      <c r="B2426" s="57"/>
      <c r="C2426" s="57"/>
      <c r="D2426" s="58"/>
      <c r="E2426" s="56"/>
      <c r="F2426" s="54"/>
      <c r="G2426" s="54"/>
      <c r="H2426" s="54"/>
      <c r="I2426" s="54"/>
      <c r="J2426" s="54"/>
      <c r="K2426" s="54"/>
    </row>
    <row r="2427">
      <c r="A2427" s="57"/>
      <c r="B2427" s="57"/>
      <c r="C2427" s="57"/>
      <c r="D2427" s="58"/>
      <c r="E2427" s="56"/>
      <c r="F2427" s="54"/>
      <c r="G2427" s="54"/>
      <c r="H2427" s="54"/>
      <c r="I2427" s="54"/>
      <c r="J2427" s="54"/>
      <c r="K2427" s="54"/>
    </row>
    <row r="2428">
      <c r="A2428" s="57"/>
      <c r="B2428" s="57"/>
      <c r="C2428" s="57"/>
      <c r="D2428" s="58"/>
      <c r="E2428" s="56"/>
      <c r="F2428" s="54"/>
      <c r="G2428" s="54"/>
      <c r="H2428" s="54"/>
      <c r="I2428" s="54"/>
      <c r="J2428" s="54"/>
      <c r="K2428" s="54"/>
    </row>
    <row r="2429">
      <c r="A2429" s="57"/>
      <c r="B2429" s="57"/>
      <c r="C2429" s="57"/>
      <c r="D2429" s="58"/>
      <c r="E2429" s="56"/>
      <c r="F2429" s="54"/>
      <c r="G2429" s="54"/>
      <c r="H2429" s="54"/>
      <c r="I2429" s="54"/>
      <c r="J2429" s="54"/>
      <c r="K2429" s="54"/>
    </row>
    <row r="2430">
      <c r="A2430" s="57"/>
      <c r="B2430" s="57"/>
      <c r="C2430" s="57"/>
      <c r="D2430" s="58"/>
      <c r="E2430" s="56"/>
      <c r="F2430" s="54"/>
      <c r="G2430" s="54"/>
      <c r="H2430" s="54"/>
      <c r="I2430" s="54"/>
      <c r="J2430" s="54"/>
      <c r="K2430" s="54"/>
    </row>
    <row r="2431">
      <c r="A2431" s="57"/>
      <c r="B2431" s="57"/>
      <c r="C2431" s="57"/>
      <c r="D2431" s="58"/>
      <c r="E2431" s="56"/>
      <c r="F2431" s="54"/>
      <c r="G2431" s="54"/>
      <c r="H2431" s="54"/>
      <c r="I2431" s="54"/>
      <c r="J2431" s="54"/>
      <c r="K2431" s="54"/>
    </row>
    <row r="2432">
      <c r="A2432" s="57"/>
      <c r="B2432" s="57"/>
      <c r="C2432" s="57"/>
      <c r="D2432" s="58"/>
      <c r="E2432" s="56"/>
      <c r="F2432" s="54"/>
      <c r="G2432" s="54"/>
      <c r="H2432" s="54"/>
      <c r="I2432" s="54"/>
      <c r="J2432" s="54"/>
      <c r="K2432" s="54"/>
    </row>
    <row r="2433">
      <c r="A2433" s="57"/>
      <c r="B2433" s="57"/>
      <c r="C2433" s="57"/>
      <c r="D2433" s="58"/>
      <c r="E2433" s="56"/>
      <c r="F2433" s="54"/>
      <c r="G2433" s="54"/>
      <c r="H2433" s="54"/>
      <c r="I2433" s="54"/>
      <c r="J2433" s="54"/>
      <c r="K2433" s="54"/>
    </row>
    <row r="2434">
      <c r="A2434" s="57"/>
      <c r="B2434" s="57"/>
      <c r="C2434" s="57"/>
      <c r="D2434" s="58"/>
      <c r="E2434" s="56"/>
      <c r="F2434" s="54"/>
      <c r="G2434" s="54"/>
      <c r="H2434" s="54"/>
      <c r="I2434" s="54"/>
      <c r="J2434" s="54"/>
      <c r="K2434" s="54"/>
    </row>
    <row r="2435">
      <c r="A2435" s="57"/>
      <c r="B2435" s="57"/>
      <c r="C2435" s="57"/>
      <c r="D2435" s="58"/>
      <c r="E2435" s="56"/>
      <c r="F2435" s="54"/>
      <c r="G2435" s="54"/>
      <c r="H2435" s="54"/>
      <c r="I2435" s="54"/>
      <c r="J2435" s="54"/>
      <c r="K2435" s="54"/>
    </row>
    <row r="2436">
      <c r="A2436" s="57"/>
      <c r="B2436" s="57"/>
      <c r="C2436" s="57"/>
      <c r="D2436" s="58"/>
      <c r="E2436" s="56"/>
      <c r="F2436" s="54"/>
      <c r="G2436" s="54"/>
      <c r="H2436" s="54"/>
      <c r="I2436" s="54"/>
      <c r="J2436" s="54"/>
      <c r="K2436" s="54"/>
    </row>
    <row r="2437">
      <c r="A2437" s="57"/>
      <c r="B2437" s="57"/>
      <c r="C2437" s="57"/>
      <c r="D2437" s="58"/>
      <c r="E2437" s="56"/>
      <c r="F2437" s="54"/>
      <c r="G2437" s="54"/>
      <c r="H2437" s="54"/>
      <c r="I2437" s="54"/>
      <c r="J2437" s="54"/>
      <c r="K2437" s="54"/>
    </row>
    <row r="2438">
      <c r="A2438" s="57"/>
      <c r="B2438" s="57"/>
      <c r="C2438" s="57"/>
      <c r="D2438" s="58"/>
      <c r="E2438" s="56"/>
      <c r="F2438" s="54"/>
      <c r="G2438" s="54"/>
      <c r="H2438" s="54"/>
      <c r="I2438" s="54"/>
      <c r="J2438" s="54"/>
      <c r="K2438" s="54"/>
    </row>
    <row r="2439">
      <c r="A2439" s="57"/>
      <c r="B2439" s="57"/>
      <c r="C2439" s="57"/>
      <c r="D2439" s="58"/>
      <c r="E2439" s="56"/>
      <c r="F2439" s="54"/>
      <c r="G2439" s="54"/>
      <c r="H2439" s="54"/>
      <c r="I2439" s="54"/>
      <c r="J2439" s="54"/>
      <c r="K2439" s="54"/>
    </row>
    <row r="2440">
      <c r="A2440" s="57"/>
      <c r="B2440" s="57"/>
      <c r="C2440" s="57"/>
      <c r="D2440" s="58"/>
      <c r="E2440" s="56"/>
      <c r="F2440" s="54"/>
      <c r="G2440" s="54"/>
      <c r="H2440" s="54"/>
      <c r="I2440" s="54"/>
      <c r="J2440" s="54"/>
      <c r="K2440" s="54"/>
    </row>
    <row r="2441">
      <c r="A2441" s="57"/>
      <c r="B2441" s="57"/>
      <c r="C2441" s="57"/>
      <c r="D2441" s="58"/>
      <c r="E2441" s="56"/>
      <c r="F2441" s="54"/>
      <c r="G2441" s="54"/>
      <c r="H2441" s="54"/>
      <c r="I2441" s="54"/>
      <c r="J2441" s="54"/>
      <c r="K2441" s="54"/>
    </row>
    <row r="2442">
      <c r="A2442" s="57"/>
      <c r="B2442" s="57"/>
      <c r="C2442" s="57"/>
      <c r="D2442" s="58"/>
      <c r="E2442" s="56"/>
      <c r="F2442" s="54"/>
      <c r="G2442" s="54"/>
      <c r="H2442" s="54"/>
      <c r="I2442" s="54"/>
      <c r="J2442" s="54"/>
      <c r="K2442" s="54"/>
    </row>
    <row r="2443">
      <c r="A2443" s="57"/>
      <c r="B2443" s="57"/>
      <c r="C2443" s="57"/>
      <c r="D2443" s="58"/>
      <c r="E2443" s="56"/>
      <c r="F2443" s="54"/>
      <c r="G2443" s="54"/>
      <c r="H2443" s="54"/>
      <c r="I2443" s="54"/>
      <c r="J2443" s="54"/>
      <c r="K2443" s="54"/>
    </row>
    <row r="2444">
      <c r="A2444" s="57"/>
      <c r="B2444" s="57"/>
      <c r="C2444" s="57"/>
      <c r="D2444" s="58"/>
      <c r="E2444" s="56"/>
      <c r="F2444" s="54"/>
      <c r="G2444" s="54"/>
      <c r="H2444" s="54"/>
      <c r="I2444" s="54"/>
      <c r="J2444" s="54"/>
      <c r="K2444" s="54"/>
    </row>
    <row r="2445">
      <c r="A2445" s="57"/>
      <c r="B2445" s="57"/>
      <c r="C2445" s="57"/>
      <c r="D2445" s="58"/>
      <c r="E2445" s="56"/>
      <c r="F2445" s="54"/>
      <c r="G2445" s="54"/>
      <c r="H2445" s="54"/>
      <c r="I2445" s="54"/>
      <c r="J2445" s="54"/>
      <c r="K2445" s="54"/>
    </row>
    <row r="2446">
      <c r="A2446" s="57"/>
      <c r="B2446" s="57"/>
      <c r="C2446" s="57"/>
      <c r="D2446" s="58"/>
      <c r="E2446" s="56"/>
      <c r="F2446" s="54"/>
      <c r="G2446" s="54"/>
      <c r="H2446" s="54"/>
      <c r="I2446" s="54"/>
      <c r="J2446" s="54"/>
      <c r="K2446" s="54"/>
    </row>
    <row r="2447">
      <c r="A2447" s="57"/>
      <c r="B2447" s="57"/>
      <c r="C2447" s="57"/>
      <c r="D2447" s="58"/>
      <c r="E2447" s="56"/>
      <c r="F2447" s="54"/>
      <c r="G2447" s="54"/>
      <c r="H2447" s="54"/>
      <c r="I2447" s="54"/>
      <c r="J2447" s="54"/>
      <c r="K2447" s="54"/>
    </row>
    <row r="2448">
      <c r="A2448" s="57"/>
      <c r="B2448" s="57"/>
      <c r="C2448" s="57"/>
      <c r="D2448" s="58"/>
      <c r="E2448" s="56"/>
      <c r="F2448" s="54"/>
      <c r="G2448" s="54"/>
      <c r="H2448" s="54"/>
      <c r="I2448" s="54"/>
      <c r="J2448" s="54"/>
      <c r="K2448" s="54"/>
    </row>
    <row r="2449">
      <c r="A2449" s="57"/>
      <c r="B2449" s="57"/>
      <c r="C2449" s="57"/>
      <c r="D2449" s="58"/>
      <c r="E2449" s="56"/>
      <c r="F2449" s="54"/>
      <c r="G2449" s="54"/>
      <c r="H2449" s="54"/>
      <c r="I2449" s="54"/>
      <c r="J2449" s="54"/>
      <c r="K2449" s="54"/>
    </row>
    <row r="2450">
      <c r="A2450" s="57"/>
      <c r="B2450" s="57"/>
      <c r="C2450" s="57"/>
      <c r="D2450" s="58"/>
      <c r="E2450" s="56"/>
      <c r="F2450" s="54"/>
      <c r="G2450" s="54"/>
      <c r="H2450" s="54"/>
      <c r="I2450" s="54"/>
      <c r="J2450" s="54"/>
      <c r="K2450" s="54"/>
    </row>
    <row r="2451">
      <c r="A2451" s="57"/>
      <c r="B2451" s="57"/>
      <c r="C2451" s="57"/>
      <c r="D2451" s="58"/>
      <c r="E2451" s="56"/>
      <c r="F2451" s="54"/>
      <c r="G2451" s="54"/>
      <c r="H2451" s="54"/>
      <c r="I2451" s="54"/>
      <c r="J2451" s="54"/>
      <c r="K2451" s="54"/>
    </row>
    <row r="2452">
      <c r="A2452" s="57"/>
      <c r="B2452" s="57"/>
      <c r="C2452" s="57"/>
      <c r="D2452" s="58"/>
      <c r="E2452" s="56"/>
      <c r="F2452" s="54"/>
      <c r="G2452" s="54"/>
      <c r="H2452" s="54"/>
      <c r="I2452" s="54"/>
      <c r="J2452" s="54"/>
      <c r="K2452" s="54"/>
    </row>
    <row r="2453">
      <c r="A2453" s="57"/>
      <c r="B2453" s="57"/>
      <c r="C2453" s="57"/>
      <c r="D2453" s="58"/>
      <c r="E2453" s="56"/>
      <c r="F2453" s="54"/>
      <c r="G2453" s="54"/>
      <c r="H2453" s="54"/>
      <c r="I2453" s="54"/>
      <c r="J2453" s="54"/>
      <c r="K2453" s="54"/>
    </row>
    <row r="2454">
      <c r="A2454" s="57"/>
      <c r="B2454" s="57"/>
      <c r="C2454" s="57"/>
      <c r="D2454" s="58"/>
      <c r="E2454" s="56"/>
      <c r="F2454" s="54"/>
      <c r="G2454" s="54"/>
      <c r="H2454" s="54"/>
      <c r="I2454" s="54"/>
      <c r="J2454" s="54"/>
      <c r="K2454" s="54"/>
    </row>
    <row r="2455">
      <c r="A2455" s="57"/>
      <c r="B2455" s="57"/>
      <c r="C2455" s="57"/>
      <c r="D2455" s="58"/>
      <c r="E2455" s="56"/>
      <c r="F2455" s="54"/>
      <c r="G2455" s="54"/>
      <c r="H2455" s="54"/>
      <c r="I2455" s="54"/>
      <c r="J2455" s="54"/>
      <c r="K2455" s="54"/>
    </row>
    <row r="2456">
      <c r="A2456" s="57"/>
      <c r="B2456" s="57"/>
      <c r="C2456" s="57"/>
      <c r="D2456" s="58"/>
      <c r="E2456" s="56"/>
      <c r="F2456" s="54"/>
      <c r="G2456" s="54"/>
      <c r="H2456" s="54"/>
      <c r="I2456" s="54"/>
      <c r="J2456" s="54"/>
      <c r="K2456" s="54"/>
    </row>
    <row r="2457">
      <c r="A2457" s="57"/>
      <c r="B2457" s="57"/>
      <c r="C2457" s="57"/>
      <c r="D2457" s="58"/>
      <c r="E2457" s="56"/>
      <c r="F2457" s="54"/>
      <c r="G2457" s="54"/>
      <c r="H2457" s="54"/>
      <c r="I2457" s="54"/>
      <c r="J2457" s="54"/>
      <c r="K2457" s="54"/>
    </row>
    <row r="2458">
      <c r="A2458" s="57"/>
      <c r="B2458" s="57"/>
      <c r="C2458" s="57"/>
      <c r="D2458" s="58"/>
      <c r="E2458" s="56"/>
      <c r="F2458" s="54"/>
      <c r="G2458" s="54"/>
      <c r="H2458" s="54"/>
      <c r="I2458" s="54"/>
      <c r="J2458" s="54"/>
      <c r="K2458" s="54"/>
    </row>
    <row r="2459">
      <c r="A2459" s="57"/>
      <c r="B2459" s="57"/>
      <c r="C2459" s="57"/>
      <c r="D2459" s="58"/>
      <c r="E2459" s="56"/>
      <c r="F2459" s="54"/>
      <c r="G2459" s="54"/>
      <c r="H2459" s="54"/>
      <c r="I2459" s="54"/>
      <c r="J2459" s="54"/>
      <c r="K2459" s="54"/>
    </row>
    <row r="2460">
      <c r="A2460" s="57"/>
      <c r="B2460" s="57"/>
      <c r="C2460" s="57"/>
      <c r="D2460" s="58"/>
      <c r="E2460" s="56"/>
      <c r="F2460" s="54"/>
      <c r="G2460" s="54"/>
      <c r="H2460" s="54"/>
      <c r="I2460" s="54"/>
      <c r="J2460" s="54"/>
      <c r="K2460" s="54"/>
    </row>
    <row r="2461">
      <c r="A2461" s="57"/>
      <c r="B2461" s="57"/>
      <c r="C2461" s="57"/>
      <c r="D2461" s="58"/>
      <c r="E2461" s="56"/>
      <c r="F2461" s="54"/>
      <c r="G2461" s="54"/>
      <c r="H2461" s="54"/>
      <c r="I2461" s="54"/>
      <c r="J2461" s="54"/>
      <c r="K2461" s="54"/>
    </row>
    <row r="2462">
      <c r="A2462" s="57"/>
      <c r="B2462" s="57"/>
      <c r="C2462" s="57"/>
      <c r="D2462" s="58"/>
      <c r="E2462" s="56"/>
      <c r="F2462" s="54"/>
      <c r="G2462" s="54"/>
      <c r="H2462" s="54"/>
      <c r="I2462" s="54"/>
      <c r="J2462" s="54"/>
      <c r="K2462" s="54"/>
    </row>
    <row r="2463">
      <c r="A2463" s="57"/>
      <c r="B2463" s="57"/>
      <c r="C2463" s="57"/>
      <c r="D2463" s="58"/>
      <c r="E2463" s="56"/>
      <c r="F2463" s="54"/>
      <c r="G2463" s="54"/>
      <c r="H2463" s="54"/>
      <c r="I2463" s="54"/>
      <c r="J2463" s="54"/>
      <c r="K2463" s="54"/>
    </row>
    <row r="2464">
      <c r="A2464" s="57"/>
      <c r="B2464" s="57"/>
      <c r="C2464" s="57"/>
      <c r="D2464" s="58"/>
      <c r="E2464" s="56"/>
      <c r="F2464" s="54"/>
      <c r="G2464" s="54"/>
      <c r="H2464" s="54"/>
      <c r="I2464" s="54"/>
      <c r="J2464" s="54"/>
      <c r="K2464" s="54"/>
    </row>
    <row r="2465">
      <c r="A2465" s="57"/>
      <c r="B2465" s="57"/>
      <c r="C2465" s="57"/>
      <c r="D2465" s="58"/>
      <c r="E2465" s="56"/>
      <c r="F2465" s="54"/>
      <c r="G2465" s="54"/>
      <c r="H2465" s="54"/>
      <c r="I2465" s="54"/>
      <c r="J2465" s="54"/>
      <c r="K2465" s="54"/>
    </row>
    <row r="2466">
      <c r="A2466" s="57"/>
      <c r="B2466" s="57"/>
      <c r="C2466" s="57"/>
      <c r="D2466" s="58"/>
      <c r="E2466" s="56"/>
      <c r="F2466" s="54"/>
      <c r="G2466" s="54"/>
      <c r="H2466" s="54"/>
      <c r="I2466" s="54"/>
      <c r="J2466" s="54"/>
      <c r="K2466" s="54"/>
    </row>
    <row r="2467">
      <c r="A2467" s="57"/>
      <c r="B2467" s="57"/>
      <c r="C2467" s="57"/>
      <c r="D2467" s="58"/>
      <c r="E2467" s="56"/>
      <c r="F2467" s="54"/>
      <c r="G2467" s="54"/>
      <c r="H2467" s="54"/>
      <c r="I2467" s="54"/>
      <c r="J2467" s="54"/>
      <c r="K2467" s="54"/>
    </row>
    <row r="2468">
      <c r="A2468" s="57"/>
      <c r="B2468" s="57"/>
      <c r="C2468" s="57"/>
      <c r="D2468" s="58"/>
      <c r="E2468" s="56"/>
      <c r="F2468" s="54"/>
      <c r="G2468" s="54"/>
      <c r="H2468" s="54"/>
      <c r="I2468" s="54"/>
      <c r="J2468" s="54"/>
      <c r="K2468" s="54"/>
    </row>
    <row r="2469">
      <c r="A2469" s="57"/>
      <c r="B2469" s="57"/>
      <c r="C2469" s="57"/>
      <c r="D2469" s="58"/>
      <c r="E2469" s="56"/>
      <c r="F2469" s="54"/>
      <c r="G2469" s="54"/>
      <c r="H2469" s="54"/>
      <c r="I2469" s="54"/>
      <c r="J2469" s="54"/>
      <c r="K2469" s="54"/>
    </row>
    <row r="2470">
      <c r="A2470" s="57"/>
      <c r="B2470" s="57"/>
      <c r="C2470" s="57"/>
      <c r="D2470" s="58"/>
      <c r="E2470" s="56"/>
      <c r="F2470" s="54"/>
      <c r="G2470" s="54"/>
      <c r="H2470" s="54"/>
      <c r="I2470" s="54"/>
      <c r="J2470" s="54"/>
      <c r="K2470" s="54"/>
    </row>
    <row r="2471">
      <c r="A2471" s="57"/>
      <c r="B2471" s="57"/>
      <c r="C2471" s="57"/>
      <c r="D2471" s="58"/>
      <c r="E2471" s="56"/>
      <c r="F2471" s="54"/>
      <c r="G2471" s="54"/>
      <c r="H2471" s="54"/>
      <c r="I2471" s="54"/>
      <c r="J2471" s="54"/>
      <c r="K2471" s="54"/>
    </row>
    <row r="2472">
      <c r="A2472" s="57"/>
      <c r="B2472" s="57"/>
      <c r="C2472" s="57"/>
      <c r="D2472" s="58"/>
      <c r="E2472" s="56"/>
      <c r="F2472" s="54"/>
      <c r="G2472" s="54"/>
      <c r="H2472" s="54"/>
      <c r="I2472" s="54"/>
      <c r="J2472" s="54"/>
      <c r="K2472" s="54"/>
    </row>
    <row r="2473">
      <c r="A2473" s="57"/>
      <c r="B2473" s="57"/>
      <c r="C2473" s="57"/>
      <c r="D2473" s="58"/>
      <c r="E2473" s="56"/>
      <c r="F2473" s="54"/>
      <c r="G2473" s="54"/>
      <c r="H2473" s="54"/>
      <c r="I2473" s="54"/>
      <c r="J2473" s="54"/>
      <c r="K2473" s="54"/>
    </row>
    <row r="2474">
      <c r="A2474" s="57"/>
      <c r="B2474" s="57"/>
      <c r="C2474" s="57"/>
      <c r="D2474" s="58"/>
      <c r="E2474" s="56"/>
      <c r="F2474" s="54"/>
      <c r="G2474" s="54"/>
      <c r="H2474" s="54"/>
      <c r="I2474" s="54"/>
      <c r="J2474" s="54"/>
      <c r="K2474" s="54"/>
    </row>
    <row r="2475">
      <c r="A2475" s="57"/>
      <c r="B2475" s="57"/>
      <c r="C2475" s="57"/>
      <c r="D2475" s="58"/>
      <c r="E2475" s="56"/>
      <c r="F2475" s="54"/>
      <c r="G2475" s="54"/>
      <c r="H2475" s="54"/>
      <c r="I2475" s="54"/>
      <c r="J2475" s="54"/>
      <c r="K2475" s="54"/>
    </row>
    <row r="2476">
      <c r="A2476" s="57"/>
      <c r="B2476" s="57"/>
      <c r="C2476" s="57"/>
      <c r="D2476" s="58"/>
      <c r="E2476" s="56"/>
      <c r="F2476" s="54"/>
      <c r="G2476" s="54"/>
      <c r="H2476" s="54"/>
      <c r="I2476" s="54"/>
      <c r="J2476" s="54"/>
      <c r="K2476" s="54"/>
    </row>
    <row r="2477">
      <c r="A2477" s="57"/>
      <c r="B2477" s="57"/>
      <c r="C2477" s="57"/>
      <c r="D2477" s="58"/>
      <c r="E2477" s="56"/>
      <c r="F2477" s="54"/>
      <c r="G2477" s="54"/>
      <c r="H2477" s="54"/>
      <c r="I2477" s="54"/>
      <c r="J2477" s="54"/>
      <c r="K2477" s="54"/>
    </row>
    <row r="2478">
      <c r="A2478" s="57"/>
      <c r="B2478" s="57"/>
      <c r="C2478" s="57"/>
      <c r="D2478" s="58"/>
      <c r="E2478" s="56"/>
      <c r="F2478" s="54"/>
      <c r="G2478" s="54"/>
      <c r="H2478" s="54"/>
      <c r="I2478" s="54"/>
      <c r="J2478" s="54"/>
      <c r="K2478" s="54"/>
    </row>
    <row r="2479">
      <c r="A2479" s="57"/>
      <c r="B2479" s="57"/>
      <c r="C2479" s="57"/>
      <c r="D2479" s="58"/>
      <c r="E2479" s="56"/>
      <c r="F2479" s="54"/>
      <c r="G2479" s="54"/>
      <c r="H2479" s="54"/>
      <c r="I2479" s="54"/>
      <c r="J2479" s="54"/>
      <c r="K2479" s="54"/>
    </row>
    <row r="2480">
      <c r="A2480" s="57"/>
      <c r="B2480" s="57"/>
      <c r="C2480" s="57"/>
      <c r="D2480" s="58"/>
      <c r="E2480" s="56"/>
      <c r="F2480" s="54"/>
      <c r="G2480" s="54"/>
      <c r="H2480" s="54"/>
      <c r="I2480" s="54"/>
      <c r="J2480" s="54"/>
      <c r="K2480" s="54"/>
    </row>
    <row r="2481">
      <c r="A2481" s="57"/>
      <c r="B2481" s="57"/>
      <c r="C2481" s="57"/>
      <c r="D2481" s="58"/>
      <c r="E2481" s="56"/>
      <c r="F2481" s="54"/>
      <c r="G2481" s="54"/>
      <c r="H2481" s="54"/>
      <c r="I2481" s="54"/>
      <c r="J2481" s="54"/>
      <c r="K2481" s="54"/>
    </row>
    <row r="2482">
      <c r="A2482" s="57"/>
      <c r="B2482" s="57"/>
      <c r="C2482" s="57"/>
      <c r="D2482" s="58"/>
      <c r="E2482" s="56"/>
      <c r="F2482" s="54"/>
      <c r="G2482" s="54"/>
      <c r="H2482" s="54"/>
      <c r="I2482" s="54"/>
      <c r="J2482" s="54"/>
      <c r="K2482" s="54"/>
    </row>
    <row r="2483">
      <c r="A2483" s="57"/>
      <c r="B2483" s="57"/>
      <c r="C2483" s="57"/>
      <c r="D2483" s="58"/>
      <c r="E2483" s="56"/>
      <c r="F2483" s="54"/>
      <c r="G2483" s="54"/>
      <c r="H2483" s="54"/>
      <c r="I2483" s="54"/>
      <c r="J2483" s="54"/>
      <c r="K2483" s="54"/>
    </row>
    <row r="2484">
      <c r="A2484" s="57"/>
      <c r="B2484" s="57"/>
      <c r="C2484" s="57"/>
      <c r="D2484" s="58"/>
      <c r="E2484" s="56"/>
      <c r="F2484" s="54"/>
      <c r="G2484" s="54"/>
      <c r="H2484" s="54"/>
      <c r="I2484" s="54"/>
      <c r="J2484" s="54"/>
      <c r="K2484" s="54"/>
    </row>
    <row r="2485">
      <c r="A2485" s="57"/>
      <c r="B2485" s="57"/>
      <c r="C2485" s="57"/>
      <c r="D2485" s="58"/>
      <c r="E2485" s="56"/>
      <c r="F2485" s="54"/>
      <c r="G2485" s="54"/>
      <c r="H2485" s="54"/>
      <c r="I2485" s="54"/>
      <c r="J2485" s="54"/>
      <c r="K2485" s="54"/>
    </row>
    <row r="2486">
      <c r="A2486" s="57"/>
      <c r="B2486" s="57"/>
      <c r="C2486" s="57"/>
      <c r="D2486" s="58"/>
      <c r="E2486" s="56"/>
      <c r="F2486" s="54"/>
      <c r="G2486" s="54"/>
      <c r="H2486" s="54"/>
      <c r="I2486" s="54"/>
      <c r="J2486" s="54"/>
      <c r="K2486" s="54"/>
    </row>
    <row r="2487">
      <c r="A2487" s="57"/>
      <c r="B2487" s="57"/>
      <c r="C2487" s="57"/>
      <c r="D2487" s="58"/>
      <c r="E2487" s="56"/>
      <c r="F2487" s="54"/>
      <c r="G2487" s="54"/>
      <c r="H2487" s="54"/>
      <c r="I2487" s="54"/>
      <c r="J2487" s="54"/>
      <c r="K2487" s="54"/>
    </row>
    <row r="2488">
      <c r="A2488" s="57"/>
      <c r="B2488" s="57"/>
      <c r="C2488" s="57"/>
      <c r="D2488" s="58"/>
      <c r="E2488" s="56"/>
      <c r="F2488" s="54"/>
      <c r="G2488" s="54"/>
      <c r="H2488" s="54"/>
      <c r="I2488" s="54"/>
      <c r="J2488" s="54"/>
      <c r="K2488" s="54"/>
    </row>
    <row r="2489">
      <c r="A2489" s="57"/>
      <c r="B2489" s="57"/>
      <c r="C2489" s="57"/>
      <c r="D2489" s="58"/>
      <c r="E2489" s="56"/>
      <c r="F2489" s="54"/>
      <c r="G2489" s="54"/>
      <c r="H2489" s="54"/>
      <c r="I2489" s="54"/>
      <c r="J2489" s="54"/>
      <c r="K2489" s="54"/>
    </row>
    <row r="2490">
      <c r="A2490" s="57"/>
      <c r="B2490" s="57"/>
      <c r="C2490" s="57"/>
      <c r="D2490" s="58"/>
      <c r="E2490" s="56"/>
      <c r="F2490" s="54"/>
      <c r="G2490" s="54"/>
      <c r="H2490" s="54"/>
      <c r="I2490" s="54"/>
      <c r="J2490" s="54"/>
      <c r="K2490" s="54"/>
    </row>
    <row r="2491">
      <c r="A2491" s="57"/>
      <c r="B2491" s="57"/>
      <c r="C2491" s="57"/>
      <c r="D2491" s="58"/>
      <c r="E2491" s="56"/>
      <c r="F2491" s="54"/>
      <c r="G2491" s="54"/>
      <c r="H2491" s="54"/>
      <c r="I2491" s="54"/>
      <c r="J2491" s="54"/>
      <c r="K2491" s="54"/>
    </row>
    <row r="2492">
      <c r="A2492" s="57"/>
      <c r="B2492" s="57"/>
      <c r="C2492" s="57"/>
      <c r="D2492" s="58"/>
      <c r="E2492" s="56"/>
      <c r="F2492" s="54"/>
      <c r="G2492" s="54"/>
      <c r="H2492" s="54"/>
      <c r="I2492" s="54"/>
      <c r="J2492" s="54"/>
      <c r="K2492" s="54"/>
    </row>
    <row r="2493">
      <c r="A2493" s="57"/>
      <c r="B2493" s="57"/>
      <c r="C2493" s="57"/>
      <c r="D2493" s="58"/>
      <c r="E2493" s="56"/>
      <c r="F2493" s="54"/>
      <c r="G2493" s="54"/>
      <c r="H2493" s="54"/>
      <c r="I2493" s="54"/>
      <c r="J2493" s="54"/>
      <c r="K2493" s="54"/>
    </row>
    <row r="2494">
      <c r="A2494" s="57"/>
      <c r="B2494" s="57"/>
      <c r="C2494" s="57"/>
      <c r="D2494" s="58"/>
      <c r="E2494" s="56"/>
      <c r="F2494" s="54"/>
      <c r="G2494" s="54"/>
      <c r="H2494" s="54"/>
      <c r="I2494" s="54"/>
      <c r="J2494" s="54"/>
      <c r="K2494" s="54"/>
    </row>
    <row r="2495">
      <c r="A2495" s="57"/>
      <c r="B2495" s="57"/>
      <c r="C2495" s="57"/>
      <c r="D2495" s="58"/>
      <c r="E2495" s="56"/>
      <c r="F2495" s="54"/>
      <c r="G2495" s="54"/>
      <c r="H2495" s="54"/>
      <c r="I2495" s="54"/>
      <c r="J2495" s="54"/>
      <c r="K2495" s="54"/>
    </row>
    <row r="2496">
      <c r="A2496" s="57"/>
      <c r="B2496" s="57"/>
      <c r="C2496" s="57"/>
      <c r="D2496" s="58"/>
      <c r="E2496" s="56"/>
      <c r="F2496" s="54"/>
      <c r="G2496" s="54"/>
      <c r="H2496" s="54"/>
      <c r="I2496" s="54"/>
      <c r="J2496" s="54"/>
      <c r="K2496" s="54"/>
    </row>
    <row r="2497">
      <c r="A2497" s="57"/>
      <c r="B2497" s="57"/>
      <c r="C2497" s="57"/>
      <c r="D2497" s="58"/>
      <c r="E2497" s="56"/>
      <c r="F2497" s="54"/>
      <c r="G2497" s="54"/>
      <c r="H2497" s="54"/>
      <c r="I2497" s="54"/>
      <c r="J2497" s="54"/>
      <c r="K2497" s="54"/>
    </row>
    <row r="2498">
      <c r="A2498" s="57"/>
      <c r="B2498" s="57"/>
      <c r="C2498" s="57"/>
      <c r="D2498" s="58"/>
      <c r="E2498" s="56"/>
      <c r="F2498" s="54"/>
      <c r="G2498" s="54"/>
      <c r="H2498" s="54"/>
      <c r="I2498" s="54"/>
      <c r="J2498" s="54"/>
      <c r="K2498" s="54"/>
    </row>
    <row r="2499">
      <c r="A2499" s="57"/>
      <c r="B2499" s="57"/>
      <c r="C2499" s="57"/>
      <c r="D2499" s="58"/>
      <c r="E2499" s="56"/>
      <c r="F2499" s="54"/>
      <c r="G2499" s="54"/>
      <c r="H2499" s="54"/>
      <c r="I2499" s="54"/>
      <c r="J2499" s="54"/>
      <c r="K2499" s="54"/>
    </row>
    <row r="2500">
      <c r="A2500" s="57"/>
      <c r="B2500" s="57"/>
      <c r="C2500" s="57"/>
      <c r="D2500" s="58"/>
      <c r="E2500" s="56"/>
      <c r="F2500" s="54"/>
      <c r="G2500" s="54"/>
      <c r="H2500" s="54"/>
      <c r="I2500" s="54"/>
      <c r="J2500" s="54"/>
      <c r="K2500" s="54"/>
    </row>
    <row r="2501">
      <c r="A2501" s="57"/>
      <c r="B2501" s="57"/>
      <c r="C2501" s="57"/>
      <c r="D2501" s="58"/>
      <c r="E2501" s="56"/>
      <c r="F2501" s="54"/>
      <c r="G2501" s="54"/>
      <c r="H2501" s="54"/>
      <c r="I2501" s="54"/>
      <c r="J2501" s="54"/>
      <c r="K2501" s="54"/>
    </row>
    <row r="2502">
      <c r="A2502" s="57"/>
      <c r="B2502" s="57"/>
      <c r="C2502" s="57"/>
      <c r="D2502" s="58"/>
      <c r="E2502" s="56"/>
      <c r="F2502" s="54"/>
      <c r="G2502" s="54"/>
      <c r="H2502" s="54"/>
      <c r="I2502" s="54"/>
      <c r="J2502" s="54"/>
      <c r="K2502" s="54"/>
    </row>
    <row r="2503">
      <c r="A2503" s="57"/>
      <c r="B2503" s="57"/>
      <c r="C2503" s="57"/>
      <c r="D2503" s="58"/>
      <c r="E2503" s="56"/>
      <c r="F2503" s="54"/>
      <c r="G2503" s="54"/>
      <c r="H2503" s="54"/>
      <c r="I2503" s="54"/>
      <c r="J2503" s="54"/>
      <c r="K2503" s="54"/>
    </row>
    <row r="2504">
      <c r="A2504" s="57"/>
      <c r="B2504" s="57"/>
      <c r="C2504" s="57"/>
      <c r="D2504" s="58"/>
      <c r="E2504" s="56"/>
      <c r="F2504" s="54"/>
      <c r="G2504" s="54"/>
      <c r="H2504" s="54"/>
      <c r="I2504" s="54"/>
      <c r="J2504" s="54"/>
      <c r="K2504" s="54"/>
    </row>
    <row r="2505">
      <c r="A2505" s="57"/>
      <c r="B2505" s="57"/>
      <c r="C2505" s="57"/>
      <c r="D2505" s="58"/>
      <c r="E2505" s="56"/>
      <c r="F2505" s="54"/>
      <c r="G2505" s="54"/>
      <c r="H2505" s="54"/>
      <c r="I2505" s="54"/>
      <c r="J2505" s="54"/>
      <c r="K2505" s="54"/>
    </row>
    <row r="2506">
      <c r="A2506" s="57"/>
      <c r="B2506" s="57"/>
      <c r="C2506" s="57"/>
      <c r="D2506" s="58"/>
      <c r="E2506" s="56"/>
      <c r="F2506" s="54"/>
      <c r="G2506" s="54"/>
      <c r="H2506" s="54"/>
      <c r="I2506" s="54"/>
      <c r="J2506" s="54"/>
      <c r="K2506" s="54"/>
    </row>
    <row r="2507">
      <c r="A2507" s="57"/>
      <c r="B2507" s="57"/>
      <c r="C2507" s="57"/>
      <c r="D2507" s="58"/>
      <c r="E2507" s="56"/>
      <c r="F2507" s="54"/>
      <c r="G2507" s="54"/>
      <c r="H2507" s="54"/>
      <c r="I2507" s="54"/>
      <c r="J2507" s="54"/>
      <c r="K2507" s="54"/>
    </row>
    <row r="2508">
      <c r="A2508" s="57"/>
      <c r="B2508" s="57"/>
      <c r="C2508" s="57"/>
      <c r="D2508" s="58"/>
      <c r="E2508" s="56"/>
      <c r="F2508" s="54"/>
      <c r="G2508" s="54"/>
      <c r="H2508" s="54"/>
      <c r="I2508" s="54"/>
      <c r="J2508" s="54"/>
      <c r="K2508" s="54"/>
    </row>
    <row r="2509">
      <c r="A2509" s="57"/>
      <c r="B2509" s="57"/>
      <c r="C2509" s="57"/>
      <c r="D2509" s="58"/>
      <c r="E2509" s="56"/>
      <c r="F2509" s="54"/>
      <c r="G2509" s="54"/>
      <c r="H2509" s="54"/>
      <c r="I2509" s="54"/>
      <c r="J2509" s="54"/>
      <c r="K2509" s="54"/>
    </row>
    <row r="2510">
      <c r="A2510" s="57"/>
      <c r="B2510" s="57"/>
      <c r="C2510" s="57"/>
      <c r="D2510" s="58"/>
      <c r="E2510" s="56"/>
      <c r="F2510" s="54"/>
      <c r="G2510" s="54"/>
      <c r="H2510" s="54"/>
      <c r="I2510" s="54"/>
      <c r="J2510" s="54"/>
      <c r="K2510" s="54"/>
    </row>
    <row r="2511">
      <c r="A2511" s="57"/>
      <c r="B2511" s="57"/>
      <c r="C2511" s="57"/>
      <c r="D2511" s="58"/>
      <c r="E2511" s="56"/>
      <c r="F2511" s="54"/>
      <c r="G2511" s="54"/>
      <c r="H2511" s="54"/>
      <c r="I2511" s="54"/>
      <c r="J2511" s="54"/>
      <c r="K2511" s="54"/>
    </row>
    <row r="2512">
      <c r="A2512" s="57"/>
      <c r="B2512" s="57"/>
      <c r="C2512" s="57"/>
      <c r="D2512" s="58"/>
      <c r="E2512" s="56"/>
      <c r="F2512" s="54"/>
      <c r="G2512" s="54"/>
      <c r="H2512" s="54"/>
      <c r="I2512" s="54"/>
      <c r="J2512" s="54"/>
      <c r="K2512" s="54"/>
    </row>
    <row r="2513">
      <c r="A2513" s="57"/>
      <c r="B2513" s="57"/>
      <c r="C2513" s="57"/>
      <c r="D2513" s="58"/>
      <c r="E2513" s="56"/>
      <c r="F2513" s="54"/>
      <c r="G2513" s="54"/>
      <c r="H2513" s="54"/>
      <c r="I2513" s="54"/>
      <c r="J2513" s="54"/>
      <c r="K2513" s="54"/>
    </row>
    <row r="2514">
      <c r="A2514" s="57"/>
      <c r="B2514" s="57"/>
      <c r="C2514" s="57"/>
      <c r="D2514" s="58"/>
      <c r="E2514" s="56"/>
      <c r="F2514" s="54"/>
      <c r="G2514" s="54"/>
      <c r="H2514" s="54"/>
      <c r="I2514" s="54"/>
      <c r="J2514" s="54"/>
      <c r="K2514" s="54"/>
    </row>
    <row r="2515">
      <c r="A2515" s="57"/>
      <c r="B2515" s="57"/>
      <c r="C2515" s="57"/>
      <c r="D2515" s="58"/>
      <c r="E2515" s="56"/>
      <c r="F2515" s="54"/>
      <c r="G2515" s="54"/>
      <c r="H2515" s="54"/>
      <c r="I2515" s="54"/>
      <c r="J2515" s="54"/>
      <c r="K2515" s="54"/>
    </row>
    <row r="2516">
      <c r="A2516" s="57"/>
      <c r="B2516" s="57"/>
      <c r="C2516" s="57"/>
      <c r="D2516" s="58"/>
      <c r="E2516" s="56"/>
      <c r="F2516" s="54"/>
      <c r="G2516" s="54"/>
      <c r="H2516" s="54"/>
      <c r="I2516" s="54"/>
      <c r="J2516" s="54"/>
      <c r="K2516" s="54"/>
    </row>
    <row r="2517">
      <c r="A2517" s="57"/>
      <c r="B2517" s="57"/>
      <c r="C2517" s="57"/>
      <c r="D2517" s="58"/>
      <c r="E2517" s="56"/>
      <c r="F2517" s="54"/>
      <c r="G2517" s="54"/>
      <c r="H2517" s="54"/>
      <c r="I2517" s="54"/>
      <c r="J2517" s="54"/>
      <c r="K2517" s="54"/>
    </row>
    <row r="2518">
      <c r="A2518" s="57"/>
      <c r="B2518" s="57"/>
      <c r="C2518" s="57"/>
      <c r="D2518" s="58"/>
      <c r="E2518" s="56"/>
      <c r="F2518" s="54"/>
      <c r="G2518" s="54"/>
      <c r="H2518" s="54"/>
      <c r="I2518" s="54"/>
      <c r="J2518" s="54"/>
      <c r="K2518" s="54"/>
    </row>
    <row r="2519">
      <c r="A2519" s="57"/>
      <c r="B2519" s="57"/>
      <c r="C2519" s="57"/>
      <c r="D2519" s="58"/>
      <c r="E2519" s="56"/>
      <c r="F2519" s="54"/>
      <c r="G2519" s="54"/>
      <c r="H2519" s="54"/>
      <c r="I2519" s="54"/>
      <c r="J2519" s="54"/>
      <c r="K2519" s="54"/>
    </row>
    <row r="2520">
      <c r="A2520" s="57"/>
      <c r="B2520" s="57"/>
      <c r="C2520" s="57"/>
      <c r="D2520" s="58"/>
      <c r="E2520" s="56"/>
      <c r="F2520" s="54"/>
      <c r="G2520" s="54"/>
      <c r="H2520" s="54"/>
      <c r="I2520" s="54"/>
      <c r="J2520" s="54"/>
      <c r="K2520" s="54"/>
    </row>
    <row r="2521">
      <c r="A2521" s="57"/>
      <c r="B2521" s="57"/>
      <c r="C2521" s="57"/>
      <c r="D2521" s="58"/>
      <c r="E2521" s="56"/>
      <c r="F2521" s="54"/>
      <c r="G2521" s="54"/>
      <c r="H2521" s="54"/>
      <c r="I2521" s="54"/>
      <c r="J2521" s="54"/>
      <c r="K2521" s="54"/>
    </row>
    <row r="2522">
      <c r="A2522" s="57"/>
      <c r="B2522" s="57"/>
      <c r="C2522" s="57"/>
      <c r="D2522" s="58"/>
      <c r="E2522" s="56"/>
      <c r="F2522" s="54"/>
      <c r="G2522" s="54"/>
      <c r="H2522" s="54"/>
      <c r="I2522" s="54"/>
      <c r="J2522" s="54"/>
      <c r="K2522" s="54"/>
    </row>
    <row r="2523">
      <c r="A2523" s="57"/>
      <c r="B2523" s="57"/>
      <c r="C2523" s="57"/>
      <c r="D2523" s="58"/>
      <c r="E2523" s="56"/>
      <c r="F2523" s="54"/>
      <c r="G2523" s="54"/>
      <c r="H2523" s="54"/>
      <c r="I2523" s="54"/>
      <c r="J2523" s="54"/>
      <c r="K2523" s="54"/>
    </row>
    <row r="2524">
      <c r="A2524" s="57"/>
      <c r="B2524" s="57"/>
      <c r="C2524" s="57"/>
      <c r="D2524" s="58"/>
      <c r="E2524" s="56"/>
      <c r="F2524" s="54"/>
      <c r="G2524" s="54"/>
      <c r="H2524" s="54"/>
      <c r="I2524" s="54"/>
      <c r="J2524" s="54"/>
      <c r="K2524" s="54"/>
    </row>
    <row r="2525">
      <c r="A2525" s="57"/>
      <c r="B2525" s="57"/>
      <c r="C2525" s="57"/>
      <c r="D2525" s="58"/>
      <c r="E2525" s="56"/>
      <c r="F2525" s="54"/>
      <c r="G2525" s="54"/>
      <c r="H2525" s="54"/>
      <c r="I2525" s="54"/>
      <c r="J2525" s="54"/>
      <c r="K2525" s="54"/>
    </row>
    <row r="2526">
      <c r="A2526" s="57"/>
      <c r="B2526" s="57"/>
      <c r="C2526" s="57"/>
      <c r="D2526" s="58"/>
      <c r="E2526" s="56"/>
      <c r="F2526" s="54"/>
      <c r="G2526" s="54"/>
      <c r="H2526" s="54"/>
      <c r="I2526" s="54"/>
      <c r="J2526" s="54"/>
      <c r="K2526" s="54"/>
    </row>
    <row r="2527">
      <c r="A2527" s="57"/>
      <c r="B2527" s="57"/>
      <c r="C2527" s="57"/>
      <c r="D2527" s="58"/>
      <c r="E2527" s="56"/>
      <c r="F2527" s="54"/>
      <c r="G2527" s="54"/>
      <c r="H2527" s="54"/>
      <c r="I2527" s="54"/>
      <c r="J2527" s="54"/>
      <c r="K2527" s="54"/>
    </row>
    <row r="2528">
      <c r="A2528" s="57"/>
      <c r="B2528" s="57"/>
      <c r="C2528" s="57"/>
      <c r="D2528" s="58"/>
      <c r="E2528" s="56"/>
      <c r="F2528" s="54"/>
      <c r="G2528" s="54"/>
      <c r="H2528" s="54"/>
      <c r="I2528" s="54"/>
      <c r="J2528" s="54"/>
      <c r="K2528" s="54"/>
    </row>
    <row r="2529">
      <c r="A2529" s="57"/>
      <c r="B2529" s="57"/>
      <c r="C2529" s="57"/>
      <c r="D2529" s="58"/>
      <c r="E2529" s="56"/>
      <c r="F2529" s="54"/>
      <c r="G2529" s="54"/>
      <c r="H2529" s="54"/>
      <c r="I2529" s="54"/>
      <c r="J2529" s="54"/>
      <c r="K2529" s="54"/>
    </row>
    <row r="2530">
      <c r="A2530" s="57"/>
      <c r="B2530" s="57"/>
      <c r="C2530" s="57"/>
      <c r="D2530" s="58"/>
      <c r="E2530" s="56"/>
      <c r="F2530" s="54"/>
      <c r="G2530" s="54"/>
      <c r="H2530" s="54"/>
      <c r="I2530" s="54"/>
      <c r="J2530" s="54"/>
      <c r="K2530" s="54"/>
    </row>
    <row r="2531">
      <c r="A2531" s="57"/>
      <c r="B2531" s="57"/>
      <c r="C2531" s="57"/>
      <c r="D2531" s="58"/>
      <c r="E2531" s="56"/>
      <c r="F2531" s="54"/>
      <c r="G2531" s="54"/>
      <c r="H2531" s="54"/>
      <c r="I2531" s="54"/>
      <c r="J2531" s="54"/>
      <c r="K2531" s="54"/>
    </row>
    <row r="2532">
      <c r="A2532" s="57"/>
      <c r="B2532" s="57"/>
      <c r="C2532" s="57"/>
      <c r="D2532" s="58"/>
      <c r="E2532" s="56"/>
      <c r="F2532" s="54"/>
      <c r="G2532" s="54"/>
      <c r="H2532" s="54"/>
      <c r="I2532" s="54"/>
      <c r="J2532" s="54"/>
      <c r="K2532" s="54"/>
    </row>
    <row r="2533">
      <c r="A2533" s="57"/>
      <c r="B2533" s="57"/>
      <c r="C2533" s="57"/>
      <c r="D2533" s="58"/>
      <c r="E2533" s="56"/>
      <c r="F2533" s="54"/>
      <c r="G2533" s="54"/>
      <c r="H2533" s="54"/>
      <c r="I2533" s="54"/>
      <c r="J2533" s="54"/>
      <c r="K2533" s="54"/>
    </row>
    <row r="2534">
      <c r="A2534" s="57"/>
      <c r="B2534" s="57"/>
      <c r="C2534" s="57"/>
      <c r="D2534" s="58"/>
      <c r="E2534" s="56"/>
      <c r="F2534" s="54"/>
      <c r="G2534" s="54"/>
      <c r="H2534" s="54"/>
      <c r="I2534" s="54"/>
      <c r="J2534" s="54"/>
      <c r="K2534" s="54"/>
    </row>
    <row r="2535">
      <c r="A2535" s="57"/>
      <c r="B2535" s="57"/>
      <c r="C2535" s="57"/>
      <c r="D2535" s="58"/>
      <c r="E2535" s="56"/>
      <c r="F2535" s="54"/>
      <c r="G2535" s="54"/>
      <c r="H2535" s="54"/>
      <c r="I2535" s="54"/>
      <c r="J2535" s="54"/>
      <c r="K2535" s="54"/>
    </row>
    <row r="2536">
      <c r="A2536" s="57"/>
      <c r="B2536" s="57"/>
      <c r="C2536" s="57"/>
      <c r="D2536" s="58"/>
      <c r="E2536" s="56"/>
      <c r="F2536" s="54"/>
      <c r="G2536" s="54"/>
      <c r="H2536" s="54"/>
      <c r="I2536" s="54"/>
      <c r="J2536" s="54"/>
      <c r="K2536" s="54"/>
    </row>
    <row r="2537">
      <c r="A2537" s="57"/>
      <c r="B2537" s="57"/>
      <c r="C2537" s="57"/>
      <c r="D2537" s="58"/>
      <c r="E2537" s="56"/>
      <c r="F2537" s="54"/>
      <c r="G2537" s="54"/>
      <c r="H2537" s="54"/>
      <c r="I2537" s="54"/>
      <c r="J2537" s="54"/>
      <c r="K2537" s="54"/>
    </row>
    <row r="2538">
      <c r="A2538" s="57"/>
      <c r="B2538" s="57"/>
      <c r="C2538" s="57"/>
      <c r="D2538" s="58"/>
      <c r="E2538" s="56"/>
      <c r="F2538" s="54"/>
      <c r="G2538" s="54"/>
      <c r="H2538" s="54"/>
      <c r="I2538" s="54"/>
      <c r="J2538" s="54"/>
      <c r="K2538" s="54"/>
    </row>
    <row r="2539">
      <c r="A2539" s="57"/>
      <c r="B2539" s="57"/>
      <c r="C2539" s="57"/>
      <c r="D2539" s="58"/>
      <c r="E2539" s="56"/>
      <c r="F2539" s="54"/>
      <c r="G2539" s="54"/>
      <c r="H2539" s="54"/>
      <c r="I2539" s="54"/>
      <c r="J2539" s="54"/>
      <c r="K2539" s="54"/>
    </row>
    <row r="2540">
      <c r="A2540" s="57"/>
      <c r="B2540" s="57"/>
      <c r="C2540" s="57"/>
      <c r="D2540" s="58"/>
      <c r="E2540" s="56"/>
      <c r="F2540" s="54"/>
      <c r="G2540" s="54"/>
      <c r="H2540" s="54"/>
      <c r="I2540" s="54"/>
      <c r="J2540" s="54"/>
      <c r="K2540" s="54"/>
    </row>
    <row r="2541">
      <c r="A2541" s="57"/>
      <c r="B2541" s="57"/>
      <c r="C2541" s="57"/>
      <c r="D2541" s="58"/>
      <c r="E2541" s="56"/>
      <c r="F2541" s="54"/>
      <c r="G2541" s="54"/>
      <c r="H2541" s="54"/>
      <c r="I2541" s="54"/>
      <c r="J2541" s="54"/>
      <c r="K2541" s="54"/>
    </row>
    <row r="2542">
      <c r="A2542" s="57"/>
      <c r="B2542" s="57"/>
      <c r="C2542" s="57"/>
      <c r="D2542" s="58"/>
      <c r="E2542" s="56"/>
      <c r="F2542" s="54"/>
      <c r="G2542" s="54"/>
      <c r="H2542" s="54"/>
      <c r="I2542" s="54"/>
      <c r="J2542" s="54"/>
      <c r="K2542" s="54"/>
    </row>
    <row r="2543">
      <c r="A2543" s="57"/>
      <c r="B2543" s="57"/>
      <c r="C2543" s="57"/>
      <c r="D2543" s="58"/>
      <c r="E2543" s="56"/>
      <c r="F2543" s="54"/>
      <c r="G2543" s="54"/>
      <c r="H2543" s="54"/>
      <c r="I2543" s="54"/>
      <c r="J2543" s="54"/>
      <c r="K2543" s="54"/>
    </row>
    <row r="2544">
      <c r="A2544" s="57"/>
      <c r="B2544" s="57"/>
      <c r="C2544" s="57"/>
      <c r="D2544" s="58"/>
      <c r="E2544" s="56"/>
      <c r="F2544" s="54"/>
      <c r="G2544" s="54"/>
      <c r="H2544" s="54"/>
      <c r="I2544" s="54"/>
      <c r="J2544" s="54"/>
      <c r="K2544" s="54"/>
    </row>
    <row r="2545">
      <c r="A2545" s="57"/>
      <c r="B2545" s="57"/>
      <c r="C2545" s="57"/>
      <c r="D2545" s="58"/>
      <c r="E2545" s="56"/>
      <c r="F2545" s="54"/>
      <c r="G2545" s="54"/>
      <c r="H2545" s="54"/>
      <c r="I2545" s="54"/>
      <c r="J2545" s="54"/>
      <c r="K2545" s="54"/>
    </row>
    <row r="2546">
      <c r="A2546" s="57"/>
      <c r="B2546" s="57"/>
      <c r="C2546" s="57"/>
      <c r="D2546" s="58"/>
      <c r="E2546" s="56"/>
      <c r="F2546" s="54"/>
      <c r="G2546" s="54"/>
      <c r="H2546" s="54"/>
      <c r="I2546" s="54"/>
      <c r="J2546" s="54"/>
      <c r="K2546" s="54"/>
    </row>
    <row r="2547">
      <c r="A2547" s="57"/>
      <c r="B2547" s="57"/>
      <c r="C2547" s="57"/>
      <c r="D2547" s="58"/>
      <c r="E2547" s="56"/>
      <c r="F2547" s="54"/>
      <c r="G2547" s="54"/>
      <c r="H2547" s="54"/>
      <c r="I2547" s="54"/>
      <c r="J2547" s="54"/>
      <c r="K2547" s="54"/>
    </row>
    <row r="2548">
      <c r="A2548" s="57"/>
      <c r="B2548" s="57"/>
      <c r="C2548" s="57"/>
      <c r="D2548" s="58"/>
      <c r="E2548" s="56"/>
      <c r="F2548" s="54"/>
      <c r="G2548" s="54"/>
      <c r="H2548" s="54"/>
      <c r="I2548" s="54"/>
      <c r="J2548" s="54"/>
      <c r="K2548" s="54"/>
    </row>
    <row r="2549">
      <c r="A2549" s="57"/>
      <c r="B2549" s="57"/>
      <c r="C2549" s="57"/>
      <c r="D2549" s="58"/>
      <c r="E2549" s="56"/>
      <c r="F2549" s="54"/>
      <c r="G2549" s="54"/>
      <c r="H2549" s="54"/>
      <c r="I2549" s="54"/>
      <c r="J2549" s="54"/>
      <c r="K2549" s="54"/>
    </row>
    <row r="2550">
      <c r="A2550" s="57"/>
      <c r="B2550" s="57"/>
      <c r="C2550" s="57"/>
      <c r="D2550" s="58"/>
      <c r="E2550" s="56"/>
      <c r="F2550" s="54"/>
      <c r="G2550" s="54"/>
      <c r="H2550" s="54"/>
      <c r="I2550" s="54"/>
      <c r="J2550" s="54"/>
      <c r="K2550" s="54"/>
    </row>
    <row r="2551">
      <c r="A2551" s="57"/>
      <c r="B2551" s="57"/>
      <c r="C2551" s="57"/>
      <c r="D2551" s="58"/>
      <c r="E2551" s="56"/>
      <c r="F2551" s="54"/>
      <c r="G2551" s="54"/>
      <c r="H2551" s="54"/>
      <c r="I2551" s="54"/>
      <c r="J2551" s="54"/>
      <c r="K2551" s="54"/>
    </row>
    <row r="2552">
      <c r="A2552" s="57"/>
      <c r="B2552" s="57"/>
      <c r="C2552" s="57"/>
      <c r="D2552" s="58"/>
      <c r="E2552" s="56"/>
      <c r="F2552" s="54"/>
      <c r="G2552" s="54"/>
      <c r="H2552" s="54"/>
      <c r="I2552" s="54"/>
      <c r="J2552" s="54"/>
      <c r="K2552" s="54"/>
    </row>
    <row r="2553">
      <c r="A2553" s="57"/>
      <c r="B2553" s="57"/>
      <c r="C2553" s="57"/>
      <c r="D2553" s="58"/>
      <c r="E2553" s="56"/>
      <c r="F2553" s="54"/>
      <c r="G2553" s="54"/>
      <c r="H2553" s="54"/>
      <c r="I2553" s="54"/>
      <c r="J2553" s="54"/>
      <c r="K2553" s="54"/>
    </row>
    <row r="2554">
      <c r="A2554" s="57"/>
      <c r="B2554" s="57"/>
      <c r="C2554" s="57"/>
      <c r="D2554" s="58"/>
      <c r="E2554" s="56"/>
      <c r="F2554" s="54"/>
      <c r="G2554" s="54"/>
      <c r="H2554" s="54"/>
      <c r="I2554" s="54"/>
      <c r="J2554" s="54"/>
      <c r="K2554" s="54"/>
    </row>
    <row r="2555">
      <c r="A2555" s="57"/>
      <c r="B2555" s="57"/>
      <c r="C2555" s="57"/>
      <c r="D2555" s="58"/>
      <c r="E2555" s="56"/>
      <c r="F2555" s="54"/>
      <c r="G2555" s="54"/>
      <c r="H2555" s="54"/>
      <c r="I2555" s="54"/>
      <c r="J2555" s="54"/>
      <c r="K2555" s="54"/>
    </row>
    <row r="2556">
      <c r="A2556" s="57"/>
      <c r="B2556" s="57"/>
      <c r="C2556" s="57"/>
      <c r="D2556" s="58"/>
      <c r="E2556" s="56"/>
      <c r="F2556" s="54"/>
      <c r="G2556" s="54"/>
      <c r="H2556" s="54"/>
      <c r="I2556" s="54"/>
      <c r="J2556" s="54"/>
      <c r="K2556" s="54"/>
    </row>
    <row r="2557">
      <c r="A2557" s="57"/>
      <c r="B2557" s="57"/>
      <c r="C2557" s="57"/>
      <c r="D2557" s="58"/>
      <c r="E2557" s="56"/>
      <c r="F2557" s="54"/>
      <c r="G2557" s="54"/>
      <c r="H2557" s="54"/>
      <c r="I2557" s="54"/>
      <c r="J2557" s="54"/>
      <c r="K2557" s="54"/>
    </row>
    <row r="2558">
      <c r="A2558" s="57"/>
      <c r="B2558" s="57"/>
      <c r="C2558" s="57"/>
      <c r="D2558" s="58"/>
      <c r="E2558" s="56"/>
      <c r="F2558" s="54"/>
      <c r="G2558" s="54"/>
      <c r="H2558" s="54"/>
      <c r="I2558" s="54"/>
      <c r="J2558" s="54"/>
      <c r="K2558" s="54"/>
    </row>
    <row r="2559">
      <c r="A2559" s="57"/>
      <c r="B2559" s="57"/>
      <c r="C2559" s="57"/>
      <c r="D2559" s="58"/>
      <c r="E2559" s="56"/>
      <c r="F2559" s="54"/>
      <c r="G2559" s="54"/>
      <c r="H2559" s="54"/>
      <c r="I2559" s="54"/>
      <c r="J2559" s="54"/>
      <c r="K2559" s="54"/>
    </row>
    <row r="2560">
      <c r="A2560" s="57"/>
      <c r="B2560" s="57"/>
      <c r="C2560" s="57"/>
      <c r="D2560" s="58"/>
      <c r="E2560" s="56"/>
      <c r="F2560" s="54"/>
      <c r="G2560" s="54"/>
      <c r="H2560" s="54"/>
      <c r="I2560" s="54"/>
      <c r="J2560" s="54"/>
      <c r="K2560" s="54"/>
    </row>
    <row r="2561">
      <c r="A2561" s="57"/>
      <c r="B2561" s="57"/>
      <c r="C2561" s="57"/>
      <c r="D2561" s="58"/>
      <c r="E2561" s="56"/>
      <c r="F2561" s="54"/>
      <c r="G2561" s="54"/>
      <c r="H2561" s="54"/>
      <c r="I2561" s="54"/>
      <c r="J2561" s="54"/>
      <c r="K2561" s="54"/>
    </row>
    <row r="2562">
      <c r="A2562" s="57"/>
      <c r="B2562" s="57"/>
      <c r="C2562" s="57"/>
      <c r="D2562" s="58"/>
      <c r="E2562" s="56"/>
      <c r="F2562" s="54"/>
      <c r="G2562" s="54"/>
      <c r="H2562" s="54"/>
      <c r="I2562" s="54"/>
      <c r="J2562" s="54"/>
      <c r="K2562" s="54"/>
    </row>
    <row r="2563">
      <c r="A2563" s="57"/>
      <c r="B2563" s="57"/>
      <c r="C2563" s="57"/>
      <c r="D2563" s="58"/>
      <c r="E2563" s="56"/>
      <c r="F2563" s="54"/>
      <c r="G2563" s="54"/>
      <c r="H2563" s="54"/>
      <c r="I2563" s="54"/>
      <c r="J2563" s="54"/>
      <c r="K2563" s="54"/>
    </row>
    <row r="2564">
      <c r="A2564" s="57"/>
      <c r="B2564" s="57"/>
      <c r="C2564" s="57"/>
      <c r="D2564" s="58"/>
      <c r="E2564" s="56"/>
      <c r="F2564" s="54"/>
      <c r="G2564" s="54"/>
      <c r="H2564" s="54"/>
      <c r="I2564" s="54"/>
      <c r="J2564" s="54"/>
      <c r="K2564" s="54"/>
    </row>
    <row r="2565">
      <c r="A2565" s="57"/>
      <c r="B2565" s="57"/>
      <c r="C2565" s="57"/>
      <c r="D2565" s="58"/>
      <c r="E2565" s="56"/>
      <c r="F2565" s="54"/>
      <c r="G2565" s="54"/>
      <c r="H2565" s="54"/>
      <c r="I2565" s="54"/>
      <c r="J2565" s="54"/>
      <c r="K2565" s="54"/>
    </row>
    <row r="2566">
      <c r="A2566" s="57"/>
      <c r="B2566" s="57"/>
      <c r="C2566" s="57"/>
      <c r="D2566" s="58"/>
      <c r="E2566" s="56"/>
      <c r="F2566" s="54"/>
      <c r="G2566" s="54"/>
      <c r="H2566" s="54"/>
      <c r="I2566" s="54"/>
      <c r="J2566" s="54"/>
      <c r="K2566" s="54"/>
    </row>
    <row r="2567">
      <c r="A2567" s="57"/>
      <c r="B2567" s="57"/>
      <c r="C2567" s="57"/>
      <c r="D2567" s="58"/>
      <c r="E2567" s="56"/>
      <c r="F2567" s="54"/>
      <c r="G2567" s="54"/>
      <c r="H2567" s="54"/>
      <c r="I2567" s="54"/>
      <c r="J2567" s="54"/>
      <c r="K2567" s="54"/>
    </row>
    <row r="2568">
      <c r="A2568" s="57"/>
      <c r="B2568" s="57"/>
      <c r="C2568" s="57"/>
      <c r="D2568" s="58"/>
      <c r="E2568" s="56"/>
      <c r="F2568" s="54"/>
      <c r="G2568" s="54"/>
      <c r="H2568" s="54"/>
      <c r="I2568" s="54"/>
      <c r="J2568" s="54"/>
      <c r="K2568" s="54"/>
    </row>
    <row r="2569">
      <c r="A2569" s="57"/>
      <c r="B2569" s="57"/>
      <c r="C2569" s="57"/>
      <c r="D2569" s="58"/>
      <c r="E2569" s="56"/>
      <c r="F2569" s="54"/>
      <c r="G2569" s="54"/>
      <c r="H2569" s="54"/>
      <c r="I2569" s="54"/>
      <c r="J2569" s="54"/>
      <c r="K2569" s="54"/>
    </row>
    <row r="2570">
      <c r="A2570" s="57"/>
      <c r="B2570" s="57"/>
      <c r="C2570" s="57"/>
      <c r="D2570" s="58"/>
      <c r="E2570" s="56"/>
      <c r="F2570" s="54"/>
      <c r="G2570" s="54"/>
      <c r="H2570" s="54"/>
      <c r="I2570" s="54"/>
      <c r="J2570" s="54"/>
      <c r="K2570" s="54"/>
    </row>
    <row r="2571">
      <c r="A2571" s="57"/>
      <c r="B2571" s="57"/>
      <c r="C2571" s="57"/>
      <c r="D2571" s="58"/>
      <c r="E2571" s="56"/>
      <c r="F2571" s="54"/>
      <c r="G2571" s="54"/>
      <c r="H2571" s="54"/>
      <c r="I2571" s="54"/>
      <c r="J2571" s="54"/>
      <c r="K2571" s="54"/>
    </row>
    <row r="2572">
      <c r="A2572" s="57"/>
      <c r="B2572" s="57"/>
      <c r="C2572" s="57"/>
      <c r="D2572" s="58"/>
      <c r="E2572" s="56"/>
      <c r="F2572" s="54"/>
      <c r="G2572" s="54"/>
      <c r="H2572" s="54"/>
      <c r="I2572" s="54"/>
      <c r="J2572" s="54"/>
      <c r="K2572" s="54"/>
    </row>
    <row r="2573">
      <c r="A2573" s="57"/>
      <c r="B2573" s="57"/>
      <c r="C2573" s="57"/>
      <c r="D2573" s="58"/>
      <c r="E2573" s="56"/>
      <c r="F2573" s="54"/>
      <c r="G2573" s="54"/>
      <c r="H2573" s="54"/>
      <c r="I2573" s="54"/>
      <c r="J2573" s="54"/>
      <c r="K2573" s="54"/>
    </row>
    <row r="2574">
      <c r="A2574" s="57"/>
      <c r="B2574" s="57"/>
      <c r="C2574" s="57"/>
      <c r="D2574" s="58"/>
      <c r="E2574" s="56"/>
      <c r="F2574" s="54"/>
      <c r="G2574" s="54"/>
      <c r="H2574" s="54"/>
      <c r="I2574" s="54"/>
      <c r="J2574" s="54"/>
      <c r="K2574" s="54"/>
    </row>
    <row r="2575">
      <c r="A2575" s="57"/>
      <c r="B2575" s="57"/>
      <c r="C2575" s="57"/>
      <c r="D2575" s="58"/>
      <c r="E2575" s="56"/>
      <c r="F2575" s="54"/>
      <c r="G2575" s="54"/>
      <c r="H2575" s="54"/>
      <c r="I2575" s="54"/>
      <c r="J2575" s="54"/>
      <c r="K2575" s="54"/>
    </row>
    <row r="2576">
      <c r="A2576" s="57"/>
      <c r="B2576" s="57"/>
      <c r="C2576" s="57"/>
      <c r="D2576" s="58"/>
      <c r="E2576" s="56"/>
      <c r="F2576" s="54"/>
      <c r="G2576" s="54"/>
      <c r="H2576" s="54"/>
      <c r="I2576" s="54"/>
      <c r="J2576" s="54"/>
      <c r="K2576" s="54"/>
    </row>
    <row r="2577">
      <c r="A2577" s="57"/>
      <c r="B2577" s="57"/>
      <c r="C2577" s="57"/>
      <c r="D2577" s="58"/>
      <c r="E2577" s="56"/>
      <c r="F2577" s="54"/>
      <c r="G2577" s="54"/>
      <c r="H2577" s="54"/>
      <c r="I2577" s="54"/>
      <c r="J2577" s="54"/>
      <c r="K2577" s="54"/>
    </row>
    <row r="2578">
      <c r="A2578" s="57"/>
      <c r="B2578" s="57"/>
      <c r="C2578" s="57"/>
      <c r="D2578" s="58"/>
      <c r="E2578" s="56"/>
      <c r="F2578" s="54"/>
      <c r="G2578" s="54"/>
      <c r="H2578" s="54"/>
      <c r="I2578" s="54"/>
      <c r="J2578" s="54"/>
      <c r="K2578" s="54"/>
    </row>
    <row r="2579">
      <c r="A2579" s="57"/>
      <c r="B2579" s="57"/>
      <c r="C2579" s="57"/>
      <c r="D2579" s="58"/>
      <c r="E2579" s="56"/>
      <c r="F2579" s="54"/>
      <c r="G2579" s="54"/>
      <c r="H2579" s="54"/>
      <c r="I2579" s="54"/>
      <c r="J2579" s="54"/>
      <c r="K2579" s="54"/>
    </row>
    <row r="2580">
      <c r="A2580" s="57"/>
      <c r="B2580" s="57"/>
      <c r="C2580" s="57"/>
      <c r="D2580" s="58"/>
      <c r="E2580" s="56"/>
      <c r="F2580" s="54"/>
      <c r="G2580" s="54"/>
      <c r="H2580" s="54"/>
      <c r="I2580" s="54"/>
      <c r="J2580" s="54"/>
      <c r="K2580" s="54"/>
    </row>
    <row r="2581">
      <c r="A2581" s="57"/>
      <c r="B2581" s="57"/>
      <c r="C2581" s="57"/>
      <c r="D2581" s="58"/>
      <c r="E2581" s="56"/>
      <c r="F2581" s="54"/>
      <c r="G2581" s="54"/>
      <c r="H2581" s="54"/>
      <c r="I2581" s="54"/>
      <c r="J2581" s="54"/>
      <c r="K2581" s="54"/>
    </row>
    <row r="2582">
      <c r="A2582" s="57"/>
      <c r="B2582" s="57"/>
      <c r="C2582" s="57"/>
      <c r="D2582" s="58"/>
      <c r="E2582" s="56"/>
      <c r="F2582" s="54"/>
      <c r="G2582" s="54"/>
      <c r="H2582" s="54"/>
      <c r="I2582" s="54"/>
      <c r="J2582" s="54"/>
      <c r="K2582" s="54"/>
    </row>
    <row r="2583">
      <c r="A2583" s="57"/>
      <c r="B2583" s="57"/>
      <c r="C2583" s="57"/>
      <c r="D2583" s="58"/>
      <c r="E2583" s="56"/>
      <c r="F2583" s="54"/>
      <c r="G2583" s="54"/>
      <c r="H2583" s="54"/>
      <c r="I2583" s="54"/>
      <c r="J2583" s="54"/>
      <c r="K2583" s="54"/>
    </row>
    <row r="2584">
      <c r="A2584" s="57"/>
      <c r="B2584" s="57"/>
      <c r="C2584" s="57"/>
      <c r="D2584" s="58"/>
      <c r="E2584" s="56"/>
      <c r="F2584" s="54"/>
      <c r="G2584" s="54"/>
      <c r="H2584" s="54"/>
      <c r="I2584" s="54"/>
      <c r="J2584" s="54"/>
      <c r="K2584" s="54"/>
    </row>
    <row r="2585">
      <c r="A2585" s="57"/>
      <c r="B2585" s="57"/>
      <c r="C2585" s="57"/>
      <c r="D2585" s="58"/>
      <c r="E2585" s="56"/>
      <c r="F2585" s="54"/>
      <c r="G2585" s="54"/>
      <c r="H2585" s="54"/>
      <c r="I2585" s="54"/>
      <c r="J2585" s="54"/>
      <c r="K2585" s="54"/>
    </row>
    <row r="2586">
      <c r="A2586" s="57"/>
      <c r="B2586" s="57"/>
      <c r="C2586" s="57"/>
      <c r="D2586" s="58"/>
      <c r="E2586" s="56"/>
      <c r="F2586" s="54"/>
      <c r="G2586" s="54"/>
      <c r="H2586" s="54"/>
      <c r="I2586" s="54"/>
      <c r="J2586" s="54"/>
      <c r="K2586" s="54"/>
    </row>
    <row r="2587">
      <c r="A2587" s="57"/>
      <c r="B2587" s="57"/>
      <c r="C2587" s="57"/>
      <c r="D2587" s="58"/>
      <c r="E2587" s="56"/>
      <c r="F2587" s="54"/>
      <c r="G2587" s="54"/>
      <c r="H2587" s="54"/>
      <c r="I2587" s="54"/>
      <c r="J2587" s="54"/>
      <c r="K2587" s="54"/>
    </row>
    <row r="2588">
      <c r="A2588" s="57"/>
      <c r="B2588" s="57"/>
      <c r="C2588" s="57"/>
      <c r="D2588" s="58"/>
      <c r="E2588" s="56"/>
      <c r="F2588" s="54"/>
      <c r="G2588" s="54"/>
      <c r="H2588" s="54"/>
      <c r="I2588" s="54"/>
      <c r="J2588" s="54"/>
      <c r="K2588" s="54"/>
    </row>
    <row r="2589">
      <c r="A2589" s="57"/>
      <c r="B2589" s="57"/>
      <c r="C2589" s="57"/>
      <c r="D2589" s="58"/>
      <c r="E2589" s="56"/>
      <c r="F2589" s="54"/>
      <c r="G2589" s="54"/>
      <c r="H2589" s="54"/>
      <c r="I2589" s="54"/>
      <c r="J2589" s="54"/>
      <c r="K2589" s="54"/>
    </row>
    <row r="2590">
      <c r="A2590" s="57"/>
      <c r="B2590" s="57"/>
      <c r="C2590" s="57"/>
      <c r="D2590" s="58"/>
      <c r="E2590" s="56"/>
      <c r="F2590" s="54"/>
      <c r="G2590" s="54"/>
      <c r="H2590" s="54"/>
      <c r="I2590" s="54"/>
      <c r="J2590" s="54"/>
      <c r="K2590" s="54"/>
    </row>
    <row r="2591">
      <c r="A2591" s="57"/>
      <c r="B2591" s="57"/>
      <c r="C2591" s="57"/>
      <c r="D2591" s="58"/>
      <c r="E2591" s="56"/>
      <c r="F2591" s="54"/>
      <c r="G2591" s="54"/>
      <c r="H2591" s="54"/>
      <c r="I2591" s="54"/>
      <c r="J2591" s="54"/>
      <c r="K2591" s="54"/>
    </row>
    <row r="2592">
      <c r="A2592" s="57"/>
      <c r="B2592" s="57"/>
      <c r="C2592" s="57"/>
      <c r="D2592" s="58"/>
      <c r="E2592" s="56"/>
      <c r="F2592" s="54"/>
      <c r="G2592" s="54"/>
      <c r="H2592" s="54"/>
      <c r="I2592" s="54"/>
      <c r="J2592" s="54"/>
      <c r="K2592" s="54"/>
    </row>
    <row r="2593">
      <c r="A2593" s="57"/>
      <c r="B2593" s="57"/>
      <c r="C2593" s="57"/>
      <c r="D2593" s="58"/>
      <c r="E2593" s="56"/>
      <c r="F2593" s="54"/>
      <c r="G2593" s="54"/>
      <c r="H2593" s="54"/>
      <c r="I2593" s="54"/>
      <c r="J2593" s="54"/>
      <c r="K2593" s="54"/>
    </row>
    <row r="2594">
      <c r="A2594" s="57"/>
      <c r="B2594" s="57"/>
      <c r="C2594" s="57"/>
      <c r="D2594" s="58"/>
      <c r="E2594" s="56"/>
      <c r="F2594" s="54"/>
      <c r="G2594" s="54"/>
      <c r="H2594" s="54"/>
      <c r="I2594" s="54"/>
      <c r="J2594" s="54"/>
      <c r="K2594" s="54"/>
    </row>
    <row r="2595">
      <c r="A2595" s="57"/>
      <c r="B2595" s="57"/>
      <c r="C2595" s="57"/>
      <c r="D2595" s="58"/>
      <c r="E2595" s="56"/>
      <c r="F2595" s="54"/>
      <c r="G2595" s="54"/>
      <c r="H2595" s="54"/>
      <c r="I2595" s="54"/>
      <c r="J2595" s="54"/>
      <c r="K2595" s="54"/>
    </row>
    <row r="2596">
      <c r="A2596" s="57"/>
      <c r="B2596" s="57"/>
      <c r="C2596" s="57"/>
      <c r="D2596" s="58"/>
      <c r="E2596" s="56"/>
      <c r="F2596" s="54"/>
      <c r="G2596" s="54"/>
      <c r="H2596" s="54"/>
      <c r="I2596" s="54"/>
      <c r="J2596" s="54"/>
      <c r="K2596" s="54"/>
    </row>
    <row r="2597">
      <c r="A2597" s="57"/>
      <c r="B2597" s="57"/>
      <c r="C2597" s="57"/>
      <c r="D2597" s="58"/>
      <c r="E2597" s="56"/>
      <c r="F2597" s="54"/>
      <c r="G2597" s="54"/>
      <c r="H2597" s="54"/>
      <c r="I2597" s="54"/>
      <c r="J2597" s="54"/>
      <c r="K2597" s="54"/>
    </row>
    <row r="2598">
      <c r="A2598" s="57"/>
      <c r="B2598" s="57"/>
      <c r="C2598" s="57"/>
      <c r="D2598" s="58"/>
      <c r="E2598" s="56"/>
      <c r="F2598" s="54"/>
      <c r="G2598" s="54"/>
      <c r="H2598" s="54"/>
      <c r="I2598" s="54"/>
      <c r="J2598" s="54"/>
      <c r="K2598" s="54"/>
    </row>
    <row r="2599">
      <c r="A2599" s="57"/>
      <c r="B2599" s="57"/>
      <c r="C2599" s="57"/>
      <c r="D2599" s="58"/>
      <c r="E2599" s="56"/>
      <c r="F2599" s="54"/>
      <c r="G2599" s="54"/>
      <c r="H2599" s="54"/>
      <c r="I2599" s="54"/>
      <c r="J2599" s="54"/>
      <c r="K2599" s="54"/>
    </row>
    <row r="2600">
      <c r="A2600" s="57"/>
      <c r="B2600" s="57"/>
      <c r="C2600" s="57"/>
      <c r="D2600" s="58"/>
      <c r="E2600" s="56"/>
      <c r="F2600" s="54"/>
      <c r="G2600" s="54"/>
      <c r="H2600" s="54"/>
      <c r="I2600" s="54"/>
      <c r="J2600" s="54"/>
      <c r="K2600" s="54"/>
    </row>
    <row r="2601">
      <c r="A2601" s="57"/>
      <c r="B2601" s="57"/>
      <c r="C2601" s="57"/>
      <c r="D2601" s="58"/>
      <c r="E2601" s="56"/>
      <c r="F2601" s="54"/>
      <c r="G2601" s="54"/>
      <c r="H2601" s="54"/>
      <c r="I2601" s="54"/>
      <c r="J2601" s="54"/>
      <c r="K2601" s="54"/>
    </row>
    <row r="2602">
      <c r="A2602" s="57"/>
      <c r="B2602" s="57"/>
      <c r="C2602" s="57"/>
      <c r="D2602" s="58"/>
      <c r="E2602" s="56"/>
      <c r="F2602" s="54"/>
      <c r="G2602" s="54"/>
      <c r="H2602" s="54"/>
      <c r="I2602" s="54"/>
      <c r="J2602" s="54"/>
      <c r="K2602" s="54"/>
    </row>
    <row r="2603">
      <c r="A2603" s="57"/>
      <c r="B2603" s="57"/>
      <c r="C2603" s="57"/>
      <c r="D2603" s="58"/>
      <c r="E2603" s="56"/>
      <c r="F2603" s="54"/>
      <c r="G2603" s="54"/>
      <c r="H2603" s="54"/>
      <c r="I2603" s="54"/>
      <c r="J2603" s="54"/>
      <c r="K2603" s="54"/>
    </row>
    <row r="2604">
      <c r="A2604" s="57"/>
      <c r="B2604" s="57"/>
      <c r="C2604" s="57"/>
      <c r="D2604" s="58"/>
      <c r="E2604" s="56"/>
      <c r="F2604" s="54"/>
      <c r="G2604" s="54"/>
      <c r="H2604" s="54"/>
      <c r="I2604" s="54"/>
      <c r="J2604" s="54"/>
      <c r="K2604" s="54"/>
    </row>
    <row r="2605">
      <c r="A2605" s="57"/>
      <c r="B2605" s="57"/>
      <c r="C2605" s="57"/>
      <c r="D2605" s="58"/>
      <c r="E2605" s="56"/>
      <c r="F2605" s="54"/>
      <c r="G2605" s="54"/>
      <c r="H2605" s="54"/>
      <c r="I2605" s="54"/>
      <c r="J2605" s="54"/>
      <c r="K2605" s="54"/>
    </row>
    <row r="2606">
      <c r="A2606" s="57"/>
      <c r="B2606" s="57"/>
      <c r="C2606" s="57"/>
      <c r="D2606" s="58"/>
      <c r="E2606" s="56"/>
      <c r="F2606" s="54"/>
      <c r="G2606" s="54"/>
      <c r="H2606" s="54"/>
      <c r="I2606" s="54"/>
      <c r="J2606" s="54"/>
      <c r="K2606" s="54"/>
    </row>
    <row r="2607">
      <c r="A2607" s="57"/>
      <c r="B2607" s="57"/>
      <c r="C2607" s="57"/>
      <c r="D2607" s="58"/>
      <c r="E2607" s="56"/>
      <c r="F2607" s="54"/>
      <c r="G2607" s="54"/>
      <c r="H2607" s="54"/>
      <c r="I2607" s="54"/>
      <c r="J2607" s="54"/>
      <c r="K2607" s="54"/>
    </row>
    <row r="2608">
      <c r="A2608" s="57"/>
      <c r="B2608" s="57"/>
      <c r="C2608" s="57"/>
      <c r="D2608" s="58"/>
      <c r="E2608" s="56"/>
      <c r="F2608" s="54"/>
      <c r="G2608" s="54"/>
      <c r="H2608" s="54"/>
      <c r="I2608" s="54"/>
      <c r="J2608" s="54"/>
      <c r="K2608" s="54"/>
    </row>
    <row r="2609">
      <c r="A2609" s="57"/>
      <c r="B2609" s="57"/>
      <c r="C2609" s="57"/>
      <c r="D2609" s="58"/>
      <c r="E2609" s="56"/>
      <c r="F2609" s="54"/>
      <c r="G2609" s="54"/>
      <c r="H2609" s="54"/>
      <c r="I2609" s="54"/>
      <c r="J2609" s="54"/>
      <c r="K2609" s="54"/>
    </row>
    <row r="2610">
      <c r="A2610" s="57"/>
      <c r="B2610" s="57"/>
      <c r="C2610" s="57"/>
      <c r="D2610" s="58"/>
      <c r="E2610" s="56"/>
      <c r="F2610" s="54"/>
      <c r="G2610" s="54"/>
      <c r="H2610" s="54"/>
      <c r="I2610" s="54"/>
      <c r="J2610" s="54"/>
      <c r="K2610" s="54"/>
    </row>
    <row r="2611">
      <c r="A2611" s="57"/>
      <c r="B2611" s="57"/>
      <c r="C2611" s="57"/>
      <c r="D2611" s="58"/>
      <c r="E2611" s="56"/>
      <c r="F2611" s="54"/>
      <c r="G2611" s="54"/>
      <c r="H2611" s="54"/>
      <c r="I2611" s="54"/>
      <c r="J2611" s="54"/>
      <c r="K2611" s="54"/>
    </row>
    <row r="2612">
      <c r="A2612" s="57"/>
      <c r="B2612" s="57"/>
      <c r="C2612" s="57"/>
      <c r="D2612" s="58"/>
      <c r="E2612" s="56"/>
      <c r="F2612" s="54"/>
      <c r="G2612" s="54"/>
      <c r="H2612" s="54"/>
      <c r="I2612" s="54"/>
      <c r="J2612" s="54"/>
      <c r="K2612" s="54"/>
    </row>
    <row r="2613">
      <c r="A2613" s="57"/>
      <c r="B2613" s="57"/>
      <c r="C2613" s="57"/>
      <c r="D2613" s="58"/>
      <c r="E2613" s="56"/>
      <c r="F2613" s="54"/>
      <c r="G2613" s="54"/>
      <c r="H2613" s="54"/>
      <c r="I2613" s="54"/>
      <c r="J2613" s="54"/>
      <c r="K2613" s="54"/>
    </row>
    <row r="2614">
      <c r="A2614" s="57"/>
      <c r="B2614" s="57"/>
      <c r="C2614" s="57"/>
      <c r="D2614" s="58"/>
      <c r="E2614" s="56"/>
      <c r="F2614" s="54"/>
      <c r="G2614" s="54"/>
      <c r="H2614" s="54"/>
      <c r="I2614" s="54"/>
      <c r="J2614" s="54"/>
      <c r="K2614" s="54"/>
    </row>
    <row r="2615">
      <c r="A2615" s="57"/>
      <c r="B2615" s="57"/>
      <c r="C2615" s="57"/>
      <c r="D2615" s="58"/>
      <c r="E2615" s="56"/>
      <c r="F2615" s="54"/>
      <c r="G2615" s="54"/>
      <c r="H2615" s="54"/>
      <c r="I2615" s="54"/>
      <c r="J2615" s="54"/>
      <c r="K2615" s="54"/>
    </row>
    <row r="2616">
      <c r="A2616" s="57"/>
      <c r="B2616" s="57"/>
      <c r="C2616" s="57"/>
      <c r="D2616" s="58"/>
      <c r="E2616" s="56"/>
      <c r="F2616" s="54"/>
      <c r="G2616" s="54"/>
      <c r="H2616" s="54"/>
      <c r="I2616" s="54"/>
      <c r="J2616" s="54"/>
      <c r="K2616" s="54"/>
    </row>
    <row r="2617">
      <c r="A2617" s="57"/>
      <c r="B2617" s="57"/>
      <c r="C2617" s="57"/>
      <c r="D2617" s="58"/>
      <c r="E2617" s="56"/>
      <c r="F2617" s="54"/>
      <c r="G2617" s="54"/>
      <c r="H2617" s="54"/>
      <c r="I2617" s="54"/>
      <c r="J2617" s="54"/>
      <c r="K2617" s="54"/>
    </row>
    <row r="2618">
      <c r="A2618" s="57"/>
      <c r="B2618" s="57"/>
      <c r="C2618" s="57"/>
      <c r="D2618" s="58"/>
      <c r="E2618" s="56"/>
      <c r="F2618" s="54"/>
      <c r="G2618" s="54"/>
      <c r="H2618" s="54"/>
      <c r="I2618" s="54"/>
      <c r="J2618" s="54"/>
      <c r="K2618" s="54"/>
    </row>
    <row r="2619">
      <c r="A2619" s="57"/>
      <c r="B2619" s="57"/>
      <c r="C2619" s="57"/>
      <c r="D2619" s="58"/>
      <c r="E2619" s="56"/>
      <c r="F2619" s="54"/>
      <c r="G2619" s="54"/>
      <c r="H2619" s="54"/>
      <c r="I2619" s="54"/>
      <c r="J2619" s="54"/>
      <c r="K2619" s="54"/>
    </row>
    <row r="2620">
      <c r="A2620" s="57"/>
      <c r="B2620" s="57"/>
      <c r="C2620" s="57"/>
      <c r="D2620" s="58"/>
      <c r="E2620" s="56"/>
      <c r="F2620" s="54"/>
      <c r="G2620" s="54"/>
      <c r="H2620" s="54"/>
      <c r="I2620" s="54"/>
      <c r="J2620" s="54"/>
      <c r="K2620" s="54"/>
    </row>
    <row r="2621">
      <c r="A2621" s="57"/>
      <c r="B2621" s="57"/>
      <c r="C2621" s="57"/>
      <c r="D2621" s="58"/>
      <c r="E2621" s="56"/>
      <c r="F2621" s="54"/>
      <c r="G2621" s="54"/>
      <c r="H2621" s="54"/>
      <c r="I2621" s="54"/>
      <c r="J2621" s="54"/>
      <c r="K2621" s="54"/>
    </row>
    <row r="2622">
      <c r="A2622" s="57"/>
      <c r="B2622" s="57"/>
      <c r="C2622" s="57"/>
      <c r="D2622" s="58"/>
      <c r="E2622" s="56"/>
      <c r="F2622" s="54"/>
      <c r="G2622" s="54"/>
      <c r="H2622" s="54"/>
      <c r="I2622" s="54"/>
      <c r="J2622" s="54"/>
      <c r="K2622" s="54"/>
    </row>
    <row r="2623">
      <c r="A2623" s="57"/>
      <c r="B2623" s="57"/>
      <c r="C2623" s="57"/>
      <c r="D2623" s="58"/>
      <c r="E2623" s="56"/>
      <c r="F2623" s="54"/>
      <c r="G2623" s="54"/>
      <c r="H2623" s="54"/>
      <c r="I2623" s="54"/>
      <c r="J2623" s="54"/>
      <c r="K2623" s="54"/>
    </row>
    <row r="2624">
      <c r="A2624" s="57"/>
      <c r="B2624" s="57"/>
      <c r="C2624" s="57"/>
      <c r="D2624" s="58"/>
      <c r="E2624" s="56"/>
      <c r="F2624" s="54"/>
      <c r="G2624" s="54"/>
      <c r="H2624" s="54"/>
      <c r="I2624" s="54"/>
      <c r="J2624" s="54"/>
      <c r="K2624" s="54"/>
    </row>
    <row r="2625">
      <c r="A2625" s="57"/>
      <c r="B2625" s="57"/>
      <c r="C2625" s="57"/>
      <c r="D2625" s="58"/>
      <c r="E2625" s="56"/>
      <c r="F2625" s="54"/>
      <c r="G2625" s="54"/>
      <c r="H2625" s="54"/>
      <c r="I2625" s="54"/>
      <c r="J2625" s="54"/>
      <c r="K2625" s="54"/>
    </row>
    <row r="2626">
      <c r="A2626" s="57"/>
      <c r="B2626" s="57"/>
      <c r="C2626" s="57"/>
      <c r="D2626" s="58"/>
      <c r="E2626" s="56"/>
      <c r="F2626" s="54"/>
      <c r="G2626" s="54"/>
      <c r="H2626" s="54"/>
      <c r="I2626" s="54"/>
      <c r="J2626" s="54"/>
      <c r="K2626" s="54"/>
    </row>
    <row r="2627">
      <c r="A2627" s="57"/>
      <c r="B2627" s="57"/>
      <c r="C2627" s="57"/>
      <c r="D2627" s="58"/>
      <c r="E2627" s="56"/>
      <c r="F2627" s="54"/>
      <c r="G2627" s="54"/>
      <c r="H2627" s="54"/>
      <c r="I2627" s="54"/>
      <c r="J2627" s="54"/>
      <c r="K2627" s="54"/>
    </row>
    <row r="2628">
      <c r="A2628" s="57"/>
      <c r="B2628" s="57"/>
      <c r="C2628" s="57"/>
      <c r="D2628" s="58"/>
      <c r="E2628" s="56"/>
      <c r="F2628" s="54"/>
      <c r="G2628" s="54"/>
      <c r="H2628" s="54"/>
      <c r="I2628" s="54"/>
      <c r="J2628" s="54"/>
      <c r="K2628" s="54"/>
    </row>
    <row r="2629">
      <c r="A2629" s="57"/>
      <c r="B2629" s="57"/>
      <c r="C2629" s="57"/>
      <c r="D2629" s="58"/>
      <c r="E2629" s="56"/>
      <c r="F2629" s="54"/>
      <c r="G2629" s="54"/>
      <c r="H2629" s="54"/>
      <c r="I2629" s="54"/>
      <c r="J2629" s="54"/>
      <c r="K2629" s="54"/>
    </row>
    <row r="2630">
      <c r="A2630" s="57"/>
      <c r="B2630" s="57"/>
      <c r="C2630" s="57"/>
      <c r="D2630" s="58"/>
      <c r="E2630" s="56"/>
      <c r="F2630" s="54"/>
      <c r="G2630" s="54"/>
      <c r="H2630" s="54"/>
      <c r="I2630" s="54"/>
      <c r="J2630" s="54"/>
      <c r="K2630" s="54"/>
    </row>
    <row r="2631">
      <c r="A2631" s="57"/>
      <c r="B2631" s="57"/>
      <c r="C2631" s="57"/>
      <c r="D2631" s="58"/>
      <c r="E2631" s="56"/>
      <c r="F2631" s="54"/>
      <c r="G2631" s="54"/>
      <c r="H2631" s="54"/>
      <c r="I2631" s="54"/>
      <c r="J2631" s="54"/>
      <c r="K2631" s="54"/>
    </row>
    <row r="2632">
      <c r="A2632" s="57"/>
      <c r="B2632" s="57"/>
      <c r="C2632" s="57"/>
      <c r="D2632" s="58"/>
      <c r="E2632" s="56"/>
      <c r="F2632" s="54"/>
      <c r="G2632" s="54"/>
      <c r="H2632" s="54"/>
      <c r="I2632" s="54"/>
      <c r="J2632" s="54"/>
      <c r="K2632" s="54"/>
    </row>
    <row r="2633">
      <c r="A2633" s="57"/>
      <c r="B2633" s="57"/>
      <c r="C2633" s="57"/>
      <c r="D2633" s="58"/>
      <c r="E2633" s="56"/>
      <c r="F2633" s="54"/>
      <c r="G2633" s="54"/>
      <c r="H2633" s="54"/>
      <c r="I2633" s="54"/>
      <c r="J2633" s="54"/>
      <c r="K2633" s="54"/>
    </row>
    <row r="2634">
      <c r="A2634" s="57"/>
      <c r="B2634" s="57"/>
      <c r="C2634" s="57"/>
      <c r="D2634" s="58"/>
      <c r="E2634" s="56"/>
      <c r="F2634" s="54"/>
      <c r="G2634" s="54"/>
      <c r="H2634" s="54"/>
      <c r="I2634" s="54"/>
      <c r="J2634" s="54"/>
      <c r="K2634" s="54"/>
    </row>
    <row r="2635">
      <c r="A2635" s="57"/>
      <c r="B2635" s="57"/>
      <c r="C2635" s="57"/>
      <c r="D2635" s="58"/>
      <c r="E2635" s="56"/>
      <c r="F2635" s="54"/>
      <c r="G2635" s="54"/>
      <c r="H2635" s="54"/>
      <c r="I2635" s="54"/>
      <c r="J2635" s="54"/>
      <c r="K2635" s="54"/>
    </row>
    <row r="2636">
      <c r="A2636" s="57"/>
      <c r="B2636" s="57"/>
      <c r="C2636" s="57"/>
      <c r="D2636" s="58"/>
      <c r="E2636" s="56"/>
      <c r="F2636" s="54"/>
      <c r="G2636" s="54"/>
      <c r="H2636" s="54"/>
      <c r="I2636" s="54"/>
      <c r="J2636" s="54"/>
      <c r="K2636" s="54"/>
    </row>
    <row r="2637">
      <c r="A2637" s="57"/>
      <c r="B2637" s="57"/>
      <c r="C2637" s="57"/>
      <c r="D2637" s="58"/>
      <c r="E2637" s="56"/>
      <c r="F2637" s="54"/>
      <c r="G2637" s="54"/>
      <c r="H2637" s="54"/>
      <c r="I2637" s="54"/>
      <c r="J2637" s="54"/>
      <c r="K2637" s="54"/>
    </row>
    <row r="2638">
      <c r="A2638" s="57"/>
      <c r="B2638" s="57"/>
      <c r="C2638" s="57"/>
      <c r="D2638" s="58"/>
      <c r="E2638" s="56"/>
      <c r="F2638" s="54"/>
      <c r="G2638" s="54"/>
      <c r="H2638" s="54"/>
      <c r="I2638" s="54"/>
      <c r="J2638" s="54"/>
      <c r="K2638" s="54"/>
    </row>
    <row r="2639">
      <c r="A2639" s="57"/>
      <c r="B2639" s="57"/>
      <c r="C2639" s="57"/>
      <c r="D2639" s="58"/>
      <c r="E2639" s="56"/>
      <c r="F2639" s="54"/>
      <c r="G2639" s="54"/>
      <c r="H2639" s="54"/>
      <c r="I2639" s="54"/>
      <c r="J2639" s="54"/>
      <c r="K2639" s="54"/>
    </row>
  </sheetData>
  <autoFilter ref="$A$3:$K$1829"/>
  <mergeCells count="1">
    <mergeCell ref="F2:G2"/>
  </mergeCells>
  <conditionalFormatting sqref="A4:K2638">
    <cfRule type="expression" dxfId="0" priority="1">
      <formula>AND($A4&lt;&gt;"", $C4="", $D4="", $E4="", $F4="")</formula>
    </cfRule>
  </conditionalFormatting>
  <printOptions gridLines="1" horizontalCentered="1"/>
  <pageMargins bottom="0.75" footer="0.0" header="0.0" left="0.25" right="0.25" top="0.75"/>
  <pageSetup fitToHeight="0"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13"/>
    <col customWidth="1" min="3" max="3" width="61.75"/>
    <col customWidth="1" min="5" max="5" width="46.5"/>
    <col customWidth="1" min="7" max="7" width="70.13"/>
    <col customWidth="1" min="9" max="9" width="38.75"/>
    <col customWidth="1" min="10" max="10" width="26.13"/>
    <col customWidth="1" min="11" max="11" width="34.0"/>
    <col customWidth="1" min="13" max="13" width="44.25"/>
    <col customWidth="1" min="15" max="15" width="42.13"/>
    <col customWidth="1" min="17" max="17" width="35.88"/>
    <col customWidth="1" min="19" max="19" width="35.13"/>
    <col customWidth="1" min="21" max="21" width="39.63"/>
    <col customWidth="1" min="23" max="23" width="38.25"/>
    <col customWidth="1" min="25" max="25" width="55.0"/>
    <col customWidth="1" min="27" max="27" width="50.25"/>
    <col customWidth="1" min="29" max="29" width="46.63"/>
    <col customWidth="1" min="31" max="31" width="40.38"/>
    <col customWidth="1" min="33" max="33" width="34.0"/>
    <col customWidth="1" min="35" max="35" width="36.38"/>
    <col customWidth="1" min="37" max="37" width="34.25"/>
    <col customWidth="1" min="39" max="39" width="53.5"/>
    <col customWidth="1" min="41" max="41" width="36.0"/>
    <col customWidth="1" min="43" max="43" width="37.75"/>
    <col customWidth="1" min="45" max="45" width="33.38"/>
    <col customWidth="1" min="47" max="47" width="37.38"/>
    <col customWidth="1" min="49" max="49" width="40.25"/>
    <col customWidth="1" min="51" max="51" width="51.13"/>
    <col customWidth="1" min="53" max="53" width="35.0"/>
    <col customWidth="1" min="54" max="54" width="20.25"/>
    <col customWidth="1" min="55" max="55" width="53.0"/>
    <col customWidth="1" min="57" max="57" width="36.75"/>
    <col customWidth="1" min="58" max="58" width="24.75"/>
    <col customWidth="1" min="59" max="59" width="38.75"/>
    <col customWidth="1" min="61" max="61" width="49.63"/>
    <col customWidth="1" min="63" max="63" width="34.75"/>
    <col customWidth="1" min="65" max="65" width="61.25"/>
    <col customWidth="1" min="67" max="67" width="40.5"/>
    <col customWidth="1" min="69" max="69" width="35.5"/>
    <col customWidth="1" min="71" max="71" width="49.13"/>
    <col customWidth="1" min="73" max="73" width="37.5"/>
    <col customWidth="1" min="75" max="75" width="37.63"/>
  </cols>
  <sheetData>
    <row r="1">
      <c r="A1" s="60" t="s">
        <v>22</v>
      </c>
      <c r="B1" s="61"/>
      <c r="C1" s="60" t="s">
        <v>23</v>
      </c>
      <c r="D1" s="61"/>
      <c r="E1" s="60" t="s">
        <v>24</v>
      </c>
      <c r="F1" s="61"/>
      <c r="G1" s="60" t="s">
        <v>25</v>
      </c>
      <c r="H1" s="61"/>
      <c r="I1" s="60" t="s">
        <v>26</v>
      </c>
      <c r="J1" s="61"/>
      <c r="K1" s="60" t="s">
        <v>27</v>
      </c>
      <c r="L1" s="61"/>
      <c r="M1" s="60" t="s">
        <v>28</v>
      </c>
      <c r="N1" s="61"/>
      <c r="O1" s="60" t="s">
        <v>29</v>
      </c>
      <c r="P1" s="61"/>
      <c r="Q1" s="60" t="s">
        <v>30</v>
      </c>
      <c r="R1" s="61"/>
      <c r="S1" s="60" t="s">
        <v>31</v>
      </c>
      <c r="T1" s="62"/>
      <c r="U1" s="60" t="s">
        <v>32</v>
      </c>
      <c r="V1" s="61"/>
      <c r="W1" s="60" t="s">
        <v>33</v>
      </c>
      <c r="X1" s="61"/>
      <c r="Y1" s="60" t="s">
        <v>34</v>
      </c>
      <c r="Z1" s="61"/>
      <c r="AA1" s="60" t="s">
        <v>35</v>
      </c>
      <c r="AB1" s="61"/>
      <c r="AC1" s="60" t="s">
        <v>36</v>
      </c>
      <c r="AD1" s="61"/>
      <c r="AE1" s="60" t="s">
        <v>37</v>
      </c>
      <c r="AF1" s="62"/>
      <c r="AG1" s="60" t="s">
        <v>38</v>
      </c>
      <c r="AH1" s="62"/>
      <c r="AI1" s="60" t="s">
        <v>39</v>
      </c>
      <c r="AJ1" s="61"/>
      <c r="AK1" s="60" t="s">
        <v>40</v>
      </c>
      <c r="AL1" s="61"/>
      <c r="AM1" s="60" t="s">
        <v>41</v>
      </c>
      <c r="AN1" s="61"/>
      <c r="AO1" s="60" t="s">
        <v>42</v>
      </c>
      <c r="AP1" s="61"/>
      <c r="AQ1" s="60" t="s">
        <v>43</v>
      </c>
      <c r="AR1" s="61"/>
      <c r="AS1" s="60" t="s">
        <v>44</v>
      </c>
      <c r="AT1" s="61"/>
      <c r="AU1" s="60" t="s">
        <v>45</v>
      </c>
      <c r="AV1" s="61"/>
      <c r="AW1" s="60" t="s">
        <v>46</v>
      </c>
      <c r="AX1" s="61"/>
      <c r="AY1" s="60" t="s">
        <v>47</v>
      </c>
      <c r="AZ1" s="61"/>
      <c r="BA1" s="60" t="s">
        <v>48</v>
      </c>
      <c r="BB1" s="61"/>
      <c r="BC1" s="60" t="s">
        <v>49</v>
      </c>
      <c r="BD1" s="61"/>
      <c r="BE1" s="60" t="s">
        <v>50</v>
      </c>
      <c r="BF1" s="61"/>
      <c r="BG1" s="60" t="s">
        <v>51</v>
      </c>
      <c r="BH1" s="61"/>
      <c r="BI1" s="60" t="s">
        <v>52</v>
      </c>
      <c r="BJ1" s="61"/>
      <c r="BK1" s="60" t="s">
        <v>53</v>
      </c>
      <c r="BL1" s="61"/>
      <c r="BM1" s="60" t="s">
        <v>54</v>
      </c>
      <c r="BN1" s="61"/>
      <c r="BO1" s="60" t="s">
        <v>55</v>
      </c>
      <c r="BP1" s="61"/>
      <c r="BQ1" s="60" t="s">
        <v>56</v>
      </c>
      <c r="BR1" s="62"/>
      <c r="BS1" s="60" t="s">
        <v>57</v>
      </c>
      <c r="BT1" s="62"/>
      <c r="BU1" s="60" t="s">
        <v>58</v>
      </c>
      <c r="BV1" s="62"/>
      <c r="BW1" s="60" t="s">
        <v>59</v>
      </c>
      <c r="BX1" s="62"/>
    </row>
    <row r="2">
      <c r="A2" s="62" t="str">
        <f t="shared" ref="A2:A272" si="1">CONCATENATE('Term Reference Guide (in-progress)'!B359," [",'Term Reference Guide (in-progress)'!C359,"]")</f>
        <v>#REF!</v>
      </c>
      <c r="B2" s="61"/>
      <c r="C2" s="62" t="str">
        <f t="shared" ref="C2:C4" si="2">CONCATENATE('Term Reference Guide (in-progress)'!B786," [",'Term Reference Guide (in-progress)'!C786,"]")</f>
        <v>#REF!</v>
      </c>
      <c r="D2" s="61"/>
      <c r="E2" s="62" t="str">
        <f t="shared" ref="E2:E4" si="3">CONCATENATE('Term Reference Guide (in-progress)'!B888," [",'Term Reference Guide (in-progress)'!C888,"]")</f>
        <v>#REF!</v>
      </c>
      <c r="F2" s="62"/>
      <c r="G2" s="63" t="str">
        <f t="shared" ref="G2:G26" si="4">CONCATENATE('Term Reference Guide (in-progress)'!B893," [",'Term Reference Guide (in-progress)'!C893,"]")</f>
        <v>#REF!</v>
      </c>
      <c r="H2" s="61"/>
      <c r="I2" s="62" t="s">
        <v>60</v>
      </c>
      <c r="J2" s="61"/>
      <c r="K2" s="63" t="s">
        <v>61</v>
      </c>
      <c r="L2" s="61"/>
      <c r="M2" s="62" t="str">
        <f t="shared" ref="M2:M10" si="5">CONCATENATE('Term Reference Guide (in-progress)'!B9," [",'Term Reference Guide (in-progress)'!C9,"]")</f>
        <v>#REF!</v>
      </c>
      <c r="N2" s="61"/>
      <c r="O2" s="62" t="str">
        <f t="shared" ref="O2:O26" si="6">CONCATENATE('Term Reference Guide (in-progress)'!B19," [",'Term Reference Guide (in-progress)'!C19,"]")</f>
        <v>#REF!</v>
      </c>
      <c r="P2" s="61"/>
      <c r="Q2" s="62" t="str">
        <f t="shared" ref="Q2:Q9" si="7">CONCATENATE('Term Reference Guide (in-progress)'!B51," [",'Term Reference Guide (in-progress)'!C51,"]")</f>
        <v>#REF!</v>
      </c>
      <c r="R2" s="61"/>
      <c r="S2" s="62" t="str">
        <f t="shared" ref="S2:S34" si="8">CONCATENATE('Term Reference Guide (in-progress)'!B180," [",'Term Reference Guide (in-progress)'!C180,"]")</f>
        <v>#REF!</v>
      </c>
      <c r="T2" s="61"/>
      <c r="U2" s="62" t="str">
        <f t="shared" ref="U2:U22" si="9">CONCATENATE('Term Reference Guide (in-progress)'!B214," [",'Term Reference Guide (in-progress)'!C214,"]")</f>
        <v>#REF!</v>
      </c>
      <c r="V2" s="61"/>
      <c r="W2" s="62" t="str">
        <f t="shared" ref="W2:W18" si="10">CONCATENATE('Term Reference Guide (in-progress)'!B60," [",'Term Reference Guide (in-progress)'!C60,"]")</f>
        <v>#REF!</v>
      </c>
      <c r="X2" s="61"/>
      <c r="Y2" s="62" t="str">
        <f t="shared" ref="Y2:Y22" si="11">CONCATENATE('Term Reference Guide (in-progress)'!B78," [",'Term Reference Guide (in-progress)'!C78,"]")</f>
        <v>#REF!</v>
      </c>
      <c r="Z2" s="61"/>
      <c r="AA2" s="62" t="str">
        <f t="shared" ref="AA2:AA5" si="12">CONCATENATE('Term Reference Guide (in-progress)'!B1123," [",'Term Reference Guide (in-progress)'!C1123,"]")</f>
        <v>#REF!</v>
      </c>
      <c r="AB2" s="61"/>
      <c r="AC2" s="62" t="str">
        <f t="shared" ref="AC2:AC17" si="13">CONCATENATE(#REF!," [",#REF!,"]")</f>
        <v>#REF!</v>
      </c>
      <c r="AD2" s="61"/>
      <c r="AE2" s="62" t="str">
        <f t="shared" ref="AE2:AE6" si="14">CONCATENATE(#REF!," [",#REF!,"]")</f>
        <v>#REF!</v>
      </c>
      <c r="AF2" s="61"/>
      <c r="AG2" s="62" t="str">
        <f t="shared" ref="AG2:AG14" si="15">CONCATENATE('Term Reference Guide (in-progress)'!B645," [",'Term Reference Guide (in-progress)'!C645,"]")</f>
        <v>#REF!</v>
      </c>
      <c r="AH2" s="61"/>
      <c r="AI2" s="62" t="str">
        <f t="shared" ref="AI2:AI17" si="16">CONCATENATE('Term Reference Guide (in-progress)'!B659," [",'Term Reference Guide (in-progress)'!C659,"]")</f>
        <v>#REF!</v>
      </c>
      <c r="AJ2" s="61"/>
      <c r="AK2" s="62" t="str">
        <f t="shared" ref="AK2:AK6" si="17">CONCATENATE('Term Reference Guide (in-progress)'!B705," [",'Term Reference Guide (in-progress)'!C705,"]")</f>
        <v>#REF!</v>
      </c>
      <c r="AL2" s="61"/>
      <c r="AM2" s="62" t="str">
        <f t="shared" ref="AM2:AM8" si="18">CONCATENATE('Term Reference Guide (in-progress)'!B711," [",'Term Reference Guide (in-progress)'!C711,"]")</f>
        <v>#REF!</v>
      </c>
      <c r="AN2" s="61"/>
      <c r="AO2" s="62" t="str">
        <f t="shared" ref="AO2:AO5" si="19">CONCATENATE('Term Reference Guide (in-progress)'!B700," [",'Term Reference Guide (in-progress)'!C700,"]")</f>
        <v>#REF!</v>
      </c>
      <c r="AP2" s="61"/>
      <c r="AQ2" s="62" t="str">
        <f>CONCATENATE('Term Reference Guide (in-progress)'!B691," [",'Term Reference Guide (in-progress)'!C691,"]")</f>
        <v>#REF!</v>
      </c>
      <c r="AR2" s="61"/>
      <c r="AS2" s="62" t="str">
        <f t="shared" ref="AS2:AS3" si="20">CONCATENATE('Term Reference Guide (in-progress)'!B688," [",'Term Reference Guide (in-progress)'!C688,"]")</f>
        <v>#REF!</v>
      </c>
      <c r="AT2" s="61"/>
      <c r="AU2" s="62" t="str">
        <f t="shared" ref="AU2:AU12" si="21">CONCATENATE('Term Reference Guide (in-progress)'!B676," [",'Term Reference Guide (in-progress)'!C676,"]")</f>
        <v>#REF!</v>
      </c>
      <c r="AV2" s="61"/>
      <c r="AW2" s="62" t="str">
        <f t="shared" ref="AW2:AW7" si="22">CONCATENATE('Term Reference Guide (in-progress)'!B693," [",'Term Reference Guide (in-progress)'!C693,"]")</f>
        <v>#REF!</v>
      </c>
      <c r="AX2" s="61"/>
      <c r="AY2" s="62" t="str">
        <f t="shared" ref="AY2:AY88" si="23">CONCATENATE('Term Reference Guide (in-progress)'!B1035," [",'Term Reference Guide (in-progress)'!C1035,"]")</f>
        <v>#REF!</v>
      </c>
      <c r="AZ2" s="61"/>
      <c r="BA2" s="62" t="str">
        <f t="shared" ref="BA2:BA92" si="24">CONCATENATE('Term Reference Guide (in-progress)'!B790," [",'Term Reference Guide (in-progress)'!C790,"]")</f>
        <v>#REF!</v>
      </c>
      <c r="BB2" s="61"/>
      <c r="BC2" s="62" t="str">
        <f t="shared" ref="BC2:BC79" si="25">CONCATENATE(#REF!," [",#REF!,"]")</f>
        <v>#REF!</v>
      </c>
      <c r="BD2" s="61"/>
      <c r="BE2" s="62" t="str">
        <f t="shared" ref="BE2:BE3" si="26">CONCATENATE('Term Reference Guide (in-progress)'!B760," [",'Term Reference Guide (in-progress)'!C760,"]")</f>
        <v>#REF!</v>
      </c>
      <c r="BF2" s="61"/>
      <c r="BG2" s="63" t="str">
        <f>CONCATENATE('Term Reference Guide (in-progress)'!B242," [",'Term Reference Guide (in-progress)'!C242,"]")</f>
        <v>#REF!</v>
      </c>
      <c r="BH2" s="61"/>
      <c r="BI2" s="64" t="s">
        <v>62</v>
      </c>
      <c r="BJ2" s="61"/>
      <c r="BK2" s="63" t="str">
        <f t="shared" ref="BK2:BK12" si="27">CONCATENATE('Term Reference Guide (in-progress)'!B719," [",'Term Reference Guide (in-progress)'!C719,"]")</f>
        <v>#REF!</v>
      </c>
      <c r="BL2" s="61"/>
      <c r="BM2" s="63" t="str">
        <f t="shared" ref="BM2:BM63" si="28">CONCATENATE('Term Reference Guide (in-progress)'!B262," [",'Term Reference Guide (in-progress)'!C262,"]")</f>
        <v>#REF!</v>
      </c>
      <c r="BN2" s="61"/>
      <c r="BO2" s="62" t="str">
        <f t="shared" ref="BO2:BO3" si="29">CONCATENATE('Term Reference Guide (in-progress)'!B882," [",'Term Reference Guide (in-progress)'!C882,"]")</f>
        <v>#REF!</v>
      </c>
      <c r="BP2" s="61"/>
      <c r="BQ2" s="62" t="str">
        <f t="shared" ref="BQ2:BQ3" si="30">CONCATENATE('Term Reference Guide (in-progress)'!B885," [",'Term Reference Guide (in-progress)'!C885,"]")</f>
        <v>#REF!</v>
      </c>
      <c r="BR2" s="61"/>
      <c r="BS2" s="63" t="str">
        <f t="shared" ref="BS2:BS47" si="31">CONCATENATE('Term Reference Guide (in-progress)'!B988," [",'Term Reference Guide (in-progress)'!C988,"]")</f>
        <v>#REF!</v>
      </c>
      <c r="BT2" s="61"/>
      <c r="BU2" s="61" t="str">
        <f t="shared" ref="BU2:BU34" si="32">CONCATENATE('Term Reference Guide (in-progress)'!B325," [",'Term Reference Guide (in-progress)'!C325,"]")</f>
        <v>#REF!</v>
      </c>
      <c r="BV2" s="65"/>
      <c r="BW2" s="61" t="str">
        <f t="shared" ref="BW2:BW4" si="33">CONCATENATE('Term Reference Guide (in-progress)'!B1134," [",'Term Reference Guide (in-progress)'!C1134,"]")</f>
        <v>#REF!</v>
      </c>
      <c r="BX2" s="62"/>
    </row>
    <row r="3">
      <c r="A3" s="62" t="str">
        <f t="shared" si="1"/>
        <v>#REF!</v>
      </c>
      <c r="B3" s="61"/>
      <c r="C3" s="62" t="str">
        <f t="shared" si="2"/>
        <v>#REF!</v>
      </c>
      <c r="D3" s="62"/>
      <c r="E3" s="62" t="str">
        <f t="shared" si="3"/>
        <v>#REF!</v>
      </c>
      <c r="F3" s="61"/>
      <c r="G3" s="63" t="str">
        <f t="shared" si="4"/>
        <v>#REF!</v>
      </c>
      <c r="H3" s="61"/>
      <c r="I3" s="62" t="s">
        <v>63</v>
      </c>
      <c r="J3" s="61"/>
      <c r="K3" s="63" t="s">
        <v>64</v>
      </c>
      <c r="L3" s="61"/>
      <c r="M3" s="62" t="str">
        <f t="shared" si="5"/>
        <v>#REF!</v>
      </c>
      <c r="N3" s="61"/>
      <c r="O3" s="62" t="str">
        <f t="shared" si="6"/>
        <v>#REF!</v>
      </c>
      <c r="P3" s="61"/>
      <c r="Q3" s="62" t="str">
        <f t="shared" si="7"/>
        <v>#REF!</v>
      </c>
      <c r="R3" s="61"/>
      <c r="S3" s="62" t="str">
        <f t="shared" si="8"/>
        <v>#REF!</v>
      </c>
      <c r="T3" s="61"/>
      <c r="U3" s="62" t="str">
        <f t="shared" si="9"/>
        <v>#REF!</v>
      </c>
      <c r="V3" s="61"/>
      <c r="W3" s="62" t="str">
        <f t="shared" si="10"/>
        <v>#REF!</v>
      </c>
      <c r="X3" s="61"/>
      <c r="Y3" s="62" t="str">
        <f t="shared" si="11"/>
        <v>#REF!</v>
      </c>
      <c r="Z3" s="61"/>
      <c r="AA3" s="62" t="str">
        <f t="shared" si="12"/>
        <v>#REF!</v>
      </c>
      <c r="AB3" s="62"/>
      <c r="AC3" s="62" t="str">
        <f t="shared" si="13"/>
        <v>#REF!</v>
      </c>
      <c r="AD3" s="61"/>
      <c r="AE3" s="62" t="str">
        <f t="shared" si="14"/>
        <v>#REF!</v>
      </c>
      <c r="AF3" s="61"/>
      <c r="AG3" s="62" t="str">
        <f t="shared" si="15"/>
        <v>#REF!</v>
      </c>
      <c r="AH3" s="61"/>
      <c r="AI3" s="62" t="str">
        <f t="shared" si="16"/>
        <v>#REF!</v>
      </c>
      <c r="AJ3" s="61"/>
      <c r="AK3" s="62" t="str">
        <f t="shared" si="17"/>
        <v>#REF!</v>
      </c>
      <c r="AL3" s="61"/>
      <c r="AM3" s="62" t="str">
        <f t="shared" si="18"/>
        <v>#REF!</v>
      </c>
      <c r="AN3" s="61"/>
      <c r="AO3" s="62" t="str">
        <f t="shared" si="19"/>
        <v>#REF!</v>
      </c>
      <c r="AP3" s="61"/>
      <c r="AQ3" s="62" t="str">
        <f t="shared" ref="AQ3:AQ7" si="34">CONCATENATE('Term Reference Guide (in-progress)'!B3," [",'Term Reference Guide (in-progress)'!C3,"]")</f>
        <v>#REF!</v>
      </c>
      <c r="AR3" s="61"/>
      <c r="AS3" s="62" t="str">
        <f t="shared" si="20"/>
        <v>#REF!</v>
      </c>
      <c r="AT3" s="61"/>
      <c r="AU3" s="62" t="str">
        <f t="shared" si="21"/>
        <v>#REF!</v>
      </c>
      <c r="AV3" s="61"/>
      <c r="AW3" s="62" t="str">
        <f t="shared" si="22"/>
        <v>#REF!</v>
      </c>
      <c r="AX3" s="61"/>
      <c r="AY3" s="62" t="str">
        <f t="shared" si="23"/>
        <v>#REF!</v>
      </c>
      <c r="AZ3" s="61"/>
      <c r="BA3" s="62" t="str">
        <f t="shared" si="24"/>
        <v>#REF!</v>
      </c>
      <c r="BB3" s="61"/>
      <c r="BC3" s="62" t="str">
        <f t="shared" si="25"/>
        <v>#REF!</v>
      </c>
      <c r="BD3" s="61"/>
      <c r="BE3" s="62" t="str">
        <f t="shared" si="26"/>
        <v>#REF!</v>
      </c>
      <c r="BF3" s="61"/>
      <c r="BG3" s="63" t="str">
        <f t="shared" ref="BG3:BG4" si="35">CONCATENATE('Term Reference Guide (in-progress)'!B244," [",'Term Reference Guide (in-progress)'!C244,"]")</f>
        <v>#REF!</v>
      </c>
      <c r="BH3" s="61"/>
      <c r="BI3" s="62" t="str">
        <f t="shared" ref="BI3:BI6" si="36">CONCATENATE('Term Reference Guide (in-progress)'!B237," [",'Term Reference Guide (in-progress)'!C237,"]")</f>
        <v>#REF!</v>
      </c>
      <c r="BJ3" s="61"/>
      <c r="BK3" s="63" t="str">
        <f t="shared" si="27"/>
        <v>#REF!</v>
      </c>
      <c r="BL3" s="61"/>
      <c r="BM3" s="63" t="str">
        <f t="shared" si="28"/>
        <v>#REF!</v>
      </c>
      <c r="BN3" s="61"/>
      <c r="BO3" s="62" t="str">
        <f t="shared" si="29"/>
        <v>#REF!</v>
      </c>
      <c r="BP3" s="61"/>
      <c r="BQ3" s="62" t="str">
        <f t="shared" si="30"/>
        <v>#REF!</v>
      </c>
      <c r="BR3" s="61"/>
      <c r="BS3" s="63" t="str">
        <f t="shared" si="31"/>
        <v>#REF!</v>
      </c>
      <c r="BT3" s="61"/>
      <c r="BU3" s="61" t="str">
        <f t="shared" si="32"/>
        <v>#REF!</v>
      </c>
      <c r="BV3" s="62"/>
      <c r="BW3" s="61" t="str">
        <f t="shared" si="33"/>
        <v>#REF!</v>
      </c>
      <c r="BX3" s="62"/>
    </row>
    <row r="4">
      <c r="A4" s="62" t="str">
        <f t="shared" si="1"/>
        <v>#REF!</v>
      </c>
      <c r="B4" s="61"/>
      <c r="C4" s="62" t="str">
        <f t="shared" si="2"/>
        <v>#REF!</v>
      </c>
      <c r="D4" s="61"/>
      <c r="E4" s="62" t="str">
        <f t="shared" si="3"/>
        <v>#REF!</v>
      </c>
      <c r="F4" s="61"/>
      <c r="G4" s="63" t="str">
        <f t="shared" si="4"/>
        <v>#REF!</v>
      </c>
      <c r="H4" s="61"/>
      <c r="I4" s="62" t="s">
        <v>65</v>
      </c>
      <c r="J4" s="61"/>
      <c r="K4" s="63" t="str">
        <f t="shared" ref="K4:K8" si="37">CONCATENATE('Term Reference Guide (in-progress)'!B3," [",'Term Reference Guide (in-progress)'!C3,"]")</f>
        <v>#REF!</v>
      </c>
      <c r="L4" s="61"/>
      <c r="M4" s="62" t="str">
        <f t="shared" si="5"/>
        <v>#REF!</v>
      </c>
      <c r="N4" s="62"/>
      <c r="O4" s="62" t="str">
        <f t="shared" si="6"/>
        <v>#REF!</v>
      </c>
      <c r="P4" s="61"/>
      <c r="Q4" s="62" t="str">
        <f t="shared" si="7"/>
        <v>#REF!</v>
      </c>
      <c r="R4" s="61"/>
      <c r="S4" s="62" t="str">
        <f t="shared" si="8"/>
        <v>#REF!</v>
      </c>
      <c r="T4" s="61"/>
      <c r="U4" s="62" t="str">
        <f t="shared" si="9"/>
        <v>#REF!</v>
      </c>
      <c r="V4" s="61"/>
      <c r="W4" s="62" t="str">
        <f t="shared" si="10"/>
        <v>#REF!</v>
      </c>
      <c r="X4" s="61"/>
      <c r="Y4" s="62" t="str">
        <f t="shared" si="11"/>
        <v>#REF!</v>
      </c>
      <c r="Z4" s="61"/>
      <c r="AA4" s="62" t="str">
        <f t="shared" si="12"/>
        <v>#REF!</v>
      </c>
      <c r="AB4" s="61"/>
      <c r="AC4" s="62" t="str">
        <f t="shared" si="13"/>
        <v>#REF!</v>
      </c>
      <c r="AD4" s="61"/>
      <c r="AE4" s="62" t="str">
        <f t="shared" si="14"/>
        <v>#REF!</v>
      </c>
      <c r="AF4" s="61"/>
      <c r="AG4" s="62" t="str">
        <f t="shared" si="15"/>
        <v>#REF!</v>
      </c>
      <c r="AH4" s="61"/>
      <c r="AI4" s="62" t="str">
        <f t="shared" si="16"/>
        <v>#REF!</v>
      </c>
      <c r="AJ4" s="61"/>
      <c r="AK4" s="62" t="str">
        <f t="shared" si="17"/>
        <v>#REF!</v>
      </c>
      <c r="AL4" s="61"/>
      <c r="AM4" s="62" t="str">
        <f t="shared" si="18"/>
        <v>#REF!</v>
      </c>
      <c r="AN4" s="61"/>
      <c r="AO4" s="62" t="str">
        <f t="shared" si="19"/>
        <v>#REF!</v>
      </c>
      <c r="AP4" s="61"/>
      <c r="AQ4" s="62" t="str">
        <f t="shared" si="34"/>
        <v>#REF!</v>
      </c>
      <c r="AR4" s="61"/>
      <c r="AS4" s="62" t="str">
        <f t="shared" ref="AS4:AS8" si="38">CONCATENATE('Term Reference Guide (in-progress)'!B3," [",'Term Reference Guide (in-progress)'!C3,"]")</f>
        <v>#REF!</v>
      </c>
      <c r="AT4" s="61"/>
      <c r="AU4" s="62" t="str">
        <f t="shared" si="21"/>
        <v>#REF!</v>
      </c>
      <c r="AV4" s="61"/>
      <c r="AW4" s="62" t="str">
        <f t="shared" si="22"/>
        <v>#REF!</v>
      </c>
      <c r="AX4" s="61"/>
      <c r="AY4" s="62" t="str">
        <f t="shared" si="23"/>
        <v>#REF!</v>
      </c>
      <c r="AZ4" s="61"/>
      <c r="BA4" s="62" t="str">
        <f t="shared" si="24"/>
        <v>#REF!</v>
      </c>
      <c r="BB4" s="61"/>
      <c r="BC4" s="62" t="str">
        <f t="shared" si="25"/>
        <v>#REF!</v>
      </c>
      <c r="BE4" s="62" t="s">
        <v>66</v>
      </c>
      <c r="BF4" s="61"/>
      <c r="BG4" s="63" t="str">
        <f t="shared" si="35"/>
        <v>#REF!</v>
      </c>
      <c r="BH4" s="61"/>
      <c r="BI4" s="62" t="str">
        <f t="shared" si="36"/>
        <v>#REF!</v>
      </c>
      <c r="BJ4" s="61"/>
      <c r="BK4" s="63" t="str">
        <f t="shared" si="27"/>
        <v>#REF!</v>
      </c>
      <c r="BL4" s="61"/>
      <c r="BM4" s="63" t="str">
        <f t="shared" si="28"/>
        <v>#REF!</v>
      </c>
      <c r="BN4" s="61"/>
      <c r="BO4" s="63" t="s">
        <v>67</v>
      </c>
      <c r="BP4" s="61"/>
      <c r="BQ4" s="63" t="s">
        <v>67</v>
      </c>
      <c r="BR4" s="61"/>
      <c r="BS4" s="63" t="str">
        <f t="shared" si="31"/>
        <v>#REF!</v>
      </c>
      <c r="BT4" s="61"/>
      <c r="BU4" s="61" t="str">
        <f t="shared" si="32"/>
        <v>#REF!</v>
      </c>
      <c r="BV4" s="62"/>
      <c r="BW4" s="61" t="str">
        <f t="shared" si="33"/>
        <v>#REF!</v>
      </c>
      <c r="BX4" s="62"/>
    </row>
    <row r="5">
      <c r="A5" s="62" t="str">
        <f t="shared" si="1"/>
        <v>#REF!</v>
      </c>
      <c r="B5" s="61"/>
      <c r="C5" s="62" t="str">
        <f t="shared" ref="C5:C9" si="39">CONCATENATE('Term Reference Guide (in-progress)'!B3," [",'Term Reference Guide (in-progress)'!C3,"]")</f>
        <v>#REF!</v>
      </c>
      <c r="D5" s="61"/>
      <c r="E5" s="62" t="str">
        <f>CONCATENATE(#REF!," [",#REF!,"]")</f>
        <v>#REF!</v>
      </c>
      <c r="F5" s="61"/>
      <c r="G5" s="63" t="str">
        <f t="shared" si="4"/>
        <v>#REF!</v>
      </c>
      <c r="H5" s="61"/>
      <c r="I5" s="62" t="s">
        <v>68</v>
      </c>
      <c r="J5" s="61"/>
      <c r="K5" s="63" t="str">
        <f t="shared" si="37"/>
        <v>#REF!</v>
      </c>
      <c r="L5" s="61"/>
      <c r="M5" s="62" t="str">
        <f t="shared" si="5"/>
        <v>#REF!</v>
      </c>
      <c r="N5" s="61"/>
      <c r="O5" s="62" t="str">
        <f t="shared" si="6"/>
        <v>#REF!</v>
      </c>
      <c r="P5" s="61"/>
      <c r="Q5" s="62" t="str">
        <f t="shared" si="7"/>
        <v>#REF!</v>
      </c>
      <c r="R5" s="61"/>
      <c r="S5" s="62" t="str">
        <f t="shared" si="8"/>
        <v>#REF!</v>
      </c>
      <c r="T5" s="61"/>
      <c r="U5" s="62" t="str">
        <f t="shared" si="9"/>
        <v>#REF!</v>
      </c>
      <c r="V5" s="61"/>
      <c r="W5" s="62" t="str">
        <f t="shared" si="10"/>
        <v>#REF!</v>
      </c>
      <c r="X5" s="61"/>
      <c r="Y5" s="62" t="str">
        <f t="shared" si="11"/>
        <v>#REF!</v>
      </c>
      <c r="Z5" s="61"/>
      <c r="AA5" s="62" t="str">
        <f t="shared" si="12"/>
        <v>#REF!</v>
      </c>
      <c r="AB5" s="61"/>
      <c r="AC5" s="62" t="str">
        <f t="shared" si="13"/>
        <v>#REF!</v>
      </c>
      <c r="AD5" s="61"/>
      <c r="AE5" s="62" t="str">
        <f t="shared" si="14"/>
        <v>#REF!</v>
      </c>
      <c r="AF5" s="62"/>
      <c r="AG5" s="62" t="str">
        <f t="shared" si="15"/>
        <v>#REF!</v>
      </c>
      <c r="AH5" s="61"/>
      <c r="AI5" s="62" t="str">
        <f t="shared" si="16"/>
        <v>#REF!</v>
      </c>
      <c r="AJ5" s="61"/>
      <c r="AK5" s="62" t="str">
        <f t="shared" si="17"/>
        <v>#REF!</v>
      </c>
      <c r="AL5" s="61"/>
      <c r="AM5" s="62" t="str">
        <f t="shared" si="18"/>
        <v>#REF!</v>
      </c>
      <c r="AN5" s="61"/>
      <c r="AO5" s="62" t="str">
        <f t="shared" si="19"/>
        <v>#REF!</v>
      </c>
      <c r="AP5" s="61"/>
      <c r="AQ5" s="62" t="str">
        <f t="shared" si="34"/>
        <v>#REF!</v>
      </c>
      <c r="AR5" s="61"/>
      <c r="AS5" s="62" t="str">
        <f t="shared" si="38"/>
        <v>#REF!</v>
      </c>
      <c r="AT5" s="61"/>
      <c r="AU5" s="62" t="str">
        <f t="shared" si="21"/>
        <v>#REF!</v>
      </c>
      <c r="AV5" s="61"/>
      <c r="AW5" s="62" t="str">
        <f t="shared" si="22"/>
        <v>#REF!</v>
      </c>
      <c r="AX5" s="61"/>
      <c r="AY5" s="62" t="str">
        <f t="shared" si="23"/>
        <v>#REF!</v>
      </c>
      <c r="AZ5" s="61"/>
      <c r="BA5" s="62" t="str">
        <f t="shared" si="24"/>
        <v>#REF!</v>
      </c>
      <c r="BB5" s="61"/>
      <c r="BC5" s="62" t="str">
        <f t="shared" si="25"/>
        <v>#REF!</v>
      </c>
      <c r="BE5" s="63" t="str">
        <f t="shared" ref="BE5:BE9" si="40">CONCATENATE('Term Reference Guide (in-progress)'!B3," [",'Term Reference Guide (in-progress)'!C3,"]")</f>
        <v>#REF!</v>
      </c>
      <c r="BF5" s="61"/>
      <c r="BG5" s="63" t="str">
        <f>CONCATENATE('Term Reference Guide (in-progress)'!B243," [",'Term Reference Guide (in-progress)'!C243,"]")</f>
        <v>#REF!</v>
      </c>
      <c r="BH5" s="61"/>
      <c r="BI5" s="62" t="str">
        <f t="shared" si="36"/>
        <v>#REF!</v>
      </c>
      <c r="BJ5" s="61"/>
      <c r="BK5" s="63" t="str">
        <f t="shared" si="27"/>
        <v>#REF!</v>
      </c>
      <c r="BL5" s="61"/>
      <c r="BM5" s="63" t="str">
        <f t="shared" si="28"/>
        <v>#REF!</v>
      </c>
      <c r="BN5" s="61"/>
      <c r="BO5" s="63" t="s">
        <v>69</v>
      </c>
      <c r="BP5" s="61"/>
      <c r="BQ5" s="63" t="s">
        <v>69</v>
      </c>
      <c r="BR5" s="61"/>
      <c r="BS5" s="63" t="str">
        <f t="shared" si="31"/>
        <v>#REF!</v>
      </c>
      <c r="BT5" s="61"/>
      <c r="BU5" s="61" t="str">
        <f t="shared" si="32"/>
        <v>#REF!</v>
      </c>
      <c r="BV5" s="62"/>
      <c r="BW5" s="61"/>
      <c r="BX5" s="61"/>
    </row>
    <row r="6">
      <c r="A6" s="62" t="str">
        <f t="shared" si="1"/>
        <v>#REF!</v>
      </c>
      <c r="B6" s="61"/>
      <c r="C6" s="62" t="str">
        <f t="shared" si="39"/>
        <v>#REF!</v>
      </c>
      <c r="D6" s="61"/>
      <c r="E6" s="62" t="str">
        <f>CONCATENATE('Term Reference Guide (in-progress)'!B891," [",'Term Reference Guide (in-progress)'!C891,"]")</f>
        <v>#REF!</v>
      </c>
      <c r="F6" s="61"/>
      <c r="G6" s="63" t="str">
        <f t="shared" si="4"/>
        <v>#REF!</v>
      </c>
      <c r="H6" s="61"/>
      <c r="I6" s="62" t="s">
        <v>70</v>
      </c>
      <c r="J6" s="61"/>
      <c r="K6" s="63" t="str">
        <f t="shared" si="37"/>
        <v>#REF!</v>
      </c>
      <c r="L6" s="61"/>
      <c r="M6" s="62" t="str">
        <f t="shared" si="5"/>
        <v>#REF!</v>
      </c>
      <c r="N6" s="61"/>
      <c r="O6" s="62" t="str">
        <f t="shared" si="6"/>
        <v>#REF!</v>
      </c>
      <c r="P6" s="61"/>
      <c r="Q6" s="62" t="str">
        <f t="shared" si="7"/>
        <v>#REF!</v>
      </c>
      <c r="R6" s="61"/>
      <c r="S6" s="62" t="str">
        <f t="shared" si="8"/>
        <v>#REF!</v>
      </c>
      <c r="T6" s="61"/>
      <c r="U6" s="62" t="str">
        <f t="shared" si="9"/>
        <v>#REF!</v>
      </c>
      <c r="V6" s="61"/>
      <c r="W6" s="62" t="str">
        <f t="shared" si="10"/>
        <v>#REF!</v>
      </c>
      <c r="X6" s="61"/>
      <c r="Y6" s="62" t="str">
        <f t="shared" si="11"/>
        <v>#REF!</v>
      </c>
      <c r="Z6" s="61"/>
      <c r="AA6" s="62" t="str">
        <f t="shared" ref="AA6:AA10" si="41">CONCATENATE('Term Reference Guide (in-progress)'!B3," [",'Term Reference Guide (in-progress)'!C3,"]")</f>
        <v>#REF!</v>
      </c>
      <c r="AB6" s="61"/>
      <c r="AC6" s="62" t="str">
        <f t="shared" si="13"/>
        <v>#REF!</v>
      </c>
      <c r="AD6" s="61"/>
      <c r="AE6" s="62" t="str">
        <f t="shared" si="14"/>
        <v>#REF!</v>
      </c>
      <c r="AF6" s="61"/>
      <c r="AG6" s="62" t="str">
        <f t="shared" si="15"/>
        <v>#REF!</v>
      </c>
      <c r="AH6" s="61"/>
      <c r="AI6" s="62" t="str">
        <f t="shared" si="16"/>
        <v>#REF!</v>
      </c>
      <c r="AJ6" s="61"/>
      <c r="AK6" s="62" t="str">
        <f t="shared" si="17"/>
        <v>#REF!</v>
      </c>
      <c r="AL6" s="61"/>
      <c r="AM6" s="62" t="str">
        <f t="shared" si="18"/>
        <v>#REF!</v>
      </c>
      <c r="AN6" s="61"/>
      <c r="AO6" s="62" t="str">
        <f t="shared" ref="AO6:AO10" si="42">CONCATENATE('Term Reference Guide (in-progress)'!B3," [",'Term Reference Guide (in-progress)'!C3,"]")</f>
        <v>#REF!</v>
      </c>
      <c r="AP6" s="61"/>
      <c r="AQ6" s="62" t="str">
        <f t="shared" si="34"/>
        <v>#REF!</v>
      </c>
      <c r="AR6" s="61"/>
      <c r="AS6" s="62" t="str">
        <f t="shared" si="38"/>
        <v>#REF!</v>
      </c>
      <c r="AT6" s="61"/>
      <c r="AU6" s="62" t="str">
        <f t="shared" si="21"/>
        <v>#REF!</v>
      </c>
      <c r="AV6" s="61"/>
      <c r="AW6" s="62" t="str">
        <f t="shared" si="22"/>
        <v>#REF!</v>
      </c>
      <c r="AX6" s="61"/>
      <c r="AY6" s="62" t="str">
        <f t="shared" si="23"/>
        <v>#REF!</v>
      </c>
      <c r="AZ6" s="61"/>
      <c r="BA6" s="62" t="str">
        <f t="shared" si="24"/>
        <v>#REF!</v>
      </c>
      <c r="BB6" s="61"/>
      <c r="BC6" s="62" t="str">
        <f t="shared" si="25"/>
        <v>#REF!</v>
      </c>
      <c r="BE6" s="63" t="str">
        <f t="shared" si="40"/>
        <v>#REF!</v>
      </c>
      <c r="BF6" s="61"/>
      <c r="BG6" s="63" t="str">
        <f t="shared" ref="BG6:BG16" si="43">CONCATENATE('Term Reference Guide (in-progress)'!B249," [",'Term Reference Guide (in-progress)'!C249,"]")</f>
        <v>#REF!</v>
      </c>
      <c r="BH6" s="61"/>
      <c r="BI6" s="62" t="str">
        <f t="shared" si="36"/>
        <v>#REF!</v>
      </c>
      <c r="BJ6" s="61"/>
      <c r="BK6" s="63" t="str">
        <f t="shared" si="27"/>
        <v>#REF!</v>
      </c>
      <c r="BL6" s="61"/>
      <c r="BM6" s="63" t="str">
        <f t="shared" si="28"/>
        <v>#REF!</v>
      </c>
      <c r="BN6" s="61"/>
      <c r="BO6" s="63" t="s">
        <v>71</v>
      </c>
      <c r="BP6" s="61"/>
      <c r="BQ6" s="63" t="s">
        <v>71</v>
      </c>
      <c r="BR6" s="61"/>
      <c r="BS6" s="63" t="str">
        <f t="shared" si="31"/>
        <v>#REF!</v>
      </c>
      <c r="BT6" s="61"/>
      <c r="BU6" s="61" t="str">
        <f t="shared" si="32"/>
        <v>#REF!</v>
      </c>
      <c r="BV6" s="62"/>
      <c r="BW6" s="61"/>
      <c r="BX6" s="61"/>
    </row>
    <row r="7">
      <c r="A7" s="62" t="str">
        <f t="shared" si="1"/>
        <v>#REF!</v>
      </c>
      <c r="B7" s="61"/>
      <c r="C7" s="62" t="str">
        <f t="shared" si="39"/>
        <v>#REF!</v>
      </c>
      <c r="D7" s="61"/>
      <c r="E7" s="62" t="str">
        <f t="shared" ref="E7:E11" si="44">CONCATENATE('Term Reference Guide (in-progress)'!B3," [",'Term Reference Guide (in-progress)'!C3,"]")</f>
        <v>#REF!</v>
      </c>
      <c r="F7" s="61"/>
      <c r="G7" s="63" t="str">
        <f t="shared" si="4"/>
        <v>#REF!</v>
      </c>
      <c r="H7" s="61"/>
      <c r="I7" s="62" t="s">
        <v>72</v>
      </c>
      <c r="J7" s="61"/>
      <c r="K7" s="63" t="str">
        <f t="shared" si="37"/>
        <v>#REF!</v>
      </c>
      <c r="L7" s="61"/>
      <c r="M7" s="62" t="str">
        <f t="shared" si="5"/>
        <v>#REF!</v>
      </c>
      <c r="N7" s="61"/>
      <c r="O7" s="62" t="str">
        <f t="shared" si="6"/>
        <v>#REF!</v>
      </c>
      <c r="P7" s="61"/>
      <c r="Q7" s="62" t="str">
        <f t="shared" si="7"/>
        <v>#REF!</v>
      </c>
      <c r="R7" s="61"/>
      <c r="S7" s="62" t="str">
        <f t="shared" si="8"/>
        <v>#REF!</v>
      </c>
      <c r="T7" s="61"/>
      <c r="U7" s="62" t="str">
        <f t="shared" si="9"/>
        <v>#REF!</v>
      </c>
      <c r="V7" s="61"/>
      <c r="W7" s="62" t="str">
        <f t="shared" si="10"/>
        <v>#REF!</v>
      </c>
      <c r="X7" s="61"/>
      <c r="Y7" s="62" t="str">
        <f t="shared" si="11"/>
        <v>#REF!</v>
      </c>
      <c r="Z7" s="61"/>
      <c r="AA7" s="62" t="str">
        <f t="shared" si="41"/>
        <v>#REF!</v>
      </c>
      <c r="AB7" s="61"/>
      <c r="AC7" s="62" t="str">
        <f t="shared" si="13"/>
        <v>#REF!</v>
      </c>
      <c r="AD7" s="61"/>
      <c r="AE7" s="62" t="str">
        <f t="shared" ref="AE7:AE11" si="45">CONCATENATE('Term Reference Guide (in-progress)'!B3," [",'Term Reference Guide (in-progress)'!C3,"]")</f>
        <v>#REF!</v>
      </c>
      <c r="AF7" s="61"/>
      <c r="AG7" s="62" t="str">
        <f t="shared" si="15"/>
        <v>#REF!</v>
      </c>
      <c r="AH7" s="61"/>
      <c r="AI7" s="62" t="str">
        <f t="shared" si="16"/>
        <v>#REF!</v>
      </c>
      <c r="AJ7" s="61"/>
      <c r="AK7" s="62" t="str">
        <f t="shared" ref="AK7:AK11" si="46">CONCATENATE('Term Reference Guide (in-progress)'!B3," [",'Term Reference Guide (in-progress)'!C3,"]")</f>
        <v>#REF!</v>
      </c>
      <c r="AL7" s="61"/>
      <c r="AM7" s="62" t="str">
        <f t="shared" si="18"/>
        <v>#REF!</v>
      </c>
      <c r="AN7" s="62"/>
      <c r="AO7" s="62" t="str">
        <f t="shared" si="42"/>
        <v>#REF!</v>
      </c>
      <c r="AP7" s="61"/>
      <c r="AQ7" s="62" t="str">
        <f t="shared" si="34"/>
        <v>#REF!</v>
      </c>
      <c r="AR7" s="61"/>
      <c r="AS7" s="62" t="str">
        <f t="shared" si="38"/>
        <v>#REF!</v>
      </c>
      <c r="AT7" s="61"/>
      <c r="AU7" s="62" t="str">
        <f t="shared" si="21"/>
        <v>#REF!</v>
      </c>
      <c r="AV7" s="61"/>
      <c r="AW7" s="62" t="str">
        <f t="shared" si="22"/>
        <v>#REF!</v>
      </c>
      <c r="AX7" s="61"/>
      <c r="AY7" s="62" t="str">
        <f t="shared" si="23"/>
        <v>#REF!</v>
      </c>
      <c r="AZ7" s="61"/>
      <c r="BA7" s="62" t="str">
        <f t="shared" si="24"/>
        <v>#REF!</v>
      </c>
      <c r="BB7" s="61"/>
      <c r="BC7" s="62" t="str">
        <f t="shared" si="25"/>
        <v>#REF!</v>
      </c>
      <c r="BE7" s="63" t="str">
        <f t="shared" si="40"/>
        <v>#REF!</v>
      </c>
      <c r="BF7" s="61"/>
      <c r="BG7" s="63" t="str">
        <f t="shared" si="43"/>
        <v>#REF!</v>
      </c>
      <c r="BH7" s="61"/>
      <c r="BI7" s="63" t="str">
        <f t="shared" ref="BI7:BI11" si="47">CONCATENATE('Term Reference Guide (in-progress)'!B3," [",'Term Reference Guide (in-progress)'!C3,"]")</f>
        <v>#REF!</v>
      </c>
      <c r="BJ7" s="61"/>
      <c r="BK7" s="63" t="str">
        <f t="shared" si="27"/>
        <v>#REF!</v>
      </c>
      <c r="BL7" s="61"/>
      <c r="BM7" s="63" t="str">
        <f t="shared" si="28"/>
        <v>#REF!</v>
      </c>
      <c r="BN7" s="61"/>
      <c r="BO7" s="63" t="s">
        <v>73</v>
      </c>
      <c r="BP7" s="61"/>
      <c r="BQ7" s="63" t="s">
        <v>73</v>
      </c>
      <c r="BR7" s="61"/>
      <c r="BS7" s="63" t="str">
        <f t="shared" si="31"/>
        <v>#REF!</v>
      </c>
      <c r="BT7" s="61"/>
      <c r="BU7" s="61" t="str">
        <f t="shared" si="32"/>
        <v>#REF!</v>
      </c>
      <c r="BV7" s="62"/>
      <c r="BX7" s="61"/>
    </row>
    <row r="8">
      <c r="A8" s="62" t="str">
        <f t="shared" si="1"/>
        <v>#REF!</v>
      </c>
      <c r="B8" s="61"/>
      <c r="C8" s="62" t="str">
        <f t="shared" si="39"/>
        <v>#REF!</v>
      </c>
      <c r="D8" s="61"/>
      <c r="E8" s="62" t="str">
        <f t="shared" si="44"/>
        <v>#REF!</v>
      </c>
      <c r="F8" s="61"/>
      <c r="G8" s="63" t="str">
        <f t="shared" si="4"/>
        <v>#REF!</v>
      </c>
      <c r="H8" s="61"/>
      <c r="I8" s="62" t="s">
        <v>74</v>
      </c>
      <c r="K8" s="63" t="str">
        <f t="shared" si="37"/>
        <v>#REF!</v>
      </c>
      <c r="L8" s="61"/>
      <c r="M8" s="62" t="str">
        <f t="shared" si="5"/>
        <v>#REF!</v>
      </c>
      <c r="N8" s="61"/>
      <c r="O8" s="62" t="str">
        <f t="shared" si="6"/>
        <v>#REF!</v>
      </c>
      <c r="P8" s="61"/>
      <c r="Q8" s="62" t="str">
        <f t="shared" si="7"/>
        <v>#REF!</v>
      </c>
      <c r="R8" s="61"/>
      <c r="S8" s="62" t="str">
        <f t="shared" si="8"/>
        <v>#REF!</v>
      </c>
      <c r="T8" s="61"/>
      <c r="U8" s="62" t="str">
        <f t="shared" si="9"/>
        <v>#REF!</v>
      </c>
      <c r="V8" s="61"/>
      <c r="W8" s="62" t="str">
        <f t="shared" si="10"/>
        <v>#REF!</v>
      </c>
      <c r="X8" s="61"/>
      <c r="Y8" s="62" t="str">
        <f t="shared" si="11"/>
        <v>#REF!</v>
      </c>
      <c r="Z8" s="61"/>
      <c r="AA8" s="62" t="str">
        <f t="shared" si="41"/>
        <v>#REF!</v>
      </c>
      <c r="AB8" s="61"/>
      <c r="AC8" s="62" t="str">
        <f t="shared" si="13"/>
        <v>#REF!</v>
      </c>
      <c r="AD8" s="61"/>
      <c r="AE8" s="62" t="str">
        <f t="shared" si="45"/>
        <v>#REF!</v>
      </c>
      <c r="AF8" s="61"/>
      <c r="AG8" s="62" t="str">
        <f t="shared" si="15"/>
        <v>#REF!</v>
      </c>
      <c r="AH8" s="61"/>
      <c r="AI8" s="62" t="str">
        <f t="shared" si="16"/>
        <v>#REF!</v>
      </c>
      <c r="AJ8" s="61"/>
      <c r="AK8" s="62" t="str">
        <f t="shared" si="46"/>
        <v>#REF!</v>
      </c>
      <c r="AL8" s="61"/>
      <c r="AM8" s="62" t="str">
        <f t="shared" si="18"/>
        <v>#REF!</v>
      </c>
      <c r="AN8" s="61"/>
      <c r="AO8" s="62" t="str">
        <f t="shared" si="42"/>
        <v>#REF!</v>
      </c>
      <c r="AP8" s="61"/>
      <c r="AQ8" s="61"/>
      <c r="AR8" s="61"/>
      <c r="AS8" s="62" t="str">
        <f t="shared" si="38"/>
        <v>#REF!</v>
      </c>
      <c r="AT8" s="61"/>
      <c r="AU8" s="62" t="str">
        <f t="shared" si="21"/>
        <v>#REF!</v>
      </c>
      <c r="AV8" s="61"/>
      <c r="AW8" s="62" t="str">
        <f t="shared" ref="AW8:AW12" si="48">CONCATENATE('Term Reference Guide (in-progress)'!B3," [",'Term Reference Guide (in-progress)'!C3,"]")</f>
        <v>#REF!</v>
      </c>
      <c r="AX8" s="61"/>
      <c r="AY8" s="62" t="str">
        <f t="shared" si="23"/>
        <v>#REF!</v>
      </c>
      <c r="AZ8" s="61"/>
      <c r="BA8" s="62" t="str">
        <f t="shared" si="24"/>
        <v>#REF!</v>
      </c>
      <c r="BB8" s="61"/>
      <c r="BC8" s="62" t="str">
        <f t="shared" si="25"/>
        <v>#REF!</v>
      </c>
      <c r="BE8" s="63" t="str">
        <f t="shared" si="40"/>
        <v>#REF!</v>
      </c>
      <c r="BF8" s="61"/>
      <c r="BG8" s="63" t="str">
        <f t="shared" si="43"/>
        <v>#REF!</v>
      </c>
      <c r="BH8" s="61"/>
      <c r="BI8" s="63" t="str">
        <f t="shared" si="47"/>
        <v>#REF!</v>
      </c>
      <c r="BJ8" s="61"/>
      <c r="BK8" s="63" t="str">
        <f t="shared" si="27"/>
        <v>#REF!</v>
      </c>
      <c r="BL8" s="61"/>
      <c r="BM8" s="63" t="str">
        <f t="shared" si="28"/>
        <v>#REF!</v>
      </c>
      <c r="BN8" s="61"/>
      <c r="BO8" s="63" t="s">
        <v>75</v>
      </c>
      <c r="BP8" s="61"/>
      <c r="BQ8" s="63" t="s">
        <v>75</v>
      </c>
      <c r="BR8" s="61"/>
      <c r="BS8" s="63" t="str">
        <f t="shared" si="31"/>
        <v>#REF!</v>
      </c>
      <c r="BT8" s="61"/>
      <c r="BU8" s="61" t="str">
        <f t="shared" si="32"/>
        <v>#REF!</v>
      </c>
      <c r="BV8" s="62"/>
      <c r="BX8" s="61"/>
    </row>
    <row r="9">
      <c r="A9" s="62" t="str">
        <f t="shared" si="1"/>
        <v>#REF!</v>
      </c>
      <c r="B9" s="61"/>
      <c r="C9" s="62" t="str">
        <f t="shared" si="39"/>
        <v>#REF!</v>
      </c>
      <c r="D9" s="61"/>
      <c r="E9" s="62" t="str">
        <f t="shared" si="44"/>
        <v>#REF!</v>
      </c>
      <c r="F9" s="61"/>
      <c r="G9" s="63" t="str">
        <f t="shared" si="4"/>
        <v>#REF!</v>
      </c>
      <c r="H9" s="61"/>
      <c r="I9" s="62" t="s">
        <v>76</v>
      </c>
      <c r="J9" s="61"/>
      <c r="L9" s="61"/>
      <c r="M9" s="62" t="str">
        <f t="shared" si="5"/>
        <v>#REF!</v>
      </c>
      <c r="N9" s="61"/>
      <c r="O9" s="62" t="str">
        <f t="shared" si="6"/>
        <v>#REF!</v>
      </c>
      <c r="P9" s="61"/>
      <c r="Q9" s="62" t="str">
        <f t="shared" si="7"/>
        <v>#REF!</v>
      </c>
      <c r="R9" s="61"/>
      <c r="S9" s="62" t="str">
        <f t="shared" si="8"/>
        <v>#REF!</v>
      </c>
      <c r="T9" s="61"/>
      <c r="U9" s="62" t="str">
        <f t="shared" si="9"/>
        <v>#REF!</v>
      </c>
      <c r="V9" s="61"/>
      <c r="W9" s="62" t="str">
        <f t="shared" si="10"/>
        <v>#REF!</v>
      </c>
      <c r="X9" s="62"/>
      <c r="Y9" s="62" t="str">
        <f t="shared" si="11"/>
        <v>#REF!</v>
      </c>
      <c r="Z9" s="61"/>
      <c r="AA9" s="62" t="str">
        <f t="shared" si="41"/>
        <v>#REF!</v>
      </c>
      <c r="AB9" s="61"/>
      <c r="AC9" s="62" t="str">
        <f t="shared" si="13"/>
        <v>#REF!</v>
      </c>
      <c r="AD9" s="61"/>
      <c r="AE9" s="62" t="str">
        <f t="shared" si="45"/>
        <v>#REF!</v>
      </c>
      <c r="AF9" s="61"/>
      <c r="AG9" s="62" t="str">
        <f t="shared" si="15"/>
        <v>#REF!</v>
      </c>
      <c r="AH9" s="61"/>
      <c r="AI9" s="62" t="str">
        <f t="shared" si="16"/>
        <v>#REF!</v>
      </c>
      <c r="AJ9" s="61"/>
      <c r="AK9" s="62" t="str">
        <f t="shared" si="46"/>
        <v>#REF!</v>
      </c>
      <c r="AL9" s="61"/>
      <c r="AM9" s="62" t="str">
        <f t="shared" ref="AM9:AM13" si="49">CONCATENATE('Term Reference Guide (in-progress)'!B3," [",'Term Reference Guide (in-progress)'!C3,"]")</f>
        <v>#REF!</v>
      </c>
      <c r="AN9" s="61"/>
      <c r="AO9" s="62" t="str">
        <f t="shared" si="42"/>
        <v>#REF!</v>
      </c>
      <c r="AP9" s="61"/>
      <c r="AQ9" s="61"/>
      <c r="AR9" s="61"/>
      <c r="AS9" s="61"/>
      <c r="AT9" s="61"/>
      <c r="AU9" s="62" t="str">
        <f t="shared" si="21"/>
        <v>#REF!</v>
      </c>
      <c r="AV9" s="61"/>
      <c r="AW9" s="62" t="str">
        <f t="shared" si="48"/>
        <v>#REF!</v>
      </c>
      <c r="AX9" s="61"/>
      <c r="AY9" s="62" t="str">
        <f t="shared" si="23"/>
        <v>#REF!</v>
      </c>
      <c r="AZ9" s="61"/>
      <c r="BA9" s="62" t="str">
        <f t="shared" si="24"/>
        <v>#REF!</v>
      </c>
      <c r="BB9" s="61"/>
      <c r="BC9" s="62" t="str">
        <f t="shared" si="25"/>
        <v>#REF!</v>
      </c>
      <c r="BE9" s="63" t="str">
        <f t="shared" si="40"/>
        <v>#REF!</v>
      </c>
      <c r="BF9" s="61"/>
      <c r="BG9" s="63" t="str">
        <f t="shared" si="43"/>
        <v>#REF!</v>
      </c>
      <c r="BH9" s="61"/>
      <c r="BI9" s="63" t="str">
        <f t="shared" si="47"/>
        <v>#REF!</v>
      </c>
      <c r="BJ9" s="61"/>
      <c r="BK9" s="63" t="str">
        <f t="shared" si="27"/>
        <v>#REF!</v>
      </c>
      <c r="BL9" s="61"/>
      <c r="BM9" s="63" t="str">
        <f t="shared" si="28"/>
        <v>#REF!</v>
      </c>
      <c r="BN9" s="61"/>
      <c r="BP9" s="61"/>
      <c r="BR9" s="61"/>
      <c r="BS9" s="63" t="str">
        <f t="shared" si="31"/>
        <v>#REF!</v>
      </c>
      <c r="BT9" s="61"/>
      <c r="BU9" s="61" t="str">
        <f t="shared" si="32"/>
        <v>#REF!</v>
      </c>
      <c r="BV9" s="62"/>
      <c r="BW9" s="61"/>
      <c r="BX9" s="61"/>
    </row>
    <row r="10">
      <c r="A10" s="62" t="str">
        <f t="shared" si="1"/>
        <v>#REF!</v>
      </c>
      <c r="B10" s="61"/>
      <c r="D10" s="61"/>
      <c r="E10" s="62" t="str">
        <f t="shared" si="44"/>
        <v>#REF!</v>
      </c>
      <c r="F10" s="61"/>
      <c r="G10" s="63" t="str">
        <f t="shared" si="4"/>
        <v>#REF!</v>
      </c>
      <c r="H10" s="61"/>
      <c r="I10" s="62" t="s">
        <v>77</v>
      </c>
      <c r="J10" s="61"/>
      <c r="L10" s="61"/>
      <c r="M10" s="62" t="str">
        <f t="shared" si="5"/>
        <v>#REF!</v>
      </c>
      <c r="N10" s="61"/>
      <c r="O10" s="62" t="str">
        <f t="shared" si="6"/>
        <v>#REF!</v>
      </c>
      <c r="P10" s="61"/>
      <c r="Q10" s="62" t="str">
        <f t="shared" ref="Q10:Q14" si="50">CONCATENATE('Term Reference Guide (in-progress)'!B3," [",'Term Reference Guide (in-progress)'!C3,"]")</f>
        <v>#REF!</v>
      </c>
      <c r="R10" s="61"/>
      <c r="S10" s="62" t="str">
        <f t="shared" si="8"/>
        <v>#REF!</v>
      </c>
      <c r="T10" s="61"/>
      <c r="U10" s="62" t="str">
        <f t="shared" si="9"/>
        <v>#REF!</v>
      </c>
      <c r="V10" s="61"/>
      <c r="W10" s="62" t="str">
        <f t="shared" si="10"/>
        <v>#REF!</v>
      </c>
      <c r="X10" s="61"/>
      <c r="Y10" s="62" t="str">
        <f t="shared" si="11"/>
        <v>#REF!</v>
      </c>
      <c r="Z10" s="61"/>
      <c r="AA10" s="62" t="str">
        <f t="shared" si="41"/>
        <v>#REF!</v>
      </c>
      <c r="AB10" s="61"/>
      <c r="AC10" s="62" t="str">
        <f t="shared" si="13"/>
        <v>#REF!</v>
      </c>
      <c r="AD10" s="61"/>
      <c r="AE10" s="62" t="str">
        <f t="shared" si="45"/>
        <v>#REF!</v>
      </c>
      <c r="AF10" s="61"/>
      <c r="AG10" s="62" t="str">
        <f t="shared" si="15"/>
        <v>#REF!</v>
      </c>
      <c r="AH10" s="61"/>
      <c r="AI10" s="62" t="str">
        <f t="shared" si="16"/>
        <v>#REF!</v>
      </c>
      <c r="AJ10" s="61"/>
      <c r="AK10" s="62" t="str">
        <f t="shared" si="46"/>
        <v>#REF!</v>
      </c>
      <c r="AL10" s="61"/>
      <c r="AM10" s="62" t="str">
        <f t="shared" si="49"/>
        <v>#REF!</v>
      </c>
      <c r="AN10" s="61"/>
      <c r="AO10" s="62" t="str">
        <f t="shared" si="42"/>
        <v>#REF!</v>
      </c>
      <c r="AP10" s="61"/>
      <c r="AQ10" s="61"/>
      <c r="AR10" s="61"/>
      <c r="AS10" s="61"/>
      <c r="AT10" s="61"/>
      <c r="AU10" s="62" t="str">
        <f t="shared" si="21"/>
        <v>#REF!</v>
      </c>
      <c r="AV10" s="61"/>
      <c r="AW10" s="62" t="str">
        <f t="shared" si="48"/>
        <v>#REF!</v>
      </c>
      <c r="AX10" s="61"/>
      <c r="AY10" s="62" t="str">
        <f t="shared" si="23"/>
        <v>#REF!</v>
      </c>
      <c r="AZ10" s="61"/>
      <c r="BA10" s="62" t="str">
        <f t="shared" si="24"/>
        <v>#REF!</v>
      </c>
      <c r="BB10" s="61"/>
      <c r="BC10" s="62" t="str">
        <f t="shared" si="25"/>
        <v>#REF!</v>
      </c>
      <c r="BE10" s="61"/>
      <c r="BF10" s="61"/>
      <c r="BG10" s="63" t="str">
        <f t="shared" si="43"/>
        <v>#REF!</v>
      </c>
      <c r="BH10" s="61"/>
      <c r="BI10" s="63" t="str">
        <f t="shared" si="47"/>
        <v>#REF!</v>
      </c>
      <c r="BJ10" s="61"/>
      <c r="BK10" s="63" t="str">
        <f t="shared" si="27"/>
        <v>#REF!</v>
      </c>
      <c r="BL10" s="61"/>
      <c r="BM10" s="63" t="str">
        <f t="shared" si="28"/>
        <v>#REF!</v>
      </c>
      <c r="BN10" s="61"/>
      <c r="BO10" s="61"/>
      <c r="BP10" s="61"/>
      <c r="BQ10" s="61"/>
      <c r="BR10" s="61"/>
      <c r="BS10" s="63" t="str">
        <f t="shared" si="31"/>
        <v>#REF!</v>
      </c>
      <c r="BT10" s="61"/>
      <c r="BU10" s="61" t="str">
        <f t="shared" si="32"/>
        <v>#REF!</v>
      </c>
      <c r="BV10" s="61"/>
      <c r="BW10" s="61"/>
      <c r="BX10" s="61"/>
    </row>
    <row r="11">
      <c r="A11" s="62" t="str">
        <f t="shared" si="1"/>
        <v>#REF!</v>
      </c>
      <c r="B11" s="61"/>
      <c r="C11" s="61"/>
      <c r="D11" s="61"/>
      <c r="E11" s="62" t="str">
        <f t="shared" si="44"/>
        <v>#REF!</v>
      </c>
      <c r="F11" s="61"/>
      <c r="G11" s="63" t="str">
        <f t="shared" si="4"/>
        <v>#REF!</v>
      </c>
      <c r="H11" s="61"/>
      <c r="I11" s="62" t="s">
        <v>78</v>
      </c>
      <c r="K11" s="61"/>
      <c r="L11" s="61"/>
      <c r="M11" s="62" t="str">
        <f t="shared" ref="M11:M15" si="51">CONCATENATE('Term Reference Guide (in-progress)'!B3," [",'Term Reference Guide (in-progress)'!C3,"]")</f>
        <v>#REF!</v>
      </c>
      <c r="N11" s="61"/>
      <c r="O11" s="62" t="str">
        <f t="shared" si="6"/>
        <v>#REF!</v>
      </c>
      <c r="P11" s="61"/>
      <c r="Q11" s="62" t="str">
        <f t="shared" si="50"/>
        <v>#REF!</v>
      </c>
      <c r="R11" s="61"/>
      <c r="S11" s="62" t="str">
        <f t="shared" si="8"/>
        <v>#REF!</v>
      </c>
      <c r="T11" s="61"/>
      <c r="U11" s="62" t="str">
        <f t="shared" si="9"/>
        <v>#REF!</v>
      </c>
      <c r="V11" s="61"/>
      <c r="W11" s="62" t="str">
        <f t="shared" si="10"/>
        <v>#REF!</v>
      </c>
      <c r="X11" s="61"/>
      <c r="Y11" s="62" t="str">
        <f t="shared" si="11"/>
        <v>#REF!</v>
      </c>
      <c r="Z11" s="61"/>
      <c r="AA11" s="61"/>
      <c r="AB11" s="61"/>
      <c r="AC11" s="62" t="str">
        <f t="shared" si="13"/>
        <v>#REF!</v>
      </c>
      <c r="AD11" s="61"/>
      <c r="AE11" s="62" t="str">
        <f t="shared" si="45"/>
        <v>#REF!</v>
      </c>
      <c r="AF11" s="61"/>
      <c r="AG11" s="62" t="str">
        <f t="shared" si="15"/>
        <v>#REF!</v>
      </c>
      <c r="AH11" s="61"/>
      <c r="AI11" s="62" t="str">
        <f t="shared" si="16"/>
        <v>#REF!</v>
      </c>
      <c r="AJ11" s="61"/>
      <c r="AK11" s="62" t="str">
        <f t="shared" si="46"/>
        <v>#REF!</v>
      </c>
      <c r="AL11" s="62"/>
      <c r="AM11" s="62" t="str">
        <f t="shared" si="49"/>
        <v>#REF!</v>
      </c>
      <c r="AP11" s="61"/>
      <c r="AU11" s="62" t="str">
        <f t="shared" si="21"/>
        <v>#REF!</v>
      </c>
      <c r="AV11" s="61"/>
      <c r="AW11" s="62" t="str">
        <f t="shared" si="48"/>
        <v>#REF!</v>
      </c>
      <c r="AX11" s="61"/>
      <c r="AY11" s="62" t="str">
        <f t="shared" si="23"/>
        <v>#REF!</v>
      </c>
      <c r="AZ11" s="61"/>
      <c r="BA11" s="62" t="str">
        <f t="shared" si="24"/>
        <v>#REF!</v>
      </c>
      <c r="BB11" s="61"/>
      <c r="BC11" s="62" t="str">
        <f t="shared" si="25"/>
        <v>#REF!</v>
      </c>
      <c r="BD11" s="61"/>
      <c r="BG11" s="63" t="str">
        <f t="shared" si="43"/>
        <v>#REF!</v>
      </c>
      <c r="BI11" s="63" t="str">
        <f t="shared" si="47"/>
        <v>#REF!</v>
      </c>
      <c r="BJ11" s="61"/>
      <c r="BK11" s="63" t="str">
        <f t="shared" si="27"/>
        <v>#REF!</v>
      </c>
      <c r="BL11" s="61"/>
      <c r="BM11" s="63" t="str">
        <f t="shared" si="28"/>
        <v>#REF!</v>
      </c>
      <c r="BP11" s="61"/>
      <c r="BS11" s="63" t="str">
        <f t="shared" si="31"/>
        <v>#REF!</v>
      </c>
      <c r="BT11" s="61"/>
      <c r="BU11" s="61" t="str">
        <f t="shared" si="32"/>
        <v>#REF!</v>
      </c>
      <c r="BV11" s="61"/>
      <c r="BW11" s="61"/>
      <c r="BX11" s="61"/>
    </row>
    <row r="12">
      <c r="A12" s="62" t="str">
        <f t="shared" si="1"/>
        <v>#REF!</v>
      </c>
      <c r="B12" s="61"/>
      <c r="C12" s="61"/>
      <c r="D12" s="61"/>
      <c r="F12" s="61"/>
      <c r="G12" s="63" t="str">
        <f t="shared" si="4"/>
        <v>#REF!</v>
      </c>
      <c r="H12" s="61"/>
      <c r="I12" s="62" t="s">
        <v>79</v>
      </c>
      <c r="K12" s="61"/>
      <c r="L12" s="61"/>
      <c r="M12" s="62" t="str">
        <f t="shared" si="51"/>
        <v>#REF!</v>
      </c>
      <c r="N12" s="61"/>
      <c r="O12" s="62" t="str">
        <f t="shared" si="6"/>
        <v>#REF!</v>
      </c>
      <c r="P12" s="61"/>
      <c r="Q12" s="62" t="str">
        <f t="shared" si="50"/>
        <v>#REF!</v>
      </c>
      <c r="R12" s="61"/>
      <c r="S12" s="62" t="str">
        <f t="shared" si="8"/>
        <v>#REF!</v>
      </c>
      <c r="T12" s="61"/>
      <c r="U12" s="62" t="str">
        <f t="shared" si="9"/>
        <v>#REF!</v>
      </c>
      <c r="V12" s="61"/>
      <c r="W12" s="62" t="str">
        <f t="shared" si="10"/>
        <v>#REF!</v>
      </c>
      <c r="X12" s="61"/>
      <c r="Y12" s="62" t="str">
        <f t="shared" si="11"/>
        <v>#REF!</v>
      </c>
      <c r="Z12" s="61"/>
      <c r="AA12" s="61"/>
      <c r="AB12" s="61"/>
      <c r="AC12" s="62" t="str">
        <f t="shared" si="13"/>
        <v>#REF!</v>
      </c>
      <c r="AD12" s="61"/>
      <c r="AF12" s="61"/>
      <c r="AG12" s="62" t="str">
        <f t="shared" si="15"/>
        <v>#REF!</v>
      </c>
      <c r="AH12" s="61"/>
      <c r="AI12" s="62" t="str">
        <f t="shared" si="16"/>
        <v>#REF!</v>
      </c>
      <c r="AJ12" s="61"/>
      <c r="AM12" s="62" t="str">
        <f t="shared" si="49"/>
        <v>#REF!</v>
      </c>
      <c r="AP12" s="61"/>
      <c r="AU12" s="62" t="str">
        <f t="shared" si="21"/>
        <v>#REF!</v>
      </c>
      <c r="AV12" s="61"/>
      <c r="AW12" s="62" t="str">
        <f t="shared" si="48"/>
        <v>#REF!</v>
      </c>
      <c r="AX12" s="61"/>
      <c r="AY12" s="62" t="str">
        <f t="shared" si="23"/>
        <v>#REF!</v>
      </c>
      <c r="AZ12" s="61"/>
      <c r="BA12" s="62" t="str">
        <f t="shared" si="24"/>
        <v>#REF!</v>
      </c>
      <c r="BB12" s="61"/>
      <c r="BC12" s="62" t="str">
        <f t="shared" si="25"/>
        <v>#REF!</v>
      </c>
      <c r="BD12" s="61"/>
      <c r="BG12" s="63" t="str">
        <f t="shared" si="43"/>
        <v>#REF!</v>
      </c>
      <c r="BJ12" s="61"/>
      <c r="BK12" s="63" t="str">
        <f t="shared" si="27"/>
        <v>#REF!</v>
      </c>
      <c r="BL12" s="61"/>
      <c r="BM12" s="63" t="str">
        <f t="shared" si="28"/>
        <v>#REF!</v>
      </c>
      <c r="BP12" s="61"/>
      <c r="BS12" s="63" t="str">
        <f t="shared" si="31"/>
        <v>#REF!</v>
      </c>
      <c r="BT12" s="61"/>
      <c r="BU12" s="61" t="str">
        <f t="shared" si="32"/>
        <v>#REF!</v>
      </c>
      <c r="BV12" s="61"/>
      <c r="BW12" s="61"/>
      <c r="BX12" s="61"/>
    </row>
    <row r="13">
      <c r="A13" s="62" t="str">
        <f t="shared" si="1"/>
        <v>#REF!</v>
      </c>
      <c r="B13" s="61"/>
      <c r="C13" s="61"/>
      <c r="D13" s="61"/>
      <c r="E13" s="62"/>
      <c r="F13" s="61"/>
      <c r="G13" s="63" t="str">
        <f t="shared" si="4"/>
        <v>#REF!</v>
      </c>
      <c r="H13" s="61"/>
      <c r="I13" s="62" t="s">
        <v>80</v>
      </c>
      <c r="J13" s="61"/>
      <c r="K13" s="61"/>
      <c r="L13" s="61"/>
      <c r="M13" s="62" t="str">
        <f t="shared" si="51"/>
        <v>#REF!</v>
      </c>
      <c r="N13" s="61"/>
      <c r="O13" s="62" t="str">
        <f t="shared" si="6"/>
        <v>#REF!</v>
      </c>
      <c r="P13" s="61"/>
      <c r="Q13" s="62" t="str">
        <f t="shared" si="50"/>
        <v>#REF!</v>
      </c>
      <c r="R13" s="61"/>
      <c r="S13" s="62" t="str">
        <f t="shared" si="8"/>
        <v>#REF!</v>
      </c>
      <c r="T13" s="61"/>
      <c r="U13" s="62" t="str">
        <f t="shared" si="9"/>
        <v>#REF!</v>
      </c>
      <c r="V13" s="61"/>
      <c r="W13" s="62" t="str">
        <f t="shared" si="10"/>
        <v>#REF!</v>
      </c>
      <c r="X13" s="61"/>
      <c r="Y13" s="62" t="str">
        <f t="shared" si="11"/>
        <v>#REF!</v>
      </c>
      <c r="Z13" s="61"/>
      <c r="AA13" s="61"/>
      <c r="AB13" s="61"/>
      <c r="AC13" s="62" t="str">
        <f t="shared" si="13"/>
        <v>#REF!</v>
      </c>
      <c r="AD13" s="61"/>
      <c r="AF13" s="61"/>
      <c r="AG13" s="62" t="str">
        <f t="shared" si="15"/>
        <v>#REF!</v>
      </c>
      <c r="AH13" s="61"/>
      <c r="AI13" s="62" t="str">
        <f t="shared" si="16"/>
        <v>#REF!</v>
      </c>
      <c r="AJ13" s="60"/>
      <c r="AK13" s="62"/>
      <c r="AL13" s="62"/>
      <c r="AM13" s="62" t="str">
        <f t="shared" si="49"/>
        <v>#REF!</v>
      </c>
      <c r="AN13" s="61"/>
      <c r="AO13" s="61"/>
      <c r="AP13" s="61"/>
      <c r="AQ13" s="61"/>
      <c r="AR13" s="61"/>
      <c r="AS13" s="61"/>
      <c r="AT13" s="61"/>
      <c r="AU13" s="62" t="str">
        <f t="shared" ref="AU13:AU17" si="52">CONCATENATE('Term Reference Guide (in-progress)'!B3," [",'Term Reference Guide (in-progress)'!C3,"]")</f>
        <v>#REF!</v>
      </c>
      <c r="AV13" s="61"/>
      <c r="AX13" s="61"/>
      <c r="AY13" s="62" t="str">
        <f t="shared" si="23"/>
        <v>#REF!</v>
      </c>
      <c r="AZ13" s="61"/>
      <c r="BA13" s="62" t="str">
        <f t="shared" si="24"/>
        <v>#REF!</v>
      </c>
      <c r="BB13" s="61"/>
      <c r="BC13" s="62" t="str">
        <f t="shared" si="25"/>
        <v>#REF!</v>
      </c>
      <c r="BD13" s="61"/>
      <c r="BE13" s="61"/>
      <c r="BF13" s="61"/>
      <c r="BG13" s="63" t="str">
        <f t="shared" si="43"/>
        <v>#REF!</v>
      </c>
      <c r="BH13" s="61"/>
      <c r="BI13" s="61"/>
      <c r="BJ13" s="61"/>
      <c r="BK13" s="63" t="str">
        <f t="shared" ref="BK13:BK16" si="53">CONCATENATE('Term Reference Guide (in-progress)'!B732," [",'Term Reference Guide (in-progress)'!C732,"]")</f>
        <v>#REF!</v>
      </c>
      <c r="BL13" s="61"/>
      <c r="BM13" s="63" t="str">
        <f t="shared" si="28"/>
        <v>#REF!</v>
      </c>
      <c r="BN13" s="61"/>
      <c r="BO13" s="61"/>
      <c r="BP13" s="61"/>
      <c r="BQ13" s="61"/>
      <c r="BR13" s="61"/>
      <c r="BS13" s="63" t="str">
        <f t="shared" si="31"/>
        <v>#REF!</v>
      </c>
      <c r="BT13" s="61"/>
      <c r="BU13" s="61" t="str">
        <f t="shared" si="32"/>
        <v>#REF!</v>
      </c>
      <c r="BV13" s="61"/>
      <c r="BW13" s="61"/>
      <c r="BX13" s="61"/>
    </row>
    <row r="14">
      <c r="A14" s="62" t="str">
        <f t="shared" si="1"/>
        <v>#REF!</v>
      </c>
      <c r="B14" s="61"/>
      <c r="C14" s="61"/>
      <c r="D14" s="61"/>
      <c r="E14" s="62"/>
      <c r="F14" s="61"/>
      <c r="G14" s="63" t="str">
        <f t="shared" si="4"/>
        <v>#REF!</v>
      </c>
      <c r="H14" s="61"/>
      <c r="I14" s="62" t="s">
        <v>81</v>
      </c>
      <c r="J14" s="61"/>
      <c r="K14" s="61"/>
      <c r="L14" s="61"/>
      <c r="M14" s="62" t="str">
        <f t="shared" si="51"/>
        <v>#REF!</v>
      </c>
      <c r="N14" s="61"/>
      <c r="O14" s="62" t="str">
        <f t="shared" si="6"/>
        <v>#REF!</v>
      </c>
      <c r="P14" s="61"/>
      <c r="Q14" s="62" t="str">
        <f t="shared" si="50"/>
        <v>#REF!</v>
      </c>
      <c r="R14" s="61"/>
      <c r="S14" s="62" t="str">
        <f t="shared" si="8"/>
        <v>#REF!</v>
      </c>
      <c r="T14" s="61"/>
      <c r="U14" s="62" t="str">
        <f t="shared" si="9"/>
        <v>#REF!</v>
      </c>
      <c r="V14" s="61"/>
      <c r="W14" s="62" t="str">
        <f t="shared" si="10"/>
        <v>#REF!</v>
      </c>
      <c r="X14" s="61"/>
      <c r="Y14" s="62" t="str">
        <f t="shared" si="11"/>
        <v>#REF!</v>
      </c>
      <c r="Z14" s="61"/>
      <c r="AA14" s="61"/>
      <c r="AB14" s="61"/>
      <c r="AC14" s="62" t="str">
        <f t="shared" si="13"/>
        <v>#REF!</v>
      </c>
      <c r="AD14" s="61"/>
      <c r="AF14" s="61"/>
      <c r="AG14" s="62" t="str">
        <f t="shared" si="15"/>
        <v>#REF!</v>
      </c>
      <c r="AH14" s="61"/>
      <c r="AI14" s="62" t="str">
        <f t="shared" si="16"/>
        <v>#REF!</v>
      </c>
      <c r="AJ14" s="60"/>
      <c r="AK14" s="62"/>
      <c r="AL14" s="62"/>
      <c r="AM14" s="62"/>
      <c r="AN14" s="61"/>
      <c r="AO14" s="61"/>
      <c r="AP14" s="61"/>
      <c r="AQ14" s="61"/>
      <c r="AR14" s="61"/>
      <c r="AS14" s="61"/>
      <c r="AT14" s="61"/>
      <c r="AU14" s="62" t="str">
        <f t="shared" si="52"/>
        <v>#REF!</v>
      </c>
      <c r="AV14" s="61"/>
      <c r="AW14" s="61"/>
      <c r="AX14" s="61"/>
      <c r="AY14" s="62" t="str">
        <f t="shared" si="23"/>
        <v>#REF!</v>
      </c>
      <c r="AZ14" s="61"/>
      <c r="BA14" s="62" t="str">
        <f t="shared" si="24"/>
        <v>#REF!</v>
      </c>
      <c r="BB14" s="61"/>
      <c r="BC14" s="62" t="str">
        <f t="shared" si="25"/>
        <v>#REF!</v>
      </c>
      <c r="BD14" s="61"/>
      <c r="BE14" s="61"/>
      <c r="BF14" s="61"/>
      <c r="BG14" s="63" t="str">
        <f t="shared" si="43"/>
        <v>#REF!</v>
      </c>
      <c r="BH14" s="61"/>
      <c r="BI14" s="61"/>
      <c r="BJ14" s="61"/>
      <c r="BK14" s="63" t="str">
        <f t="shared" si="53"/>
        <v>#REF!</v>
      </c>
      <c r="BL14" s="61"/>
      <c r="BM14" s="63" t="str">
        <f t="shared" si="28"/>
        <v>#REF!</v>
      </c>
      <c r="BN14" s="61"/>
      <c r="BO14" s="61"/>
      <c r="BP14" s="61"/>
      <c r="BQ14" s="61"/>
      <c r="BR14" s="61"/>
      <c r="BS14" s="63" t="str">
        <f t="shared" si="31"/>
        <v>#REF!</v>
      </c>
      <c r="BT14" s="61"/>
      <c r="BU14" s="61" t="str">
        <f t="shared" si="32"/>
        <v>#REF!</v>
      </c>
      <c r="BV14" s="61"/>
      <c r="BW14" s="61"/>
      <c r="BX14" s="61"/>
    </row>
    <row r="15">
      <c r="A15" s="62" t="str">
        <f t="shared" si="1"/>
        <v>#REF!</v>
      </c>
      <c r="B15" s="61"/>
      <c r="C15" s="61"/>
      <c r="D15" s="61"/>
      <c r="F15" s="61"/>
      <c r="G15" s="63" t="str">
        <f t="shared" si="4"/>
        <v>#REF!</v>
      </c>
      <c r="H15" s="61"/>
      <c r="I15" s="62" t="s">
        <v>82</v>
      </c>
      <c r="J15" s="61"/>
      <c r="K15" s="61"/>
      <c r="L15" s="61"/>
      <c r="M15" s="62" t="str">
        <f t="shared" si="51"/>
        <v>#REF!</v>
      </c>
      <c r="N15" s="61"/>
      <c r="O15" s="62" t="str">
        <f t="shared" si="6"/>
        <v>#REF!</v>
      </c>
      <c r="P15" s="61"/>
      <c r="R15" s="61"/>
      <c r="S15" s="62" t="str">
        <f t="shared" si="8"/>
        <v>#REF!</v>
      </c>
      <c r="T15" s="61"/>
      <c r="U15" s="62" t="str">
        <f t="shared" si="9"/>
        <v>#REF!</v>
      </c>
      <c r="V15" s="61"/>
      <c r="W15" s="62" t="str">
        <f t="shared" si="10"/>
        <v>#REF!</v>
      </c>
      <c r="X15" s="61"/>
      <c r="Y15" s="62" t="str">
        <f t="shared" si="11"/>
        <v>#REF!</v>
      </c>
      <c r="Z15" s="61"/>
      <c r="AA15" s="61"/>
      <c r="AB15" s="61"/>
      <c r="AC15" s="62" t="str">
        <f t="shared" si="13"/>
        <v>#REF!</v>
      </c>
      <c r="AD15" s="61"/>
      <c r="AF15" s="61"/>
      <c r="AG15" s="62" t="str">
        <f t="shared" ref="AG15:AG19" si="54">CONCATENATE('Term Reference Guide (in-progress)'!B3," [",'Term Reference Guide (in-progress)'!C3,"]")</f>
        <v>#REF!</v>
      </c>
      <c r="AH15" s="61"/>
      <c r="AI15" s="62" t="str">
        <f t="shared" si="16"/>
        <v>#REF!</v>
      </c>
      <c r="AJ15" s="60"/>
      <c r="AN15" s="61"/>
      <c r="AO15" s="61"/>
      <c r="AP15" s="61"/>
      <c r="AQ15" s="61"/>
      <c r="AR15" s="61"/>
      <c r="AS15" s="61"/>
      <c r="AT15" s="61"/>
      <c r="AU15" s="62" t="str">
        <f t="shared" si="52"/>
        <v>#REF!</v>
      </c>
      <c r="AV15" s="61"/>
      <c r="AW15" s="61"/>
      <c r="AX15" s="61"/>
      <c r="AY15" s="62" t="str">
        <f t="shared" si="23"/>
        <v>#REF!</v>
      </c>
      <c r="AZ15" s="61"/>
      <c r="BA15" s="62" t="str">
        <f t="shared" si="24"/>
        <v>#REF!</v>
      </c>
      <c r="BB15" s="61"/>
      <c r="BC15" s="62" t="str">
        <f t="shared" si="25"/>
        <v>#REF!</v>
      </c>
      <c r="BD15" s="61"/>
      <c r="BE15" s="61"/>
      <c r="BF15" s="61"/>
      <c r="BG15" s="63" t="str">
        <f t="shared" si="43"/>
        <v>#REF!</v>
      </c>
      <c r="BH15" s="61"/>
      <c r="BI15" s="61"/>
      <c r="BJ15" s="61"/>
      <c r="BK15" s="63" t="str">
        <f t="shared" si="53"/>
        <v>#REF!</v>
      </c>
      <c r="BL15" s="61"/>
      <c r="BM15" s="63" t="str">
        <f t="shared" si="28"/>
        <v>#REF!</v>
      </c>
      <c r="BN15" s="61"/>
      <c r="BO15" s="61"/>
      <c r="BP15" s="61"/>
      <c r="BQ15" s="61"/>
      <c r="BR15" s="61"/>
      <c r="BS15" s="63" t="str">
        <f t="shared" si="31"/>
        <v>#REF!</v>
      </c>
      <c r="BT15" s="61"/>
      <c r="BU15" s="61" t="str">
        <f t="shared" si="32"/>
        <v>#REF!</v>
      </c>
      <c r="BV15" s="61"/>
      <c r="BW15" s="61"/>
      <c r="BX15" s="61"/>
    </row>
    <row r="16">
      <c r="A16" s="62" t="str">
        <f t="shared" si="1"/>
        <v>#REF!</v>
      </c>
      <c r="B16" s="61"/>
      <c r="C16" s="61"/>
      <c r="D16" s="61"/>
      <c r="E16" s="61"/>
      <c r="F16" s="61"/>
      <c r="G16" s="63" t="str">
        <f t="shared" si="4"/>
        <v>#REF!</v>
      </c>
      <c r="H16" s="61"/>
      <c r="I16" s="62" t="s">
        <v>83</v>
      </c>
      <c r="J16" s="61"/>
      <c r="K16" s="61"/>
      <c r="L16" s="61"/>
      <c r="M16" s="62"/>
      <c r="N16" s="61"/>
      <c r="O16" s="62" t="str">
        <f t="shared" si="6"/>
        <v>#REF!</v>
      </c>
      <c r="P16" s="61"/>
      <c r="R16" s="61"/>
      <c r="S16" s="62" t="str">
        <f t="shared" si="8"/>
        <v>#REF!</v>
      </c>
      <c r="T16" s="61"/>
      <c r="U16" s="62" t="str">
        <f t="shared" si="9"/>
        <v>#REF!</v>
      </c>
      <c r="V16" s="61"/>
      <c r="W16" s="62" t="str">
        <f t="shared" si="10"/>
        <v>#REF!</v>
      </c>
      <c r="X16" s="61"/>
      <c r="Y16" s="62" t="str">
        <f t="shared" si="11"/>
        <v>#REF!</v>
      </c>
      <c r="Z16" s="61"/>
      <c r="AA16" s="61"/>
      <c r="AB16" s="61"/>
      <c r="AC16" s="62" t="str">
        <f t="shared" si="13"/>
        <v>#REF!</v>
      </c>
      <c r="AD16" s="61"/>
      <c r="AF16" s="61"/>
      <c r="AG16" s="62" t="str">
        <f t="shared" si="54"/>
        <v>#REF!</v>
      </c>
      <c r="AH16" s="61"/>
      <c r="AI16" s="62" t="str">
        <f t="shared" si="16"/>
        <v>#REF!</v>
      </c>
      <c r="AJ16" s="61"/>
      <c r="AK16" s="61"/>
      <c r="AL16" s="61"/>
      <c r="AM16" s="62"/>
      <c r="AN16" s="61"/>
      <c r="AO16" s="61"/>
      <c r="AP16" s="61"/>
      <c r="AQ16" s="61"/>
      <c r="AR16" s="61"/>
      <c r="AS16" s="61"/>
      <c r="AT16" s="61"/>
      <c r="AU16" s="62" t="str">
        <f t="shared" si="52"/>
        <v>#REF!</v>
      </c>
      <c r="AV16" s="61"/>
      <c r="AW16" s="61"/>
      <c r="AX16" s="61"/>
      <c r="AY16" s="62" t="str">
        <f t="shared" si="23"/>
        <v>#REF!</v>
      </c>
      <c r="AZ16" s="62"/>
      <c r="BA16" s="62" t="str">
        <f t="shared" si="24"/>
        <v>#REF!</v>
      </c>
      <c r="BB16" s="61"/>
      <c r="BC16" s="62" t="str">
        <f t="shared" si="25"/>
        <v>#REF!</v>
      </c>
      <c r="BD16" s="61"/>
      <c r="BE16" s="61"/>
      <c r="BF16" s="61"/>
      <c r="BG16" s="63" t="str">
        <f t="shared" si="43"/>
        <v>#REF!</v>
      </c>
      <c r="BH16" s="61"/>
      <c r="BI16" s="61"/>
      <c r="BJ16" s="61"/>
      <c r="BK16" s="63" t="str">
        <f t="shared" si="53"/>
        <v>#REF!</v>
      </c>
      <c r="BL16" s="61"/>
      <c r="BM16" s="63" t="str">
        <f t="shared" si="28"/>
        <v>#REF!</v>
      </c>
      <c r="BN16" s="61"/>
      <c r="BO16" s="61"/>
      <c r="BP16" s="61"/>
      <c r="BQ16" s="61"/>
      <c r="BR16" s="61"/>
      <c r="BS16" s="63" t="str">
        <f t="shared" si="31"/>
        <v>#REF!</v>
      </c>
      <c r="BT16" s="61"/>
      <c r="BU16" s="61" t="str">
        <f t="shared" si="32"/>
        <v>#REF!</v>
      </c>
      <c r="BV16" s="61"/>
      <c r="BW16" s="61"/>
      <c r="BX16" s="61"/>
    </row>
    <row r="17">
      <c r="A17" s="62" t="str">
        <f t="shared" si="1"/>
        <v>#REF!</v>
      </c>
      <c r="B17" s="61"/>
      <c r="D17" s="61"/>
      <c r="E17" s="61"/>
      <c r="F17" s="61"/>
      <c r="G17" s="63" t="str">
        <f t="shared" si="4"/>
        <v>#REF!</v>
      </c>
      <c r="H17" s="61"/>
      <c r="I17" s="62"/>
      <c r="J17" s="61"/>
      <c r="K17" s="61"/>
      <c r="L17" s="61"/>
      <c r="M17" s="62"/>
      <c r="N17" s="61"/>
      <c r="O17" s="62" t="str">
        <f t="shared" si="6"/>
        <v>#REF!</v>
      </c>
      <c r="P17" s="61"/>
      <c r="Q17" s="62"/>
      <c r="R17" s="61"/>
      <c r="S17" s="62" t="str">
        <f t="shared" si="8"/>
        <v>#REF!</v>
      </c>
      <c r="T17" s="61"/>
      <c r="U17" s="62" t="str">
        <f t="shared" si="9"/>
        <v>#REF!</v>
      </c>
      <c r="V17" s="61"/>
      <c r="W17" s="62" t="str">
        <f t="shared" si="10"/>
        <v>#REF!</v>
      </c>
      <c r="X17" s="61"/>
      <c r="Y17" s="62" t="str">
        <f t="shared" si="11"/>
        <v>#REF!</v>
      </c>
      <c r="Z17" s="61"/>
      <c r="AA17" s="61"/>
      <c r="AB17" s="61"/>
      <c r="AC17" s="62" t="str">
        <f t="shared" si="13"/>
        <v>#REF!</v>
      </c>
      <c r="AD17" s="61"/>
      <c r="AE17" s="61"/>
      <c r="AF17" s="61"/>
      <c r="AG17" s="62" t="str">
        <f t="shared" si="54"/>
        <v>#REF!</v>
      </c>
      <c r="AH17" s="61"/>
      <c r="AI17" s="62" t="str">
        <f t="shared" si="16"/>
        <v>#REF!</v>
      </c>
      <c r="AJ17" s="61"/>
      <c r="AK17" s="61"/>
      <c r="AL17" s="61"/>
      <c r="AM17" s="62"/>
      <c r="AN17" s="61"/>
      <c r="AO17" s="61"/>
      <c r="AP17" s="61"/>
      <c r="AQ17" s="61"/>
      <c r="AR17" s="61"/>
      <c r="AS17" s="61"/>
      <c r="AT17" s="61"/>
      <c r="AU17" s="62" t="str">
        <f t="shared" si="52"/>
        <v>#REF!</v>
      </c>
      <c r="AV17" s="61"/>
      <c r="AW17" s="61"/>
      <c r="AX17" s="61"/>
      <c r="AY17" s="62" t="str">
        <f t="shared" si="23"/>
        <v>#REF!</v>
      </c>
      <c r="AZ17" s="61"/>
      <c r="BA17" s="62" t="str">
        <f t="shared" si="24"/>
        <v>#REF!</v>
      </c>
      <c r="BB17" s="61"/>
      <c r="BC17" s="62" t="str">
        <f t="shared" si="25"/>
        <v>#REF!</v>
      </c>
      <c r="BD17" s="61"/>
      <c r="BE17" s="61"/>
      <c r="BF17" s="61"/>
      <c r="BG17" s="63" t="str">
        <f t="shared" ref="BG17:BG21" si="55">CONCATENATE('Term Reference Guide (in-progress)'!B3," [",'Term Reference Guide (in-progress)'!C3,"]")</f>
        <v>#REF!</v>
      </c>
      <c r="BH17" s="61"/>
      <c r="BI17" s="61"/>
      <c r="BJ17" s="61"/>
      <c r="BK17" s="63" t="str">
        <f>CONCATENATE('Term Reference Guide (in-progress)'!B742," [",'Term Reference Guide (in-progress)'!C742,"]")</f>
        <v>#REF!</v>
      </c>
      <c r="BL17" s="61"/>
      <c r="BM17" s="63" t="str">
        <f t="shared" si="28"/>
        <v>#REF!</v>
      </c>
      <c r="BN17" s="61"/>
      <c r="BO17" s="61"/>
      <c r="BP17" s="61"/>
      <c r="BQ17" s="61"/>
      <c r="BR17" s="61"/>
      <c r="BS17" s="63" t="str">
        <f t="shared" si="31"/>
        <v>#REF!</v>
      </c>
      <c r="BT17" s="61"/>
      <c r="BU17" s="61" t="str">
        <f t="shared" si="32"/>
        <v>#REF!</v>
      </c>
      <c r="BV17" s="61"/>
      <c r="BW17" s="61"/>
      <c r="BX17" s="61"/>
    </row>
    <row r="18">
      <c r="A18" s="62" t="str">
        <f t="shared" si="1"/>
        <v>#REF!</v>
      </c>
      <c r="B18" s="61"/>
      <c r="D18" s="61"/>
      <c r="E18" s="61"/>
      <c r="F18" s="61"/>
      <c r="G18" s="63" t="str">
        <f t="shared" si="4"/>
        <v>#REF!</v>
      </c>
      <c r="H18" s="61"/>
      <c r="I18" s="62"/>
      <c r="J18" s="61"/>
      <c r="K18" s="61"/>
      <c r="L18" s="61"/>
      <c r="M18" s="62"/>
      <c r="N18" s="61"/>
      <c r="O18" s="62" t="str">
        <f t="shared" si="6"/>
        <v>#REF!</v>
      </c>
      <c r="P18" s="61"/>
      <c r="Q18" s="62"/>
      <c r="R18" s="61"/>
      <c r="S18" s="62" t="str">
        <f t="shared" si="8"/>
        <v>#REF!</v>
      </c>
      <c r="T18" s="61"/>
      <c r="U18" s="62" t="str">
        <f t="shared" si="9"/>
        <v>#REF!</v>
      </c>
      <c r="V18" s="61"/>
      <c r="W18" s="62" t="str">
        <f t="shared" si="10"/>
        <v>#REF!</v>
      </c>
      <c r="X18" s="61"/>
      <c r="Y18" s="62" t="str">
        <f t="shared" si="11"/>
        <v>#REF!</v>
      </c>
      <c r="Z18" s="62"/>
      <c r="AA18" s="61"/>
      <c r="AB18" s="61"/>
      <c r="AC18" s="62" t="str">
        <f t="shared" ref="AC18:AC22" si="56">CONCATENATE('Term Reference Guide (in-progress)'!B3," [",'Term Reference Guide (in-progress)'!C3,"]")</f>
        <v>#REF!</v>
      </c>
      <c r="AD18" s="61"/>
      <c r="AE18" s="61"/>
      <c r="AF18" s="61"/>
      <c r="AG18" s="62" t="str">
        <f t="shared" si="54"/>
        <v>#REF!</v>
      </c>
      <c r="AH18" s="61"/>
      <c r="AI18" s="62" t="str">
        <f t="shared" ref="AI18:AI22" si="57">CONCATENATE('Term Reference Guide (in-progress)'!B3," [",'Term Reference Guide (in-progress)'!C3,"]")</f>
        <v>#REF!</v>
      </c>
      <c r="AJ18" s="61"/>
      <c r="AK18" s="61"/>
      <c r="AL18" s="61"/>
      <c r="AM18" s="62"/>
      <c r="AN18" s="61"/>
      <c r="AO18" s="61"/>
      <c r="AP18" s="61"/>
      <c r="AQ18" s="61"/>
      <c r="AR18" s="61"/>
      <c r="AS18" s="61"/>
      <c r="AT18" s="61"/>
      <c r="AU18" s="62"/>
      <c r="AV18" s="61"/>
      <c r="AW18" s="62"/>
      <c r="AX18" s="61"/>
      <c r="AY18" s="62" t="str">
        <f t="shared" si="23"/>
        <v>#REF!</v>
      </c>
      <c r="AZ18" s="61"/>
      <c r="BA18" s="62" t="str">
        <f t="shared" si="24"/>
        <v>#REF!</v>
      </c>
      <c r="BB18" s="61"/>
      <c r="BC18" s="62" t="str">
        <f t="shared" si="25"/>
        <v>#REF!</v>
      </c>
      <c r="BD18" s="61"/>
      <c r="BE18" s="61"/>
      <c r="BF18" s="61"/>
      <c r="BG18" s="63" t="str">
        <f t="shared" si="55"/>
        <v>#REF!</v>
      </c>
      <c r="BH18" s="61"/>
      <c r="BI18" s="61"/>
      <c r="BJ18" s="61"/>
      <c r="BK18" s="63" t="str">
        <f>CONCATENATE('Term Reference Guide (in-progress)'!B744," [",'Term Reference Guide (in-progress)'!C744,"]")</f>
        <v>#REF!</v>
      </c>
      <c r="BL18" s="61"/>
      <c r="BM18" s="63" t="str">
        <f t="shared" si="28"/>
        <v>#REF!</v>
      </c>
      <c r="BN18" s="61"/>
      <c r="BO18" s="61"/>
      <c r="BP18" s="61"/>
      <c r="BQ18" s="61"/>
      <c r="BR18" s="61"/>
      <c r="BS18" s="63" t="str">
        <f t="shared" si="31"/>
        <v>#REF!</v>
      </c>
      <c r="BT18" s="61"/>
      <c r="BU18" s="61" t="str">
        <f t="shared" si="32"/>
        <v>#REF!</v>
      </c>
      <c r="BV18" s="61"/>
      <c r="BW18" s="61"/>
      <c r="BX18" s="61"/>
    </row>
    <row r="19">
      <c r="A19" s="62" t="str">
        <f t="shared" si="1"/>
        <v>#REF!</v>
      </c>
      <c r="B19" s="61"/>
      <c r="D19" s="61"/>
      <c r="E19" s="61"/>
      <c r="F19" s="61"/>
      <c r="G19" s="63" t="str">
        <f t="shared" si="4"/>
        <v>#REF!</v>
      </c>
      <c r="H19" s="61"/>
      <c r="I19" s="62"/>
      <c r="J19" s="61"/>
      <c r="K19" s="61"/>
      <c r="L19" s="61"/>
      <c r="M19" s="62"/>
      <c r="N19" s="61"/>
      <c r="O19" s="62" t="str">
        <f t="shared" si="6"/>
        <v>#REF!</v>
      </c>
      <c r="P19" s="61"/>
      <c r="Q19" s="62"/>
      <c r="R19" s="61"/>
      <c r="S19" s="62" t="str">
        <f t="shared" si="8"/>
        <v>#REF!</v>
      </c>
      <c r="T19" s="61"/>
      <c r="U19" s="62" t="str">
        <f t="shared" si="9"/>
        <v>#REF!</v>
      </c>
      <c r="V19" s="61"/>
      <c r="W19" s="62" t="str">
        <f t="shared" ref="W19:W23" si="58">CONCATENATE('Term Reference Guide (in-progress)'!B3," [",'Term Reference Guide (in-progress)'!C3,"]")</f>
        <v>#REF!</v>
      </c>
      <c r="X19" s="61"/>
      <c r="Y19" s="62" t="str">
        <f t="shared" si="11"/>
        <v>#REF!</v>
      </c>
      <c r="Z19" s="61"/>
      <c r="AA19" s="61"/>
      <c r="AB19" s="61"/>
      <c r="AC19" s="62" t="str">
        <f t="shared" si="56"/>
        <v>#REF!</v>
      </c>
      <c r="AD19" s="61"/>
      <c r="AE19" s="61"/>
      <c r="AF19" s="61"/>
      <c r="AG19" s="62" t="str">
        <f t="shared" si="54"/>
        <v>#REF!</v>
      </c>
      <c r="AH19" s="61"/>
      <c r="AI19" s="62" t="str">
        <f t="shared" si="57"/>
        <v>#REF!</v>
      </c>
      <c r="AJ19" s="61"/>
      <c r="AK19" s="61"/>
      <c r="AL19" s="61"/>
      <c r="AM19" s="62"/>
      <c r="AN19" s="61"/>
      <c r="AO19" s="61"/>
      <c r="AP19" s="61"/>
      <c r="AQ19" s="61"/>
      <c r="AR19" s="61"/>
      <c r="AS19" s="61"/>
      <c r="AT19" s="61"/>
      <c r="AU19" s="62"/>
      <c r="AV19" s="61"/>
      <c r="AX19" s="61"/>
      <c r="AY19" s="62" t="str">
        <f t="shared" si="23"/>
        <v>#REF!</v>
      </c>
      <c r="AZ19" s="61"/>
      <c r="BA19" s="62" t="str">
        <f t="shared" si="24"/>
        <v>#REF!</v>
      </c>
      <c r="BB19" s="61"/>
      <c r="BC19" s="62" t="str">
        <f t="shared" si="25"/>
        <v>#REF!</v>
      </c>
      <c r="BD19" s="61"/>
      <c r="BE19" s="61"/>
      <c r="BF19" s="61"/>
      <c r="BG19" s="63" t="str">
        <f t="shared" si="55"/>
        <v>#REF!</v>
      </c>
      <c r="BH19" s="61"/>
      <c r="BI19" s="61"/>
      <c r="BJ19" s="61"/>
      <c r="BK19" s="63" t="str">
        <f t="shared" ref="BK19:BK24" si="59">CONCATENATE('Term Reference Guide (in-progress)'!B736," [",'Term Reference Guide (in-progress)'!C736,"]")</f>
        <v>#REF!</v>
      </c>
      <c r="BL19" s="61"/>
      <c r="BM19" s="63" t="str">
        <f t="shared" si="28"/>
        <v>#REF!</v>
      </c>
      <c r="BN19" s="61"/>
      <c r="BO19" s="61"/>
      <c r="BP19" s="61"/>
      <c r="BQ19" s="61"/>
      <c r="BR19" s="61"/>
      <c r="BS19" s="63" t="str">
        <f t="shared" si="31"/>
        <v>#REF!</v>
      </c>
      <c r="BT19" s="61"/>
      <c r="BU19" s="61" t="str">
        <f t="shared" si="32"/>
        <v>#REF!</v>
      </c>
      <c r="BV19" s="61"/>
      <c r="BW19" s="61"/>
      <c r="BX19" s="61"/>
    </row>
    <row r="20">
      <c r="A20" s="62" t="str">
        <f t="shared" si="1"/>
        <v>#REF!</v>
      </c>
      <c r="B20" s="61"/>
      <c r="C20" s="61"/>
      <c r="D20" s="61"/>
      <c r="E20" s="61"/>
      <c r="F20" s="61"/>
      <c r="G20" s="63" t="str">
        <f t="shared" si="4"/>
        <v>#REF!</v>
      </c>
      <c r="H20" s="61"/>
      <c r="J20" s="61"/>
      <c r="K20" s="61"/>
      <c r="L20" s="61"/>
      <c r="N20" s="61"/>
      <c r="O20" s="62" t="str">
        <f t="shared" si="6"/>
        <v>#REF!</v>
      </c>
      <c r="P20" s="61"/>
      <c r="R20" s="61"/>
      <c r="S20" s="62" t="str">
        <f t="shared" si="8"/>
        <v>#REF!</v>
      </c>
      <c r="T20" s="61"/>
      <c r="U20" s="62" t="str">
        <f t="shared" si="9"/>
        <v>#REF!</v>
      </c>
      <c r="V20" s="61"/>
      <c r="W20" s="62" t="str">
        <f t="shared" si="58"/>
        <v>#REF!</v>
      </c>
      <c r="X20" s="61"/>
      <c r="Y20" s="62" t="str">
        <f t="shared" si="11"/>
        <v>#REF!</v>
      </c>
      <c r="Z20" s="61"/>
      <c r="AA20" s="61"/>
      <c r="AB20" s="61"/>
      <c r="AC20" s="62" t="str">
        <f t="shared" si="56"/>
        <v>#REF!</v>
      </c>
      <c r="AD20" s="61"/>
      <c r="AE20" s="61"/>
      <c r="AF20" s="61"/>
      <c r="AG20" s="61"/>
      <c r="AH20" s="61"/>
      <c r="AI20" s="62" t="str">
        <f t="shared" si="57"/>
        <v>#REF!</v>
      </c>
      <c r="AJ20" s="61"/>
      <c r="AK20" s="61"/>
      <c r="AL20" s="61"/>
      <c r="AN20" s="61"/>
      <c r="AO20" s="61"/>
      <c r="AP20" s="61"/>
      <c r="AQ20" s="61"/>
      <c r="AR20" s="61"/>
      <c r="AS20" s="61"/>
      <c r="AT20" s="61"/>
      <c r="AX20" s="61"/>
      <c r="AY20" s="62" t="str">
        <f t="shared" si="23"/>
        <v>#REF!</v>
      </c>
      <c r="AZ20" s="61"/>
      <c r="BA20" s="62" t="str">
        <f t="shared" si="24"/>
        <v>#REF!</v>
      </c>
      <c r="BB20" s="61"/>
      <c r="BC20" s="62" t="str">
        <f t="shared" si="25"/>
        <v>#REF!</v>
      </c>
      <c r="BD20" s="61"/>
      <c r="BE20" s="61"/>
      <c r="BF20" s="61"/>
      <c r="BG20" s="63" t="str">
        <f t="shared" si="55"/>
        <v>#REF!</v>
      </c>
      <c r="BH20" s="61"/>
      <c r="BI20" s="61"/>
      <c r="BJ20" s="61"/>
      <c r="BK20" s="63" t="str">
        <f t="shared" si="59"/>
        <v>#REF!</v>
      </c>
      <c r="BL20" s="61"/>
      <c r="BM20" s="63" t="str">
        <f t="shared" si="28"/>
        <v>#REF!</v>
      </c>
      <c r="BN20" s="61"/>
      <c r="BO20" s="61"/>
      <c r="BP20" s="61"/>
      <c r="BQ20" s="61"/>
      <c r="BR20" s="61"/>
      <c r="BS20" s="63" t="str">
        <f t="shared" si="31"/>
        <v>#REF!</v>
      </c>
      <c r="BT20" s="61"/>
      <c r="BU20" s="61" t="str">
        <f t="shared" si="32"/>
        <v>#REF!</v>
      </c>
      <c r="BV20" s="61"/>
      <c r="BW20" s="61"/>
      <c r="BX20" s="61"/>
    </row>
    <row r="21">
      <c r="A21" s="62" t="str">
        <f t="shared" si="1"/>
        <v>#REF!</v>
      </c>
      <c r="B21" s="61"/>
      <c r="C21" s="61"/>
      <c r="D21" s="61"/>
      <c r="E21" s="61"/>
      <c r="F21" s="61"/>
      <c r="G21" s="63" t="str">
        <f t="shared" si="4"/>
        <v>#REF!</v>
      </c>
      <c r="H21" s="61"/>
      <c r="J21" s="61"/>
      <c r="K21" s="61"/>
      <c r="L21" s="61"/>
      <c r="N21" s="61"/>
      <c r="O21" s="62" t="str">
        <f t="shared" si="6"/>
        <v>#REF!</v>
      </c>
      <c r="P21" s="61"/>
      <c r="R21" s="61"/>
      <c r="S21" s="62" t="str">
        <f t="shared" si="8"/>
        <v>#REF!</v>
      </c>
      <c r="T21" s="61"/>
      <c r="U21" s="62" t="str">
        <f t="shared" si="9"/>
        <v>#REF!</v>
      </c>
      <c r="V21" s="61"/>
      <c r="W21" s="62" t="str">
        <f t="shared" si="58"/>
        <v>#REF!</v>
      </c>
      <c r="X21" s="61"/>
      <c r="Y21" s="62" t="str">
        <f t="shared" si="11"/>
        <v>#REF!</v>
      </c>
      <c r="Z21" s="61"/>
      <c r="AA21" s="61"/>
      <c r="AB21" s="61"/>
      <c r="AC21" s="62" t="str">
        <f t="shared" si="56"/>
        <v>#REF!</v>
      </c>
      <c r="AD21" s="61"/>
      <c r="AE21" s="61"/>
      <c r="AF21" s="61"/>
      <c r="AG21" s="61"/>
      <c r="AH21" s="61"/>
      <c r="AI21" s="62" t="str">
        <f t="shared" si="57"/>
        <v>#REF!</v>
      </c>
      <c r="AJ21" s="61"/>
      <c r="AK21" s="61"/>
      <c r="AL21" s="61"/>
      <c r="AN21" s="61"/>
      <c r="AO21" s="61"/>
      <c r="AP21" s="61"/>
      <c r="AQ21" s="61"/>
      <c r="AR21" s="61"/>
      <c r="AS21" s="61"/>
      <c r="AT21" s="61"/>
      <c r="AX21" s="61"/>
      <c r="AY21" s="62" t="str">
        <f t="shared" si="23"/>
        <v>#REF!</v>
      </c>
      <c r="AZ21" s="61"/>
      <c r="BA21" s="62" t="str">
        <f t="shared" si="24"/>
        <v>#REF!</v>
      </c>
      <c r="BB21" s="61"/>
      <c r="BC21" s="62" t="str">
        <f t="shared" si="25"/>
        <v>#REF!</v>
      </c>
      <c r="BD21" s="61"/>
      <c r="BE21" s="61"/>
      <c r="BF21" s="61"/>
      <c r="BG21" s="63" t="str">
        <f t="shared" si="55"/>
        <v>#REF!</v>
      </c>
      <c r="BH21" s="61"/>
      <c r="BI21" s="61"/>
      <c r="BJ21" s="61"/>
      <c r="BK21" s="63" t="str">
        <f t="shared" si="59"/>
        <v>#REF!</v>
      </c>
      <c r="BL21" s="61"/>
      <c r="BM21" s="63" t="str">
        <f t="shared" si="28"/>
        <v>#REF!</v>
      </c>
      <c r="BN21" s="61"/>
      <c r="BO21" s="61"/>
      <c r="BP21" s="61"/>
      <c r="BQ21" s="61"/>
      <c r="BR21" s="61"/>
      <c r="BS21" s="63" t="str">
        <f t="shared" si="31"/>
        <v>#REF!</v>
      </c>
      <c r="BT21" s="61"/>
      <c r="BU21" s="61" t="str">
        <f t="shared" si="32"/>
        <v>#REF!</v>
      </c>
      <c r="BV21" s="61"/>
      <c r="BW21" s="61"/>
      <c r="BX21" s="61"/>
    </row>
    <row r="22">
      <c r="A22" s="62" t="str">
        <f t="shared" si="1"/>
        <v>#REF!</v>
      </c>
      <c r="B22" s="61"/>
      <c r="C22" s="61"/>
      <c r="D22" s="61"/>
      <c r="E22" s="61"/>
      <c r="F22" s="61"/>
      <c r="G22" s="63" t="str">
        <f t="shared" si="4"/>
        <v>#REF!</v>
      </c>
      <c r="H22" s="66"/>
      <c r="J22" s="61"/>
      <c r="K22" s="61"/>
      <c r="L22" s="61"/>
      <c r="N22" s="61"/>
      <c r="O22" s="62" t="str">
        <f t="shared" si="6"/>
        <v>#REF!</v>
      </c>
      <c r="P22" s="61"/>
      <c r="R22" s="61"/>
      <c r="S22" s="62" t="str">
        <f t="shared" si="8"/>
        <v>#REF!</v>
      </c>
      <c r="T22" s="61"/>
      <c r="U22" s="62" t="str">
        <f t="shared" si="9"/>
        <v>#REF!</v>
      </c>
      <c r="V22" s="61"/>
      <c r="W22" s="62" t="str">
        <f t="shared" si="58"/>
        <v>#REF!</v>
      </c>
      <c r="X22" s="61"/>
      <c r="Y22" s="62" t="str">
        <f t="shared" si="11"/>
        <v>#REF!</v>
      </c>
      <c r="Z22" s="61"/>
      <c r="AA22" s="61"/>
      <c r="AB22" s="61"/>
      <c r="AC22" s="62" t="str">
        <f t="shared" si="56"/>
        <v>#REF!</v>
      </c>
      <c r="AD22" s="61"/>
      <c r="AE22" s="61"/>
      <c r="AF22" s="61"/>
      <c r="AG22" s="61"/>
      <c r="AH22" s="61"/>
      <c r="AI22" s="62" t="str">
        <f t="shared" si="57"/>
        <v>#REF!</v>
      </c>
      <c r="AJ22" s="61"/>
      <c r="AK22" s="61"/>
      <c r="AL22" s="61"/>
      <c r="AM22" s="61"/>
      <c r="AN22" s="61"/>
      <c r="AO22" s="61"/>
      <c r="AP22" s="61"/>
      <c r="AQ22" s="61"/>
      <c r="AR22" s="61"/>
      <c r="AS22" s="61"/>
      <c r="AT22" s="61"/>
      <c r="AX22" s="61"/>
      <c r="AY22" s="62" t="str">
        <f t="shared" si="23"/>
        <v>#REF!</v>
      </c>
      <c r="AZ22" s="61"/>
      <c r="BA22" s="62" t="str">
        <f t="shared" si="24"/>
        <v>#REF!</v>
      </c>
      <c r="BB22" s="61"/>
      <c r="BC22" s="62" t="str">
        <f t="shared" si="25"/>
        <v>#REF!</v>
      </c>
      <c r="BD22" s="61"/>
      <c r="BE22" s="61"/>
      <c r="BF22" s="61"/>
      <c r="BH22" s="61"/>
      <c r="BI22" s="61"/>
      <c r="BJ22" s="61"/>
      <c r="BK22" s="63" t="str">
        <f t="shared" si="59"/>
        <v>#REF!</v>
      </c>
      <c r="BL22" s="61"/>
      <c r="BM22" s="63" t="str">
        <f t="shared" si="28"/>
        <v>#REF!</v>
      </c>
      <c r="BN22" s="61"/>
      <c r="BO22" s="61"/>
      <c r="BP22" s="61"/>
      <c r="BQ22" s="61"/>
      <c r="BR22" s="61"/>
      <c r="BS22" s="63" t="str">
        <f t="shared" si="31"/>
        <v>#REF!</v>
      </c>
      <c r="BT22" s="61"/>
      <c r="BU22" s="61" t="str">
        <f t="shared" si="32"/>
        <v>#REF!</v>
      </c>
      <c r="BV22" s="61"/>
      <c r="BW22" s="61"/>
      <c r="BX22" s="61"/>
    </row>
    <row r="23">
      <c r="A23" s="62" t="str">
        <f t="shared" si="1"/>
        <v>#REF!</v>
      </c>
      <c r="B23" s="61"/>
      <c r="C23" s="61"/>
      <c r="D23" s="61"/>
      <c r="E23" s="61"/>
      <c r="F23" s="61"/>
      <c r="G23" s="63" t="str">
        <f t="shared" si="4"/>
        <v>#REF!</v>
      </c>
      <c r="H23" s="61"/>
      <c r="J23" s="61"/>
      <c r="K23" s="61"/>
      <c r="L23" s="61"/>
      <c r="N23" s="61"/>
      <c r="O23" s="62" t="str">
        <f t="shared" si="6"/>
        <v>#REF!</v>
      </c>
      <c r="P23" s="61"/>
      <c r="Q23" s="61"/>
      <c r="R23" s="61"/>
      <c r="S23" s="62" t="str">
        <f t="shared" si="8"/>
        <v>#REF!</v>
      </c>
      <c r="T23" s="61"/>
      <c r="U23" s="62" t="str">
        <f t="shared" ref="U23:U27" si="60">CONCATENATE('Term Reference Guide (in-progress)'!B3," [",'Term Reference Guide (in-progress)'!C3,"]")</f>
        <v>#REF!</v>
      </c>
      <c r="V23" s="61"/>
      <c r="W23" s="62" t="str">
        <f t="shared" si="58"/>
        <v>#REF!</v>
      </c>
      <c r="X23" s="61"/>
      <c r="Y23" s="62" t="str">
        <f t="shared" ref="Y23:Y27" si="61">CONCATENATE('Term Reference Guide (in-progress)'!B3," [",'Term Reference Guide (in-progress)'!C3,"]")</f>
        <v>#REF!</v>
      </c>
      <c r="Z23" s="61"/>
      <c r="AA23" s="61"/>
      <c r="AB23" s="61"/>
      <c r="AC23" s="61"/>
      <c r="AD23" s="61"/>
      <c r="AE23" s="61"/>
      <c r="AF23" s="61"/>
      <c r="AJ23" s="61"/>
      <c r="AK23" s="61"/>
      <c r="AL23" s="61"/>
      <c r="AM23" s="61"/>
      <c r="AN23" s="61"/>
      <c r="AO23" s="61"/>
      <c r="AP23" s="61"/>
      <c r="AQ23" s="61"/>
      <c r="AR23" s="61"/>
      <c r="AS23" s="61"/>
      <c r="AT23" s="61"/>
      <c r="AX23" s="61"/>
      <c r="AY23" s="62" t="str">
        <f t="shared" si="23"/>
        <v>#REF!</v>
      </c>
      <c r="AZ23" s="61"/>
      <c r="BA23" s="62" t="str">
        <f t="shared" si="24"/>
        <v>#REF!</v>
      </c>
      <c r="BB23" s="61"/>
      <c r="BC23" s="62" t="str">
        <f t="shared" si="25"/>
        <v>#REF!</v>
      </c>
      <c r="BD23" s="61"/>
      <c r="BE23" s="61"/>
      <c r="BF23" s="61"/>
      <c r="BH23" s="61"/>
      <c r="BI23" s="61"/>
      <c r="BJ23" s="61"/>
      <c r="BK23" s="63" t="str">
        <f t="shared" si="59"/>
        <v>#REF!</v>
      </c>
      <c r="BL23" s="61"/>
      <c r="BM23" s="63" t="str">
        <f t="shared" si="28"/>
        <v>#REF!</v>
      </c>
      <c r="BN23" s="61"/>
      <c r="BO23" s="61"/>
      <c r="BP23" s="61"/>
      <c r="BQ23" s="61"/>
      <c r="BR23" s="61"/>
      <c r="BS23" s="63" t="str">
        <f t="shared" si="31"/>
        <v>#REF!</v>
      </c>
      <c r="BT23" s="61"/>
      <c r="BU23" s="61" t="str">
        <f t="shared" si="32"/>
        <v>#REF!</v>
      </c>
      <c r="BV23" s="61"/>
      <c r="BW23" s="61"/>
      <c r="BX23" s="61"/>
    </row>
    <row r="24">
      <c r="A24" s="62" t="str">
        <f t="shared" si="1"/>
        <v>#REF!</v>
      </c>
      <c r="B24" s="61"/>
      <c r="C24" s="61"/>
      <c r="D24" s="61"/>
      <c r="E24" s="61"/>
      <c r="F24" s="61"/>
      <c r="G24" s="63" t="str">
        <f t="shared" si="4"/>
        <v>#REF!</v>
      </c>
      <c r="H24" s="61"/>
      <c r="J24" s="61"/>
      <c r="K24" s="61"/>
      <c r="L24" s="61"/>
      <c r="M24" s="61"/>
      <c r="N24" s="61"/>
      <c r="O24" s="62" t="str">
        <f t="shared" si="6"/>
        <v>#REF!</v>
      </c>
      <c r="P24" s="61"/>
      <c r="Q24" s="61"/>
      <c r="R24" s="61"/>
      <c r="S24" s="62" t="str">
        <f t="shared" si="8"/>
        <v>#REF!</v>
      </c>
      <c r="T24" s="61"/>
      <c r="U24" s="62" t="str">
        <f t="shared" si="60"/>
        <v>#REF!</v>
      </c>
      <c r="V24" s="61"/>
      <c r="W24" s="61"/>
      <c r="X24" s="61"/>
      <c r="Y24" s="62" t="str">
        <f t="shared" si="61"/>
        <v>#REF!</v>
      </c>
      <c r="Z24" s="61"/>
      <c r="AA24" s="61"/>
      <c r="AB24" s="61"/>
      <c r="AC24" s="61"/>
      <c r="AD24" s="61"/>
      <c r="AE24" s="61"/>
      <c r="AF24" s="61"/>
      <c r="AJ24" s="62"/>
      <c r="AK24" s="61"/>
      <c r="AL24" s="61"/>
      <c r="AM24" s="61"/>
      <c r="AN24" s="61"/>
      <c r="AO24" s="61"/>
      <c r="AP24" s="61"/>
      <c r="AQ24" s="61"/>
      <c r="AR24" s="61"/>
      <c r="AS24" s="61"/>
      <c r="AT24" s="61"/>
      <c r="AX24" s="61"/>
      <c r="AY24" s="62" t="str">
        <f t="shared" si="23"/>
        <v>#REF!</v>
      </c>
      <c r="AZ24" s="61"/>
      <c r="BA24" s="62" t="str">
        <f t="shared" si="24"/>
        <v>#REF!</v>
      </c>
      <c r="BB24" s="61"/>
      <c r="BC24" s="62" t="str">
        <f t="shared" si="25"/>
        <v>#REF!</v>
      </c>
      <c r="BD24" s="61"/>
      <c r="BE24" s="61"/>
      <c r="BF24" s="61"/>
      <c r="BH24" s="61"/>
      <c r="BI24" s="61"/>
      <c r="BJ24" s="61"/>
      <c r="BK24" s="63" t="str">
        <f t="shared" si="59"/>
        <v>#REF!</v>
      </c>
      <c r="BL24" s="61"/>
      <c r="BM24" s="63" t="str">
        <f t="shared" si="28"/>
        <v>#REF!</v>
      </c>
      <c r="BN24" s="61"/>
      <c r="BO24" s="61"/>
      <c r="BP24" s="61"/>
      <c r="BQ24" s="61"/>
      <c r="BR24" s="61"/>
      <c r="BS24" s="63" t="str">
        <f t="shared" si="31"/>
        <v>#REF!</v>
      </c>
      <c r="BT24" s="61"/>
      <c r="BU24" s="61" t="str">
        <f t="shared" si="32"/>
        <v>#REF!</v>
      </c>
      <c r="BV24" s="61"/>
      <c r="BW24" s="61"/>
      <c r="BX24" s="61"/>
    </row>
    <row r="25">
      <c r="A25" s="62" t="str">
        <f t="shared" si="1"/>
        <v>#REF!</v>
      </c>
      <c r="B25" s="61"/>
      <c r="C25" s="61"/>
      <c r="D25" s="61"/>
      <c r="E25" s="61"/>
      <c r="F25" s="61"/>
      <c r="G25" s="63" t="str">
        <f t="shared" si="4"/>
        <v>#REF!</v>
      </c>
      <c r="H25" s="61"/>
      <c r="I25" s="61"/>
      <c r="J25" s="61"/>
      <c r="K25" s="61"/>
      <c r="L25" s="61"/>
      <c r="M25" s="61"/>
      <c r="N25" s="61"/>
      <c r="O25" s="62" t="str">
        <f t="shared" si="6"/>
        <v>#REF!</v>
      </c>
      <c r="P25" s="61"/>
      <c r="Q25" s="61"/>
      <c r="R25" s="61"/>
      <c r="S25" s="62" t="str">
        <f t="shared" si="8"/>
        <v>#REF!</v>
      </c>
      <c r="T25" s="61"/>
      <c r="U25" s="62" t="str">
        <f t="shared" si="60"/>
        <v>#REF!</v>
      </c>
      <c r="V25" s="61"/>
      <c r="W25" s="61"/>
      <c r="X25" s="61"/>
      <c r="Y25" s="62" t="str">
        <f t="shared" si="61"/>
        <v>#REF!</v>
      </c>
      <c r="Z25" s="61"/>
      <c r="AA25" s="61"/>
      <c r="AB25" s="61"/>
      <c r="AC25" s="61"/>
      <c r="AD25" s="62"/>
      <c r="AE25" s="61"/>
      <c r="AF25" s="61"/>
      <c r="AJ25" s="61"/>
      <c r="AK25" s="61"/>
      <c r="AL25" s="61"/>
      <c r="AM25" s="61"/>
      <c r="AN25" s="61"/>
      <c r="AO25" s="61"/>
      <c r="AP25" s="61"/>
      <c r="AQ25" s="61"/>
      <c r="AR25" s="61"/>
      <c r="AS25" s="61"/>
      <c r="AT25" s="61"/>
      <c r="AX25" s="61"/>
      <c r="AY25" s="62" t="str">
        <f t="shared" si="23"/>
        <v>#REF!</v>
      </c>
      <c r="AZ25" s="61"/>
      <c r="BA25" s="62" t="str">
        <f t="shared" si="24"/>
        <v>#REF!</v>
      </c>
      <c r="BB25" s="61"/>
      <c r="BC25" s="62" t="str">
        <f t="shared" si="25"/>
        <v>#REF!</v>
      </c>
      <c r="BD25" s="61"/>
      <c r="BE25" s="61"/>
      <c r="BF25" s="61"/>
      <c r="BH25" s="61"/>
      <c r="BI25" s="61"/>
      <c r="BJ25" s="61"/>
      <c r="BK25" s="63" t="str">
        <f t="shared" ref="BK25:BK26" si="62">CONCATENATE('Term Reference Guide (in-progress)'!B745," [",'Term Reference Guide (in-progress)'!C745,"]")</f>
        <v>#REF!</v>
      </c>
      <c r="BL25" s="61"/>
      <c r="BM25" s="63" t="str">
        <f t="shared" si="28"/>
        <v>#REF!</v>
      </c>
      <c r="BN25" s="61"/>
      <c r="BO25" s="61"/>
      <c r="BP25" s="61"/>
      <c r="BQ25" s="61"/>
      <c r="BR25" s="61"/>
      <c r="BS25" s="63" t="str">
        <f t="shared" si="31"/>
        <v>#REF!</v>
      </c>
      <c r="BT25" s="61"/>
      <c r="BU25" s="61" t="str">
        <f t="shared" si="32"/>
        <v>#REF!</v>
      </c>
      <c r="BV25" s="61"/>
      <c r="BW25" s="61"/>
      <c r="BX25" s="61"/>
    </row>
    <row r="26">
      <c r="A26" s="62" t="str">
        <f t="shared" si="1"/>
        <v>#REF!</v>
      </c>
      <c r="B26" s="61"/>
      <c r="C26" s="61"/>
      <c r="D26" s="61"/>
      <c r="E26" s="61"/>
      <c r="F26" s="61"/>
      <c r="G26" s="67" t="str">
        <f t="shared" si="4"/>
        <v>#REF!</v>
      </c>
      <c r="H26" s="61"/>
      <c r="I26" s="61"/>
      <c r="J26" s="61"/>
      <c r="K26" s="61"/>
      <c r="L26" s="61"/>
      <c r="M26" s="61"/>
      <c r="N26" s="61"/>
      <c r="O26" s="62" t="str">
        <f t="shared" si="6"/>
        <v>#REF!</v>
      </c>
      <c r="P26" s="61"/>
      <c r="Q26" s="61"/>
      <c r="R26" s="61"/>
      <c r="S26" s="62" t="str">
        <f t="shared" si="8"/>
        <v>#REF!</v>
      </c>
      <c r="T26" s="61"/>
      <c r="U26" s="62" t="str">
        <f t="shared" si="60"/>
        <v>#REF!</v>
      </c>
      <c r="V26" s="61"/>
      <c r="W26" s="61"/>
      <c r="X26" s="61"/>
      <c r="Y26" s="62" t="str">
        <f t="shared" si="61"/>
        <v>#REF!</v>
      </c>
      <c r="Z26" s="61"/>
      <c r="AA26" s="61"/>
      <c r="AB26" s="61"/>
      <c r="AC26" s="61"/>
      <c r="AD26" s="61"/>
      <c r="AE26" s="61"/>
      <c r="AF26" s="61"/>
      <c r="AJ26" s="61"/>
      <c r="AK26" s="61"/>
      <c r="AL26" s="61"/>
      <c r="AM26" s="61"/>
      <c r="AN26" s="61"/>
      <c r="AO26" s="61"/>
      <c r="AP26" s="61"/>
      <c r="AQ26" s="61"/>
      <c r="AR26" s="61"/>
      <c r="AS26" s="61"/>
      <c r="AT26" s="61"/>
      <c r="AU26" s="61"/>
      <c r="AV26" s="61"/>
      <c r="AW26" s="61"/>
      <c r="AX26" s="61"/>
      <c r="AY26" s="62" t="str">
        <f t="shared" si="23"/>
        <v>#REF!</v>
      </c>
      <c r="AZ26" s="61"/>
      <c r="BA26" s="62" t="str">
        <f t="shared" si="24"/>
        <v>#REF!</v>
      </c>
      <c r="BB26" s="61"/>
      <c r="BC26" s="62" t="str">
        <f t="shared" si="25"/>
        <v>#REF!</v>
      </c>
      <c r="BD26" s="61"/>
      <c r="BE26" s="61"/>
      <c r="BF26" s="61"/>
      <c r="BH26" s="61"/>
      <c r="BI26" s="61"/>
      <c r="BJ26" s="61"/>
      <c r="BK26" s="63" t="str">
        <f t="shared" si="62"/>
        <v>#REF!</v>
      </c>
      <c r="BL26" s="61"/>
      <c r="BM26" s="63" t="str">
        <f t="shared" si="28"/>
        <v>#REF!</v>
      </c>
      <c r="BN26" s="61"/>
      <c r="BO26" s="61"/>
      <c r="BP26" s="61"/>
      <c r="BQ26" s="61"/>
      <c r="BR26" s="61"/>
      <c r="BS26" s="63" t="str">
        <f t="shared" si="31"/>
        <v>#REF!</v>
      </c>
      <c r="BT26" s="61"/>
      <c r="BU26" s="61" t="str">
        <f t="shared" si="32"/>
        <v>#REF!</v>
      </c>
      <c r="BV26" s="61"/>
      <c r="BW26" s="61"/>
      <c r="BX26" s="61"/>
    </row>
    <row r="27">
      <c r="A27" s="62" t="str">
        <f t="shared" si="1"/>
        <v>#REF!</v>
      </c>
      <c r="B27" s="61"/>
      <c r="C27" s="61"/>
      <c r="D27" s="61"/>
      <c r="E27" s="61"/>
      <c r="F27" s="61"/>
      <c r="G27" s="63" t="str">
        <f t="shared" ref="G27:G31" si="63">CONCATENATE('Term Reference Guide (in-progress)'!B3," [",'Term Reference Guide (in-progress)'!C3,"]")</f>
        <v>#REF!</v>
      </c>
      <c r="H27" s="61"/>
      <c r="I27" s="61"/>
      <c r="J27" s="61"/>
      <c r="K27" s="61"/>
      <c r="L27" s="61"/>
      <c r="M27" s="61"/>
      <c r="N27" s="61"/>
      <c r="O27" s="62" t="str">
        <f t="shared" ref="O27:O31" si="64">CONCATENATE('Term Reference Guide (in-progress)'!B3," [",'Term Reference Guide (in-progress)'!C3,"]")</f>
        <v>#REF!</v>
      </c>
      <c r="P27" s="61"/>
      <c r="Q27" s="61"/>
      <c r="R27" s="61"/>
      <c r="S27" s="62" t="str">
        <f t="shared" si="8"/>
        <v>#REF!</v>
      </c>
      <c r="T27" s="61"/>
      <c r="U27" s="62" t="str">
        <f t="shared" si="60"/>
        <v>#REF!</v>
      </c>
      <c r="V27" s="61"/>
      <c r="W27" s="61"/>
      <c r="X27" s="61"/>
      <c r="Y27" s="62" t="str">
        <f t="shared" si="61"/>
        <v>#REF!</v>
      </c>
      <c r="Z27" s="61"/>
      <c r="AA27" s="61"/>
      <c r="AB27" s="61"/>
      <c r="AC27" s="61"/>
      <c r="AD27" s="61"/>
      <c r="AE27" s="61"/>
      <c r="AF27" s="61"/>
      <c r="AJ27" s="61"/>
      <c r="AK27" s="61"/>
      <c r="AL27" s="61"/>
      <c r="AM27" s="61"/>
      <c r="AN27" s="61"/>
      <c r="AO27" s="61"/>
      <c r="AP27" s="61"/>
      <c r="AQ27" s="61"/>
      <c r="AR27" s="61"/>
      <c r="AS27" s="61"/>
      <c r="AT27" s="61"/>
      <c r="AU27" s="61"/>
      <c r="AV27" s="61"/>
      <c r="AW27" s="61"/>
      <c r="AX27" s="61"/>
      <c r="AY27" s="62" t="str">
        <f t="shared" si="23"/>
        <v>#REF!</v>
      </c>
      <c r="AZ27" s="61"/>
      <c r="BA27" s="62" t="str">
        <f t="shared" si="24"/>
        <v>#REF!</v>
      </c>
      <c r="BB27" s="61"/>
      <c r="BC27" s="62" t="str">
        <f t="shared" si="25"/>
        <v>#REF!</v>
      </c>
      <c r="BD27" s="61"/>
      <c r="BE27" s="61"/>
      <c r="BF27" s="61"/>
      <c r="BH27" s="61"/>
      <c r="BI27" s="61"/>
      <c r="BJ27" s="61"/>
      <c r="BK27" s="63" t="str">
        <f t="shared" ref="BK27:BK35" si="65">CONCATENATE('Term Reference Guide (in-progress)'!B749," [",'Term Reference Guide (in-progress)'!C749,"]")</f>
        <v>#REF!</v>
      </c>
      <c r="BL27" s="61"/>
      <c r="BM27" s="63" t="str">
        <f t="shared" si="28"/>
        <v>#REF!</v>
      </c>
      <c r="BN27" s="61"/>
      <c r="BO27" s="61"/>
      <c r="BP27" s="61"/>
      <c r="BQ27" s="61"/>
      <c r="BR27" s="61"/>
      <c r="BS27" s="63" t="str">
        <f t="shared" si="31"/>
        <v>#REF!</v>
      </c>
      <c r="BT27" s="61"/>
      <c r="BU27" s="61" t="str">
        <f t="shared" si="32"/>
        <v>#REF!</v>
      </c>
      <c r="BV27" s="62"/>
      <c r="BW27" s="61"/>
      <c r="BX27" s="61"/>
    </row>
    <row r="28">
      <c r="A28" s="62" t="str">
        <f t="shared" si="1"/>
        <v>#REF!</v>
      </c>
      <c r="B28" s="61"/>
      <c r="C28" s="61"/>
      <c r="D28" s="61"/>
      <c r="E28" s="61"/>
      <c r="F28" s="61"/>
      <c r="G28" s="63" t="str">
        <f t="shared" si="63"/>
        <v>#REF!</v>
      </c>
      <c r="H28" s="61"/>
      <c r="I28" s="61"/>
      <c r="J28" s="61"/>
      <c r="K28" s="61"/>
      <c r="L28" s="61"/>
      <c r="M28" s="61"/>
      <c r="N28" s="61"/>
      <c r="O28" s="62" t="str">
        <f t="shared" si="64"/>
        <v>#REF!</v>
      </c>
      <c r="P28" s="61"/>
      <c r="Q28" s="61"/>
      <c r="R28" s="61"/>
      <c r="S28" s="62" t="str">
        <f t="shared" si="8"/>
        <v>#REF!</v>
      </c>
      <c r="T28" s="61"/>
      <c r="U28" s="61"/>
      <c r="V28" s="61"/>
      <c r="W28" s="61"/>
      <c r="X28" s="61"/>
      <c r="AD28" s="61"/>
      <c r="AE28" s="61"/>
      <c r="AF28" s="61"/>
      <c r="AJ28" s="61"/>
      <c r="AK28" s="61"/>
      <c r="AL28" s="61"/>
      <c r="AM28" s="61"/>
      <c r="AN28" s="61"/>
      <c r="AO28" s="61"/>
      <c r="AP28" s="61"/>
      <c r="AQ28" s="61"/>
      <c r="AR28" s="61"/>
      <c r="AS28" s="61"/>
      <c r="AT28" s="61"/>
      <c r="AU28" s="61"/>
      <c r="AV28" s="61"/>
      <c r="AW28" s="61"/>
      <c r="AX28" s="61"/>
      <c r="AY28" s="62" t="str">
        <f t="shared" si="23"/>
        <v>#REF!</v>
      </c>
      <c r="AZ28" s="61"/>
      <c r="BA28" s="62" t="str">
        <f t="shared" si="24"/>
        <v>#REF!</v>
      </c>
      <c r="BB28" s="61"/>
      <c r="BC28" s="62" t="str">
        <f t="shared" si="25"/>
        <v>#REF!</v>
      </c>
      <c r="BD28" s="61"/>
      <c r="BE28" s="61"/>
      <c r="BF28" s="61"/>
      <c r="BH28" s="61"/>
      <c r="BI28" s="61"/>
      <c r="BJ28" s="61"/>
      <c r="BK28" s="63" t="str">
        <f t="shared" si="65"/>
        <v>#REF!</v>
      </c>
      <c r="BL28" s="61"/>
      <c r="BM28" s="63" t="str">
        <f t="shared" si="28"/>
        <v>#REF!</v>
      </c>
      <c r="BN28" s="61"/>
      <c r="BO28" s="61"/>
      <c r="BP28" s="61"/>
      <c r="BQ28" s="61"/>
      <c r="BR28" s="61"/>
      <c r="BS28" s="63" t="str">
        <f t="shared" si="31"/>
        <v>#REF!</v>
      </c>
      <c r="BT28" s="61"/>
      <c r="BU28" s="61" t="str">
        <f t="shared" si="32"/>
        <v>#REF!</v>
      </c>
      <c r="BV28" s="61"/>
      <c r="BW28" s="61"/>
      <c r="BX28" s="61"/>
    </row>
    <row r="29">
      <c r="A29" s="62" t="str">
        <f t="shared" si="1"/>
        <v>#REF!</v>
      </c>
      <c r="B29" s="61"/>
      <c r="C29" s="61"/>
      <c r="D29" s="61"/>
      <c r="E29" s="61"/>
      <c r="F29" s="61"/>
      <c r="G29" s="63" t="str">
        <f t="shared" si="63"/>
        <v>#REF!</v>
      </c>
      <c r="H29" s="61"/>
      <c r="I29" s="61"/>
      <c r="J29" s="61"/>
      <c r="K29" s="61"/>
      <c r="L29" s="61"/>
      <c r="M29" s="61"/>
      <c r="N29" s="61"/>
      <c r="O29" s="62" t="str">
        <f t="shared" si="64"/>
        <v>#REF!</v>
      </c>
      <c r="P29" s="61"/>
      <c r="Q29" s="61"/>
      <c r="R29" s="61"/>
      <c r="S29" s="62" t="str">
        <f t="shared" si="8"/>
        <v>#REF!</v>
      </c>
      <c r="T29" s="61"/>
      <c r="U29" s="61"/>
      <c r="V29" s="61"/>
      <c r="W29" s="61"/>
      <c r="X29" s="61"/>
      <c r="AD29" s="61"/>
      <c r="AE29" s="61"/>
      <c r="AF29" s="61"/>
      <c r="AJ29" s="61"/>
      <c r="AK29" s="61"/>
      <c r="AL29" s="61"/>
      <c r="AM29" s="61"/>
      <c r="AN29" s="61"/>
      <c r="AO29" s="61"/>
      <c r="AP29" s="61"/>
      <c r="AQ29" s="61"/>
      <c r="AR29" s="61"/>
      <c r="AS29" s="61"/>
      <c r="AT29" s="61"/>
      <c r="AU29" s="61"/>
      <c r="AV29" s="61"/>
      <c r="AW29" s="61"/>
      <c r="AX29" s="61"/>
      <c r="AY29" s="62" t="str">
        <f t="shared" si="23"/>
        <v>#REF!</v>
      </c>
      <c r="AZ29" s="61"/>
      <c r="BA29" s="62" t="str">
        <f t="shared" si="24"/>
        <v>#REF!</v>
      </c>
      <c r="BB29" s="61"/>
      <c r="BC29" s="62" t="str">
        <f t="shared" si="25"/>
        <v>#REF!</v>
      </c>
      <c r="BD29" s="61"/>
      <c r="BE29" s="61"/>
      <c r="BF29" s="61"/>
      <c r="BH29" s="61"/>
      <c r="BI29" s="61"/>
      <c r="BJ29" s="61"/>
      <c r="BK29" s="63" t="str">
        <f t="shared" si="65"/>
        <v>#REF!</v>
      </c>
      <c r="BL29" s="61"/>
      <c r="BM29" s="63" t="str">
        <f t="shared" si="28"/>
        <v>#REF!</v>
      </c>
      <c r="BN29" s="61"/>
      <c r="BO29" s="61"/>
      <c r="BP29" s="61"/>
      <c r="BQ29" s="61"/>
      <c r="BR29" s="61"/>
      <c r="BS29" s="63" t="str">
        <f t="shared" si="31"/>
        <v>#REF!</v>
      </c>
      <c r="BT29" s="61"/>
      <c r="BU29" s="61" t="str">
        <f t="shared" si="32"/>
        <v>#REF!</v>
      </c>
      <c r="BV29" s="61"/>
      <c r="BW29" s="61"/>
      <c r="BX29" s="61"/>
    </row>
    <row r="30">
      <c r="A30" s="62" t="str">
        <f t="shared" si="1"/>
        <v>#REF!</v>
      </c>
      <c r="B30" s="61"/>
      <c r="C30" s="61"/>
      <c r="D30" s="61"/>
      <c r="E30" s="61"/>
      <c r="F30" s="61"/>
      <c r="G30" s="63" t="str">
        <f t="shared" si="63"/>
        <v>#REF!</v>
      </c>
      <c r="H30" s="61"/>
      <c r="I30" s="61"/>
      <c r="J30" s="61"/>
      <c r="K30" s="61"/>
      <c r="L30" s="61"/>
      <c r="M30" s="61"/>
      <c r="N30" s="61"/>
      <c r="O30" s="62" t="str">
        <f t="shared" si="64"/>
        <v>#REF!</v>
      </c>
      <c r="P30" s="62"/>
      <c r="Q30" s="61"/>
      <c r="R30" s="61"/>
      <c r="S30" s="62" t="str">
        <f t="shared" si="8"/>
        <v>#REF!</v>
      </c>
      <c r="T30" s="61"/>
      <c r="U30" s="61"/>
      <c r="V30" s="61"/>
      <c r="W30" s="61"/>
      <c r="X30" s="61"/>
      <c r="AD30" s="61"/>
      <c r="AE30" s="61"/>
      <c r="AF30" s="61"/>
      <c r="AJ30" s="61"/>
      <c r="AK30" s="61"/>
      <c r="AL30" s="61"/>
      <c r="AM30" s="61"/>
      <c r="AN30" s="61"/>
      <c r="AO30" s="61"/>
      <c r="AP30" s="61"/>
      <c r="AQ30" s="61"/>
      <c r="AR30" s="61"/>
      <c r="AS30" s="61"/>
      <c r="AT30" s="61"/>
      <c r="AU30" s="61"/>
      <c r="AV30" s="61"/>
      <c r="AW30" s="61"/>
      <c r="AX30" s="61"/>
      <c r="AY30" s="62" t="str">
        <f t="shared" si="23"/>
        <v>#REF!</v>
      </c>
      <c r="AZ30" s="61"/>
      <c r="BA30" s="62" t="str">
        <f t="shared" si="24"/>
        <v>#REF!</v>
      </c>
      <c r="BB30" s="61"/>
      <c r="BC30" s="62" t="str">
        <f t="shared" si="25"/>
        <v>#REF!</v>
      </c>
      <c r="BD30" s="61"/>
      <c r="BE30" s="61"/>
      <c r="BF30" s="61"/>
      <c r="BG30" s="61"/>
      <c r="BH30" s="61"/>
      <c r="BI30" s="61"/>
      <c r="BJ30" s="61"/>
      <c r="BK30" s="63" t="str">
        <f t="shared" si="65"/>
        <v>#REF!</v>
      </c>
      <c r="BL30" s="61"/>
      <c r="BM30" s="63" t="str">
        <f t="shared" si="28"/>
        <v>#REF!</v>
      </c>
      <c r="BN30" s="61"/>
      <c r="BO30" s="61"/>
      <c r="BP30" s="61"/>
      <c r="BQ30" s="61"/>
      <c r="BR30" s="61"/>
      <c r="BS30" s="63" t="str">
        <f t="shared" si="31"/>
        <v>#REF!</v>
      </c>
      <c r="BT30" s="61"/>
      <c r="BU30" s="61" t="str">
        <f t="shared" si="32"/>
        <v>#REF!</v>
      </c>
      <c r="BV30" s="61"/>
      <c r="BW30" s="61"/>
      <c r="BX30" s="61"/>
    </row>
    <row r="31">
      <c r="A31" s="62" t="str">
        <f t="shared" si="1"/>
        <v>#REF!</v>
      </c>
      <c r="B31" s="61"/>
      <c r="C31" s="61"/>
      <c r="D31" s="61"/>
      <c r="E31" s="61"/>
      <c r="F31" s="61"/>
      <c r="G31" s="63" t="str">
        <f t="shared" si="63"/>
        <v>#REF!</v>
      </c>
      <c r="H31" s="61"/>
      <c r="I31" s="61"/>
      <c r="J31" s="61"/>
      <c r="K31" s="61"/>
      <c r="L31" s="61"/>
      <c r="M31" s="61"/>
      <c r="N31" s="61"/>
      <c r="O31" s="62" t="str">
        <f t="shared" si="64"/>
        <v>#REF!</v>
      </c>
      <c r="P31" s="62"/>
      <c r="Q31" s="61"/>
      <c r="R31" s="61"/>
      <c r="S31" s="62" t="str">
        <f t="shared" si="8"/>
        <v>#REF!</v>
      </c>
      <c r="T31" s="61"/>
      <c r="U31" s="61"/>
      <c r="V31" s="61"/>
      <c r="W31" s="61"/>
      <c r="X31" s="61"/>
      <c r="AD31" s="61"/>
      <c r="AE31" s="61"/>
      <c r="AF31" s="61"/>
      <c r="AG31" s="61"/>
      <c r="AH31" s="61"/>
      <c r="AI31" s="61"/>
      <c r="AJ31" s="61"/>
      <c r="AK31" s="61"/>
      <c r="AL31" s="61"/>
      <c r="AM31" s="61"/>
      <c r="AN31" s="61"/>
      <c r="AO31" s="61"/>
      <c r="AP31" s="61"/>
      <c r="AQ31" s="61"/>
      <c r="AR31" s="61"/>
      <c r="AS31" s="61"/>
      <c r="AT31" s="61"/>
      <c r="AU31" s="61"/>
      <c r="AV31" s="61"/>
      <c r="AW31" s="61"/>
      <c r="AX31" s="61"/>
      <c r="AY31" s="62" t="str">
        <f t="shared" si="23"/>
        <v>#REF!</v>
      </c>
      <c r="AZ31" s="62"/>
      <c r="BA31" s="62" t="str">
        <f t="shared" si="24"/>
        <v>#REF!</v>
      </c>
      <c r="BB31" s="61"/>
      <c r="BC31" s="62" t="str">
        <f t="shared" si="25"/>
        <v>#REF!</v>
      </c>
      <c r="BD31" s="61"/>
      <c r="BE31" s="61"/>
      <c r="BF31" s="61"/>
      <c r="BG31" s="61"/>
      <c r="BH31" s="61"/>
      <c r="BI31" s="61"/>
      <c r="BJ31" s="61"/>
      <c r="BK31" s="63" t="str">
        <f t="shared" si="65"/>
        <v>#REF!</v>
      </c>
      <c r="BL31" s="61"/>
      <c r="BM31" s="63" t="str">
        <f t="shared" si="28"/>
        <v>#REF!</v>
      </c>
      <c r="BN31" s="61"/>
      <c r="BO31" s="61"/>
      <c r="BP31" s="61"/>
      <c r="BQ31" s="61"/>
      <c r="BR31" s="61"/>
      <c r="BS31" s="63" t="str">
        <f t="shared" si="31"/>
        <v>#REF!</v>
      </c>
      <c r="BT31" s="61"/>
      <c r="BU31" s="61" t="str">
        <f t="shared" si="32"/>
        <v>#REF!</v>
      </c>
      <c r="BV31" s="61"/>
      <c r="BW31" s="61"/>
      <c r="BX31" s="61"/>
    </row>
    <row r="32">
      <c r="A32" s="62" t="str">
        <f t="shared" si="1"/>
        <v>#REF!</v>
      </c>
      <c r="B32" s="61"/>
      <c r="C32" s="61"/>
      <c r="D32" s="61"/>
      <c r="E32" s="61"/>
      <c r="F32" s="61"/>
      <c r="G32" s="61"/>
      <c r="H32" s="61"/>
      <c r="I32" s="61"/>
      <c r="J32" s="61"/>
      <c r="K32" s="61"/>
      <c r="L32" s="61"/>
      <c r="M32" s="61"/>
      <c r="N32" s="61"/>
      <c r="P32" s="61"/>
      <c r="Q32" s="61"/>
      <c r="R32" s="61"/>
      <c r="S32" s="62" t="str">
        <f t="shared" si="8"/>
        <v>#REF!</v>
      </c>
      <c r="T32" s="61"/>
      <c r="U32" s="61"/>
      <c r="V32" s="61"/>
      <c r="W32" s="61"/>
      <c r="X32" s="61"/>
      <c r="AD32" s="61"/>
      <c r="AE32" s="61"/>
      <c r="AF32" s="61"/>
      <c r="AG32" s="61"/>
      <c r="AH32" s="61"/>
      <c r="AI32" s="61"/>
      <c r="AJ32" s="61"/>
      <c r="AK32" s="61"/>
      <c r="AL32" s="61"/>
      <c r="AM32" s="61"/>
      <c r="AN32" s="61"/>
      <c r="AO32" s="61"/>
      <c r="AP32" s="61"/>
      <c r="AQ32" s="61"/>
      <c r="AR32" s="61"/>
      <c r="AS32" s="61"/>
      <c r="AT32" s="61"/>
      <c r="AU32" s="61"/>
      <c r="AV32" s="61"/>
      <c r="AW32" s="61"/>
      <c r="AX32" s="61"/>
      <c r="AY32" s="62" t="str">
        <f t="shared" si="23"/>
        <v>#REF!</v>
      </c>
      <c r="AZ32" s="61"/>
      <c r="BA32" s="62" t="str">
        <f t="shared" si="24"/>
        <v>#REF!</v>
      </c>
      <c r="BB32" s="61"/>
      <c r="BC32" s="62" t="str">
        <f t="shared" si="25"/>
        <v>#REF!</v>
      </c>
      <c r="BD32" s="61"/>
      <c r="BE32" s="61"/>
      <c r="BF32" s="61"/>
      <c r="BG32" s="61"/>
      <c r="BH32" s="61"/>
      <c r="BI32" s="61"/>
      <c r="BJ32" s="61"/>
      <c r="BK32" s="63" t="str">
        <f t="shared" si="65"/>
        <v>#REF!</v>
      </c>
      <c r="BL32" s="61"/>
      <c r="BM32" s="63" t="str">
        <f t="shared" si="28"/>
        <v>#REF!</v>
      </c>
      <c r="BN32" s="61"/>
      <c r="BO32" s="61"/>
      <c r="BP32" s="61"/>
      <c r="BQ32" s="61"/>
      <c r="BR32" s="61"/>
      <c r="BS32" s="63" t="str">
        <f t="shared" si="31"/>
        <v>#REF!</v>
      </c>
      <c r="BT32" s="61"/>
      <c r="BU32" s="61" t="str">
        <f t="shared" si="32"/>
        <v>#REF!</v>
      </c>
      <c r="BV32" s="61"/>
      <c r="BW32" s="61"/>
      <c r="BX32" s="61"/>
    </row>
    <row r="33">
      <c r="A33" s="62" t="str">
        <f t="shared" si="1"/>
        <v>#REF!</v>
      </c>
      <c r="B33" s="61"/>
      <c r="C33" s="61"/>
      <c r="D33" s="61"/>
      <c r="E33" s="61"/>
      <c r="F33" s="61"/>
      <c r="G33" s="61"/>
      <c r="H33" s="61"/>
      <c r="I33" s="61"/>
      <c r="J33" s="61"/>
      <c r="K33" s="61"/>
      <c r="L33" s="61"/>
      <c r="M33" s="61"/>
      <c r="N33" s="61"/>
      <c r="P33" s="61"/>
      <c r="Q33" s="61"/>
      <c r="R33" s="61"/>
      <c r="S33" s="62" t="str">
        <f t="shared" si="8"/>
        <v>#REF!</v>
      </c>
      <c r="T33" s="61"/>
      <c r="U33" s="61"/>
      <c r="V33" s="61"/>
      <c r="W33" s="61"/>
      <c r="X33" s="61"/>
      <c r="AD33" s="61"/>
      <c r="AE33" s="61"/>
      <c r="AF33" s="61"/>
      <c r="AG33" s="61"/>
      <c r="AH33" s="61"/>
      <c r="AI33" s="61"/>
      <c r="AJ33" s="61"/>
      <c r="AK33" s="61"/>
      <c r="AL33" s="61"/>
      <c r="AM33" s="61"/>
      <c r="AN33" s="61"/>
      <c r="AO33" s="61"/>
      <c r="AP33" s="61"/>
      <c r="AQ33" s="61"/>
      <c r="AR33" s="61"/>
      <c r="AS33" s="61"/>
      <c r="AT33" s="61"/>
      <c r="AU33" s="61"/>
      <c r="AV33" s="61"/>
      <c r="AW33" s="61"/>
      <c r="AX33" s="61"/>
      <c r="AY33" s="62" t="str">
        <f t="shared" si="23"/>
        <v>#REF!</v>
      </c>
      <c r="AZ33" s="61"/>
      <c r="BA33" s="62" t="str">
        <f t="shared" si="24"/>
        <v>#REF!</v>
      </c>
      <c r="BB33" s="61"/>
      <c r="BC33" s="62" t="str">
        <f t="shared" si="25"/>
        <v>#REF!</v>
      </c>
      <c r="BD33" s="61"/>
      <c r="BE33" s="61"/>
      <c r="BF33" s="61"/>
      <c r="BG33" s="61"/>
      <c r="BH33" s="61"/>
      <c r="BI33" s="61"/>
      <c r="BJ33" s="61"/>
      <c r="BK33" s="63" t="str">
        <f t="shared" si="65"/>
        <v>#REF!</v>
      </c>
      <c r="BL33" s="61"/>
      <c r="BM33" s="63" t="str">
        <f t="shared" si="28"/>
        <v>#REF!</v>
      </c>
      <c r="BN33" s="61"/>
      <c r="BO33" s="61"/>
      <c r="BP33" s="61"/>
      <c r="BQ33" s="61"/>
      <c r="BR33" s="61"/>
      <c r="BS33" s="63" t="str">
        <f t="shared" si="31"/>
        <v>#REF!</v>
      </c>
      <c r="BT33" s="61"/>
      <c r="BU33" s="61" t="str">
        <f t="shared" si="32"/>
        <v>#REF!</v>
      </c>
      <c r="BV33" s="61"/>
      <c r="BW33" s="61"/>
      <c r="BX33" s="61"/>
    </row>
    <row r="34">
      <c r="A34" s="62" t="str">
        <f t="shared" si="1"/>
        <v>#REF!</v>
      </c>
      <c r="B34" s="61"/>
      <c r="C34" s="61"/>
      <c r="D34" s="61"/>
      <c r="E34" s="61"/>
      <c r="F34" s="61"/>
      <c r="G34" s="61"/>
      <c r="H34" s="61"/>
      <c r="I34" s="61"/>
      <c r="J34" s="61"/>
      <c r="K34" s="61"/>
      <c r="L34" s="61"/>
      <c r="M34" s="61"/>
      <c r="N34" s="61"/>
      <c r="P34" s="61"/>
      <c r="Q34" s="61"/>
      <c r="R34" s="61"/>
      <c r="S34" s="62" t="str">
        <f t="shared" si="8"/>
        <v>#REF!</v>
      </c>
      <c r="T34" s="61"/>
      <c r="U34" s="61"/>
      <c r="V34" s="61"/>
      <c r="W34" s="61"/>
      <c r="X34" s="61"/>
      <c r="AD34" s="61"/>
      <c r="AE34" s="61"/>
      <c r="AF34" s="61"/>
      <c r="AG34" s="61"/>
      <c r="AH34" s="61"/>
      <c r="AI34" s="61"/>
      <c r="AJ34" s="61"/>
      <c r="AK34" s="61"/>
      <c r="AL34" s="61"/>
      <c r="AM34" s="61"/>
      <c r="AN34" s="61"/>
      <c r="AO34" s="61"/>
      <c r="AP34" s="61"/>
      <c r="AQ34" s="61"/>
      <c r="AR34" s="61"/>
      <c r="AS34" s="61"/>
      <c r="AT34" s="61"/>
      <c r="AU34" s="61"/>
      <c r="AV34" s="61"/>
      <c r="AW34" s="61"/>
      <c r="AX34" s="61"/>
      <c r="AY34" s="62" t="str">
        <f t="shared" si="23"/>
        <v>#REF!</v>
      </c>
      <c r="AZ34" s="61"/>
      <c r="BA34" s="62" t="str">
        <f t="shared" si="24"/>
        <v>#REF!</v>
      </c>
      <c r="BB34" s="61"/>
      <c r="BC34" s="62" t="str">
        <f t="shared" si="25"/>
        <v>#REF!</v>
      </c>
      <c r="BD34" s="61"/>
      <c r="BE34" s="61"/>
      <c r="BF34" s="61"/>
      <c r="BG34" s="61"/>
      <c r="BH34" s="61"/>
      <c r="BI34" s="61"/>
      <c r="BJ34" s="61"/>
      <c r="BK34" s="63" t="str">
        <f t="shared" si="65"/>
        <v>#REF!</v>
      </c>
      <c r="BL34" s="61"/>
      <c r="BM34" s="63" t="str">
        <f t="shared" si="28"/>
        <v>#REF!</v>
      </c>
      <c r="BN34" s="61"/>
      <c r="BO34" s="61"/>
      <c r="BP34" s="61"/>
      <c r="BQ34" s="61"/>
      <c r="BR34" s="61"/>
      <c r="BS34" s="63" t="str">
        <f t="shared" si="31"/>
        <v>#REF!</v>
      </c>
      <c r="BT34" s="61"/>
      <c r="BU34" s="61" t="str">
        <f t="shared" si="32"/>
        <v>#REF!</v>
      </c>
      <c r="BV34" s="61"/>
      <c r="BW34" s="61"/>
      <c r="BX34" s="61"/>
    </row>
    <row r="35">
      <c r="A35" s="62" t="str">
        <f t="shared" si="1"/>
        <v>#REF!</v>
      </c>
      <c r="B35" s="61"/>
      <c r="C35" s="61"/>
      <c r="D35" s="61"/>
      <c r="E35" s="61"/>
      <c r="F35" s="61"/>
      <c r="G35" s="61"/>
      <c r="H35" s="61"/>
      <c r="I35" s="61"/>
      <c r="J35" s="61"/>
      <c r="K35" s="61"/>
      <c r="L35" s="61"/>
      <c r="M35" s="61"/>
      <c r="N35" s="61"/>
      <c r="P35" s="61"/>
      <c r="Q35" s="61"/>
      <c r="R35" s="61"/>
      <c r="S35" s="62" t="str">
        <f t="shared" ref="S35:S39" si="66">CONCATENATE('Term Reference Guide (in-progress)'!B3," [",'Term Reference Guide (in-progress)'!C3,"]")</f>
        <v>#REF!</v>
      </c>
      <c r="T35" s="61"/>
      <c r="U35" s="61"/>
      <c r="V35" s="61"/>
      <c r="W35" s="61"/>
      <c r="X35" s="61"/>
      <c r="AD35" s="61"/>
      <c r="AE35" s="61"/>
      <c r="AF35" s="61"/>
      <c r="AG35" s="61"/>
      <c r="AH35" s="61"/>
      <c r="AI35" s="61"/>
      <c r="AJ35" s="61"/>
      <c r="AK35" s="61"/>
      <c r="AL35" s="61"/>
      <c r="AM35" s="61"/>
      <c r="AN35" s="61"/>
      <c r="AO35" s="61"/>
      <c r="AP35" s="61"/>
      <c r="AQ35" s="61"/>
      <c r="AR35" s="61"/>
      <c r="AS35" s="61"/>
      <c r="AT35" s="61"/>
      <c r="AU35" s="61"/>
      <c r="AV35" s="61"/>
      <c r="AW35" s="61"/>
      <c r="AX35" s="61"/>
      <c r="AY35" s="62" t="str">
        <f t="shared" si="23"/>
        <v>#REF!</v>
      </c>
      <c r="AZ35" s="61"/>
      <c r="BA35" s="62" t="str">
        <f t="shared" si="24"/>
        <v>#REF!</v>
      </c>
      <c r="BB35" s="61"/>
      <c r="BC35" s="62" t="str">
        <f t="shared" si="25"/>
        <v>#REF!</v>
      </c>
      <c r="BD35" s="61"/>
      <c r="BE35" s="61"/>
      <c r="BF35" s="61"/>
      <c r="BG35" s="61"/>
      <c r="BH35" s="61"/>
      <c r="BI35" s="61"/>
      <c r="BJ35" s="61"/>
      <c r="BK35" s="63" t="str">
        <f t="shared" si="65"/>
        <v>#REF!</v>
      </c>
      <c r="BL35" s="61"/>
      <c r="BM35" s="63" t="str">
        <f t="shared" si="28"/>
        <v>#REF!</v>
      </c>
      <c r="BN35" s="61"/>
      <c r="BO35" s="61"/>
      <c r="BP35" s="61"/>
      <c r="BQ35" s="61"/>
      <c r="BR35" s="61"/>
      <c r="BS35" s="63" t="str">
        <f t="shared" si="31"/>
        <v>#REF!</v>
      </c>
      <c r="BT35" s="61"/>
      <c r="BU35" s="61" t="str">
        <f>CONCATENATE('Term Reference Guide (in-progress)'!B3," [",'Term Reference Guide (in-progress)'!C3,"]")</f>
        <v>#REF!</v>
      </c>
      <c r="BV35" s="61"/>
      <c r="BW35" s="61"/>
      <c r="BX35" s="61"/>
    </row>
    <row r="36">
      <c r="A36" s="62" t="str">
        <f t="shared" si="1"/>
        <v>#REF!</v>
      </c>
      <c r="B36" s="61"/>
      <c r="C36" s="61"/>
      <c r="D36" s="61"/>
      <c r="E36" s="61"/>
      <c r="F36" s="61"/>
      <c r="G36" s="61"/>
      <c r="H36" s="61"/>
      <c r="I36" s="61"/>
      <c r="J36" s="61"/>
      <c r="K36" s="61"/>
      <c r="L36" s="61"/>
      <c r="M36" s="61"/>
      <c r="N36" s="61"/>
      <c r="P36" s="61"/>
      <c r="Q36" s="61"/>
      <c r="R36" s="61"/>
      <c r="S36" s="62" t="str">
        <f t="shared" si="66"/>
        <v>#REF!</v>
      </c>
      <c r="T36" s="61"/>
      <c r="U36" s="61"/>
      <c r="V36" s="61"/>
      <c r="W36" s="61"/>
      <c r="X36" s="61"/>
      <c r="Y36" s="62"/>
      <c r="Z36" s="61"/>
      <c r="AA36" s="61"/>
      <c r="AB36" s="61"/>
      <c r="AC36" s="61"/>
      <c r="AD36" s="61"/>
      <c r="AE36" s="61"/>
      <c r="AF36" s="61"/>
      <c r="AG36" s="61"/>
      <c r="AH36" s="61"/>
      <c r="AI36" s="61"/>
      <c r="AJ36" s="61"/>
      <c r="AK36" s="61"/>
      <c r="AL36" s="61"/>
      <c r="AM36" s="61"/>
      <c r="AN36" s="61"/>
      <c r="AO36" s="61"/>
      <c r="AP36" s="61"/>
      <c r="AQ36" s="61"/>
      <c r="AR36" s="61"/>
      <c r="AS36" s="61"/>
      <c r="AT36" s="61"/>
      <c r="AU36" s="61"/>
      <c r="AV36" s="61"/>
      <c r="AW36" s="61"/>
      <c r="AX36" s="61"/>
      <c r="AY36" s="62" t="str">
        <f t="shared" si="23"/>
        <v>#REF!</v>
      </c>
      <c r="AZ36" s="61"/>
      <c r="BA36" s="62" t="str">
        <f t="shared" si="24"/>
        <v>#REF!</v>
      </c>
      <c r="BB36" s="61"/>
      <c r="BC36" s="62" t="str">
        <f t="shared" si="25"/>
        <v>#REF!</v>
      </c>
      <c r="BD36" s="61"/>
      <c r="BE36" s="61"/>
      <c r="BF36" s="61"/>
      <c r="BG36" s="61"/>
      <c r="BH36" s="61"/>
      <c r="BI36" s="61"/>
      <c r="BJ36" s="61"/>
      <c r="BK36" s="68" t="s">
        <v>84</v>
      </c>
      <c r="BL36" s="61"/>
      <c r="BM36" s="63" t="str">
        <f t="shared" si="28"/>
        <v>#REF!</v>
      </c>
      <c r="BN36" s="61"/>
      <c r="BO36" s="61"/>
      <c r="BP36" s="61"/>
      <c r="BQ36" s="61"/>
      <c r="BR36" s="61"/>
      <c r="BS36" s="63" t="str">
        <f t="shared" si="31"/>
        <v>#REF!</v>
      </c>
      <c r="BT36" s="61"/>
      <c r="BU36" s="61" t="str">
        <f>CONCATENATE('Term Reference Guide (in-progress)'!B6," [",'Term Reference Guide (in-progress)'!C6,"]")</f>
        <v>#REF!</v>
      </c>
      <c r="BV36" s="61"/>
      <c r="BW36" s="61"/>
      <c r="BX36" s="61"/>
    </row>
    <row r="37">
      <c r="A37" s="62" t="str">
        <f t="shared" si="1"/>
        <v>#REF!</v>
      </c>
      <c r="B37" s="61"/>
      <c r="C37" s="61"/>
      <c r="D37" s="61"/>
      <c r="E37" s="61"/>
      <c r="F37" s="61"/>
      <c r="G37" s="61"/>
      <c r="H37" s="61"/>
      <c r="I37" s="61"/>
      <c r="J37" s="61"/>
      <c r="K37" s="61"/>
      <c r="L37" s="61"/>
      <c r="M37" s="61"/>
      <c r="N37" s="61"/>
      <c r="P37" s="61"/>
      <c r="Q37" s="61"/>
      <c r="R37" s="61"/>
      <c r="S37" s="62" t="str">
        <f t="shared" si="66"/>
        <v>#REF!</v>
      </c>
      <c r="T37" s="61"/>
      <c r="U37" s="61"/>
      <c r="V37" s="61"/>
      <c r="W37" s="61"/>
      <c r="X37" s="61"/>
      <c r="Y37" s="61"/>
      <c r="Z37" s="61"/>
      <c r="AA37" s="61"/>
      <c r="AB37" s="61"/>
      <c r="AC37" s="61"/>
      <c r="AD37" s="61"/>
      <c r="AE37" s="61"/>
      <c r="AF37" s="61"/>
      <c r="AG37" s="61"/>
      <c r="AH37" s="61"/>
      <c r="AI37" s="61"/>
      <c r="AJ37" s="61"/>
      <c r="AK37" s="61"/>
      <c r="AL37" s="61"/>
      <c r="AM37" s="61"/>
      <c r="AN37" s="61"/>
      <c r="AO37" s="61"/>
      <c r="AP37" s="61"/>
      <c r="AQ37" s="61"/>
      <c r="AR37" s="61"/>
      <c r="AS37" s="61"/>
      <c r="AT37" s="61"/>
      <c r="AU37" s="61"/>
      <c r="AV37" s="61"/>
      <c r="AW37" s="61"/>
      <c r="AX37" s="61"/>
      <c r="AY37" s="62" t="str">
        <f t="shared" si="23"/>
        <v>#REF!</v>
      </c>
      <c r="AZ37" s="61"/>
      <c r="BA37" s="62" t="str">
        <f t="shared" si="24"/>
        <v>#REF!</v>
      </c>
      <c r="BB37" s="61"/>
      <c r="BC37" s="62" t="str">
        <f t="shared" si="25"/>
        <v>#REF!</v>
      </c>
      <c r="BD37" s="61"/>
      <c r="BE37" s="61"/>
      <c r="BF37" s="61"/>
      <c r="BG37" s="61"/>
      <c r="BH37" s="61"/>
      <c r="BI37" s="61"/>
      <c r="BJ37" s="61"/>
      <c r="BK37" s="63" t="str">
        <f t="shared" ref="BK37:BK41" si="67">CONCATENATE('Term Reference Guide (in-progress)'!B3," [",'Term Reference Guide (in-progress)'!C3,"]")</f>
        <v>#REF!</v>
      </c>
      <c r="BL37" s="61"/>
      <c r="BM37" s="63" t="str">
        <f t="shared" si="28"/>
        <v>#REF!</v>
      </c>
      <c r="BN37" s="61"/>
      <c r="BO37" s="61"/>
      <c r="BP37" s="61"/>
      <c r="BQ37" s="61"/>
      <c r="BR37" s="61"/>
      <c r="BS37" s="63" t="str">
        <f t="shared" si="31"/>
        <v>#REF!</v>
      </c>
      <c r="BT37" s="61"/>
      <c r="BU37" s="61" t="str">
        <f t="shared" ref="BU37:BU38" si="68">CONCATENATE('Term Reference Guide (in-progress)'!B4," [",'Term Reference Guide (in-progress)'!C4,"]")</f>
        <v>#REF!</v>
      </c>
      <c r="BV37" s="61"/>
      <c r="BW37" s="61"/>
      <c r="BX37" s="61"/>
    </row>
    <row r="38">
      <c r="A38" s="62" t="str">
        <f t="shared" si="1"/>
        <v>#REF!</v>
      </c>
      <c r="B38" s="61"/>
      <c r="C38" s="61"/>
      <c r="D38" s="61"/>
      <c r="E38" s="61"/>
      <c r="F38" s="61"/>
      <c r="G38" s="61"/>
      <c r="H38" s="61"/>
      <c r="I38" s="61"/>
      <c r="J38" s="61"/>
      <c r="K38" s="61"/>
      <c r="L38" s="61"/>
      <c r="M38" s="61"/>
      <c r="N38" s="61"/>
      <c r="P38" s="61"/>
      <c r="Q38" s="61"/>
      <c r="R38" s="61"/>
      <c r="S38" s="62" t="str">
        <f t="shared" si="66"/>
        <v>#REF!</v>
      </c>
      <c r="T38" s="61"/>
      <c r="U38" s="61"/>
      <c r="V38" s="61"/>
      <c r="W38" s="61"/>
      <c r="X38" s="61"/>
      <c r="Y38" s="61"/>
      <c r="Z38" s="61"/>
      <c r="AA38" s="61"/>
      <c r="AB38" s="61"/>
      <c r="AC38" s="61"/>
      <c r="AD38" s="61"/>
      <c r="AE38" s="61"/>
      <c r="AF38" s="61"/>
      <c r="AG38" s="61"/>
      <c r="AH38" s="61"/>
      <c r="AI38" s="61"/>
      <c r="AJ38" s="61"/>
      <c r="AK38" s="61"/>
      <c r="AL38" s="61"/>
      <c r="AM38" s="61"/>
      <c r="AN38" s="61"/>
      <c r="AO38" s="61"/>
      <c r="AP38" s="61"/>
      <c r="AQ38" s="61"/>
      <c r="AR38" s="61"/>
      <c r="AS38" s="61"/>
      <c r="AT38" s="61"/>
      <c r="AU38" s="61"/>
      <c r="AV38" s="61"/>
      <c r="AW38" s="61"/>
      <c r="AX38" s="61"/>
      <c r="AY38" s="62" t="str">
        <f t="shared" si="23"/>
        <v>#REF!</v>
      </c>
      <c r="AZ38" s="61"/>
      <c r="BA38" s="62" t="str">
        <f t="shared" si="24"/>
        <v>#REF!</v>
      </c>
      <c r="BB38" s="61"/>
      <c r="BC38" s="62" t="str">
        <f t="shared" si="25"/>
        <v>#REF!</v>
      </c>
      <c r="BD38" s="61"/>
      <c r="BE38" s="61"/>
      <c r="BF38" s="61"/>
      <c r="BG38" s="61"/>
      <c r="BH38" s="61"/>
      <c r="BI38" s="61"/>
      <c r="BJ38" s="61"/>
      <c r="BK38" s="63" t="str">
        <f t="shared" si="67"/>
        <v>#REF!</v>
      </c>
      <c r="BL38" s="61"/>
      <c r="BM38" s="63" t="str">
        <f t="shared" si="28"/>
        <v>#REF!</v>
      </c>
      <c r="BN38" s="61"/>
      <c r="BO38" s="61"/>
      <c r="BP38" s="61"/>
      <c r="BQ38" s="61"/>
      <c r="BR38" s="61"/>
      <c r="BS38" s="63" t="str">
        <f t="shared" si="31"/>
        <v>#REF!</v>
      </c>
      <c r="BT38" s="61"/>
      <c r="BU38" s="61" t="str">
        <f t="shared" si="68"/>
        <v>#REF!</v>
      </c>
      <c r="BV38" s="61"/>
      <c r="BW38" s="61"/>
      <c r="BX38" s="61"/>
    </row>
    <row r="39">
      <c r="A39" s="62" t="str">
        <f t="shared" si="1"/>
        <v>#REF!</v>
      </c>
      <c r="B39" s="61"/>
      <c r="C39" s="61"/>
      <c r="D39" s="61"/>
      <c r="E39" s="61"/>
      <c r="F39" s="61"/>
      <c r="G39" s="61"/>
      <c r="H39" s="61"/>
      <c r="I39" s="61"/>
      <c r="J39" s="61"/>
      <c r="K39" s="61"/>
      <c r="L39" s="61"/>
      <c r="M39" s="61"/>
      <c r="N39" s="61"/>
      <c r="O39" s="61"/>
      <c r="P39" s="61"/>
      <c r="Q39" s="61"/>
      <c r="R39" s="61"/>
      <c r="S39" s="62" t="str">
        <f t="shared" si="66"/>
        <v>#REF!</v>
      </c>
      <c r="T39" s="61"/>
      <c r="U39" s="61"/>
      <c r="V39" s="61"/>
      <c r="W39" s="61"/>
      <c r="X39" s="61"/>
      <c r="Y39" s="61"/>
      <c r="Z39" s="61"/>
      <c r="AA39" s="61"/>
      <c r="AB39" s="61"/>
      <c r="AC39" s="61"/>
      <c r="AD39" s="61"/>
      <c r="AE39" s="61"/>
      <c r="AF39" s="61"/>
      <c r="AG39" s="61"/>
      <c r="AH39" s="61"/>
      <c r="AI39" s="61"/>
      <c r="AJ39" s="61"/>
      <c r="AK39" s="61"/>
      <c r="AL39" s="61"/>
      <c r="AM39" s="61"/>
      <c r="AN39" s="61"/>
      <c r="AO39" s="61"/>
      <c r="AP39" s="61"/>
      <c r="AQ39" s="61"/>
      <c r="AR39" s="61"/>
      <c r="AS39" s="61"/>
      <c r="AT39" s="61"/>
      <c r="AU39" s="61"/>
      <c r="AV39" s="61"/>
      <c r="AW39" s="61"/>
      <c r="AX39" s="61"/>
      <c r="AY39" s="62" t="str">
        <f t="shared" si="23"/>
        <v>#REF!</v>
      </c>
      <c r="AZ39" s="61"/>
      <c r="BA39" s="62" t="str">
        <f t="shared" si="24"/>
        <v>#REF!</v>
      </c>
      <c r="BB39" s="61"/>
      <c r="BC39" s="62" t="str">
        <f t="shared" si="25"/>
        <v>#REF!</v>
      </c>
      <c r="BD39" s="61"/>
      <c r="BE39" s="61"/>
      <c r="BF39" s="61"/>
      <c r="BG39" s="61"/>
      <c r="BH39" s="61"/>
      <c r="BI39" s="61"/>
      <c r="BJ39" s="61"/>
      <c r="BK39" s="63" t="str">
        <f t="shared" si="67"/>
        <v>#REF!</v>
      </c>
      <c r="BL39" s="61"/>
      <c r="BM39" s="63" t="str">
        <f t="shared" si="28"/>
        <v>#REF!</v>
      </c>
      <c r="BN39" s="61"/>
      <c r="BO39" s="61"/>
      <c r="BP39" s="61"/>
      <c r="BQ39" s="61"/>
      <c r="BR39" s="61"/>
      <c r="BS39" s="63" t="str">
        <f t="shared" si="31"/>
        <v>#REF!</v>
      </c>
      <c r="BT39" s="61"/>
      <c r="BU39" s="61" t="str">
        <f>CONCATENATE('Term Reference Guide (in-progress)'!B7," [",'Term Reference Guide (in-progress)'!C7,"]")</f>
        <v>#REF!</v>
      </c>
      <c r="BV39" s="61"/>
      <c r="BW39" s="61"/>
      <c r="BX39" s="61"/>
    </row>
    <row r="40">
      <c r="A40" s="62" t="str">
        <f t="shared" si="1"/>
        <v>#REF!</v>
      </c>
      <c r="B40" s="61"/>
      <c r="C40" s="61"/>
      <c r="D40" s="61"/>
      <c r="E40" s="61"/>
      <c r="F40" s="61"/>
      <c r="G40" s="61"/>
      <c r="H40" s="61"/>
      <c r="I40" s="61"/>
      <c r="J40" s="61"/>
      <c r="K40" s="61"/>
      <c r="L40" s="61"/>
      <c r="M40" s="61"/>
      <c r="N40" s="61"/>
      <c r="O40" s="61"/>
      <c r="P40" s="61"/>
      <c r="Q40" s="61"/>
      <c r="R40" s="61"/>
      <c r="X40" s="61"/>
      <c r="Y40" s="61"/>
      <c r="Z40" s="61"/>
      <c r="AA40" s="61"/>
      <c r="AB40" s="61"/>
      <c r="AC40" s="61"/>
      <c r="AD40" s="61"/>
      <c r="AE40" s="61"/>
      <c r="AF40" s="61"/>
      <c r="AG40" s="61"/>
      <c r="AH40" s="61"/>
      <c r="AI40" s="61"/>
      <c r="AJ40" s="61"/>
      <c r="AK40" s="61"/>
      <c r="AL40" s="61"/>
      <c r="AM40" s="61"/>
      <c r="AN40" s="61"/>
      <c r="AO40" s="61"/>
      <c r="AP40" s="61"/>
      <c r="AQ40" s="61"/>
      <c r="AR40" s="61"/>
      <c r="AS40" s="61"/>
      <c r="AT40" s="61"/>
      <c r="AU40" s="61"/>
      <c r="AV40" s="61"/>
      <c r="AW40" s="61"/>
      <c r="AX40" s="61"/>
      <c r="AY40" s="62" t="str">
        <f t="shared" si="23"/>
        <v>#REF!</v>
      </c>
      <c r="AZ40" s="61"/>
      <c r="BA40" s="62" t="str">
        <f t="shared" si="24"/>
        <v>#REF!</v>
      </c>
      <c r="BB40" s="61"/>
      <c r="BC40" s="62" t="str">
        <f t="shared" si="25"/>
        <v>#REF!</v>
      </c>
      <c r="BD40" s="61"/>
      <c r="BE40" s="61"/>
      <c r="BF40" s="61"/>
      <c r="BG40" s="61"/>
      <c r="BH40" s="61"/>
      <c r="BI40" s="61"/>
      <c r="BJ40" s="61"/>
      <c r="BK40" s="63" t="str">
        <f t="shared" si="67"/>
        <v>#REF!</v>
      </c>
      <c r="BL40" s="61"/>
      <c r="BM40" s="63" t="str">
        <f t="shared" si="28"/>
        <v>#REF!</v>
      </c>
      <c r="BN40" s="61"/>
      <c r="BO40" s="61"/>
      <c r="BP40" s="61"/>
      <c r="BQ40" s="61"/>
      <c r="BR40" s="61"/>
      <c r="BS40" s="63" t="str">
        <f t="shared" si="31"/>
        <v>#REF!</v>
      </c>
      <c r="BT40" s="61"/>
      <c r="BU40" s="61"/>
      <c r="BV40" s="61"/>
      <c r="BW40" s="61"/>
      <c r="BX40" s="61"/>
    </row>
    <row r="41">
      <c r="A41" s="62" t="str">
        <f t="shared" si="1"/>
        <v>#REF!</v>
      </c>
      <c r="B41" s="61"/>
      <c r="C41" s="61"/>
      <c r="D41" s="61"/>
      <c r="E41" s="61"/>
      <c r="F41" s="61"/>
      <c r="G41" s="61"/>
      <c r="H41" s="61"/>
      <c r="I41" s="61"/>
      <c r="J41" s="61"/>
      <c r="K41" s="61"/>
      <c r="L41" s="61"/>
      <c r="M41" s="61"/>
      <c r="N41" s="61"/>
      <c r="O41" s="61"/>
      <c r="P41" s="61"/>
      <c r="Q41" s="61"/>
      <c r="R41" s="61"/>
      <c r="X41" s="61"/>
      <c r="Y41" s="61"/>
      <c r="Z41" s="61"/>
      <c r="AA41" s="61"/>
      <c r="AB41" s="61"/>
      <c r="AC41" s="61"/>
      <c r="AD41" s="61"/>
      <c r="AE41" s="61"/>
      <c r="AF41" s="61"/>
      <c r="AG41" s="61"/>
      <c r="AH41" s="61"/>
      <c r="AI41" s="61"/>
      <c r="AJ41" s="61"/>
      <c r="AK41" s="61"/>
      <c r="AL41" s="61"/>
      <c r="AM41" s="61"/>
      <c r="AN41" s="61"/>
      <c r="AO41" s="61"/>
      <c r="AP41" s="61"/>
      <c r="AQ41" s="61"/>
      <c r="AR41" s="61"/>
      <c r="AS41" s="61"/>
      <c r="AT41" s="61"/>
      <c r="AU41" s="61"/>
      <c r="AV41" s="61"/>
      <c r="AW41" s="61"/>
      <c r="AX41" s="61"/>
      <c r="AY41" s="62" t="str">
        <f t="shared" si="23"/>
        <v>#REF!</v>
      </c>
      <c r="AZ41" s="61"/>
      <c r="BA41" s="62" t="str">
        <f t="shared" si="24"/>
        <v>#REF!</v>
      </c>
      <c r="BB41" s="61"/>
      <c r="BC41" s="62" t="str">
        <f t="shared" si="25"/>
        <v>#REF!</v>
      </c>
      <c r="BD41" s="61"/>
      <c r="BE41" s="61"/>
      <c r="BF41" s="61"/>
      <c r="BG41" s="61"/>
      <c r="BH41" s="61"/>
      <c r="BI41" s="61"/>
      <c r="BJ41" s="61"/>
      <c r="BK41" s="63" t="str">
        <f t="shared" si="67"/>
        <v>#REF!</v>
      </c>
      <c r="BL41" s="61"/>
      <c r="BM41" s="63" t="str">
        <f t="shared" si="28"/>
        <v>#REF!</v>
      </c>
      <c r="BN41" s="61"/>
      <c r="BO41" s="61"/>
      <c r="BP41" s="61"/>
      <c r="BQ41" s="61"/>
      <c r="BR41" s="61"/>
      <c r="BS41" s="63" t="str">
        <f t="shared" si="31"/>
        <v>#REF!</v>
      </c>
      <c r="BT41" s="61"/>
      <c r="BU41" s="61"/>
      <c r="BV41" s="61"/>
      <c r="BW41" s="61"/>
      <c r="BX41" s="61"/>
    </row>
    <row r="42">
      <c r="A42" s="62" t="str">
        <f t="shared" si="1"/>
        <v>#REF!</v>
      </c>
      <c r="B42" s="61"/>
      <c r="C42" s="61"/>
      <c r="D42" s="61"/>
      <c r="E42" s="61"/>
      <c r="F42" s="61"/>
      <c r="G42" s="61"/>
      <c r="H42" s="61"/>
      <c r="I42" s="61"/>
      <c r="J42" s="61"/>
      <c r="K42" s="61"/>
      <c r="L42" s="61"/>
      <c r="M42" s="61"/>
      <c r="N42" s="61"/>
      <c r="O42" s="61"/>
      <c r="P42" s="61"/>
      <c r="Q42" s="61"/>
      <c r="R42" s="61"/>
      <c r="X42" s="61"/>
      <c r="Y42" s="61"/>
      <c r="Z42" s="61"/>
      <c r="AA42" s="61"/>
      <c r="AB42" s="61"/>
      <c r="AC42" s="61"/>
      <c r="AD42" s="61"/>
      <c r="AE42" s="61"/>
      <c r="AF42" s="61"/>
      <c r="AG42" s="61"/>
      <c r="AH42" s="61"/>
      <c r="AI42" s="61"/>
      <c r="AJ42" s="61"/>
      <c r="AK42" s="61"/>
      <c r="AL42" s="61"/>
      <c r="AM42" s="61"/>
      <c r="AN42" s="61"/>
      <c r="AO42" s="61"/>
      <c r="AP42" s="61"/>
      <c r="AQ42" s="61"/>
      <c r="AR42" s="61"/>
      <c r="AS42" s="61"/>
      <c r="AT42" s="61"/>
      <c r="AU42" s="61"/>
      <c r="AV42" s="61"/>
      <c r="AW42" s="61"/>
      <c r="AX42" s="61"/>
      <c r="AY42" s="62" t="str">
        <f t="shared" si="23"/>
        <v>#REF!</v>
      </c>
      <c r="AZ42" s="61"/>
      <c r="BA42" s="62" t="str">
        <f t="shared" si="24"/>
        <v>#REF!</v>
      </c>
      <c r="BB42" s="62"/>
      <c r="BC42" s="62" t="str">
        <f t="shared" si="25"/>
        <v>#REF!</v>
      </c>
      <c r="BD42" s="61"/>
      <c r="BE42" s="61"/>
      <c r="BF42" s="61"/>
      <c r="BG42" s="61"/>
      <c r="BH42" s="61"/>
      <c r="BI42" s="61"/>
      <c r="BJ42" s="61"/>
      <c r="BK42" s="61"/>
      <c r="BL42" s="61"/>
      <c r="BM42" s="63" t="str">
        <f t="shared" si="28"/>
        <v>#REF!</v>
      </c>
      <c r="BN42" s="61"/>
      <c r="BO42" s="61"/>
      <c r="BP42" s="61"/>
      <c r="BQ42" s="61"/>
      <c r="BR42" s="61"/>
      <c r="BS42" s="63" t="str">
        <f t="shared" si="31"/>
        <v>#REF!</v>
      </c>
      <c r="BT42" s="61"/>
      <c r="BU42" s="61"/>
      <c r="BV42" s="61"/>
      <c r="BW42" s="61"/>
      <c r="BX42" s="61"/>
    </row>
    <row r="43">
      <c r="A43" s="62" t="str">
        <f t="shared" si="1"/>
        <v>#REF!</v>
      </c>
      <c r="B43" s="61"/>
      <c r="C43" s="61"/>
      <c r="D43" s="61"/>
      <c r="E43" s="61"/>
      <c r="F43" s="61"/>
      <c r="G43" s="61"/>
      <c r="H43" s="61"/>
      <c r="I43" s="61"/>
      <c r="J43" s="61"/>
      <c r="K43" s="61"/>
      <c r="L43" s="61"/>
      <c r="M43" s="61"/>
      <c r="N43" s="61"/>
      <c r="O43" s="61"/>
      <c r="P43" s="61"/>
      <c r="Q43" s="61"/>
      <c r="R43" s="61"/>
      <c r="X43" s="61"/>
      <c r="Y43" s="61"/>
      <c r="Z43" s="61"/>
      <c r="AA43" s="61"/>
      <c r="AB43" s="61"/>
      <c r="AC43" s="61"/>
      <c r="AD43" s="61"/>
      <c r="AE43" s="61"/>
      <c r="AF43" s="61"/>
      <c r="AG43" s="61"/>
      <c r="AH43" s="61"/>
      <c r="AI43" s="61"/>
      <c r="AJ43" s="61"/>
      <c r="AK43" s="61"/>
      <c r="AL43" s="61"/>
      <c r="AM43" s="61"/>
      <c r="AN43" s="61"/>
      <c r="AO43" s="61"/>
      <c r="AP43" s="61"/>
      <c r="AQ43" s="61"/>
      <c r="AR43" s="61"/>
      <c r="AS43" s="61"/>
      <c r="AT43" s="61"/>
      <c r="AU43" s="61"/>
      <c r="AV43" s="61"/>
      <c r="AW43" s="61"/>
      <c r="AX43" s="61"/>
      <c r="AY43" s="62" t="str">
        <f t="shared" si="23"/>
        <v>#REF!</v>
      </c>
      <c r="AZ43" s="61"/>
      <c r="BA43" s="62" t="str">
        <f t="shared" si="24"/>
        <v>#REF!</v>
      </c>
      <c r="BB43" s="61"/>
      <c r="BC43" s="62" t="str">
        <f t="shared" si="25"/>
        <v>#REF!</v>
      </c>
      <c r="BD43" s="61"/>
      <c r="BE43" s="61"/>
      <c r="BF43" s="61"/>
      <c r="BG43" s="61"/>
      <c r="BH43" s="61"/>
      <c r="BI43" s="61"/>
      <c r="BJ43" s="61"/>
      <c r="BK43" s="61"/>
      <c r="BL43" s="61"/>
      <c r="BM43" s="63" t="str">
        <f t="shared" si="28"/>
        <v>#REF!</v>
      </c>
      <c r="BN43" s="61"/>
      <c r="BO43" s="61"/>
      <c r="BP43" s="61"/>
      <c r="BQ43" s="61"/>
      <c r="BR43" s="61"/>
      <c r="BS43" s="63" t="str">
        <f t="shared" si="31"/>
        <v>#REF!</v>
      </c>
      <c r="BT43" s="61"/>
      <c r="BU43" s="61"/>
      <c r="BV43" s="61"/>
      <c r="BW43" s="61"/>
      <c r="BX43" s="61"/>
    </row>
    <row r="44">
      <c r="A44" s="62" t="str">
        <f t="shared" si="1"/>
        <v>#REF!</v>
      </c>
      <c r="B44" s="61"/>
      <c r="C44" s="61"/>
      <c r="D44" s="61"/>
      <c r="E44" s="61"/>
      <c r="F44" s="61"/>
      <c r="G44" s="61"/>
      <c r="H44" s="61"/>
      <c r="I44" s="61"/>
      <c r="J44" s="61"/>
      <c r="K44" s="61"/>
      <c r="L44" s="61"/>
      <c r="M44" s="61"/>
      <c r="N44" s="61"/>
      <c r="O44" s="61"/>
      <c r="P44" s="61"/>
      <c r="Q44" s="61"/>
      <c r="R44" s="61"/>
      <c r="X44" s="61"/>
      <c r="Y44" s="61"/>
      <c r="Z44" s="61"/>
      <c r="AA44" s="61"/>
      <c r="AB44" s="61"/>
      <c r="AC44" s="61"/>
      <c r="AD44" s="61"/>
      <c r="AE44" s="61"/>
      <c r="AF44" s="61"/>
      <c r="AG44" s="61"/>
      <c r="AH44" s="61"/>
      <c r="AI44" s="61"/>
      <c r="AJ44" s="61"/>
      <c r="AK44" s="61"/>
      <c r="AL44" s="61"/>
      <c r="AM44" s="61"/>
      <c r="AN44" s="61"/>
      <c r="AO44" s="61"/>
      <c r="AP44" s="61"/>
      <c r="AQ44" s="61"/>
      <c r="AR44" s="61"/>
      <c r="AS44" s="61"/>
      <c r="AT44" s="61"/>
      <c r="AU44" s="61"/>
      <c r="AV44" s="61"/>
      <c r="AW44" s="61"/>
      <c r="AX44" s="61"/>
      <c r="AY44" s="62" t="str">
        <f t="shared" si="23"/>
        <v>#REF!</v>
      </c>
      <c r="AZ44" s="61"/>
      <c r="BA44" s="62" t="str">
        <f t="shared" si="24"/>
        <v>#REF!</v>
      </c>
      <c r="BB44" s="61"/>
      <c r="BC44" s="62" t="str">
        <f t="shared" si="25"/>
        <v>#REF!</v>
      </c>
      <c r="BD44" s="61"/>
      <c r="BE44" s="61"/>
      <c r="BF44" s="61"/>
      <c r="BG44" s="61"/>
      <c r="BH44" s="61"/>
      <c r="BI44" s="61"/>
      <c r="BJ44" s="61"/>
      <c r="BK44" s="61"/>
      <c r="BL44" s="61"/>
      <c r="BM44" s="63" t="str">
        <f t="shared" si="28"/>
        <v>#REF!</v>
      </c>
      <c r="BN44" s="61"/>
      <c r="BO44" s="61"/>
      <c r="BP44" s="61"/>
      <c r="BQ44" s="61"/>
      <c r="BR44" s="61"/>
      <c r="BS44" s="63" t="str">
        <f t="shared" si="31"/>
        <v>#REF!</v>
      </c>
      <c r="BT44" s="61"/>
      <c r="BU44" s="61"/>
      <c r="BV44" s="61"/>
      <c r="BW44" s="61"/>
      <c r="BX44" s="61"/>
    </row>
    <row r="45">
      <c r="A45" s="62" t="str">
        <f t="shared" si="1"/>
        <v>#REF!</v>
      </c>
      <c r="B45" s="61"/>
      <c r="C45" s="61"/>
      <c r="D45" s="61"/>
      <c r="E45" s="61"/>
      <c r="F45" s="61"/>
      <c r="G45" s="61"/>
      <c r="H45" s="61"/>
      <c r="I45" s="61"/>
      <c r="J45" s="61"/>
      <c r="K45" s="61"/>
      <c r="L45" s="61"/>
      <c r="M45" s="61"/>
      <c r="N45" s="61"/>
      <c r="O45" s="61"/>
      <c r="P45" s="61"/>
      <c r="Q45" s="61"/>
      <c r="R45" s="61"/>
      <c r="X45" s="61"/>
      <c r="Y45" s="61"/>
      <c r="Z45" s="61"/>
      <c r="AA45" s="61"/>
      <c r="AB45" s="61"/>
      <c r="AC45" s="61"/>
      <c r="AD45" s="61"/>
      <c r="AE45" s="61"/>
      <c r="AF45" s="61"/>
      <c r="AG45" s="61"/>
      <c r="AH45" s="61"/>
      <c r="AI45" s="61"/>
      <c r="AJ45" s="61"/>
      <c r="AK45" s="61"/>
      <c r="AL45" s="61"/>
      <c r="AM45" s="61"/>
      <c r="AN45" s="61"/>
      <c r="AO45" s="61"/>
      <c r="AP45" s="61"/>
      <c r="AQ45" s="61"/>
      <c r="AR45" s="61"/>
      <c r="AS45" s="61"/>
      <c r="AT45" s="61"/>
      <c r="AU45" s="61"/>
      <c r="AV45" s="61"/>
      <c r="AW45" s="61"/>
      <c r="AX45" s="61"/>
      <c r="AY45" s="62" t="str">
        <f t="shared" si="23"/>
        <v>#REF!</v>
      </c>
      <c r="AZ45" s="61"/>
      <c r="BA45" s="62" t="str">
        <f t="shared" si="24"/>
        <v>#REF!</v>
      </c>
      <c r="BB45" s="61"/>
      <c r="BC45" s="62" t="str">
        <f t="shared" si="25"/>
        <v>#REF!</v>
      </c>
      <c r="BD45" s="61"/>
      <c r="BE45" s="61"/>
      <c r="BF45" s="61"/>
      <c r="BG45" s="61"/>
      <c r="BH45" s="61"/>
      <c r="BI45" s="61"/>
      <c r="BJ45" s="61"/>
      <c r="BK45" s="61"/>
      <c r="BL45" s="61"/>
      <c r="BM45" s="63" t="str">
        <f t="shared" si="28"/>
        <v>#REF!</v>
      </c>
      <c r="BN45" s="61"/>
      <c r="BO45" s="61"/>
      <c r="BP45" s="61"/>
      <c r="BQ45" s="61"/>
      <c r="BR45" s="61"/>
      <c r="BS45" s="63" t="str">
        <f t="shared" si="31"/>
        <v>#REF!</v>
      </c>
      <c r="BT45" s="61"/>
      <c r="BU45" s="61"/>
      <c r="BV45" s="61"/>
      <c r="BW45" s="61"/>
      <c r="BX45" s="61"/>
    </row>
    <row r="46">
      <c r="A46" s="62" t="str">
        <f t="shared" si="1"/>
        <v>#REF!</v>
      </c>
      <c r="B46" s="61"/>
      <c r="C46" s="61"/>
      <c r="D46" s="61"/>
      <c r="E46" s="61"/>
      <c r="F46" s="61"/>
      <c r="G46" s="61"/>
      <c r="H46" s="61"/>
      <c r="I46" s="61"/>
      <c r="J46" s="61"/>
      <c r="K46" s="61"/>
      <c r="L46" s="61"/>
      <c r="M46" s="61"/>
      <c r="N46" s="61"/>
      <c r="O46" s="61"/>
      <c r="P46" s="61"/>
      <c r="Q46" s="61"/>
      <c r="R46" s="61"/>
      <c r="X46" s="61"/>
      <c r="Y46" s="61"/>
      <c r="Z46" s="61"/>
      <c r="AA46" s="61"/>
      <c r="AB46" s="61"/>
      <c r="AC46" s="61"/>
      <c r="AD46" s="61"/>
      <c r="AE46" s="61"/>
      <c r="AF46" s="61"/>
      <c r="AG46" s="61"/>
      <c r="AH46" s="61"/>
      <c r="AI46" s="61"/>
      <c r="AJ46" s="61"/>
      <c r="AK46" s="61"/>
      <c r="AL46" s="61"/>
      <c r="AM46" s="61"/>
      <c r="AN46" s="61"/>
      <c r="AO46" s="61"/>
      <c r="AP46" s="61"/>
      <c r="AQ46" s="61"/>
      <c r="AR46" s="61"/>
      <c r="AS46" s="61"/>
      <c r="AT46" s="61"/>
      <c r="AU46" s="61"/>
      <c r="AV46" s="61"/>
      <c r="AW46" s="61"/>
      <c r="AX46" s="61"/>
      <c r="AY46" s="62" t="str">
        <f t="shared" si="23"/>
        <v>#REF!</v>
      </c>
      <c r="AZ46" s="61"/>
      <c r="BA46" s="62" t="str">
        <f t="shared" si="24"/>
        <v>#REF!</v>
      </c>
      <c r="BB46" s="61"/>
      <c r="BC46" s="62" t="str">
        <f t="shared" si="25"/>
        <v>#REF!</v>
      </c>
      <c r="BD46" s="61"/>
      <c r="BE46" s="61"/>
      <c r="BF46" s="61"/>
      <c r="BG46" s="61"/>
      <c r="BH46" s="61"/>
      <c r="BI46" s="61"/>
      <c r="BJ46" s="61"/>
      <c r="BK46" s="61"/>
      <c r="BL46" s="61"/>
      <c r="BM46" s="63" t="str">
        <f t="shared" si="28"/>
        <v>#REF!</v>
      </c>
      <c r="BN46" s="61"/>
      <c r="BO46" s="61"/>
      <c r="BP46" s="61"/>
      <c r="BQ46" s="61"/>
      <c r="BR46" s="61"/>
      <c r="BS46" s="63" t="str">
        <f t="shared" si="31"/>
        <v>#REF!</v>
      </c>
      <c r="BT46" s="61"/>
      <c r="BU46" s="61"/>
      <c r="BV46" s="61"/>
      <c r="BW46" s="61"/>
      <c r="BX46" s="61"/>
    </row>
    <row r="47">
      <c r="A47" s="62" t="str">
        <f t="shared" si="1"/>
        <v>#REF!</v>
      </c>
      <c r="B47" s="61"/>
      <c r="C47" s="61"/>
      <c r="D47" s="61"/>
      <c r="E47" s="61"/>
      <c r="F47" s="61"/>
      <c r="G47" s="61"/>
      <c r="H47" s="61"/>
      <c r="I47" s="61"/>
      <c r="J47" s="61"/>
      <c r="K47" s="61"/>
      <c r="L47" s="61"/>
      <c r="M47" s="61"/>
      <c r="N47" s="61"/>
      <c r="O47" s="61"/>
      <c r="P47" s="61"/>
      <c r="Q47" s="61"/>
      <c r="R47" s="61"/>
      <c r="X47" s="61"/>
      <c r="Y47" s="61"/>
      <c r="Z47" s="61"/>
      <c r="AA47" s="61"/>
      <c r="AB47" s="61"/>
      <c r="AC47" s="61"/>
      <c r="AD47" s="61"/>
      <c r="AE47" s="61"/>
      <c r="AF47" s="61"/>
      <c r="AG47" s="61"/>
      <c r="AH47" s="61"/>
      <c r="AI47" s="61"/>
      <c r="AJ47" s="61"/>
      <c r="AK47" s="61"/>
      <c r="AL47" s="61"/>
      <c r="AM47" s="61"/>
      <c r="AN47" s="61"/>
      <c r="AO47" s="61"/>
      <c r="AP47" s="61"/>
      <c r="AQ47" s="61"/>
      <c r="AR47" s="61"/>
      <c r="AS47" s="61"/>
      <c r="AT47" s="61"/>
      <c r="AU47" s="61"/>
      <c r="AV47" s="61"/>
      <c r="AW47" s="61"/>
      <c r="AX47" s="61"/>
      <c r="AY47" s="62" t="str">
        <f t="shared" si="23"/>
        <v>#REF!</v>
      </c>
      <c r="AZ47" s="61"/>
      <c r="BA47" s="62" t="str">
        <f t="shared" si="24"/>
        <v>#REF!</v>
      </c>
      <c r="BB47" s="61"/>
      <c r="BC47" s="62" t="str">
        <f t="shared" si="25"/>
        <v>#REF!</v>
      </c>
      <c r="BD47" s="62"/>
      <c r="BE47" s="61"/>
      <c r="BF47" s="61"/>
      <c r="BG47" s="61"/>
      <c r="BH47" s="61"/>
      <c r="BI47" s="61"/>
      <c r="BJ47" s="61"/>
      <c r="BK47" s="61"/>
      <c r="BL47" s="61"/>
      <c r="BM47" s="63" t="str">
        <f t="shared" si="28"/>
        <v>#REF!</v>
      </c>
      <c r="BN47" s="61"/>
      <c r="BO47" s="61"/>
      <c r="BP47" s="61"/>
      <c r="BQ47" s="61"/>
      <c r="BR47" s="61"/>
      <c r="BS47" s="63" t="str">
        <f t="shared" si="31"/>
        <v>#REF!</v>
      </c>
      <c r="BT47" s="61"/>
      <c r="BU47" s="61"/>
      <c r="BV47" s="61"/>
      <c r="BW47" s="61"/>
      <c r="BX47" s="61"/>
    </row>
    <row r="48">
      <c r="A48" s="62" t="str">
        <f t="shared" si="1"/>
        <v>#REF!</v>
      </c>
      <c r="B48" s="61"/>
      <c r="C48" s="61"/>
      <c r="D48" s="61"/>
      <c r="E48" s="61"/>
      <c r="F48" s="61"/>
      <c r="G48" s="61"/>
      <c r="H48" s="61"/>
      <c r="I48" s="61"/>
      <c r="J48" s="61"/>
      <c r="K48" s="61"/>
      <c r="L48" s="61"/>
      <c r="M48" s="61"/>
      <c r="N48" s="61"/>
      <c r="O48" s="61"/>
      <c r="P48" s="61"/>
      <c r="Q48" s="61"/>
      <c r="R48" s="61"/>
      <c r="S48" s="61"/>
      <c r="T48" s="61"/>
      <c r="U48" s="61"/>
      <c r="V48" s="61"/>
      <c r="W48" s="61"/>
      <c r="X48" s="61"/>
      <c r="Y48" s="61"/>
      <c r="Z48" s="61"/>
      <c r="AA48" s="61"/>
      <c r="AB48" s="61"/>
      <c r="AC48" s="61"/>
      <c r="AD48" s="61"/>
      <c r="AE48" s="61"/>
      <c r="AF48" s="61"/>
      <c r="AG48" s="61"/>
      <c r="AH48" s="61"/>
      <c r="AI48" s="61"/>
      <c r="AJ48" s="61"/>
      <c r="AK48" s="61"/>
      <c r="AL48" s="61"/>
      <c r="AM48" s="61"/>
      <c r="AN48" s="61"/>
      <c r="AO48" s="61"/>
      <c r="AP48" s="61"/>
      <c r="AQ48" s="61"/>
      <c r="AR48" s="61"/>
      <c r="AS48" s="61"/>
      <c r="AT48" s="61"/>
      <c r="AU48" s="61"/>
      <c r="AV48" s="61"/>
      <c r="AW48" s="61"/>
      <c r="AX48" s="61"/>
      <c r="AY48" s="62" t="str">
        <f t="shared" si="23"/>
        <v>#REF!</v>
      </c>
      <c r="AZ48" s="61"/>
      <c r="BA48" s="62" t="str">
        <f t="shared" si="24"/>
        <v>#REF!</v>
      </c>
      <c r="BB48" s="61"/>
      <c r="BC48" s="62" t="str">
        <f t="shared" si="25"/>
        <v>#REF!</v>
      </c>
      <c r="BD48" s="61"/>
      <c r="BE48" s="61"/>
      <c r="BF48" s="61"/>
      <c r="BG48" s="61"/>
      <c r="BH48" s="61"/>
      <c r="BI48" s="61"/>
      <c r="BJ48" s="61"/>
      <c r="BK48" s="61"/>
      <c r="BL48" s="61"/>
      <c r="BM48" s="63" t="str">
        <f t="shared" si="28"/>
        <v>#REF!</v>
      </c>
      <c r="BN48" s="61"/>
      <c r="BO48" s="61"/>
      <c r="BP48" s="61"/>
      <c r="BQ48" s="61"/>
      <c r="BR48" s="61"/>
      <c r="BS48" s="63" t="str">
        <f t="shared" ref="BS48:BS52" si="69">CONCATENATE('Term Reference Guide (in-progress)'!B3," [",'Term Reference Guide (in-progress)'!C3,"]")</f>
        <v>#REF!</v>
      </c>
      <c r="BT48" s="61"/>
      <c r="BU48" s="61"/>
      <c r="BV48" s="61"/>
      <c r="BW48" s="61"/>
      <c r="BX48" s="61"/>
    </row>
    <row r="49">
      <c r="A49" s="62" t="str">
        <f t="shared" si="1"/>
        <v>#REF!</v>
      </c>
      <c r="B49" s="61"/>
      <c r="C49" s="61"/>
      <c r="D49" s="61"/>
      <c r="E49" s="61"/>
      <c r="F49" s="61"/>
      <c r="G49" s="61"/>
      <c r="H49" s="61"/>
      <c r="I49" s="61"/>
      <c r="J49" s="61"/>
      <c r="K49" s="61"/>
      <c r="L49" s="61"/>
      <c r="M49" s="61"/>
      <c r="N49" s="61"/>
      <c r="O49" s="61"/>
      <c r="P49" s="61"/>
      <c r="Q49" s="61"/>
      <c r="R49" s="61"/>
      <c r="S49" s="61"/>
      <c r="T49" s="61"/>
      <c r="U49" s="61"/>
      <c r="V49" s="61"/>
      <c r="W49" s="61"/>
      <c r="X49" s="61"/>
      <c r="Y49" s="61"/>
      <c r="Z49" s="61"/>
      <c r="AA49" s="61"/>
      <c r="AB49" s="61"/>
      <c r="AC49" s="61"/>
      <c r="AD49" s="61"/>
      <c r="AE49" s="61"/>
      <c r="AF49" s="61"/>
      <c r="AG49" s="61"/>
      <c r="AH49" s="61"/>
      <c r="AI49" s="61"/>
      <c r="AJ49" s="61"/>
      <c r="AK49" s="61"/>
      <c r="AL49" s="61"/>
      <c r="AM49" s="61"/>
      <c r="AN49" s="61"/>
      <c r="AO49" s="61"/>
      <c r="AP49" s="61"/>
      <c r="AQ49" s="61"/>
      <c r="AR49" s="61"/>
      <c r="AS49" s="61"/>
      <c r="AT49" s="61"/>
      <c r="AU49" s="61"/>
      <c r="AV49" s="61"/>
      <c r="AW49" s="61"/>
      <c r="AX49" s="61"/>
      <c r="AY49" s="62" t="str">
        <f t="shared" si="23"/>
        <v>#REF!</v>
      </c>
      <c r="AZ49" s="61"/>
      <c r="BA49" s="62" t="str">
        <f t="shared" si="24"/>
        <v>#REF!</v>
      </c>
      <c r="BB49" s="61"/>
      <c r="BC49" s="62" t="str">
        <f t="shared" si="25"/>
        <v>#REF!</v>
      </c>
      <c r="BD49" s="61"/>
      <c r="BE49" s="61"/>
      <c r="BF49" s="61"/>
      <c r="BG49" s="61"/>
      <c r="BH49" s="61"/>
      <c r="BI49" s="61"/>
      <c r="BJ49" s="61"/>
      <c r="BK49" s="61"/>
      <c r="BL49" s="61"/>
      <c r="BM49" s="63" t="str">
        <f t="shared" si="28"/>
        <v>#REF!</v>
      </c>
      <c r="BN49" s="61"/>
      <c r="BO49" s="61"/>
      <c r="BP49" s="61"/>
      <c r="BQ49" s="61"/>
      <c r="BR49" s="61"/>
      <c r="BS49" s="63" t="str">
        <f t="shared" si="69"/>
        <v>#REF!</v>
      </c>
      <c r="BT49" s="61"/>
      <c r="BU49" s="61"/>
      <c r="BV49" s="61"/>
      <c r="BW49" s="61"/>
      <c r="BX49" s="61"/>
    </row>
    <row r="50">
      <c r="A50" s="62" t="str">
        <f t="shared" si="1"/>
        <v>#REF!</v>
      </c>
      <c r="B50" s="61"/>
      <c r="C50" s="61"/>
      <c r="D50" s="61"/>
      <c r="E50" s="61"/>
      <c r="F50" s="61"/>
      <c r="G50" s="61"/>
      <c r="H50" s="61"/>
      <c r="I50" s="61"/>
      <c r="J50" s="61"/>
      <c r="K50" s="61"/>
      <c r="L50" s="61"/>
      <c r="M50" s="61"/>
      <c r="N50" s="61"/>
      <c r="O50" s="61"/>
      <c r="P50" s="61"/>
      <c r="Q50" s="61"/>
      <c r="R50" s="61"/>
      <c r="S50" s="61"/>
      <c r="T50" s="61"/>
      <c r="U50" s="61"/>
      <c r="V50" s="61"/>
      <c r="W50" s="61"/>
      <c r="X50" s="61"/>
      <c r="Y50" s="61"/>
      <c r="Z50" s="61"/>
      <c r="AA50" s="61"/>
      <c r="AB50" s="61"/>
      <c r="AC50" s="61"/>
      <c r="AD50" s="61"/>
      <c r="AE50" s="61"/>
      <c r="AF50" s="61"/>
      <c r="AG50" s="61"/>
      <c r="AH50" s="61"/>
      <c r="AI50" s="61"/>
      <c r="AJ50" s="61"/>
      <c r="AK50" s="61"/>
      <c r="AL50" s="61"/>
      <c r="AM50" s="61"/>
      <c r="AN50" s="61"/>
      <c r="AO50" s="61"/>
      <c r="AP50" s="61"/>
      <c r="AQ50" s="61"/>
      <c r="AR50" s="61"/>
      <c r="AS50" s="61"/>
      <c r="AT50" s="61"/>
      <c r="AU50" s="61"/>
      <c r="AV50" s="61"/>
      <c r="AW50" s="61"/>
      <c r="AX50" s="61"/>
      <c r="AY50" s="62" t="str">
        <f t="shared" si="23"/>
        <v>#REF!</v>
      </c>
      <c r="AZ50" s="61"/>
      <c r="BA50" s="62" t="str">
        <f t="shared" si="24"/>
        <v>#REF!</v>
      </c>
      <c r="BB50" s="61"/>
      <c r="BC50" s="62" t="str">
        <f t="shared" si="25"/>
        <v>#REF!</v>
      </c>
      <c r="BD50" s="69"/>
      <c r="BE50" s="61"/>
      <c r="BF50" s="61"/>
      <c r="BG50" s="61"/>
      <c r="BH50" s="61"/>
      <c r="BI50" s="61"/>
      <c r="BJ50" s="61"/>
      <c r="BK50" s="61"/>
      <c r="BL50" s="61"/>
      <c r="BM50" s="63" t="str">
        <f t="shared" si="28"/>
        <v>#REF!</v>
      </c>
      <c r="BN50" s="61"/>
      <c r="BO50" s="61"/>
      <c r="BP50" s="61"/>
      <c r="BQ50" s="61"/>
      <c r="BR50" s="61"/>
      <c r="BS50" s="63" t="str">
        <f t="shared" si="69"/>
        <v>#REF!</v>
      </c>
      <c r="BT50" s="61"/>
      <c r="BU50" s="61"/>
      <c r="BV50" s="61"/>
      <c r="BW50" s="61"/>
      <c r="BX50" s="61"/>
    </row>
    <row r="51">
      <c r="A51" s="62" t="str">
        <f t="shared" si="1"/>
        <v>#REF!</v>
      </c>
      <c r="B51" s="61"/>
      <c r="C51" s="61"/>
      <c r="D51" s="61"/>
      <c r="E51" s="61"/>
      <c r="F51" s="61"/>
      <c r="G51" s="61"/>
      <c r="H51" s="61"/>
      <c r="I51" s="61"/>
      <c r="J51" s="61"/>
      <c r="K51" s="61"/>
      <c r="L51" s="61"/>
      <c r="M51" s="61"/>
      <c r="N51" s="61"/>
      <c r="O51" s="61"/>
      <c r="P51" s="61"/>
      <c r="Q51" s="61"/>
      <c r="R51" s="61"/>
      <c r="S51" s="61"/>
      <c r="T51" s="61"/>
      <c r="U51" s="61"/>
      <c r="V51" s="61"/>
      <c r="W51" s="61"/>
      <c r="X51" s="61"/>
      <c r="Y51" s="61"/>
      <c r="Z51" s="61"/>
      <c r="AA51" s="61"/>
      <c r="AB51" s="61"/>
      <c r="AC51" s="61"/>
      <c r="AD51" s="61"/>
      <c r="AE51" s="61"/>
      <c r="AF51" s="61"/>
      <c r="AG51" s="61"/>
      <c r="AH51" s="61"/>
      <c r="AI51" s="61"/>
      <c r="AJ51" s="61"/>
      <c r="AK51" s="61"/>
      <c r="AL51" s="61"/>
      <c r="AM51" s="61"/>
      <c r="AN51" s="61"/>
      <c r="AO51" s="61"/>
      <c r="AP51" s="61"/>
      <c r="AQ51" s="61"/>
      <c r="AR51" s="61"/>
      <c r="AS51" s="61"/>
      <c r="AT51" s="61"/>
      <c r="AU51" s="61"/>
      <c r="AV51" s="61"/>
      <c r="AW51" s="61"/>
      <c r="AX51" s="61"/>
      <c r="AY51" s="62" t="str">
        <f t="shared" si="23"/>
        <v>#REF!</v>
      </c>
      <c r="AZ51" s="61"/>
      <c r="BA51" s="62" t="str">
        <f t="shared" si="24"/>
        <v>#REF!</v>
      </c>
      <c r="BB51" s="61"/>
      <c r="BC51" s="62" t="str">
        <f t="shared" si="25"/>
        <v>#REF!</v>
      </c>
      <c r="BD51" s="70"/>
      <c r="BE51" s="61"/>
      <c r="BF51" s="61"/>
      <c r="BG51" s="61"/>
      <c r="BH51" s="61"/>
      <c r="BI51" s="61"/>
      <c r="BJ51" s="61"/>
      <c r="BK51" s="61"/>
      <c r="BL51" s="61"/>
      <c r="BM51" s="63" t="str">
        <f t="shared" si="28"/>
        <v>#REF!</v>
      </c>
      <c r="BN51" s="61"/>
      <c r="BO51" s="61"/>
      <c r="BP51" s="61"/>
      <c r="BQ51" s="61"/>
      <c r="BR51" s="61"/>
      <c r="BS51" s="63" t="str">
        <f t="shared" si="69"/>
        <v>#REF!</v>
      </c>
      <c r="BT51" s="61"/>
      <c r="BU51" s="61"/>
      <c r="BV51" s="61"/>
      <c r="BW51" s="61"/>
      <c r="BX51" s="61"/>
    </row>
    <row r="52">
      <c r="A52" s="62" t="str">
        <f t="shared" si="1"/>
        <v>#REF!</v>
      </c>
      <c r="B52" s="61"/>
      <c r="C52" s="61"/>
      <c r="D52" s="61"/>
      <c r="E52" s="61"/>
      <c r="F52" s="61"/>
      <c r="G52" s="61"/>
      <c r="H52" s="61"/>
      <c r="I52" s="61"/>
      <c r="J52" s="61"/>
      <c r="K52" s="61"/>
      <c r="L52" s="61"/>
      <c r="M52" s="61"/>
      <c r="N52" s="61"/>
      <c r="O52" s="61"/>
      <c r="P52" s="61"/>
      <c r="Q52" s="61"/>
      <c r="R52" s="61"/>
      <c r="S52" s="61"/>
      <c r="T52" s="61"/>
      <c r="U52" s="61"/>
      <c r="V52" s="61"/>
      <c r="W52" s="61"/>
      <c r="X52" s="61"/>
      <c r="Y52" s="61"/>
      <c r="Z52" s="61"/>
      <c r="AA52" s="61"/>
      <c r="AB52" s="61"/>
      <c r="AC52" s="61"/>
      <c r="AD52" s="61"/>
      <c r="AE52" s="61"/>
      <c r="AF52" s="61"/>
      <c r="AG52" s="61"/>
      <c r="AH52" s="61"/>
      <c r="AI52" s="61"/>
      <c r="AJ52" s="61"/>
      <c r="AK52" s="61"/>
      <c r="AL52" s="61"/>
      <c r="AM52" s="61"/>
      <c r="AN52" s="61"/>
      <c r="AO52" s="61"/>
      <c r="AP52" s="61"/>
      <c r="AQ52" s="61"/>
      <c r="AR52" s="61"/>
      <c r="AS52" s="61"/>
      <c r="AT52" s="61"/>
      <c r="AU52" s="61"/>
      <c r="AV52" s="61"/>
      <c r="AW52" s="61"/>
      <c r="AX52" s="61"/>
      <c r="AY52" s="62" t="str">
        <f t="shared" si="23"/>
        <v>#REF!</v>
      </c>
      <c r="AZ52" s="61"/>
      <c r="BA52" s="62" t="str">
        <f t="shared" si="24"/>
        <v>#REF!</v>
      </c>
      <c r="BB52" s="61"/>
      <c r="BC52" s="62" t="str">
        <f t="shared" si="25"/>
        <v>#REF!</v>
      </c>
      <c r="BD52" s="70"/>
      <c r="BE52" s="61"/>
      <c r="BF52" s="61"/>
      <c r="BG52" s="61"/>
      <c r="BH52" s="61"/>
      <c r="BI52" s="61"/>
      <c r="BJ52" s="61"/>
      <c r="BK52" s="61"/>
      <c r="BL52" s="61"/>
      <c r="BM52" s="63" t="str">
        <f t="shared" si="28"/>
        <v>#REF!</v>
      </c>
      <c r="BN52" s="61"/>
      <c r="BO52" s="61"/>
      <c r="BP52" s="61"/>
      <c r="BQ52" s="61"/>
      <c r="BR52" s="61"/>
      <c r="BS52" s="63" t="str">
        <f t="shared" si="69"/>
        <v>#REF!</v>
      </c>
      <c r="BT52" s="61"/>
      <c r="BU52" s="61"/>
      <c r="BV52" s="61"/>
      <c r="BW52" s="61"/>
      <c r="BX52" s="61"/>
    </row>
    <row r="53">
      <c r="A53" s="62" t="str">
        <f t="shared" si="1"/>
        <v>#REF!</v>
      </c>
      <c r="B53" s="61"/>
      <c r="C53" s="61"/>
      <c r="D53" s="61"/>
      <c r="E53" s="61"/>
      <c r="F53" s="61"/>
      <c r="G53" s="61"/>
      <c r="H53" s="61"/>
      <c r="I53" s="61"/>
      <c r="J53" s="61"/>
      <c r="K53" s="61"/>
      <c r="L53" s="61"/>
      <c r="M53" s="61"/>
      <c r="N53" s="61"/>
      <c r="O53" s="61"/>
      <c r="P53" s="61"/>
      <c r="Q53" s="61"/>
      <c r="R53" s="61"/>
      <c r="S53" s="61"/>
      <c r="T53" s="61"/>
      <c r="U53" s="61"/>
      <c r="V53" s="61"/>
      <c r="W53" s="61"/>
      <c r="X53" s="61"/>
      <c r="Y53" s="61"/>
      <c r="Z53" s="61"/>
      <c r="AA53" s="61"/>
      <c r="AB53" s="61"/>
      <c r="AC53" s="61"/>
      <c r="AD53" s="61"/>
      <c r="AE53" s="61"/>
      <c r="AF53" s="61"/>
      <c r="AG53" s="61"/>
      <c r="AH53" s="61"/>
      <c r="AI53" s="61"/>
      <c r="AJ53" s="61"/>
      <c r="AK53" s="61"/>
      <c r="AL53" s="61"/>
      <c r="AM53" s="61"/>
      <c r="AN53" s="61"/>
      <c r="AO53" s="61"/>
      <c r="AP53" s="61"/>
      <c r="AQ53" s="61"/>
      <c r="AR53" s="61"/>
      <c r="AS53" s="61"/>
      <c r="AT53" s="61"/>
      <c r="AU53" s="61"/>
      <c r="AV53" s="61"/>
      <c r="AW53" s="61"/>
      <c r="AX53" s="61"/>
      <c r="AY53" s="62" t="str">
        <f t="shared" si="23"/>
        <v>#REF!</v>
      </c>
      <c r="AZ53" s="61"/>
      <c r="BA53" s="62" t="str">
        <f t="shared" si="24"/>
        <v>#REF!</v>
      </c>
      <c r="BB53" s="61"/>
      <c r="BC53" s="62" t="str">
        <f t="shared" si="25"/>
        <v>#REF!</v>
      </c>
      <c r="BD53" s="70"/>
      <c r="BE53" s="61"/>
      <c r="BF53" s="61"/>
      <c r="BG53" s="61"/>
      <c r="BH53" s="61"/>
      <c r="BI53" s="61"/>
      <c r="BJ53" s="61"/>
      <c r="BK53" s="61"/>
      <c r="BL53" s="61"/>
      <c r="BM53" s="63" t="str">
        <f t="shared" si="28"/>
        <v>#REF!</v>
      </c>
      <c r="BN53" s="61"/>
      <c r="BO53" s="61"/>
      <c r="BP53" s="61"/>
      <c r="BQ53" s="61"/>
      <c r="BR53" s="61"/>
      <c r="BV53" s="61"/>
      <c r="BW53" s="61"/>
      <c r="BX53" s="61"/>
    </row>
    <row r="54">
      <c r="A54" s="62" t="str">
        <f t="shared" si="1"/>
        <v>#REF!</v>
      </c>
      <c r="B54" s="61"/>
      <c r="C54" s="61"/>
      <c r="D54" s="61"/>
      <c r="E54" s="61"/>
      <c r="F54" s="61"/>
      <c r="G54" s="61"/>
      <c r="H54" s="61"/>
      <c r="I54" s="61"/>
      <c r="J54" s="61"/>
      <c r="K54" s="61"/>
      <c r="L54" s="61"/>
      <c r="M54" s="61"/>
      <c r="N54" s="61"/>
      <c r="O54" s="61"/>
      <c r="P54" s="61"/>
      <c r="Q54" s="61"/>
      <c r="R54" s="61"/>
      <c r="S54" s="61"/>
      <c r="T54" s="61"/>
      <c r="U54" s="61"/>
      <c r="V54" s="61"/>
      <c r="W54" s="61"/>
      <c r="X54" s="61"/>
      <c r="Y54" s="61"/>
      <c r="Z54" s="61"/>
      <c r="AA54" s="61"/>
      <c r="AB54" s="61"/>
      <c r="AC54" s="61"/>
      <c r="AD54" s="61"/>
      <c r="AE54" s="61"/>
      <c r="AF54" s="61"/>
      <c r="AG54" s="61"/>
      <c r="AH54" s="61"/>
      <c r="AI54" s="61"/>
      <c r="AJ54" s="61"/>
      <c r="AK54" s="61"/>
      <c r="AL54" s="61"/>
      <c r="AM54" s="61"/>
      <c r="AN54" s="61"/>
      <c r="AO54" s="61"/>
      <c r="AP54" s="61"/>
      <c r="AQ54" s="61"/>
      <c r="AR54" s="61"/>
      <c r="AS54" s="61"/>
      <c r="AT54" s="61"/>
      <c r="AU54" s="61"/>
      <c r="AV54" s="61"/>
      <c r="AW54" s="61"/>
      <c r="AX54" s="61"/>
      <c r="AY54" s="62" t="str">
        <f t="shared" si="23"/>
        <v>#REF!</v>
      </c>
      <c r="AZ54" s="61"/>
      <c r="BA54" s="62" t="str">
        <f t="shared" si="24"/>
        <v>#REF!</v>
      </c>
      <c r="BB54" s="61"/>
      <c r="BC54" s="62" t="str">
        <f t="shared" si="25"/>
        <v>#REF!</v>
      </c>
      <c r="BD54" s="70"/>
      <c r="BE54" s="61"/>
      <c r="BF54" s="61"/>
      <c r="BG54" s="61"/>
      <c r="BH54" s="61"/>
      <c r="BI54" s="61"/>
      <c r="BJ54" s="61"/>
      <c r="BK54" s="61"/>
      <c r="BL54" s="61"/>
      <c r="BM54" s="63" t="str">
        <f t="shared" si="28"/>
        <v>#REF!</v>
      </c>
      <c r="BN54" s="61"/>
      <c r="BO54" s="61"/>
      <c r="BP54" s="61"/>
      <c r="BQ54" s="61"/>
      <c r="BR54" s="61"/>
      <c r="BV54" s="61"/>
      <c r="BW54" s="61"/>
      <c r="BX54" s="61"/>
    </row>
    <row r="55">
      <c r="A55" s="62" t="str">
        <f t="shared" si="1"/>
        <v>#REF!</v>
      </c>
      <c r="B55" s="61"/>
      <c r="C55" s="61"/>
      <c r="D55" s="61"/>
      <c r="E55" s="61"/>
      <c r="F55" s="61"/>
      <c r="G55" s="61"/>
      <c r="H55" s="61"/>
      <c r="I55" s="61"/>
      <c r="J55" s="61"/>
      <c r="K55" s="61"/>
      <c r="L55" s="61"/>
      <c r="M55" s="61"/>
      <c r="N55" s="61"/>
      <c r="O55" s="61"/>
      <c r="P55" s="61"/>
      <c r="Q55" s="61"/>
      <c r="R55" s="61"/>
      <c r="S55" s="61"/>
      <c r="T55" s="61"/>
      <c r="U55" s="61"/>
      <c r="V55" s="61"/>
      <c r="W55" s="61"/>
      <c r="X55" s="61"/>
      <c r="Y55" s="61"/>
      <c r="Z55" s="61"/>
      <c r="AA55" s="61"/>
      <c r="AB55" s="61"/>
      <c r="AC55" s="61"/>
      <c r="AD55" s="61"/>
      <c r="AE55" s="61"/>
      <c r="AF55" s="61"/>
      <c r="AG55" s="61"/>
      <c r="AH55" s="61"/>
      <c r="AI55" s="61"/>
      <c r="AJ55" s="61"/>
      <c r="AK55" s="61"/>
      <c r="AL55" s="61"/>
      <c r="AM55" s="61"/>
      <c r="AN55" s="61"/>
      <c r="AO55" s="61"/>
      <c r="AP55" s="61"/>
      <c r="AQ55" s="61"/>
      <c r="AR55" s="61"/>
      <c r="AS55" s="61"/>
      <c r="AT55" s="61"/>
      <c r="AU55" s="61"/>
      <c r="AV55" s="61"/>
      <c r="AW55" s="61"/>
      <c r="AX55" s="61"/>
      <c r="AY55" s="62" t="str">
        <f t="shared" si="23"/>
        <v>#REF!</v>
      </c>
      <c r="AZ55" s="61"/>
      <c r="BA55" s="62" t="str">
        <f t="shared" si="24"/>
        <v>#REF!</v>
      </c>
      <c r="BB55" s="61"/>
      <c r="BC55" s="62" t="str">
        <f t="shared" si="25"/>
        <v>#REF!</v>
      </c>
      <c r="BD55" s="69"/>
      <c r="BE55" s="61"/>
      <c r="BF55" s="61"/>
      <c r="BG55" s="61"/>
      <c r="BH55" s="61"/>
      <c r="BI55" s="61"/>
      <c r="BJ55" s="61"/>
      <c r="BK55" s="61"/>
      <c r="BL55" s="61"/>
      <c r="BM55" s="63" t="str">
        <f t="shared" si="28"/>
        <v>#REF!</v>
      </c>
      <c r="BN55" s="61"/>
      <c r="BO55" s="61"/>
      <c r="BP55" s="61"/>
      <c r="BQ55" s="61"/>
      <c r="BR55" s="61"/>
      <c r="BV55" s="61"/>
      <c r="BW55" s="61"/>
      <c r="BX55" s="61"/>
    </row>
    <row r="56">
      <c r="A56" s="62" t="str">
        <f t="shared" si="1"/>
        <v>#REF!</v>
      </c>
      <c r="B56" s="61"/>
      <c r="C56" s="61"/>
      <c r="D56" s="61"/>
      <c r="E56" s="61"/>
      <c r="F56" s="61"/>
      <c r="G56" s="61"/>
      <c r="H56" s="61"/>
      <c r="I56" s="61"/>
      <c r="J56" s="61"/>
      <c r="K56" s="61"/>
      <c r="L56" s="61"/>
      <c r="M56" s="61"/>
      <c r="N56" s="61"/>
      <c r="O56" s="61"/>
      <c r="P56" s="61"/>
      <c r="Q56" s="61"/>
      <c r="R56" s="61"/>
      <c r="S56" s="61"/>
      <c r="T56" s="61"/>
      <c r="U56" s="61"/>
      <c r="V56" s="61"/>
      <c r="W56" s="61"/>
      <c r="X56" s="61"/>
      <c r="Y56" s="61"/>
      <c r="Z56" s="61"/>
      <c r="AA56" s="61"/>
      <c r="AB56" s="61"/>
      <c r="AC56" s="61"/>
      <c r="AD56" s="61"/>
      <c r="AE56" s="61"/>
      <c r="AF56" s="61"/>
      <c r="AG56" s="61"/>
      <c r="AH56" s="61"/>
      <c r="AI56" s="61"/>
      <c r="AJ56" s="61"/>
      <c r="AK56" s="61"/>
      <c r="AL56" s="61"/>
      <c r="AM56" s="61"/>
      <c r="AN56" s="61"/>
      <c r="AO56" s="61"/>
      <c r="AP56" s="61"/>
      <c r="AQ56" s="61"/>
      <c r="AR56" s="61"/>
      <c r="AS56" s="61"/>
      <c r="AT56" s="61"/>
      <c r="AU56" s="61"/>
      <c r="AV56" s="61"/>
      <c r="AW56" s="61"/>
      <c r="AX56" s="61"/>
      <c r="AY56" s="62" t="str">
        <f t="shared" si="23"/>
        <v>#REF!</v>
      </c>
      <c r="AZ56" s="61"/>
      <c r="BA56" s="62" t="str">
        <f t="shared" si="24"/>
        <v>#REF!</v>
      </c>
      <c r="BB56" s="61"/>
      <c r="BC56" s="62" t="str">
        <f t="shared" si="25"/>
        <v>#REF!</v>
      </c>
      <c r="BD56" s="70"/>
      <c r="BE56" s="61"/>
      <c r="BF56" s="61"/>
      <c r="BG56" s="61"/>
      <c r="BH56" s="61"/>
      <c r="BI56" s="61"/>
      <c r="BJ56" s="61"/>
      <c r="BK56" s="61"/>
      <c r="BL56" s="61"/>
      <c r="BM56" s="63" t="str">
        <f t="shared" si="28"/>
        <v>#REF!</v>
      </c>
      <c r="BN56" s="61"/>
      <c r="BO56" s="61"/>
      <c r="BP56" s="61"/>
      <c r="BQ56" s="61"/>
      <c r="BR56" s="61"/>
      <c r="BV56" s="61"/>
      <c r="BW56" s="61"/>
      <c r="BX56" s="61"/>
    </row>
    <row r="57">
      <c r="A57" s="62" t="str">
        <f t="shared" si="1"/>
        <v>#REF!</v>
      </c>
      <c r="B57" s="61"/>
      <c r="C57" s="61"/>
      <c r="D57" s="61"/>
      <c r="E57" s="61"/>
      <c r="F57" s="61"/>
      <c r="G57" s="61"/>
      <c r="H57" s="61"/>
      <c r="I57" s="61"/>
      <c r="J57" s="61"/>
      <c r="K57" s="61"/>
      <c r="L57" s="61"/>
      <c r="M57" s="61"/>
      <c r="N57" s="61"/>
      <c r="O57" s="61"/>
      <c r="P57" s="61"/>
      <c r="Q57" s="61"/>
      <c r="R57" s="61"/>
      <c r="S57" s="61"/>
      <c r="T57" s="61"/>
      <c r="U57" s="61"/>
      <c r="V57" s="61"/>
      <c r="W57" s="61"/>
      <c r="X57" s="61"/>
      <c r="Y57" s="61"/>
      <c r="Z57" s="61"/>
      <c r="AA57" s="61"/>
      <c r="AB57" s="61"/>
      <c r="AC57" s="61"/>
      <c r="AD57" s="61"/>
      <c r="AE57" s="61"/>
      <c r="AF57" s="61"/>
      <c r="AG57" s="61"/>
      <c r="AH57" s="61"/>
      <c r="AI57" s="61"/>
      <c r="AJ57" s="61"/>
      <c r="AK57" s="61"/>
      <c r="AL57" s="61"/>
      <c r="AM57" s="61"/>
      <c r="AN57" s="61"/>
      <c r="AO57" s="61"/>
      <c r="AP57" s="61"/>
      <c r="AQ57" s="61"/>
      <c r="AR57" s="61"/>
      <c r="AS57" s="61"/>
      <c r="AT57" s="61"/>
      <c r="AU57" s="61"/>
      <c r="AV57" s="61"/>
      <c r="AW57" s="61"/>
      <c r="AX57" s="61"/>
      <c r="AY57" s="62" t="str">
        <f t="shared" si="23"/>
        <v>#REF!</v>
      </c>
      <c r="AZ57" s="61"/>
      <c r="BA57" s="62" t="str">
        <f t="shared" si="24"/>
        <v>#REF!</v>
      </c>
      <c r="BB57" s="61"/>
      <c r="BC57" s="62" t="str">
        <f t="shared" si="25"/>
        <v>#REF!</v>
      </c>
      <c r="BD57" s="70"/>
      <c r="BE57" s="61"/>
      <c r="BF57" s="61"/>
      <c r="BG57" s="61"/>
      <c r="BH57" s="61"/>
      <c r="BI57" s="61"/>
      <c r="BJ57" s="61"/>
      <c r="BK57" s="61"/>
      <c r="BL57" s="61"/>
      <c r="BM57" s="63" t="str">
        <f t="shared" si="28"/>
        <v>#REF!</v>
      </c>
      <c r="BN57" s="61"/>
      <c r="BO57" s="61"/>
      <c r="BP57" s="61"/>
      <c r="BQ57" s="61"/>
      <c r="BR57" s="61"/>
      <c r="BV57" s="61"/>
      <c r="BW57" s="61"/>
      <c r="BX57" s="61"/>
    </row>
    <row r="58">
      <c r="A58" s="62" t="str">
        <f t="shared" si="1"/>
        <v>#REF!</v>
      </c>
      <c r="B58" s="61"/>
      <c r="C58" s="61"/>
      <c r="D58" s="61"/>
      <c r="E58" s="61"/>
      <c r="F58" s="61"/>
      <c r="G58" s="61"/>
      <c r="H58" s="61"/>
      <c r="I58" s="61"/>
      <c r="J58" s="61"/>
      <c r="K58" s="61"/>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1"/>
      <c r="AK58" s="61"/>
      <c r="AL58" s="61"/>
      <c r="AM58" s="61"/>
      <c r="AN58" s="61"/>
      <c r="AO58" s="61"/>
      <c r="AP58" s="61"/>
      <c r="AQ58" s="61"/>
      <c r="AR58" s="61"/>
      <c r="AS58" s="61"/>
      <c r="AT58" s="61"/>
      <c r="AU58" s="61"/>
      <c r="AV58" s="61"/>
      <c r="AW58" s="61"/>
      <c r="AX58" s="61"/>
      <c r="AY58" s="62" t="str">
        <f t="shared" si="23"/>
        <v>#REF!</v>
      </c>
      <c r="AZ58" s="61"/>
      <c r="BA58" s="62" t="str">
        <f t="shared" si="24"/>
        <v>#REF!</v>
      </c>
      <c r="BB58" s="61"/>
      <c r="BC58" s="62" t="str">
        <f t="shared" si="25"/>
        <v>#REF!</v>
      </c>
      <c r="BD58" s="70"/>
      <c r="BE58" s="61"/>
      <c r="BF58" s="61"/>
      <c r="BG58" s="61"/>
      <c r="BH58" s="61"/>
      <c r="BI58" s="61"/>
      <c r="BJ58" s="61"/>
      <c r="BK58" s="61"/>
      <c r="BL58" s="61"/>
      <c r="BM58" s="63" t="str">
        <f t="shared" si="28"/>
        <v>#REF!</v>
      </c>
      <c r="BN58" s="61"/>
      <c r="BO58" s="61"/>
      <c r="BP58" s="61"/>
      <c r="BQ58" s="61"/>
      <c r="BR58" s="61"/>
      <c r="BV58" s="61"/>
      <c r="BW58" s="61"/>
      <c r="BX58" s="61"/>
    </row>
    <row r="59">
      <c r="A59" s="62" t="str">
        <f t="shared" si="1"/>
        <v>#REF!</v>
      </c>
      <c r="B59" s="61"/>
      <c r="C59" s="61"/>
      <c r="D59" s="61"/>
      <c r="E59" s="61"/>
      <c r="F59" s="61"/>
      <c r="G59" s="61"/>
      <c r="H59" s="61"/>
      <c r="I59" s="61"/>
      <c r="J59" s="61"/>
      <c r="K59" s="61"/>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c r="AK59" s="61"/>
      <c r="AL59" s="61"/>
      <c r="AM59" s="61"/>
      <c r="AN59" s="61"/>
      <c r="AO59" s="61"/>
      <c r="AP59" s="61"/>
      <c r="AQ59" s="61"/>
      <c r="AR59" s="61"/>
      <c r="AS59" s="61"/>
      <c r="AT59" s="61"/>
      <c r="AU59" s="61"/>
      <c r="AV59" s="61"/>
      <c r="AW59" s="61"/>
      <c r="AX59" s="61"/>
      <c r="AY59" s="62" t="str">
        <f t="shared" si="23"/>
        <v>#REF!</v>
      </c>
      <c r="AZ59" s="61"/>
      <c r="BA59" s="62" t="str">
        <f t="shared" si="24"/>
        <v>#REF!</v>
      </c>
      <c r="BB59" s="61"/>
      <c r="BC59" s="62" t="str">
        <f t="shared" si="25"/>
        <v>#REF!</v>
      </c>
      <c r="BD59" s="70"/>
      <c r="BE59" s="61"/>
      <c r="BF59" s="61"/>
      <c r="BG59" s="61"/>
      <c r="BH59" s="61"/>
      <c r="BI59" s="61"/>
      <c r="BJ59" s="61"/>
      <c r="BK59" s="61"/>
      <c r="BL59" s="61"/>
      <c r="BM59" s="63" t="str">
        <f t="shared" si="28"/>
        <v>#REF!</v>
      </c>
      <c r="BN59" s="61"/>
      <c r="BO59" s="61"/>
      <c r="BP59" s="61"/>
      <c r="BQ59" s="61"/>
      <c r="BR59" s="61"/>
      <c r="BV59" s="61"/>
      <c r="BW59" s="61"/>
      <c r="BX59" s="61"/>
    </row>
    <row r="60">
      <c r="A60" s="62" t="str">
        <f t="shared" si="1"/>
        <v>#REF!</v>
      </c>
      <c r="B60" s="61"/>
      <c r="C60" s="61"/>
      <c r="D60" s="61"/>
      <c r="E60" s="61"/>
      <c r="F60" s="61"/>
      <c r="G60" s="61"/>
      <c r="H60" s="61"/>
      <c r="I60" s="61"/>
      <c r="J60" s="61"/>
      <c r="K60" s="61"/>
      <c r="L60" s="61"/>
      <c r="M60" s="61"/>
      <c r="N60" s="61"/>
      <c r="O60" s="61"/>
      <c r="P60" s="61"/>
      <c r="Q60" s="61"/>
      <c r="R60" s="61"/>
      <c r="S60" s="61"/>
      <c r="T60" s="61"/>
      <c r="U60" s="61"/>
      <c r="V60" s="61"/>
      <c r="W60" s="61"/>
      <c r="X60" s="61"/>
      <c r="Y60" s="61"/>
      <c r="Z60" s="61"/>
      <c r="AA60" s="61"/>
      <c r="AB60" s="61"/>
      <c r="AC60" s="61"/>
      <c r="AD60" s="61"/>
      <c r="AE60" s="61"/>
      <c r="AF60" s="61"/>
      <c r="AG60" s="61"/>
      <c r="AH60" s="61"/>
      <c r="AI60" s="61"/>
      <c r="AJ60" s="61"/>
      <c r="AK60" s="61"/>
      <c r="AL60" s="61"/>
      <c r="AM60" s="61"/>
      <c r="AN60" s="61"/>
      <c r="AO60" s="61"/>
      <c r="AP60" s="61"/>
      <c r="AQ60" s="61"/>
      <c r="AR60" s="61"/>
      <c r="AS60" s="61"/>
      <c r="AT60" s="61"/>
      <c r="AU60" s="61"/>
      <c r="AV60" s="61"/>
      <c r="AW60" s="61"/>
      <c r="AX60" s="61"/>
      <c r="AY60" s="62" t="str">
        <f t="shared" si="23"/>
        <v>#REF!</v>
      </c>
      <c r="AZ60" s="61"/>
      <c r="BA60" s="62" t="str">
        <f t="shared" si="24"/>
        <v>#REF!</v>
      </c>
      <c r="BB60" s="61"/>
      <c r="BC60" s="62" t="str">
        <f t="shared" si="25"/>
        <v>#REF!</v>
      </c>
      <c r="BD60" s="70"/>
      <c r="BE60" s="61"/>
      <c r="BF60" s="61"/>
      <c r="BG60" s="61"/>
      <c r="BH60" s="61"/>
      <c r="BI60" s="61"/>
      <c r="BJ60" s="61"/>
      <c r="BK60" s="61"/>
      <c r="BL60" s="61"/>
      <c r="BM60" s="63" t="str">
        <f t="shared" si="28"/>
        <v>#REF!</v>
      </c>
      <c r="BN60" s="61"/>
      <c r="BO60" s="61"/>
      <c r="BP60" s="61"/>
      <c r="BQ60" s="61"/>
      <c r="BR60" s="61"/>
      <c r="BV60" s="61"/>
      <c r="BW60" s="61"/>
      <c r="BX60" s="61"/>
    </row>
    <row r="61">
      <c r="A61" s="62" t="str">
        <f t="shared" si="1"/>
        <v>#REF!</v>
      </c>
      <c r="B61" s="61"/>
      <c r="C61" s="61"/>
      <c r="D61" s="61"/>
      <c r="E61" s="61"/>
      <c r="F61" s="61"/>
      <c r="G61" s="61"/>
      <c r="H61" s="61"/>
      <c r="I61" s="61"/>
      <c r="J61" s="61"/>
      <c r="K61" s="61"/>
      <c r="L61" s="61"/>
      <c r="M61" s="61"/>
      <c r="N61" s="61"/>
      <c r="O61" s="61"/>
      <c r="P61" s="61"/>
      <c r="Q61" s="61"/>
      <c r="R61" s="61"/>
      <c r="S61" s="61"/>
      <c r="T61" s="61"/>
      <c r="U61" s="61"/>
      <c r="V61" s="61"/>
      <c r="W61" s="61"/>
      <c r="X61" s="61"/>
      <c r="Y61" s="61"/>
      <c r="Z61" s="61"/>
      <c r="AA61" s="61"/>
      <c r="AB61" s="61"/>
      <c r="AC61" s="61"/>
      <c r="AD61" s="61"/>
      <c r="AE61" s="61"/>
      <c r="AF61" s="61"/>
      <c r="AG61" s="61"/>
      <c r="AH61" s="61"/>
      <c r="AI61" s="61"/>
      <c r="AJ61" s="61"/>
      <c r="AK61" s="61"/>
      <c r="AL61" s="61"/>
      <c r="AM61" s="61"/>
      <c r="AN61" s="61"/>
      <c r="AO61" s="61"/>
      <c r="AP61" s="61"/>
      <c r="AQ61" s="61"/>
      <c r="AR61" s="61"/>
      <c r="AS61" s="61"/>
      <c r="AT61" s="61"/>
      <c r="AU61" s="61"/>
      <c r="AV61" s="61"/>
      <c r="AW61" s="61"/>
      <c r="AX61" s="61"/>
      <c r="AY61" s="62" t="str">
        <f t="shared" si="23"/>
        <v>#REF!</v>
      </c>
      <c r="AZ61" s="61"/>
      <c r="BA61" s="62" t="str">
        <f t="shared" si="24"/>
        <v>#REF!</v>
      </c>
      <c r="BB61" s="61"/>
      <c r="BC61" s="62" t="str">
        <f t="shared" si="25"/>
        <v>#REF!</v>
      </c>
      <c r="BD61" s="70"/>
      <c r="BE61" s="61"/>
      <c r="BF61" s="61"/>
      <c r="BG61" s="61"/>
      <c r="BH61" s="61"/>
      <c r="BI61" s="61"/>
      <c r="BJ61" s="61"/>
      <c r="BK61" s="61"/>
      <c r="BL61" s="61"/>
      <c r="BM61" s="63" t="str">
        <f t="shared" si="28"/>
        <v>#REF!</v>
      </c>
      <c r="BN61" s="61"/>
      <c r="BO61" s="61"/>
      <c r="BP61" s="61"/>
      <c r="BQ61" s="61"/>
      <c r="BR61" s="61"/>
      <c r="BS61" s="61"/>
      <c r="BT61" s="61"/>
      <c r="BU61" s="61"/>
      <c r="BV61" s="61"/>
      <c r="BW61" s="61"/>
      <c r="BX61" s="61"/>
    </row>
    <row r="62">
      <c r="A62" s="62" t="str">
        <f t="shared" si="1"/>
        <v>#REF!</v>
      </c>
      <c r="B62" s="61"/>
      <c r="C62" s="61"/>
      <c r="D62" s="61"/>
      <c r="E62" s="61"/>
      <c r="F62" s="61"/>
      <c r="G62" s="61"/>
      <c r="H62" s="61"/>
      <c r="I62" s="61"/>
      <c r="J62" s="61"/>
      <c r="K62" s="61"/>
      <c r="L62" s="61"/>
      <c r="M62" s="61"/>
      <c r="N62" s="61"/>
      <c r="O62" s="61"/>
      <c r="P62" s="61"/>
      <c r="Q62" s="61"/>
      <c r="R62" s="61"/>
      <c r="S62" s="61"/>
      <c r="T62" s="61"/>
      <c r="U62" s="61"/>
      <c r="V62" s="61"/>
      <c r="W62" s="61"/>
      <c r="X62" s="61"/>
      <c r="Y62" s="61"/>
      <c r="Z62" s="61"/>
      <c r="AA62" s="61"/>
      <c r="AB62" s="61"/>
      <c r="AC62" s="61"/>
      <c r="AD62" s="61"/>
      <c r="AE62" s="61"/>
      <c r="AF62" s="61"/>
      <c r="AG62" s="61"/>
      <c r="AH62" s="61"/>
      <c r="AI62" s="61"/>
      <c r="AJ62" s="61"/>
      <c r="AK62" s="61"/>
      <c r="AL62" s="61"/>
      <c r="AM62" s="61"/>
      <c r="AN62" s="61"/>
      <c r="AO62" s="61"/>
      <c r="AP62" s="61"/>
      <c r="AQ62" s="61"/>
      <c r="AR62" s="61"/>
      <c r="AS62" s="61"/>
      <c r="AT62" s="61"/>
      <c r="AU62" s="61"/>
      <c r="AV62" s="61"/>
      <c r="AW62" s="61"/>
      <c r="AX62" s="61"/>
      <c r="AY62" s="62" t="str">
        <f t="shared" si="23"/>
        <v>#REF!</v>
      </c>
      <c r="AZ62" s="61"/>
      <c r="BA62" s="62" t="str">
        <f t="shared" si="24"/>
        <v>#REF!</v>
      </c>
      <c r="BB62" s="61"/>
      <c r="BC62" s="62" t="str">
        <f t="shared" si="25"/>
        <v>#REF!</v>
      </c>
      <c r="BD62" s="70"/>
      <c r="BE62" s="61"/>
      <c r="BF62" s="61"/>
      <c r="BG62" s="61"/>
      <c r="BH62" s="61"/>
      <c r="BI62" s="61"/>
      <c r="BJ62" s="61"/>
      <c r="BK62" s="61"/>
      <c r="BL62" s="61"/>
      <c r="BM62" s="63" t="str">
        <f t="shared" si="28"/>
        <v>#REF!</v>
      </c>
      <c r="BN62" s="61"/>
      <c r="BO62" s="61"/>
      <c r="BP62" s="61"/>
      <c r="BQ62" s="61"/>
      <c r="BR62" s="61"/>
      <c r="BS62" s="61"/>
      <c r="BT62" s="61"/>
      <c r="BU62" s="61"/>
      <c r="BV62" s="61"/>
      <c r="BW62" s="61"/>
      <c r="BX62" s="61"/>
    </row>
    <row r="63">
      <c r="A63" s="62" t="str">
        <f t="shared" si="1"/>
        <v>#REF!</v>
      </c>
      <c r="B63" s="61"/>
      <c r="C63" s="61"/>
      <c r="D63" s="61"/>
      <c r="E63" s="61"/>
      <c r="F63" s="61"/>
      <c r="G63" s="61"/>
      <c r="H63" s="61"/>
      <c r="I63" s="61"/>
      <c r="J63" s="61"/>
      <c r="K63" s="61"/>
      <c r="L63" s="61"/>
      <c r="M63" s="61"/>
      <c r="N63" s="61"/>
      <c r="O63" s="61"/>
      <c r="P63" s="61"/>
      <c r="Q63" s="61"/>
      <c r="R63" s="61"/>
      <c r="S63" s="61"/>
      <c r="T63" s="61"/>
      <c r="U63" s="61"/>
      <c r="V63" s="61"/>
      <c r="W63" s="61"/>
      <c r="X63" s="61"/>
      <c r="Y63" s="61"/>
      <c r="Z63" s="61"/>
      <c r="AA63" s="61"/>
      <c r="AB63" s="61"/>
      <c r="AC63" s="61"/>
      <c r="AD63" s="61"/>
      <c r="AE63" s="61"/>
      <c r="AF63" s="61"/>
      <c r="AG63" s="61"/>
      <c r="AH63" s="61"/>
      <c r="AI63" s="61"/>
      <c r="AJ63" s="61"/>
      <c r="AK63" s="61"/>
      <c r="AL63" s="61"/>
      <c r="AM63" s="61"/>
      <c r="AN63" s="61"/>
      <c r="AO63" s="61"/>
      <c r="AP63" s="61"/>
      <c r="AQ63" s="61"/>
      <c r="AR63" s="61"/>
      <c r="AS63" s="61"/>
      <c r="AT63" s="61"/>
      <c r="AU63" s="61"/>
      <c r="AV63" s="61"/>
      <c r="AW63" s="61"/>
      <c r="AX63" s="61"/>
      <c r="AY63" s="62" t="str">
        <f t="shared" si="23"/>
        <v>#REF!</v>
      </c>
      <c r="AZ63" s="61"/>
      <c r="BA63" s="62" t="str">
        <f t="shared" si="24"/>
        <v>#REF!</v>
      </c>
      <c r="BB63" s="61"/>
      <c r="BC63" s="62" t="str">
        <f t="shared" si="25"/>
        <v>#REF!</v>
      </c>
      <c r="BD63" s="70"/>
      <c r="BE63" s="61"/>
      <c r="BF63" s="61"/>
      <c r="BG63" s="61"/>
      <c r="BH63" s="61"/>
      <c r="BI63" s="61"/>
      <c r="BJ63" s="61"/>
      <c r="BK63" s="61"/>
      <c r="BL63" s="61"/>
      <c r="BM63" s="63" t="str">
        <f t="shared" si="28"/>
        <v>#REF!</v>
      </c>
      <c r="BN63" s="61"/>
      <c r="BO63" s="61"/>
      <c r="BP63" s="61"/>
      <c r="BQ63" s="61"/>
      <c r="BR63" s="61"/>
      <c r="BS63" s="61"/>
      <c r="BT63" s="61"/>
      <c r="BU63" s="61"/>
      <c r="BV63" s="61"/>
      <c r="BW63" s="61"/>
      <c r="BX63" s="61"/>
    </row>
    <row r="64">
      <c r="A64" s="62" t="str">
        <f t="shared" si="1"/>
        <v>#REF!</v>
      </c>
      <c r="B64" s="61"/>
      <c r="C64" s="61"/>
      <c r="D64" s="61"/>
      <c r="E64" s="61"/>
      <c r="F64" s="61"/>
      <c r="G64" s="61"/>
      <c r="H64" s="61"/>
      <c r="I64" s="61"/>
      <c r="J64" s="61"/>
      <c r="K64" s="61"/>
      <c r="L64" s="61"/>
      <c r="M64" s="61"/>
      <c r="N64" s="61"/>
      <c r="O64" s="61"/>
      <c r="P64" s="61"/>
      <c r="Q64" s="61"/>
      <c r="R64" s="61"/>
      <c r="S64" s="61"/>
      <c r="T64" s="61"/>
      <c r="U64" s="61"/>
      <c r="V64" s="61"/>
      <c r="W64" s="61"/>
      <c r="X64" s="61"/>
      <c r="Y64" s="61"/>
      <c r="Z64" s="61"/>
      <c r="AA64" s="61"/>
      <c r="AB64" s="61"/>
      <c r="AC64" s="61"/>
      <c r="AD64" s="61"/>
      <c r="AE64" s="61"/>
      <c r="AF64" s="61"/>
      <c r="AG64" s="61"/>
      <c r="AH64" s="61"/>
      <c r="AI64" s="61"/>
      <c r="AJ64" s="61"/>
      <c r="AK64" s="61"/>
      <c r="AL64" s="61"/>
      <c r="AM64" s="61"/>
      <c r="AN64" s="61"/>
      <c r="AO64" s="61"/>
      <c r="AP64" s="61"/>
      <c r="AQ64" s="61"/>
      <c r="AR64" s="61"/>
      <c r="AS64" s="61"/>
      <c r="AT64" s="61"/>
      <c r="AU64" s="61"/>
      <c r="AV64" s="61"/>
      <c r="AW64" s="61"/>
      <c r="AX64" s="61"/>
      <c r="AY64" s="62" t="str">
        <f t="shared" si="23"/>
        <v>#REF!</v>
      </c>
      <c r="AZ64" s="61"/>
      <c r="BA64" s="62" t="str">
        <f t="shared" si="24"/>
        <v>#REF!</v>
      </c>
      <c r="BB64" s="61"/>
      <c r="BC64" s="62" t="str">
        <f t="shared" si="25"/>
        <v>#REF!</v>
      </c>
      <c r="BD64" s="70"/>
      <c r="BE64" s="61"/>
      <c r="BF64" s="61"/>
      <c r="BG64" s="61"/>
      <c r="BH64" s="61"/>
      <c r="BI64" s="61"/>
      <c r="BJ64" s="61"/>
      <c r="BK64" s="61"/>
      <c r="BL64" s="61"/>
      <c r="BM64" s="63" t="str">
        <f t="shared" ref="BM64:BM68" si="70">CONCATENATE('Term Reference Guide (in-progress)'!B3," [",'Term Reference Guide (in-progress)'!C3,"]")</f>
        <v>#REF!</v>
      </c>
      <c r="BN64" s="61"/>
      <c r="BO64" s="61"/>
      <c r="BP64" s="61"/>
      <c r="BQ64" s="61"/>
      <c r="BR64" s="61"/>
      <c r="BS64" s="61"/>
      <c r="BT64" s="61"/>
      <c r="BU64" s="61"/>
      <c r="BV64" s="61"/>
      <c r="BW64" s="61"/>
      <c r="BX64" s="61"/>
    </row>
    <row r="65">
      <c r="A65" s="62" t="str">
        <f t="shared" si="1"/>
        <v>#REF!</v>
      </c>
      <c r="B65" s="61"/>
      <c r="C65" s="61"/>
      <c r="D65" s="61"/>
      <c r="E65" s="61"/>
      <c r="F65" s="61"/>
      <c r="G65" s="61"/>
      <c r="H65" s="61"/>
      <c r="I65" s="61"/>
      <c r="J65" s="61"/>
      <c r="K65" s="61"/>
      <c r="L65" s="61"/>
      <c r="M65" s="61"/>
      <c r="N65" s="61"/>
      <c r="O65" s="61"/>
      <c r="P65" s="61"/>
      <c r="Q65" s="61"/>
      <c r="R65" s="61"/>
      <c r="S65" s="61"/>
      <c r="T65" s="61"/>
      <c r="U65" s="61"/>
      <c r="V65" s="61"/>
      <c r="W65" s="61"/>
      <c r="X65" s="61"/>
      <c r="Y65" s="61"/>
      <c r="Z65" s="61"/>
      <c r="AA65" s="61"/>
      <c r="AB65" s="61"/>
      <c r="AC65" s="61"/>
      <c r="AD65" s="61"/>
      <c r="AE65" s="61"/>
      <c r="AF65" s="61"/>
      <c r="AG65" s="61"/>
      <c r="AH65" s="61"/>
      <c r="AI65" s="61"/>
      <c r="AJ65" s="61"/>
      <c r="AK65" s="61"/>
      <c r="AL65" s="61"/>
      <c r="AM65" s="61"/>
      <c r="AN65" s="61"/>
      <c r="AO65" s="61"/>
      <c r="AP65" s="61"/>
      <c r="AQ65" s="61"/>
      <c r="AR65" s="61"/>
      <c r="AS65" s="61"/>
      <c r="AT65" s="61"/>
      <c r="AU65" s="61"/>
      <c r="AV65" s="61"/>
      <c r="AW65" s="61"/>
      <c r="AX65" s="61"/>
      <c r="AY65" s="62" t="str">
        <f t="shared" si="23"/>
        <v>#REF!</v>
      </c>
      <c r="AZ65" s="61"/>
      <c r="BA65" s="62" t="str">
        <f t="shared" si="24"/>
        <v>#REF!</v>
      </c>
      <c r="BB65" s="61"/>
      <c r="BC65" s="62" t="str">
        <f t="shared" si="25"/>
        <v>#REF!</v>
      </c>
      <c r="BD65" s="70"/>
      <c r="BE65" s="61"/>
      <c r="BF65" s="61"/>
      <c r="BG65" s="61"/>
      <c r="BH65" s="61"/>
      <c r="BI65" s="61"/>
      <c r="BJ65" s="61"/>
      <c r="BK65" s="61"/>
      <c r="BL65" s="61"/>
      <c r="BM65" s="63" t="str">
        <f t="shared" si="70"/>
        <v>#REF!</v>
      </c>
      <c r="BN65" s="61"/>
      <c r="BO65" s="61"/>
      <c r="BP65" s="61"/>
      <c r="BQ65" s="61"/>
      <c r="BR65" s="61"/>
      <c r="BS65" s="61"/>
      <c r="BT65" s="61"/>
      <c r="BU65" s="61"/>
      <c r="BV65" s="61"/>
      <c r="BW65" s="61"/>
      <c r="BX65" s="61"/>
    </row>
    <row r="66">
      <c r="A66" s="62" t="str">
        <f t="shared" si="1"/>
        <v>#REF!</v>
      </c>
      <c r="B66" s="61"/>
      <c r="C66" s="61"/>
      <c r="D66" s="61"/>
      <c r="E66" s="61"/>
      <c r="F66" s="61"/>
      <c r="G66" s="61"/>
      <c r="H66" s="61"/>
      <c r="I66" s="61"/>
      <c r="J66" s="61"/>
      <c r="K66" s="61"/>
      <c r="L66" s="61"/>
      <c r="M66" s="61"/>
      <c r="N66" s="61"/>
      <c r="O66" s="61"/>
      <c r="P66" s="61"/>
      <c r="Q66" s="61"/>
      <c r="R66" s="61"/>
      <c r="S66" s="61"/>
      <c r="T66" s="61"/>
      <c r="U66" s="61"/>
      <c r="V66" s="61"/>
      <c r="W66" s="61"/>
      <c r="X66" s="61"/>
      <c r="Y66" s="61"/>
      <c r="Z66" s="61"/>
      <c r="AA66" s="61"/>
      <c r="AB66" s="61"/>
      <c r="AC66" s="61"/>
      <c r="AD66" s="61"/>
      <c r="AE66" s="61"/>
      <c r="AF66" s="61"/>
      <c r="AG66" s="61"/>
      <c r="AH66" s="61"/>
      <c r="AI66" s="61"/>
      <c r="AJ66" s="61"/>
      <c r="AK66" s="61"/>
      <c r="AL66" s="61"/>
      <c r="AM66" s="61"/>
      <c r="AN66" s="61"/>
      <c r="AO66" s="61"/>
      <c r="AP66" s="61"/>
      <c r="AQ66" s="61"/>
      <c r="AR66" s="61"/>
      <c r="AS66" s="61"/>
      <c r="AT66" s="61"/>
      <c r="AU66" s="61"/>
      <c r="AV66" s="61"/>
      <c r="AW66" s="61"/>
      <c r="AX66" s="61"/>
      <c r="AY66" s="62" t="str">
        <f t="shared" si="23"/>
        <v>#REF!</v>
      </c>
      <c r="AZ66" s="61"/>
      <c r="BA66" s="62" t="str">
        <f t="shared" si="24"/>
        <v>#REF!</v>
      </c>
      <c r="BB66" s="61"/>
      <c r="BC66" s="62" t="str">
        <f t="shared" si="25"/>
        <v>#REF!</v>
      </c>
      <c r="BD66" s="70"/>
      <c r="BE66" s="61"/>
      <c r="BF66" s="61"/>
      <c r="BG66" s="61"/>
      <c r="BH66" s="61"/>
      <c r="BI66" s="61"/>
      <c r="BJ66" s="61"/>
      <c r="BK66" s="61"/>
      <c r="BL66" s="61"/>
      <c r="BM66" s="63" t="str">
        <f t="shared" si="70"/>
        <v>#REF!</v>
      </c>
      <c r="BN66" s="61"/>
      <c r="BO66" s="61"/>
      <c r="BP66" s="61"/>
      <c r="BQ66" s="61"/>
      <c r="BR66" s="61"/>
      <c r="BS66" s="61"/>
      <c r="BT66" s="61"/>
      <c r="BU66" s="61"/>
      <c r="BV66" s="61"/>
      <c r="BW66" s="61"/>
      <c r="BX66" s="61"/>
    </row>
    <row r="67">
      <c r="A67" s="62" t="str">
        <f t="shared" si="1"/>
        <v>#REF!</v>
      </c>
      <c r="B67" s="61"/>
      <c r="C67" s="61"/>
      <c r="D67" s="61"/>
      <c r="E67" s="61"/>
      <c r="F67" s="61"/>
      <c r="G67" s="61"/>
      <c r="H67" s="61"/>
      <c r="I67" s="61"/>
      <c r="J67" s="61"/>
      <c r="K67" s="61"/>
      <c r="L67" s="61"/>
      <c r="M67" s="61"/>
      <c r="N67" s="61"/>
      <c r="O67" s="61"/>
      <c r="P67" s="61"/>
      <c r="Q67" s="61"/>
      <c r="R67" s="61"/>
      <c r="S67" s="61"/>
      <c r="T67" s="61"/>
      <c r="U67" s="61"/>
      <c r="V67" s="61"/>
      <c r="W67" s="61"/>
      <c r="X67" s="61"/>
      <c r="Y67" s="61"/>
      <c r="Z67" s="61"/>
      <c r="AA67" s="61"/>
      <c r="AB67" s="61"/>
      <c r="AC67" s="61"/>
      <c r="AD67" s="61"/>
      <c r="AE67" s="61"/>
      <c r="AF67" s="61"/>
      <c r="AG67" s="61"/>
      <c r="AH67" s="61"/>
      <c r="AI67" s="61"/>
      <c r="AJ67" s="61"/>
      <c r="AK67" s="61"/>
      <c r="AL67" s="61"/>
      <c r="AM67" s="61"/>
      <c r="AN67" s="61"/>
      <c r="AO67" s="61"/>
      <c r="AP67" s="61"/>
      <c r="AQ67" s="61"/>
      <c r="AR67" s="61"/>
      <c r="AS67" s="61"/>
      <c r="AT67" s="61"/>
      <c r="AU67" s="61"/>
      <c r="AV67" s="61"/>
      <c r="AW67" s="61"/>
      <c r="AX67" s="61"/>
      <c r="AY67" s="62" t="str">
        <f t="shared" si="23"/>
        <v>#REF!</v>
      </c>
      <c r="AZ67" s="61"/>
      <c r="BA67" s="62" t="str">
        <f t="shared" si="24"/>
        <v>#REF!</v>
      </c>
      <c r="BB67" s="61"/>
      <c r="BC67" s="62" t="str">
        <f t="shared" si="25"/>
        <v>#REF!</v>
      </c>
      <c r="BD67" s="70"/>
      <c r="BE67" s="61"/>
      <c r="BF67" s="61"/>
      <c r="BG67" s="61"/>
      <c r="BH67" s="61"/>
      <c r="BI67" s="61"/>
      <c r="BJ67" s="61"/>
      <c r="BK67" s="61"/>
      <c r="BL67" s="61"/>
      <c r="BM67" s="63" t="str">
        <f t="shared" si="70"/>
        <v>#REF!</v>
      </c>
      <c r="BN67" s="61"/>
      <c r="BO67" s="61"/>
      <c r="BP67" s="61"/>
      <c r="BQ67" s="61"/>
      <c r="BR67" s="61"/>
      <c r="BS67" s="61"/>
      <c r="BT67" s="61"/>
      <c r="BU67" s="61"/>
      <c r="BV67" s="61"/>
      <c r="BW67" s="61"/>
      <c r="BX67" s="61"/>
    </row>
    <row r="68">
      <c r="A68" s="62" t="str">
        <f t="shared" si="1"/>
        <v>#REF!</v>
      </c>
      <c r="B68" s="61"/>
      <c r="C68" s="61"/>
      <c r="D68" s="61"/>
      <c r="E68" s="61"/>
      <c r="F68" s="61"/>
      <c r="G68" s="61"/>
      <c r="H68" s="61"/>
      <c r="I68" s="61"/>
      <c r="J68" s="61"/>
      <c r="K68" s="61"/>
      <c r="L68" s="61"/>
      <c r="M68" s="61"/>
      <c r="N68" s="61"/>
      <c r="O68" s="61"/>
      <c r="P68" s="61"/>
      <c r="Q68" s="61"/>
      <c r="R68" s="61"/>
      <c r="S68" s="61"/>
      <c r="T68" s="61"/>
      <c r="U68" s="61"/>
      <c r="V68" s="61"/>
      <c r="W68" s="61"/>
      <c r="X68" s="61"/>
      <c r="Y68" s="61"/>
      <c r="Z68" s="61"/>
      <c r="AA68" s="61"/>
      <c r="AB68" s="61"/>
      <c r="AC68" s="61"/>
      <c r="AD68" s="61"/>
      <c r="AE68" s="61"/>
      <c r="AF68" s="61"/>
      <c r="AG68" s="61"/>
      <c r="AH68" s="61"/>
      <c r="AI68" s="61"/>
      <c r="AJ68" s="61"/>
      <c r="AK68" s="61"/>
      <c r="AL68" s="61"/>
      <c r="AM68" s="61"/>
      <c r="AN68" s="61"/>
      <c r="AO68" s="61"/>
      <c r="AP68" s="61"/>
      <c r="AQ68" s="61"/>
      <c r="AR68" s="61"/>
      <c r="AS68" s="61"/>
      <c r="AT68" s="61"/>
      <c r="AU68" s="61"/>
      <c r="AV68" s="61"/>
      <c r="AW68" s="61"/>
      <c r="AX68" s="61"/>
      <c r="AY68" s="62" t="str">
        <f t="shared" si="23"/>
        <v>#REF!</v>
      </c>
      <c r="AZ68" s="61"/>
      <c r="BA68" s="62" t="str">
        <f t="shared" si="24"/>
        <v>#REF!</v>
      </c>
      <c r="BB68" s="61"/>
      <c r="BC68" s="62" t="str">
        <f t="shared" si="25"/>
        <v>#REF!</v>
      </c>
      <c r="BD68" s="70"/>
      <c r="BE68" s="61"/>
      <c r="BF68" s="61"/>
      <c r="BG68" s="61"/>
      <c r="BH68" s="61"/>
      <c r="BI68" s="61"/>
      <c r="BJ68" s="61"/>
      <c r="BK68" s="61"/>
      <c r="BL68" s="61"/>
      <c r="BM68" s="63" t="str">
        <f t="shared" si="70"/>
        <v>#REF!</v>
      </c>
      <c r="BN68" s="61"/>
      <c r="BO68" s="61"/>
      <c r="BP68" s="61"/>
      <c r="BQ68" s="61"/>
      <c r="BR68" s="61"/>
      <c r="BS68" s="61"/>
      <c r="BT68" s="61"/>
      <c r="BU68" s="61"/>
      <c r="BV68" s="61"/>
      <c r="BW68" s="61"/>
      <c r="BX68" s="61"/>
    </row>
    <row r="69">
      <c r="A69" s="62" t="str">
        <f t="shared" si="1"/>
        <v>#REF!</v>
      </c>
      <c r="B69" s="61"/>
      <c r="C69" s="61"/>
      <c r="D69" s="61"/>
      <c r="E69" s="61"/>
      <c r="F69" s="61"/>
      <c r="G69" s="61"/>
      <c r="H69" s="61"/>
      <c r="I69" s="61"/>
      <c r="J69" s="61"/>
      <c r="K69" s="61"/>
      <c r="L69" s="61"/>
      <c r="M69" s="61"/>
      <c r="N69" s="61"/>
      <c r="O69" s="61"/>
      <c r="P69" s="61"/>
      <c r="Q69" s="61"/>
      <c r="R69" s="61"/>
      <c r="S69" s="61"/>
      <c r="T69" s="61"/>
      <c r="U69" s="61"/>
      <c r="V69" s="61"/>
      <c r="W69" s="61"/>
      <c r="X69" s="61"/>
      <c r="Y69" s="61"/>
      <c r="Z69" s="61"/>
      <c r="AA69" s="61"/>
      <c r="AB69" s="61"/>
      <c r="AC69" s="61"/>
      <c r="AD69" s="61"/>
      <c r="AE69" s="61"/>
      <c r="AF69" s="61"/>
      <c r="AG69" s="61"/>
      <c r="AH69" s="61"/>
      <c r="AI69" s="61"/>
      <c r="AJ69" s="61"/>
      <c r="AK69" s="61"/>
      <c r="AL69" s="61"/>
      <c r="AM69" s="61"/>
      <c r="AN69" s="61"/>
      <c r="AO69" s="61"/>
      <c r="AP69" s="61"/>
      <c r="AQ69" s="61"/>
      <c r="AR69" s="61"/>
      <c r="AS69" s="61"/>
      <c r="AT69" s="61"/>
      <c r="AU69" s="61"/>
      <c r="AV69" s="61"/>
      <c r="AW69" s="61"/>
      <c r="AX69" s="61"/>
      <c r="AY69" s="62" t="str">
        <f t="shared" si="23"/>
        <v>#REF!</v>
      </c>
      <c r="AZ69" s="61"/>
      <c r="BA69" s="62" t="str">
        <f t="shared" si="24"/>
        <v>#REF!</v>
      </c>
      <c r="BB69" s="61"/>
      <c r="BC69" s="62" t="str">
        <f t="shared" si="25"/>
        <v>#REF!</v>
      </c>
      <c r="BD69" s="70"/>
      <c r="BE69" s="61"/>
      <c r="BF69" s="61"/>
      <c r="BG69" s="61"/>
      <c r="BH69" s="61"/>
      <c r="BI69" s="61"/>
      <c r="BJ69" s="61"/>
      <c r="BN69" s="61"/>
      <c r="BO69" s="61"/>
      <c r="BQ69" s="61"/>
      <c r="BR69" s="61"/>
      <c r="BS69" s="61"/>
      <c r="BT69" s="61"/>
      <c r="BU69" s="61"/>
      <c r="BV69" s="61"/>
      <c r="BW69" s="61"/>
      <c r="BX69" s="61"/>
    </row>
    <row r="70">
      <c r="A70" s="62" t="str">
        <f t="shared" si="1"/>
        <v>#REF!</v>
      </c>
      <c r="B70" s="61"/>
      <c r="C70" s="61"/>
      <c r="D70" s="61"/>
      <c r="E70" s="61"/>
      <c r="F70" s="61"/>
      <c r="G70" s="61"/>
      <c r="H70" s="61"/>
      <c r="I70" s="61"/>
      <c r="J70" s="61"/>
      <c r="K70" s="61"/>
      <c r="L70" s="61"/>
      <c r="M70" s="61"/>
      <c r="N70" s="61"/>
      <c r="O70" s="61"/>
      <c r="P70" s="61"/>
      <c r="Q70" s="61"/>
      <c r="R70" s="61"/>
      <c r="S70" s="61"/>
      <c r="T70" s="61"/>
      <c r="U70" s="61"/>
      <c r="V70" s="61"/>
      <c r="W70" s="61"/>
      <c r="X70" s="61"/>
      <c r="Y70" s="61"/>
      <c r="Z70" s="61"/>
      <c r="AA70" s="61"/>
      <c r="AB70" s="61"/>
      <c r="AC70" s="61"/>
      <c r="AD70" s="61"/>
      <c r="AE70" s="61"/>
      <c r="AF70" s="61"/>
      <c r="AG70" s="61"/>
      <c r="AH70" s="61"/>
      <c r="AI70" s="61"/>
      <c r="AJ70" s="61"/>
      <c r="AK70" s="61"/>
      <c r="AL70" s="61"/>
      <c r="AM70" s="61"/>
      <c r="AN70" s="61"/>
      <c r="AO70" s="61"/>
      <c r="AP70" s="61"/>
      <c r="AQ70" s="61"/>
      <c r="AR70" s="61"/>
      <c r="AS70" s="61"/>
      <c r="AT70" s="61"/>
      <c r="AU70" s="61"/>
      <c r="AV70" s="61"/>
      <c r="AW70" s="61"/>
      <c r="AX70" s="61"/>
      <c r="AY70" s="62" t="str">
        <f t="shared" si="23"/>
        <v>#REF!</v>
      </c>
      <c r="AZ70" s="61"/>
      <c r="BA70" s="62" t="str">
        <f t="shared" si="24"/>
        <v>#REF!</v>
      </c>
      <c r="BB70" s="61"/>
      <c r="BC70" s="62" t="str">
        <f t="shared" si="25"/>
        <v>#REF!</v>
      </c>
      <c r="BD70" s="70"/>
      <c r="BE70" s="61"/>
      <c r="BF70" s="61"/>
      <c r="BG70" s="61"/>
      <c r="BH70" s="61"/>
      <c r="BI70" s="61"/>
      <c r="BJ70" s="61"/>
      <c r="BN70" s="61"/>
      <c r="BO70" s="61"/>
      <c r="BQ70" s="61"/>
      <c r="BR70" s="61"/>
      <c r="BS70" s="61"/>
      <c r="BT70" s="61"/>
      <c r="BU70" s="61"/>
      <c r="BV70" s="61"/>
      <c r="BW70" s="61"/>
      <c r="BX70" s="61"/>
    </row>
    <row r="71">
      <c r="A71" s="62" t="str">
        <f t="shared" si="1"/>
        <v>#REF!</v>
      </c>
      <c r="B71" s="61"/>
      <c r="C71" s="61"/>
      <c r="D71" s="61"/>
      <c r="E71" s="61"/>
      <c r="F71" s="61"/>
      <c r="G71" s="61"/>
      <c r="H71" s="61"/>
      <c r="I71" s="61"/>
      <c r="J71" s="61"/>
      <c r="K71" s="61"/>
      <c r="L71" s="61"/>
      <c r="M71" s="61"/>
      <c r="N71" s="61"/>
      <c r="O71" s="61"/>
      <c r="P71" s="61"/>
      <c r="Q71" s="61"/>
      <c r="R71" s="61"/>
      <c r="S71" s="61"/>
      <c r="T71" s="61"/>
      <c r="U71" s="61"/>
      <c r="V71" s="61"/>
      <c r="W71" s="61"/>
      <c r="X71" s="61"/>
      <c r="Y71" s="61"/>
      <c r="Z71" s="61"/>
      <c r="AA71" s="61"/>
      <c r="AB71" s="61"/>
      <c r="AC71" s="61"/>
      <c r="AD71" s="61"/>
      <c r="AE71" s="61"/>
      <c r="AF71" s="61"/>
      <c r="AG71" s="61"/>
      <c r="AH71" s="61"/>
      <c r="AI71" s="61"/>
      <c r="AJ71" s="61"/>
      <c r="AK71" s="61"/>
      <c r="AL71" s="61"/>
      <c r="AM71" s="61"/>
      <c r="AN71" s="61"/>
      <c r="AO71" s="61"/>
      <c r="AP71" s="61"/>
      <c r="AQ71" s="61"/>
      <c r="AR71" s="61"/>
      <c r="AS71" s="61"/>
      <c r="AT71" s="61"/>
      <c r="AU71" s="61"/>
      <c r="AV71" s="61"/>
      <c r="AW71" s="61"/>
      <c r="AX71" s="61"/>
      <c r="AY71" s="62" t="str">
        <f t="shared" si="23"/>
        <v>#REF!</v>
      </c>
      <c r="AZ71" s="61"/>
      <c r="BA71" s="62" t="str">
        <f t="shared" si="24"/>
        <v>#REF!</v>
      </c>
      <c r="BB71" s="61"/>
      <c r="BC71" s="62" t="str">
        <f t="shared" si="25"/>
        <v>#REF!</v>
      </c>
      <c r="BD71" s="70"/>
      <c r="BE71" s="61"/>
      <c r="BF71" s="61"/>
      <c r="BG71" s="61"/>
      <c r="BH71" s="61"/>
      <c r="BI71" s="61"/>
      <c r="BJ71" s="61"/>
      <c r="BN71" s="61"/>
      <c r="BO71" s="61"/>
      <c r="BP71" s="61"/>
      <c r="BQ71" s="61"/>
      <c r="BR71" s="61"/>
      <c r="BS71" s="61"/>
      <c r="BT71" s="61"/>
      <c r="BU71" s="61"/>
      <c r="BV71" s="61"/>
      <c r="BW71" s="61"/>
      <c r="BX71" s="61"/>
    </row>
    <row r="72">
      <c r="A72" s="62" t="str">
        <f t="shared" si="1"/>
        <v>#REF!</v>
      </c>
      <c r="B72" s="62"/>
      <c r="C72" s="61"/>
      <c r="D72" s="61"/>
      <c r="E72" s="61"/>
      <c r="F72" s="61"/>
      <c r="G72" s="61"/>
      <c r="H72" s="61"/>
      <c r="I72" s="61"/>
      <c r="J72" s="61"/>
      <c r="K72" s="61"/>
      <c r="L72" s="61"/>
      <c r="M72" s="61"/>
      <c r="N72" s="61"/>
      <c r="O72" s="61"/>
      <c r="P72" s="61"/>
      <c r="Q72" s="61"/>
      <c r="R72" s="61"/>
      <c r="S72" s="61"/>
      <c r="T72" s="61"/>
      <c r="U72" s="61"/>
      <c r="V72" s="61"/>
      <c r="W72" s="61"/>
      <c r="X72" s="61"/>
      <c r="Y72" s="61"/>
      <c r="Z72" s="61"/>
      <c r="AA72" s="61"/>
      <c r="AB72" s="61"/>
      <c r="AC72" s="61"/>
      <c r="AD72" s="61"/>
      <c r="AE72" s="61"/>
      <c r="AF72" s="61"/>
      <c r="AG72" s="61"/>
      <c r="AH72" s="61"/>
      <c r="AI72" s="61"/>
      <c r="AJ72" s="61"/>
      <c r="AK72" s="61"/>
      <c r="AL72" s="61"/>
      <c r="AM72" s="61"/>
      <c r="AN72" s="61"/>
      <c r="AO72" s="61"/>
      <c r="AP72" s="61"/>
      <c r="AQ72" s="61"/>
      <c r="AR72" s="61"/>
      <c r="AS72" s="61"/>
      <c r="AT72" s="61"/>
      <c r="AU72" s="61"/>
      <c r="AV72" s="61"/>
      <c r="AW72" s="61"/>
      <c r="AX72" s="61"/>
      <c r="AY72" s="62" t="str">
        <f t="shared" si="23"/>
        <v>#REF!</v>
      </c>
      <c r="AZ72" s="61"/>
      <c r="BA72" s="62" t="str">
        <f t="shared" si="24"/>
        <v>#REF!</v>
      </c>
      <c r="BB72" s="61"/>
      <c r="BC72" s="62" t="str">
        <f t="shared" si="25"/>
        <v>#REF!</v>
      </c>
      <c r="BD72" s="70"/>
      <c r="BE72" s="61"/>
      <c r="BF72" s="61"/>
      <c r="BG72" s="61"/>
      <c r="BH72" s="61"/>
      <c r="BI72" s="61"/>
      <c r="BJ72" s="61"/>
      <c r="BN72" s="61"/>
      <c r="BO72" s="61"/>
      <c r="BP72" s="61"/>
      <c r="BQ72" s="61"/>
      <c r="BR72" s="61"/>
      <c r="BS72" s="61"/>
      <c r="BT72" s="61"/>
      <c r="BU72" s="61"/>
      <c r="BV72" s="61"/>
      <c r="BW72" s="61"/>
      <c r="BX72" s="61"/>
    </row>
    <row r="73">
      <c r="A73" s="62" t="str">
        <f t="shared" si="1"/>
        <v>#REF!</v>
      </c>
      <c r="B73" s="61"/>
      <c r="C73" s="61"/>
      <c r="D73" s="61"/>
      <c r="E73" s="61"/>
      <c r="F73" s="61"/>
      <c r="G73" s="61"/>
      <c r="H73" s="61"/>
      <c r="I73" s="61"/>
      <c r="J73" s="61"/>
      <c r="K73" s="61"/>
      <c r="L73" s="61"/>
      <c r="M73" s="61"/>
      <c r="N73" s="61"/>
      <c r="O73" s="61"/>
      <c r="P73" s="61"/>
      <c r="Q73" s="61"/>
      <c r="R73" s="61"/>
      <c r="S73" s="61"/>
      <c r="T73" s="61"/>
      <c r="U73" s="61"/>
      <c r="V73" s="61"/>
      <c r="W73" s="61"/>
      <c r="X73" s="61"/>
      <c r="Y73" s="61"/>
      <c r="Z73" s="61"/>
      <c r="AA73" s="61"/>
      <c r="AB73" s="61"/>
      <c r="AC73" s="61"/>
      <c r="AD73" s="61"/>
      <c r="AE73" s="61"/>
      <c r="AF73" s="61"/>
      <c r="AG73" s="61"/>
      <c r="AH73" s="61"/>
      <c r="AI73" s="61"/>
      <c r="AJ73" s="61"/>
      <c r="AK73" s="61"/>
      <c r="AL73" s="61"/>
      <c r="AM73" s="61"/>
      <c r="AN73" s="61"/>
      <c r="AO73" s="61"/>
      <c r="AP73" s="61"/>
      <c r="AQ73" s="61"/>
      <c r="AR73" s="61"/>
      <c r="AS73" s="61"/>
      <c r="AT73" s="61"/>
      <c r="AU73" s="61"/>
      <c r="AV73" s="61"/>
      <c r="AW73" s="61"/>
      <c r="AX73" s="61"/>
      <c r="AY73" s="62" t="str">
        <f t="shared" si="23"/>
        <v>#REF!</v>
      </c>
      <c r="AZ73" s="61"/>
      <c r="BA73" s="62" t="str">
        <f t="shared" si="24"/>
        <v>#REF!</v>
      </c>
      <c r="BB73" s="61"/>
      <c r="BC73" s="62" t="str">
        <f t="shared" si="25"/>
        <v>#REF!</v>
      </c>
      <c r="BD73" s="70"/>
      <c r="BE73" s="61"/>
      <c r="BF73" s="61"/>
      <c r="BG73" s="61"/>
      <c r="BH73" s="61"/>
      <c r="BI73" s="61"/>
      <c r="BJ73" s="61"/>
      <c r="BN73" s="61"/>
      <c r="BO73" s="61"/>
      <c r="BP73" s="61"/>
      <c r="BQ73" s="61"/>
      <c r="BR73" s="61"/>
      <c r="BS73" s="61"/>
      <c r="BT73" s="61"/>
      <c r="BU73" s="61"/>
      <c r="BV73" s="61"/>
      <c r="BW73" s="61"/>
      <c r="BX73" s="61"/>
    </row>
    <row r="74">
      <c r="A74" s="62" t="str">
        <f t="shared" si="1"/>
        <v>#REF!</v>
      </c>
      <c r="B74" s="61"/>
      <c r="C74" s="61"/>
      <c r="D74" s="61"/>
      <c r="E74" s="61"/>
      <c r="F74" s="61"/>
      <c r="G74" s="61"/>
      <c r="H74" s="61"/>
      <c r="I74" s="61"/>
      <c r="J74" s="61"/>
      <c r="K74" s="61"/>
      <c r="L74" s="61"/>
      <c r="M74" s="61"/>
      <c r="N74" s="61"/>
      <c r="O74" s="61"/>
      <c r="P74" s="61"/>
      <c r="Q74" s="61"/>
      <c r="R74" s="61"/>
      <c r="S74" s="61"/>
      <c r="T74" s="61"/>
      <c r="U74" s="61"/>
      <c r="V74" s="61"/>
      <c r="W74" s="61"/>
      <c r="X74" s="61"/>
      <c r="Y74" s="61"/>
      <c r="Z74" s="61"/>
      <c r="AA74" s="61"/>
      <c r="AB74" s="61"/>
      <c r="AC74" s="61"/>
      <c r="AD74" s="61"/>
      <c r="AE74" s="61"/>
      <c r="AF74" s="61"/>
      <c r="AG74" s="61"/>
      <c r="AH74" s="61"/>
      <c r="AI74" s="61"/>
      <c r="AJ74" s="61"/>
      <c r="AK74" s="61"/>
      <c r="AL74" s="61"/>
      <c r="AM74" s="61"/>
      <c r="AN74" s="61"/>
      <c r="AO74" s="61"/>
      <c r="AP74" s="61"/>
      <c r="AQ74" s="61"/>
      <c r="AR74" s="61"/>
      <c r="AS74" s="61"/>
      <c r="AT74" s="61"/>
      <c r="AU74" s="61"/>
      <c r="AV74" s="61"/>
      <c r="AW74" s="61"/>
      <c r="AX74" s="61"/>
      <c r="AY74" s="62" t="str">
        <f t="shared" si="23"/>
        <v>#REF!</v>
      </c>
      <c r="AZ74" s="62"/>
      <c r="BA74" s="62" t="str">
        <f t="shared" si="24"/>
        <v>#REF!</v>
      </c>
      <c r="BB74" s="61"/>
      <c r="BC74" s="62" t="str">
        <f t="shared" si="25"/>
        <v>#REF!</v>
      </c>
      <c r="BD74" s="70"/>
      <c r="BE74" s="61"/>
      <c r="BF74" s="61"/>
      <c r="BG74" s="61"/>
      <c r="BH74" s="61"/>
      <c r="BI74" s="61"/>
      <c r="BJ74" s="61"/>
      <c r="BN74" s="61"/>
      <c r="BO74" s="61"/>
      <c r="BP74" s="61"/>
      <c r="BQ74" s="61"/>
      <c r="BR74" s="61"/>
      <c r="BS74" s="61"/>
      <c r="BT74" s="61"/>
      <c r="BU74" s="61"/>
      <c r="BV74" s="61"/>
      <c r="BW74" s="61"/>
      <c r="BX74" s="61"/>
    </row>
    <row r="75">
      <c r="A75" s="62" t="str">
        <f t="shared" si="1"/>
        <v>#REF!</v>
      </c>
      <c r="B75" s="61"/>
      <c r="C75" s="61"/>
      <c r="D75" s="61"/>
      <c r="E75" s="61"/>
      <c r="F75" s="61"/>
      <c r="G75" s="61"/>
      <c r="H75" s="61"/>
      <c r="I75" s="61"/>
      <c r="J75" s="61"/>
      <c r="K75" s="61"/>
      <c r="L75" s="61"/>
      <c r="M75" s="61"/>
      <c r="N75" s="61"/>
      <c r="O75" s="61"/>
      <c r="P75" s="61"/>
      <c r="Q75" s="61"/>
      <c r="R75" s="61"/>
      <c r="S75" s="61"/>
      <c r="T75" s="61"/>
      <c r="U75" s="61"/>
      <c r="V75" s="61"/>
      <c r="W75" s="61"/>
      <c r="X75" s="61"/>
      <c r="Y75" s="61"/>
      <c r="Z75" s="61"/>
      <c r="AA75" s="61"/>
      <c r="AB75" s="61"/>
      <c r="AC75" s="61"/>
      <c r="AD75" s="61"/>
      <c r="AE75" s="61"/>
      <c r="AF75" s="61"/>
      <c r="AG75" s="61"/>
      <c r="AH75" s="61"/>
      <c r="AI75" s="61"/>
      <c r="AJ75" s="61"/>
      <c r="AK75" s="61"/>
      <c r="AL75" s="61"/>
      <c r="AM75" s="61"/>
      <c r="AN75" s="61"/>
      <c r="AO75" s="61"/>
      <c r="AP75" s="61"/>
      <c r="AQ75" s="61"/>
      <c r="AR75" s="61"/>
      <c r="AS75" s="61"/>
      <c r="AT75" s="61"/>
      <c r="AU75" s="61"/>
      <c r="AV75" s="61"/>
      <c r="AW75" s="61"/>
      <c r="AX75" s="61"/>
      <c r="AY75" s="62" t="str">
        <f t="shared" si="23"/>
        <v>#REF!</v>
      </c>
      <c r="AZ75" s="61"/>
      <c r="BA75" s="62" t="str">
        <f t="shared" si="24"/>
        <v>#REF!</v>
      </c>
      <c r="BB75" s="62"/>
      <c r="BC75" s="62" t="str">
        <f t="shared" si="25"/>
        <v>#REF!</v>
      </c>
      <c r="BD75" s="70"/>
      <c r="BE75" s="61"/>
      <c r="BF75" s="61"/>
      <c r="BG75" s="61"/>
      <c r="BH75" s="61"/>
      <c r="BI75" s="61"/>
      <c r="BJ75" s="61"/>
      <c r="BN75" s="61"/>
      <c r="BO75" s="61"/>
      <c r="BP75" s="61"/>
      <c r="BQ75" s="61"/>
      <c r="BR75" s="61"/>
      <c r="BS75" s="61"/>
      <c r="BT75" s="61"/>
      <c r="BU75" s="61"/>
      <c r="BV75" s="61"/>
      <c r="BW75" s="61"/>
      <c r="BX75" s="61"/>
    </row>
    <row r="76">
      <c r="A76" s="62" t="str">
        <f t="shared" si="1"/>
        <v>#REF!</v>
      </c>
      <c r="B76" s="61"/>
      <c r="C76" s="61"/>
      <c r="D76" s="61"/>
      <c r="E76" s="61"/>
      <c r="F76" s="61"/>
      <c r="G76" s="61"/>
      <c r="H76" s="61"/>
      <c r="I76" s="61"/>
      <c r="J76" s="61"/>
      <c r="K76" s="61"/>
      <c r="L76" s="61"/>
      <c r="M76" s="61"/>
      <c r="N76" s="61"/>
      <c r="O76" s="61"/>
      <c r="P76" s="61"/>
      <c r="Q76" s="61"/>
      <c r="R76" s="61"/>
      <c r="S76" s="61"/>
      <c r="T76" s="61"/>
      <c r="U76" s="61"/>
      <c r="V76" s="61"/>
      <c r="W76" s="61"/>
      <c r="X76" s="61"/>
      <c r="Y76" s="61"/>
      <c r="Z76" s="61"/>
      <c r="AA76" s="61"/>
      <c r="AB76" s="61"/>
      <c r="AC76" s="61"/>
      <c r="AD76" s="61"/>
      <c r="AE76" s="61"/>
      <c r="AF76" s="61"/>
      <c r="AG76" s="61"/>
      <c r="AH76" s="61"/>
      <c r="AI76" s="61"/>
      <c r="AJ76" s="61"/>
      <c r="AK76" s="61"/>
      <c r="AL76" s="61"/>
      <c r="AM76" s="61"/>
      <c r="AN76" s="61"/>
      <c r="AO76" s="61"/>
      <c r="AP76" s="61"/>
      <c r="AQ76" s="61"/>
      <c r="AR76" s="61"/>
      <c r="AS76" s="61"/>
      <c r="AT76" s="61"/>
      <c r="AU76" s="61"/>
      <c r="AV76" s="61"/>
      <c r="AW76" s="61"/>
      <c r="AX76" s="61"/>
      <c r="AY76" s="62" t="str">
        <f t="shared" si="23"/>
        <v>#REF!</v>
      </c>
      <c r="AZ76" s="61"/>
      <c r="BA76" s="62" t="str">
        <f t="shared" si="24"/>
        <v>#REF!</v>
      </c>
      <c r="BB76" s="61"/>
      <c r="BC76" s="62" t="str">
        <f t="shared" si="25"/>
        <v>#REF!</v>
      </c>
      <c r="BD76" s="70"/>
      <c r="BE76" s="61"/>
      <c r="BF76" s="61"/>
      <c r="BG76" s="61"/>
      <c r="BH76" s="61"/>
      <c r="BI76" s="61"/>
      <c r="BJ76" s="61"/>
      <c r="BN76" s="61"/>
      <c r="BO76" s="61"/>
      <c r="BP76" s="61"/>
      <c r="BQ76" s="61"/>
      <c r="BR76" s="61"/>
      <c r="BS76" s="61"/>
      <c r="BT76" s="61"/>
      <c r="BU76" s="61"/>
      <c r="BV76" s="61"/>
      <c r="BW76" s="61"/>
      <c r="BX76" s="61"/>
    </row>
    <row r="77">
      <c r="A77" s="62" t="str">
        <f t="shared" si="1"/>
        <v>#REF!</v>
      </c>
      <c r="B77" s="61"/>
      <c r="C77" s="61"/>
      <c r="D77" s="61"/>
      <c r="E77" s="61"/>
      <c r="F77" s="61"/>
      <c r="G77" s="61"/>
      <c r="H77" s="61"/>
      <c r="I77" s="61"/>
      <c r="J77" s="61"/>
      <c r="K77" s="61"/>
      <c r="L77" s="61"/>
      <c r="M77" s="61"/>
      <c r="N77" s="61"/>
      <c r="O77" s="61"/>
      <c r="P77" s="61"/>
      <c r="Q77" s="61"/>
      <c r="R77" s="61"/>
      <c r="S77" s="61"/>
      <c r="T77" s="61"/>
      <c r="U77" s="61"/>
      <c r="V77" s="61"/>
      <c r="W77" s="61"/>
      <c r="X77" s="61"/>
      <c r="Y77" s="61"/>
      <c r="Z77" s="61"/>
      <c r="AA77" s="61"/>
      <c r="AB77" s="61"/>
      <c r="AC77" s="61"/>
      <c r="AD77" s="61"/>
      <c r="AE77" s="61"/>
      <c r="AF77" s="61"/>
      <c r="AG77" s="61"/>
      <c r="AH77" s="61"/>
      <c r="AI77" s="61"/>
      <c r="AJ77" s="61"/>
      <c r="AK77" s="61"/>
      <c r="AL77" s="61"/>
      <c r="AM77" s="61"/>
      <c r="AN77" s="61"/>
      <c r="AO77" s="61"/>
      <c r="AP77" s="61"/>
      <c r="AQ77" s="61"/>
      <c r="AR77" s="61"/>
      <c r="AS77" s="61"/>
      <c r="AT77" s="61"/>
      <c r="AU77" s="61"/>
      <c r="AV77" s="61"/>
      <c r="AW77" s="61"/>
      <c r="AX77" s="61"/>
      <c r="AY77" s="62" t="str">
        <f t="shared" si="23"/>
        <v>#REF!</v>
      </c>
      <c r="AZ77" s="61"/>
      <c r="BA77" s="62" t="str">
        <f t="shared" si="24"/>
        <v>#REF!</v>
      </c>
      <c r="BB77" s="61"/>
      <c r="BC77" s="62" t="str">
        <f t="shared" si="25"/>
        <v>#REF!</v>
      </c>
      <c r="BD77" s="70"/>
      <c r="BE77" s="61"/>
      <c r="BF77" s="61"/>
      <c r="BG77" s="61"/>
      <c r="BH77" s="61"/>
      <c r="BI77" s="61"/>
      <c r="BJ77" s="61"/>
      <c r="BK77" s="61"/>
      <c r="BL77" s="61"/>
      <c r="BN77" s="61"/>
      <c r="BO77" s="61"/>
      <c r="BP77" s="61"/>
      <c r="BQ77" s="61"/>
      <c r="BR77" s="61"/>
      <c r="BS77" s="61"/>
      <c r="BT77" s="61"/>
      <c r="BU77" s="61"/>
      <c r="BV77" s="61"/>
      <c r="BW77" s="61"/>
      <c r="BX77" s="61"/>
    </row>
    <row r="78">
      <c r="A78" s="62" t="str">
        <f t="shared" si="1"/>
        <v>#REF!</v>
      </c>
      <c r="B78" s="61"/>
      <c r="C78" s="61"/>
      <c r="D78" s="61"/>
      <c r="E78" s="61"/>
      <c r="F78" s="61"/>
      <c r="G78" s="61"/>
      <c r="H78" s="61"/>
      <c r="I78" s="61"/>
      <c r="J78" s="61"/>
      <c r="K78" s="61"/>
      <c r="L78" s="61"/>
      <c r="M78" s="61"/>
      <c r="N78" s="61"/>
      <c r="O78" s="61"/>
      <c r="P78" s="61"/>
      <c r="Q78" s="61"/>
      <c r="R78" s="61"/>
      <c r="S78" s="61"/>
      <c r="T78" s="61"/>
      <c r="U78" s="61"/>
      <c r="V78" s="61"/>
      <c r="W78" s="61"/>
      <c r="X78" s="61"/>
      <c r="Y78" s="61"/>
      <c r="Z78" s="61"/>
      <c r="AA78" s="61"/>
      <c r="AB78" s="61"/>
      <c r="AC78" s="61"/>
      <c r="AD78" s="61"/>
      <c r="AE78" s="61"/>
      <c r="AF78" s="61"/>
      <c r="AG78" s="61"/>
      <c r="AH78" s="61"/>
      <c r="AI78" s="61"/>
      <c r="AJ78" s="61"/>
      <c r="AK78" s="61"/>
      <c r="AL78" s="61"/>
      <c r="AM78" s="61"/>
      <c r="AN78" s="61"/>
      <c r="AO78" s="61"/>
      <c r="AP78" s="61"/>
      <c r="AQ78" s="61"/>
      <c r="AR78" s="61"/>
      <c r="AS78" s="61"/>
      <c r="AT78" s="61"/>
      <c r="AU78" s="61"/>
      <c r="AV78" s="61"/>
      <c r="AW78" s="61"/>
      <c r="AX78" s="61"/>
      <c r="AY78" s="62" t="str">
        <f t="shared" si="23"/>
        <v>#REF!</v>
      </c>
      <c r="AZ78" s="61"/>
      <c r="BA78" s="62" t="str">
        <f t="shared" si="24"/>
        <v>#REF!</v>
      </c>
      <c r="BB78" s="61"/>
      <c r="BC78" s="62" t="str">
        <f t="shared" si="25"/>
        <v>#REF!</v>
      </c>
      <c r="BD78" s="70"/>
      <c r="BE78" s="61"/>
      <c r="BF78" s="61"/>
      <c r="BG78" s="61"/>
      <c r="BH78" s="61"/>
      <c r="BI78" s="61"/>
      <c r="BJ78" s="61"/>
      <c r="BK78" s="61"/>
      <c r="BL78" s="61"/>
      <c r="BN78" s="61"/>
      <c r="BO78" s="61"/>
      <c r="BP78" s="61"/>
      <c r="BQ78" s="61"/>
      <c r="BR78" s="61"/>
      <c r="BS78" s="61"/>
      <c r="BT78" s="61"/>
      <c r="BU78" s="61"/>
      <c r="BV78" s="61"/>
      <c r="BW78" s="61"/>
      <c r="BX78" s="61"/>
    </row>
    <row r="79">
      <c r="A79" s="62" t="str">
        <f t="shared" si="1"/>
        <v>#REF!</v>
      </c>
      <c r="B79" s="61"/>
      <c r="C79" s="61"/>
      <c r="D79" s="61"/>
      <c r="E79" s="61"/>
      <c r="F79" s="61"/>
      <c r="G79" s="61"/>
      <c r="H79" s="61"/>
      <c r="I79" s="61"/>
      <c r="J79" s="61"/>
      <c r="K79" s="61"/>
      <c r="L79" s="61"/>
      <c r="M79" s="61"/>
      <c r="N79" s="61"/>
      <c r="O79" s="61"/>
      <c r="P79" s="61"/>
      <c r="Q79" s="61"/>
      <c r="R79" s="61"/>
      <c r="S79" s="61"/>
      <c r="T79" s="61"/>
      <c r="U79" s="61"/>
      <c r="V79" s="61"/>
      <c r="W79" s="61"/>
      <c r="X79" s="61"/>
      <c r="Y79" s="61"/>
      <c r="Z79" s="61"/>
      <c r="AA79" s="61"/>
      <c r="AB79" s="61"/>
      <c r="AC79" s="61"/>
      <c r="AD79" s="61"/>
      <c r="AE79" s="61"/>
      <c r="AF79" s="61"/>
      <c r="AG79" s="61"/>
      <c r="AH79" s="61"/>
      <c r="AI79" s="61"/>
      <c r="AJ79" s="61"/>
      <c r="AK79" s="61"/>
      <c r="AL79" s="61"/>
      <c r="AM79" s="61"/>
      <c r="AN79" s="61"/>
      <c r="AO79" s="61"/>
      <c r="AP79" s="61"/>
      <c r="AQ79" s="61"/>
      <c r="AR79" s="61"/>
      <c r="AS79" s="61"/>
      <c r="AT79" s="61"/>
      <c r="AU79" s="61"/>
      <c r="AV79" s="61"/>
      <c r="AW79" s="61"/>
      <c r="AX79" s="61"/>
      <c r="AY79" s="62" t="str">
        <f t="shared" si="23"/>
        <v>#REF!</v>
      </c>
      <c r="AZ79" s="61"/>
      <c r="BA79" s="62" t="str">
        <f t="shared" si="24"/>
        <v>#REF!</v>
      </c>
      <c r="BB79" s="61"/>
      <c r="BC79" s="62" t="str">
        <f t="shared" si="25"/>
        <v>#REF!</v>
      </c>
      <c r="BD79" s="70"/>
      <c r="BE79" s="61"/>
      <c r="BF79" s="61"/>
      <c r="BG79" s="61"/>
      <c r="BH79" s="61"/>
      <c r="BI79" s="61"/>
      <c r="BJ79" s="61"/>
      <c r="BK79" s="61"/>
      <c r="BL79" s="61"/>
      <c r="BN79" s="61"/>
      <c r="BO79" s="61"/>
      <c r="BP79" s="61"/>
      <c r="BQ79" s="61"/>
      <c r="BR79" s="61"/>
      <c r="BS79" s="61"/>
      <c r="BT79" s="61"/>
      <c r="BU79" s="61"/>
      <c r="BV79" s="61"/>
      <c r="BW79" s="61"/>
      <c r="BX79" s="61"/>
    </row>
    <row r="80">
      <c r="A80" s="62" t="str">
        <f t="shared" si="1"/>
        <v>#REF!</v>
      </c>
      <c r="B80" s="61"/>
      <c r="C80" s="61"/>
      <c r="D80" s="61"/>
      <c r="E80" s="61"/>
      <c r="F80" s="61"/>
      <c r="G80" s="61"/>
      <c r="H80" s="61"/>
      <c r="I80" s="61"/>
      <c r="J80" s="61"/>
      <c r="K80" s="61"/>
      <c r="L80" s="61"/>
      <c r="M80" s="61"/>
      <c r="N80" s="61"/>
      <c r="O80" s="61"/>
      <c r="P80" s="61"/>
      <c r="Q80" s="61"/>
      <c r="R80" s="61"/>
      <c r="S80" s="61"/>
      <c r="T80" s="61"/>
      <c r="U80" s="61"/>
      <c r="V80" s="61"/>
      <c r="W80" s="61"/>
      <c r="X80" s="61"/>
      <c r="Y80" s="61"/>
      <c r="Z80" s="61"/>
      <c r="AA80" s="61"/>
      <c r="AB80" s="61"/>
      <c r="AC80" s="61"/>
      <c r="AD80" s="61"/>
      <c r="AE80" s="61"/>
      <c r="AF80" s="61"/>
      <c r="AG80" s="61"/>
      <c r="AH80" s="61"/>
      <c r="AI80" s="61"/>
      <c r="AJ80" s="61"/>
      <c r="AK80" s="61"/>
      <c r="AL80" s="61"/>
      <c r="AM80" s="61"/>
      <c r="AN80" s="61"/>
      <c r="AO80" s="61"/>
      <c r="AP80" s="61"/>
      <c r="AQ80" s="61"/>
      <c r="AR80" s="61"/>
      <c r="AS80" s="61"/>
      <c r="AT80" s="61"/>
      <c r="AU80" s="61"/>
      <c r="AV80" s="61"/>
      <c r="AW80" s="61"/>
      <c r="AX80" s="61"/>
      <c r="AY80" s="62" t="str">
        <f t="shared" si="23"/>
        <v>#REF!</v>
      </c>
      <c r="AZ80" s="61"/>
      <c r="BA80" s="62" t="str">
        <f t="shared" si="24"/>
        <v>#REF!</v>
      </c>
      <c r="BB80" s="61"/>
      <c r="BC80" s="62" t="str">
        <f t="shared" ref="BC80:BC84" si="71">CONCATENATE('Term Reference Guide (in-progress)'!B3," [",'Term Reference Guide (in-progress)'!C3,"]")</f>
        <v>#REF!</v>
      </c>
      <c r="BD80" s="70"/>
      <c r="BE80" s="61"/>
      <c r="BF80" s="61"/>
      <c r="BG80" s="61"/>
      <c r="BH80" s="61"/>
      <c r="BI80" s="61"/>
      <c r="BJ80" s="61"/>
      <c r="BK80" s="61"/>
      <c r="BL80" s="61"/>
      <c r="BN80" s="61"/>
      <c r="BO80" s="61"/>
      <c r="BP80" s="61"/>
      <c r="BQ80" s="61"/>
      <c r="BR80" s="61"/>
      <c r="BS80" s="61"/>
      <c r="BT80" s="61"/>
      <c r="BU80" s="61"/>
      <c r="BV80" s="61"/>
      <c r="BW80" s="61"/>
      <c r="BX80" s="61"/>
    </row>
    <row r="81">
      <c r="A81" s="62" t="str">
        <f t="shared" si="1"/>
        <v>#REF!</v>
      </c>
      <c r="B81" s="61"/>
      <c r="C81" s="61"/>
      <c r="D81" s="61"/>
      <c r="E81" s="61"/>
      <c r="F81" s="61"/>
      <c r="G81" s="61"/>
      <c r="H81" s="61"/>
      <c r="I81" s="61"/>
      <c r="J81" s="61"/>
      <c r="K81" s="61"/>
      <c r="L81" s="61"/>
      <c r="M81" s="61"/>
      <c r="N81" s="61"/>
      <c r="O81" s="61"/>
      <c r="P81" s="61"/>
      <c r="Q81" s="61"/>
      <c r="R81" s="61"/>
      <c r="S81" s="61"/>
      <c r="T81" s="61"/>
      <c r="U81" s="61"/>
      <c r="V81" s="61"/>
      <c r="W81" s="61"/>
      <c r="X81" s="61"/>
      <c r="Y81" s="61"/>
      <c r="Z81" s="61"/>
      <c r="AA81" s="61"/>
      <c r="AB81" s="61"/>
      <c r="AC81" s="61"/>
      <c r="AD81" s="61"/>
      <c r="AE81" s="61"/>
      <c r="AF81" s="61"/>
      <c r="AG81" s="61"/>
      <c r="AH81" s="61"/>
      <c r="AI81" s="61"/>
      <c r="AJ81" s="61"/>
      <c r="AK81" s="61"/>
      <c r="AL81" s="61"/>
      <c r="AM81" s="61"/>
      <c r="AN81" s="61"/>
      <c r="AO81" s="61"/>
      <c r="AP81" s="61"/>
      <c r="AQ81" s="61"/>
      <c r="AR81" s="61"/>
      <c r="AS81" s="61"/>
      <c r="AT81" s="61"/>
      <c r="AU81" s="61"/>
      <c r="AV81" s="61"/>
      <c r="AW81" s="61"/>
      <c r="AX81" s="61"/>
      <c r="AY81" s="62" t="str">
        <f t="shared" si="23"/>
        <v>#REF!</v>
      </c>
      <c r="AZ81" s="61"/>
      <c r="BA81" s="62" t="str">
        <f t="shared" si="24"/>
        <v>#REF!</v>
      </c>
      <c r="BB81" s="61"/>
      <c r="BC81" s="62" t="str">
        <f t="shared" si="71"/>
        <v>#REF!</v>
      </c>
      <c r="BD81" s="70"/>
      <c r="BE81" s="61"/>
      <c r="BF81" s="61"/>
      <c r="BG81" s="61"/>
      <c r="BH81" s="61"/>
      <c r="BI81" s="61"/>
      <c r="BJ81" s="61"/>
      <c r="BK81" s="61"/>
      <c r="BL81" s="61"/>
      <c r="BM81" s="61"/>
      <c r="BN81" s="61"/>
      <c r="BO81" s="61"/>
      <c r="BP81" s="61"/>
      <c r="BQ81" s="61"/>
      <c r="BR81" s="61"/>
      <c r="BS81" s="61"/>
      <c r="BT81" s="61"/>
      <c r="BU81" s="61"/>
      <c r="BV81" s="61"/>
      <c r="BW81" s="61"/>
      <c r="BX81" s="61"/>
    </row>
    <row r="82">
      <c r="A82" s="62" t="str">
        <f t="shared" si="1"/>
        <v>#REF!</v>
      </c>
      <c r="B82" s="61"/>
      <c r="C82" s="61"/>
      <c r="D82" s="61"/>
      <c r="E82" s="61"/>
      <c r="F82" s="61"/>
      <c r="G82" s="61"/>
      <c r="H82" s="61"/>
      <c r="I82" s="61"/>
      <c r="J82" s="61"/>
      <c r="K82" s="61"/>
      <c r="L82" s="61"/>
      <c r="M82" s="61"/>
      <c r="N82" s="61"/>
      <c r="O82" s="61"/>
      <c r="P82" s="61"/>
      <c r="Q82" s="61"/>
      <c r="R82" s="61"/>
      <c r="S82" s="61"/>
      <c r="T82" s="61"/>
      <c r="U82" s="61"/>
      <c r="V82" s="61"/>
      <c r="W82" s="61"/>
      <c r="X82" s="61"/>
      <c r="Y82" s="61"/>
      <c r="Z82" s="61"/>
      <c r="AA82" s="61"/>
      <c r="AB82" s="61"/>
      <c r="AC82" s="61"/>
      <c r="AD82" s="61"/>
      <c r="AE82" s="61"/>
      <c r="AF82" s="61"/>
      <c r="AG82" s="61"/>
      <c r="AH82" s="61"/>
      <c r="AI82" s="61"/>
      <c r="AJ82" s="61"/>
      <c r="AK82" s="61"/>
      <c r="AL82" s="61"/>
      <c r="AM82" s="61"/>
      <c r="AN82" s="61"/>
      <c r="AO82" s="61"/>
      <c r="AP82" s="61"/>
      <c r="AQ82" s="61"/>
      <c r="AR82" s="61"/>
      <c r="AS82" s="61"/>
      <c r="AT82" s="61"/>
      <c r="AU82" s="61"/>
      <c r="AV82" s="61"/>
      <c r="AW82" s="61"/>
      <c r="AX82" s="61"/>
      <c r="AY82" s="62" t="str">
        <f t="shared" si="23"/>
        <v>#REF!</v>
      </c>
      <c r="AZ82" s="61"/>
      <c r="BA82" s="62" t="str">
        <f t="shared" si="24"/>
        <v>#REF!</v>
      </c>
      <c r="BB82" s="61"/>
      <c r="BC82" s="62" t="str">
        <f t="shared" si="71"/>
        <v>#REF!</v>
      </c>
      <c r="BD82" s="70"/>
      <c r="BE82" s="61"/>
      <c r="BF82" s="61"/>
      <c r="BG82" s="61"/>
      <c r="BH82" s="61"/>
      <c r="BI82" s="61"/>
      <c r="BJ82" s="61"/>
      <c r="BK82" s="61"/>
      <c r="BL82" s="61"/>
      <c r="BM82" s="61"/>
      <c r="BN82" s="61"/>
      <c r="BO82" s="61"/>
      <c r="BP82" s="61"/>
      <c r="BQ82" s="61"/>
      <c r="BR82" s="61"/>
      <c r="BS82" s="61"/>
      <c r="BT82" s="61"/>
      <c r="BU82" s="61"/>
      <c r="BV82" s="61"/>
      <c r="BW82" s="61"/>
      <c r="BX82" s="61"/>
    </row>
    <row r="83">
      <c r="A83" s="62" t="str">
        <f t="shared" si="1"/>
        <v>#REF!</v>
      </c>
      <c r="B83" s="61"/>
      <c r="C83" s="61"/>
      <c r="D83" s="61"/>
      <c r="E83" s="61"/>
      <c r="F83" s="61"/>
      <c r="G83" s="61"/>
      <c r="H83" s="61"/>
      <c r="I83" s="61"/>
      <c r="J83" s="61"/>
      <c r="K83" s="61"/>
      <c r="L83" s="61"/>
      <c r="M83" s="61"/>
      <c r="N83" s="61"/>
      <c r="O83" s="61"/>
      <c r="P83" s="61"/>
      <c r="Q83" s="61"/>
      <c r="R83" s="61"/>
      <c r="S83" s="61"/>
      <c r="T83" s="61"/>
      <c r="U83" s="61"/>
      <c r="V83" s="61"/>
      <c r="W83" s="61"/>
      <c r="X83" s="61"/>
      <c r="Y83" s="61"/>
      <c r="Z83" s="61"/>
      <c r="AA83" s="61"/>
      <c r="AB83" s="61"/>
      <c r="AC83" s="61"/>
      <c r="AD83" s="61"/>
      <c r="AE83" s="61"/>
      <c r="AF83" s="61"/>
      <c r="AG83" s="61"/>
      <c r="AH83" s="61"/>
      <c r="AI83" s="61"/>
      <c r="AJ83" s="61"/>
      <c r="AK83" s="61"/>
      <c r="AL83" s="61"/>
      <c r="AM83" s="61"/>
      <c r="AN83" s="61"/>
      <c r="AO83" s="61"/>
      <c r="AP83" s="61"/>
      <c r="AQ83" s="61"/>
      <c r="AR83" s="61"/>
      <c r="AS83" s="61"/>
      <c r="AT83" s="61"/>
      <c r="AU83" s="61"/>
      <c r="AV83" s="61"/>
      <c r="AW83" s="61"/>
      <c r="AX83" s="61"/>
      <c r="AY83" s="62" t="str">
        <f t="shared" si="23"/>
        <v>#REF!</v>
      </c>
      <c r="AZ83" s="61"/>
      <c r="BA83" s="62" t="str">
        <f t="shared" si="24"/>
        <v>#REF!</v>
      </c>
      <c r="BB83" s="61"/>
      <c r="BC83" s="62" t="str">
        <f t="shared" si="71"/>
        <v>#REF!</v>
      </c>
      <c r="BD83" s="70"/>
      <c r="BE83" s="61"/>
      <c r="BF83" s="61"/>
      <c r="BG83" s="61"/>
      <c r="BH83" s="61"/>
      <c r="BI83" s="61"/>
      <c r="BJ83" s="61"/>
      <c r="BK83" s="61"/>
      <c r="BL83" s="61"/>
      <c r="BM83" s="61"/>
      <c r="BN83" s="61"/>
      <c r="BO83" s="61"/>
      <c r="BP83" s="61"/>
      <c r="BQ83" s="61"/>
      <c r="BR83" s="61"/>
      <c r="BS83" s="61"/>
      <c r="BT83" s="61"/>
      <c r="BU83" s="61"/>
      <c r="BV83" s="61"/>
      <c r="BW83" s="61"/>
      <c r="BX83" s="61"/>
    </row>
    <row r="84">
      <c r="A84" s="62" t="str">
        <f t="shared" si="1"/>
        <v>#REF!</v>
      </c>
      <c r="B84" s="61"/>
      <c r="C84" s="61"/>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1"/>
      <c r="AJ84" s="61"/>
      <c r="AK84" s="61"/>
      <c r="AL84" s="61"/>
      <c r="AM84" s="61"/>
      <c r="AN84" s="61"/>
      <c r="AO84" s="61"/>
      <c r="AP84" s="61"/>
      <c r="AQ84" s="61"/>
      <c r="AR84" s="61"/>
      <c r="AS84" s="61"/>
      <c r="AT84" s="61"/>
      <c r="AU84" s="61"/>
      <c r="AV84" s="61"/>
      <c r="AW84" s="61"/>
      <c r="AX84" s="61"/>
      <c r="AY84" s="62" t="str">
        <f t="shared" si="23"/>
        <v>#REF!</v>
      </c>
      <c r="AZ84" s="61"/>
      <c r="BA84" s="62" t="str">
        <f t="shared" si="24"/>
        <v>#REF!</v>
      </c>
      <c r="BB84" s="61"/>
      <c r="BC84" s="62" t="str">
        <f t="shared" si="71"/>
        <v>#REF!</v>
      </c>
      <c r="BD84" s="70"/>
      <c r="BE84" s="61"/>
      <c r="BF84" s="61"/>
      <c r="BG84" s="61"/>
      <c r="BH84" s="61"/>
      <c r="BI84" s="61"/>
      <c r="BJ84" s="61"/>
      <c r="BK84" s="61"/>
      <c r="BL84" s="61"/>
      <c r="BM84" s="61"/>
      <c r="BN84" s="61"/>
      <c r="BO84" s="61"/>
      <c r="BP84" s="61"/>
      <c r="BQ84" s="61"/>
      <c r="BR84" s="61"/>
      <c r="BS84" s="61"/>
      <c r="BT84" s="61"/>
      <c r="BU84" s="61"/>
      <c r="BV84" s="61"/>
      <c r="BW84" s="61"/>
      <c r="BX84" s="61"/>
    </row>
    <row r="85">
      <c r="A85" s="62" t="str">
        <f t="shared" si="1"/>
        <v>#REF!</v>
      </c>
      <c r="B85" s="61"/>
      <c r="C85" s="61"/>
      <c r="D85" s="61"/>
      <c r="E85" s="61"/>
      <c r="F85" s="61"/>
      <c r="G85" s="61"/>
      <c r="H85" s="61"/>
      <c r="I85" s="61"/>
      <c r="J85" s="61"/>
      <c r="K85" s="61"/>
      <c r="L85" s="61"/>
      <c r="M85" s="61"/>
      <c r="N85" s="61"/>
      <c r="O85" s="61"/>
      <c r="P85" s="61"/>
      <c r="Q85" s="61"/>
      <c r="R85" s="61"/>
      <c r="S85" s="61"/>
      <c r="T85" s="61"/>
      <c r="U85" s="61"/>
      <c r="V85" s="61"/>
      <c r="W85" s="61"/>
      <c r="X85" s="61"/>
      <c r="Y85" s="61"/>
      <c r="Z85" s="61"/>
      <c r="AA85" s="61"/>
      <c r="AB85" s="61"/>
      <c r="AC85" s="61"/>
      <c r="AD85" s="61"/>
      <c r="AE85" s="61"/>
      <c r="AF85" s="61"/>
      <c r="AG85" s="61"/>
      <c r="AH85" s="61"/>
      <c r="AI85" s="61"/>
      <c r="AJ85" s="61"/>
      <c r="AK85" s="61"/>
      <c r="AL85" s="61"/>
      <c r="AM85" s="61"/>
      <c r="AN85" s="61"/>
      <c r="AO85" s="61"/>
      <c r="AP85" s="61"/>
      <c r="AQ85" s="61"/>
      <c r="AR85" s="61"/>
      <c r="AS85" s="61"/>
      <c r="AT85" s="61"/>
      <c r="AU85" s="61"/>
      <c r="AV85" s="61"/>
      <c r="AW85" s="61"/>
      <c r="AX85" s="61"/>
      <c r="AY85" s="62" t="str">
        <f t="shared" si="23"/>
        <v>#REF!</v>
      </c>
      <c r="AZ85" s="61"/>
      <c r="BA85" s="62" t="str">
        <f t="shared" si="24"/>
        <v>#REF!</v>
      </c>
      <c r="BB85" s="61"/>
      <c r="BD85" s="70"/>
      <c r="BE85" s="61"/>
      <c r="BF85" s="61"/>
      <c r="BG85" s="61"/>
      <c r="BH85" s="61"/>
      <c r="BI85" s="61"/>
      <c r="BJ85" s="61"/>
      <c r="BK85" s="61"/>
      <c r="BL85" s="61"/>
      <c r="BM85" s="61"/>
      <c r="BN85" s="61"/>
      <c r="BO85" s="61"/>
      <c r="BP85" s="61"/>
      <c r="BQ85" s="61"/>
      <c r="BR85" s="61"/>
      <c r="BS85" s="61"/>
      <c r="BT85" s="61"/>
      <c r="BU85" s="61"/>
      <c r="BV85" s="61"/>
      <c r="BW85" s="61"/>
      <c r="BX85" s="61"/>
    </row>
    <row r="86">
      <c r="A86" s="62" t="str">
        <f t="shared" si="1"/>
        <v>#REF!</v>
      </c>
      <c r="B86" s="62"/>
      <c r="C86" s="61"/>
      <c r="D86" s="61"/>
      <c r="E86" s="61"/>
      <c r="F86" s="61"/>
      <c r="G86" s="61"/>
      <c r="H86" s="61"/>
      <c r="I86" s="61"/>
      <c r="J86" s="61"/>
      <c r="K86" s="61"/>
      <c r="L86" s="61"/>
      <c r="M86" s="61"/>
      <c r="N86" s="61"/>
      <c r="O86" s="61"/>
      <c r="P86" s="61"/>
      <c r="Q86" s="61"/>
      <c r="R86" s="61"/>
      <c r="S86" s="61"/>
      <c r="T86" s="61"/>
      <c r="U86" s="61"/>
      <c r="V86" s="61"/>
      <c r="W86" s="61"/>
      <c r="X86" s="61"/>
      <c r="Y86" s="61"/>
      <c r="Z86" s="61"/>
      <c r="AA86" s="61"/>
      <c r="AB86" s="61"/>
      <c r="AC86" s="61"/>
      <c r="AD86" s="61"/>
      <c r="AE86" s="61"/>
      <c r="AF86" s="61"/>
      <c r="AG86" s="61"/>
      <c r="AH86" s="61"/>
      <c r="AI86" s="61"/>
      <c r="AJ86" s="61"/>
      <c r="AK86" s="61"/>
      <c r="AL86" s="61"/>
      <c r="AM86" s="61"/>
      <c r="AN86" s="61"/>
      <c r="AO86" s="61"/>
      <c r="AP86" s="61"/>
      <c r="AQ86" s="61"/>
      <c r="AR86" s="61"/>
      <c r="AS86" s="61"/>
      <c r="AT86" s="61"/>
      <c r="AU86" s="61"/>
      <c r="AV86" s="61"/>
      <c r="AW86" s="61"/>
      <c r="AX86" s="61"/>
      <c r="AY86" s="62" t="str">
        <f t="shared" si="23"/>
        <v>#REF!</v>
      </c>
      <c r="AZ86" s="61"/>
      <c r="BA86" s="62" t="str">
        <f t="shared" si="24"/>
        <v>#REF!</v>
      </c>
      <c r="BB86" s="61"/>
      <c r="BD86" s="70"/>
      <c r="BE86" s="61"/>
      <c r="BF86" s="61"/>
      <c r="BG86" s="61"/>
      <c r="BH86" s="61"/>
      <c r="BI86" s="61"/>
      <c r="BJ86" s="61"/>
      <c r="BK86" s="61"/>
      <c r="BL86" s="61"/>
      <c r="BM86" s="61"/>
      <c r="BN86" s="61"/>
      <c r="BO86" s="61"/>
      <c r="BP86" s="61"/>
      <c r="BQ86" s="61"/>
      <c r="BR86" s="61"/>
      <c r="BS86" s="61"/>
      <c r="BT86" s="61"/>
      <c r="BU86" s="61"/>
      <c r="BV86" s="61"/>
      <c r="BW86" s="61"/>
      <c r="BX86" s="61"/>
    </row>
    <row r="87">
      <c r="A87" s="62" t="str">
        <f t="shared" si="1"/>
        <v>#REF!</v>
      </c>
      <c r="B87" s="61"/>
      <c r="C87" s="61"/>
      <c r="D87" s="61"/>
      <c r="E87" s="61"/>
      <c r="F87" s="61"/>
      <c r="G87" s="61"/>
      <c r="H87" s="61"/>
      <c r="I87" s="61"/>
      <c r="J87" s="61"/>
      <c r="K87" s="61"/>
      <c r="L87" s="61"/>
      <c r="M87" s="61"/>
      <c r="N87" s="61"/>
      <c r="O87" s="61"/>
      <c r="P87" s="61"/>
      <c r="Q87" s="61"/>
      <c r="R87" s="61"/>
      <c r="S87" s="61"/>
      <c r="T87" s="61"/>
      <c r="U87" s="61"/>
      <c r="V87" s="61"/>
      <c r="W87" s="61"/>
      <c r="X87" s="61"/>
      <c r="Y87" s="61"/>
      <c r="Z87" s="61"/>
      <c r="AA87" s="61"/>
      <c r="AB87" s="61"/>
      <c r="AC87" s="61"/>
      <c r="AD87" s="61"/>
      <c r="AE87" s="61"/>
      <c r="AF87" s="61"/>
      <c r="AG87" s="61"/>
      <c r="AH87" s="61"/>
      <c r="AI87" s="61"/>
      <c r="AJ87" s="61"/>
      <c r="AK87" s="61"/>
      <c r="AL87" s="61"/>
      <c r="AM87" s="61"/>
      <c r="AN87" s="61"/>
      <c r="AO87" s="61"/>
      <c r="AP87" s="61"/>
      <c r="AQ87" s="61"/>
      <c r="AR87" s="61"/>
      <c r="AS87" s="61"/>
      <c r="AT87" s="61"/>
      <c r="AU87" s="61"/>
      <c r="AV87" s="61"/>
      <c r="AW87" s="61"/>
      <c r="AX87" s="61"/>
      <c r="AY87" s="62" t="str">
        <f t="shared" si="23"/>
        <v>#REF!</v>
      </c>
      <c r="AZ87" s="61"/>
      <c r="BA87" s="62" t="str">
        <f t="shared" si="24"/>
        <v>#REF!</v>
      </c>
      <c r="BB87" s="61"/>
      <c r="BD87" s="71"/>
      <c r="BE87" s="61"/>
      <c r="BF87" s="61"/>
      <c r="BG87" s="61"/>
      <c r="BH87" s="61"/>
      <c r="BI87" s="61"/>
      <c r="BJ87" s="61"/>
      <c r="BK87" s="61"/>
      <c r="BL87" s="61"/>
      <c r="BM87" s="61"/>
      <c r="BN87" s="61"/>
      <c r="BO87" s="61"/>
      <c r="BP87" s="61"/>
      <c r="BQ87" s="61"/>
      <c r="BR87" s="61"/>
      <c r="BS87" s="61"/>
      <c r="BT87" s="61"/>
      <c r="BU87" s="61"/>
      <c r="BV87" s="61"/>
      <c r="BW87" s="61"/>
      <c r="BX87" s="61"/>
    </row>
    <row r="88">
      <c r="A88" s="62" t="str">
        <f t="shared" si="1"/>
        <v>#REF!</v>
      </c>
      <c r="B88" s="61"/>
      <c r="C88" s="61"/>
      <c r="D88" s="61"/>
      <c r="E88" s="61"/>
      <c r="F88" s="61"/>
      <c r="G88" s="61"/>
      <c r="H88" s="61"/>
      <c r="I88" s="61"/>
      <c r="J88" s="61"/>
      <c r="K88" s="61"/>
      <c r="L88" s="61"/>
      <c r="M88" s="61"/>
      <c r="N88" s="61"/>
      <c r="O88" s="61"/>
      <c r="P88" s="61"/>
      <c r="Q88" s="61"/>
      <c r="R88" s="61"/>
      <c r="S88" s="61"/>
      <c r="T88" s="61"/>
      <c r="U88" s="61"/>
      <c r="V88" s="61"/>
      <c r="W88" s="61"/>
      <c r="X88" s="61"/>
      <c r="Y88" s="61"/>
      <c r="Z88" s="61"/>
      <c r="AA88" s="61"/>
      <c r="AB88" s="61"/>
      <c r="AC88" s="61"/>
      <c r="AD88" s="61"/>
      <c r="AE88" s="61"/>
      <c r="AF88" s="61"/>
      <c r="AG88" s="61"/>
      <c r="AH88" s="61"/>
      <c r="AI88" s="61"/>
      <c r="AJ88" s="61"/>
      <c r="AK88" s="61"/>
      <c r="AL88" s="61"/>
      <c r="AM88" s="61"/>
      <c r="AN88" s="61"/>
      <c r="AO88" s="61"/>
      <c r="AP88" s="61"/>
      <c r="AQ88" s="61"/>
      <c r="AR88" s="61"/>
      <c r="AS88" s="61"/>
      <c r="AT88" s="61"/>
      <c r="AU88" s="61"/>
      <c r="AV88" s="61"/>
      <c r="AW88" s="61"/>
      <c r="AX88" s="61"/>
      <c r="AY88" s="62" t="str">
        <f t="shared" si="23"/>
        <v>#REF!</v>
      </c>
      <c r="AZ88" s="61"/>
      <c r="BA88" s="62" t="str">
        <f t="shared" si="24"/>
        <v>#REF!</v>
      </c>
      <c r="BB88" s="61"/>
      <c r="BD88" s="69"/>
      <c r="BE88" s="61"/>
      <c r="BF88" s="61"/>
      <c r="BG88" s="61"/>
      <c r="BH88" s="61"/>
      <c r="BI88" s="61"/>
      <c r="BJ88" s="61"/>
      <c r="BK88" s="61"/>
      <c r="BL88" s="61"/>
      <c r="BM88" s="61"/>
      <c r="BN88" s="61"/>
      <c r="BO88" s="61"/>
      <c r="BP88" s="61"/>
      <c r="BQ88" s="61"/>
      <c r="BR88" s="61"/>
      <c r="BS88" s="61"/>
      <c r="BT88" s="61"/>
      <c r="BU88" s="61"/>
      <c r="BV88" s="61"/>
      <c r="BW88" s="61"/>
      <c r="BX88" s="61"/>
    </row>
    <row r="89">
      <c r="A89" s="62" t="str">
        <f t="shared" si="1"/>
        <v>#REF!</v>
      </c>
      <c r="B89" s="61"/>
      <c r="C89" s="61"/>
      <c r="D89" s="61"/>
      <c r="E89" s="61"/>
      <c r="F89" s="61"/>
      <c r="G89" s="61"/>
      <c r="H89" s="61"/>
      <c r="I89" s="61"/>
      <c r="J89" s="61"/>
      <c r="K89" s="61"/>
      <c r="L89" s="61"/>
      <c r="M89" s="61"/>
      <c r="N89" s="61"/>
      <c r="O89" s="61"/>
      <c r="P89" s="61"/>
      <c r="Q89" s="61"/>
      <c r="R89" s="61"/>
      <c r="S89" s="61"/>
      <c r="T89" s="61"/>
      <c r="U89" s="61"/>
      <c r="V89" s="61"/>
      <c r="W89" s="61"/>
      <c r="X89" s="61"/>
      <c r="Y89" s="61"/>
      <c r="Z89" s="61"/>
      <c r="AA89" s="61"/>
      <c r="AB89" s="61"/>
      <c r="AC89" s="61"/>
      <c r="AD89" s="61"/>
      <c r="AE89" s="61"/>
      <c r="AF89" s="61"/>
      <c r="AG89" s="61"/>
      <c r="AH89" s="61"/>
      <c r="AI89" s="61"/>
      <c r="AJ89" s="61"/>
      <c r="AK89" s="61"/>
      <c r="AL89" s="61"/>
      <c r="AM89" s="61"/>
      <c r="AN89" s="61"/>
      <c r="AO89" s="61"/>
      <c r="AP89" s="61"/>
      <c r="AQ89" s="61"/>
      <c r="AR89" s="61"/>
      <c r="AS89" s="61"/>
      <c r="AT89" s="61"/>
      <c r="AU89" s="61"/>
      <c r="AV89" s="61"/>
      <c r="AW89" s="61"/>
      <c r="AX89" s="61"/>
      <c r="AY89" s="62" t="str">
        <f t="shared" ref="AY89:AY93" si="72">CONCATENATE('Term Reference Guide (in-progress)'!B3," [",'Term Reference Guide (in-progress)'!C3,"]")</f>
        <v>#REF!</v>
      </c>
      <c r="AZ89" s="61"/>
      <c r="BA89" s="62" t="str">
        <f t="shared" si="24"/>
        <v>#REF!</v>
      </c>
      <c r="BB89" s="61"/>
      <c r="BD89" s="69"/>
      <c r="BE89" s="61"/>
      <c r="BF89" s="61"/>
      <c r="BG89" s="61"/>
      <c r="BH89" s="61"/>
      <c r="BI89" s="61"/>
      <c r="BJ89" s="61"/>
      <c r="BK89" s="61"/>
      <c r="BL89" s="61"/>
      <c r="BM89" s="61"/>
      <c r="BN89" s="61"/>
      <c r="BO89" s="61"/>
      <c r="BP89" s="61"/>
      <c r="BQ89" s="61"/>
      <c r="BR89" s="61"/>
      <c r="BS89" s="61"/>
      <c r="BT89" s="61"/>
      <c r="BU89" s="61"/>
      <c r="BV89" s="61"/>
      <c r="BW89" s="61"/>
      <c r="BX89" s="61"/>
    </row>
    <row r="90">
      <c r="A90" s="62" t="str">
        <f t="shared" si="1"/>
        <v>#REF!</v>
      </c>
      <c r="B90" s="61"/>
      <c r="C90" s="61"/>
      <c r="D90" s="61"/>
      <c r="E90" s="61"/>
      <c r="F90" s="61"/>
      <c r="G90" s="61"/>
      <c r="H90" s="61"/>
      <c r="I90" s="61"/>
      <c r="J90" s="61"/>
      <c r="K90" s="61"/>
      <c r="L90" s="61"/>
      <c r="M90" s="61"/>
      <c r="N90" s="61"/>
      <c r="O90" s="61"/>
      <c r="P90" s="61"/>
      <c r="Q90" s="61"/>
      <c r="R90" s="61"/>
      <c r="S90" s="61"/>
      <c r="T90" s="61"/>
      <c r="U90" s="61"/>
      <c r="V90" s="61"/>
      <c r="W90" s="61"/>
      <c r="X90" s="61"/>
      <c r="Y90" s="61"/>
      <c r="Z90" s="61"/>
      <c r="AA90" s="61"/>
      <c r="AB90" s="61"/>
      <c r="AC90" s="61"/>
      <c r="AD90" s="61"/>
      <c r="AE90" s="61"/>
      <c r="AF90" s="61"/>
      <c r="AG90" s="61"/>
      <c r="AH90" s="61"/>
      <c r="AI90" s="61"/>
      <c r="AJ90" s="61"/>
      <c r="AK90" s="61"/>
      <c r="AL90" s="61"/>
      <c r="AM90" s="61"/>
      <c r="AN90" s="61"/>
      <c r="AO90" s="61"/>
      <c r="AP90" s="61"/>
      <c r="AQ90" s="61"/>
      <c r="AR90" s="61"/>
      <c r="AS90" s="61"/>
      <c r="AT90" s="61"/>
      <c r="AU90" s="61"/>
      <c r="AV90" s="61"/>
      <c r="AW90" s="61"/>
      <c r="AX90" s="61"/>
      <c r="AY90" s="62" t="str">
        <f t="shared" si="72"/>
        <v>#REF!</v>
      </c>
      <c r="AZ90" s="61"/>
      <c r="BA90" s="62" t="str">
        <f t="shared" si="24"/>
        <v>#REF!</v>
      </c>
      <c r="BB90" s="62"/>
      <c r="BD90" s="61"/>
      <c r="BE90" s="61"/>
      <c r="BF90" s="61"/>
      <c r="BG90" s="61"/>
      <c r="BH90" s="61"/>
      <c r="BI90" s="61"/>
      <c r="BJ90" s="61"/>
      <c r="BK90" s="61"/>
      <c r="BL90" s="61"/>
      <c r="BM90" s="61"/>
      <c r="BN90" s="61"/>
      <c r="BO90" s="61"/>
      <c r="BP90" s="61"/>
      <c r="BQ90" s="61"/>
      <c r="BR90" s="61"/>
      <c r="BS90" s="61"/>
      <c r="BT90" s="61"/>
      <c r="BU90" s="61"/>
      <c r="BV90" s="61"/>
      <c r="BW90" s="61"/>
      <c r="BX90" s="61"/>
    </row>
    <row r="91">
      <c r="A91" s="62" t="str">
        <f t="shared" si="1"/>
        <v>#REF!</v>
      </c>
      <c r="B91" s="61"/>
      <c r="C91" s="61"/>
      <c r="D91" s="61"/>
      <c r="E91" s="61"/>
      <c r="F91" s="61"/>
      <c r="G91" s="61"/>
      <c r="H91" s="61"/>
      <c r="I91" s="61"/>
      <c r="J91" s="61"/>
      <c r="K91" s="61"/>
      <c r="L91" s="61"/>
      <c r="M91" s="61"/>
      <c r="N91" s="61"/>
      <c r="O91" s="61"/>
      <c r="P91" s="61"/>
      <c r="Q91" s="61"/>
      <c r="R91" s="61"/>
      <c r="S91" s="61"/>
      <c r="T91" s="61"/>
      <c r="U91" s="61"/>
      <c r="V91" s="61"/>
      <c r="W91" s="61"/>
      <c r="X91" s="61"/>
      <c r="Y91" s="61"/>
      <c r="Z91" s="61"/>
      <c r="AA91" s="61"/>
      <c r="AB91" s="61"/>
      <c r="AC91" s="61"/>
      <c r="AD91" s="61"/>
      <c r="AE91" s="61"/>
      <c r="AF91" s="61"/>
      <c r="AG91" s="61"/>
      <c r="AH91" s="61"/>
      <c r="AI91" s="61"/>
      <c r="AJ91" s="61"/>
      <c r="AK91" s="61"/>
      <c r="AL91" s="61"/>
      <c r="AM91" s="61"/>
      <c r="AN91" s="61"/>
      <c r="AO91" s="61"/>
      <c r="AP91" s="61"/>
      <c r="AQ91" s="61"/>
      <c r="AR91" s="61"/>
      <c r="AS91" s="61"/>
      <c r="AT91" s="61"/>
      <c r="AU91" s="61"/>
      <c r="AV91" s="61"/>
      <c r="AW91" s="61"/>
      <c r="AX91" s="61"/>
      <c r="AY91" s="62" t="str">
        <f t="shared" si="72"/>
        <v>#REF!</v>
      </c>
      <c r="AZ91" s="61"/>
      <c r="BA91" s="62" t="str">
        <f t="shared" si="24"/>
        <v>#REF!</v>
      </c>
      <c r="BB91" s="61"/>
      <c r="BD91" s="61"/>
      <c r="BE91" s="61"/>
      <c r="BF91" s="61"/>
      <c r="BG91" s="61"/>
      <c r="BH91" s="61"/>
      <c r="BI91" s="61"/>
      <c r="BJ91" s="61"/>
      <c r="BK91" s="61"/>
      <c r="BL91" s="61"/>
      <c r="BM91" s="61"/>
      <c r="BN91" s="61"/>
      <c r="BO91" s="61"/>
      <c r="BP91" s="61"/>
      <c r="BQ91" s="61"/>
      <c r="BR91" s="61"/>
      <c r="BS91" s="61"/>
      <c r="BT91" s="61"/>
      <c r="BU91" s="61"/>
      <c r="BV91" s="61"/>
      <c r="BW91" s="61"/>
      <c r="BX91" s="61"/>
    </row>
    <row r="92">
      <c r="A92" s="62" t="str">
        <f t="shared" si="1"/>
        <v>#REF!</v>
      </c>
      <c r="B92" s="61"/>
      <c r="C92" s="61"/>
      <c r="D92" s="61"/>
      <c r="E92" s="61"/>
      <c r="F92" s="61"/>
      <c r="G92" s="61"/>
      <c r="H92" s="61"/>
      <c r="I92" s="61"/>
      <c r="J92" s="61"/>
      <c r="K92" s="61"/>
      <c r="L92" s="61"/>
      <c r="M92" s="61"/>
      <c r="N92" s="61"/>
      <c r="O92" s="61"/>
      <c r="P92" s="61"/>
      <c r="Q92" s="61"/>
      <c r="R92" s="61"/>
      <c r="S92" s="61"/>
      <c r="T92" s="61"/>
      <c r="U92" s="61"/>
      <c r="V92" s="61"/>
      <c r="W92" s="61"/>
      <c r="X92" s="61"/>
      <c r="Y92" s="61"/>
      <c r="Z92" s="61"/>
      <c r="AA92" s="61"/>
      <c r="AB92" s="61"/>
      <c r="AC92" s="61"/>
      <c r="AD92" s="61"/>
      <c r="AE92" s="61"/>
      <c r="AF92" s="61"/>
      <c r="AG92" s="61"/>
      <c r="AH92" s="61"/>
      <c r="AI92" s="61"/>
      <c r="AJ92" s="61"/>
      <c r="AK92" s="61"/>
      <c r="AL92" s="61"/>
      <c r="AM92" s="61"/>
      <c r="AN92" s="61"/>
      <c r="AO92" s="61"/>
      <c r="AP92" s="61"/>
      <c r="AQ92" s="61"/>
      <c r="AR92" s="61"/>
      <c r="AS92" s="61"/>
      <c r="AT92" s="61"/>
      <c r="AU92" s="61"/>
      <c r="AV92" s="61"/>
      <c r="AW92" s="61"/>
      <c r="AX92" s="61"/>
      <c r="AY92" s="62" t="str">
        <f t="shared" si="72"/>
        <v>#REF!</v>
      </c>
      <c r="AZ92" s="61"/>
      <c r="BA92" s="62" t="str">
        <f t="shared" si="24"/>
        <v>#REF!</v>
      </c>
      <c r="BB92" s="61"/>
      <c r="BD92" s="62"/>
      <c r="BE92" s="61"/>
      <c r="BF92" s="61"/>
      <c r="BG92" s="61"/>
      <c r="BH92" s="61"/>
      <c r="BI92" s="61"/>
      <c r="BJ92" s="61"/>
      <c r="BK92" s="61"/>
      <c r="BL92" s="61"/>
      <c r="BM92" s="61"/>
      <c r="BN92" s="61"/>
      <c r="BO92" s="61"/>
      <c r="BP92" s="61"/>
      <c r="BQ92" s="61"/>
      <c r="BR92" s="61"/>
      <c r="BS92" s="61"/>
      <c r="BT92" s="61"/>
      <c r="BU92" s="61"/>
      <c r="BV92" s="61"/>
      <c r="BW92" s="61"/>
      <c r="BX92" s="61"/>
    </row>
    <row r="93">
      <c r="A93" s="62" t="str">
        <f t="shared" si="1"/>
        <v>#REF!</v>
      </c>
      <c r="B93" s="62"/>
      <c r="C93" s="61"/>
      <c r="D93" s="61"/>
      <c r="E93" s="61"/>
      <c r="F93" s="61"/>
      <c r="G93" s="61"/>
      <c r="H93" s="61"/>
      <c r="I93" s="61"/>
      <c r="J93" s="61"/>
      <c r="K93" s="61"/>
      <c r="L93" s="61"/>
      <c r="M93" s="61"/>
      <c r="N93" s="61"/>
      <c r="O93" s="61"/>
      <c r="P93" s="61"/>
      <c r="Q93" s="61"/>
      <c r="R93" s="61"/>
      <c r="S93" s="61"/>
      <c r="T93" s="61"/>
      <c r="U93" s="61"/>
      <c r="V93" s="61"/>
      <c r="W93" s="61"/>
      <c r="X93" s="61"/>
      <c r="Y93" s="61"/>
      <c r="Z93" s="61"/>
      <c r="AA93" s="61"/>
      <c r="AB93" s="61"/>
      <c r="AC93" s="61"/>
      <c r="AD93" s="61"/>
      <c r="AE93" s="61"/>
      <c r="AF93" s="61"/>
      <c r="AG93" s="61"/>
      <c r="AH93" s="61"/>
      <c r="AI93" s="61"/>
      <c r="AJ93" s="61"/>
      <c r="AK93" s="61"/>
      <c r="AL93" s="61"/>
      <c r="AM93" s="61"/>
      <c r="AN93" s="61"/>
      <c r="AO93" s="61"/>
      <c r="AP93" s="61"/>
      <c r="AQ93" s="61"/>
      <c r="AR93" s="61"/>
      <c r="AS93" s="61"/>
      <c r="AT93" s="61"/>
      <c r="AU93" s="61"/>
      <c r="AV93" s="61"/>
      <c r="AW93" s="61"/>
      <c r="AX93" s="61"/>
      <c r="AY93" s="62" t="str">
        <f t="shared" si="72"/>
        <v>#REF!</v>
      </c>
      <c r="AZ93" s="61"/>
      <c r="BA93" s="62" t="str">
        <f t="shared" ref="BA93:BA97" si="73">CONCATENATE('Term Reference Guide (in-progress)'!B3," [",'Term Reference Guide (in-progress)'!C3,"]")</f>
        <v>#REF!</v>
      </c>
      <c r="BB93" s="61"/>
      <c r="BD93" s="61"/>
      <c r="BE93" s="61"/>
      <c r="BF93" s="61"/>
      <c r="BG93" s="61"/>
      <c r="BH93" s="61"/>
      <c r="BI93" s="61"/>
      <c r="BJ93" s="61"/>
      <c r="BK93" s="61"/>
      <c r="BL93" s="61"/>
      <c r="BM93" s="61"/>
      <c r="BN93" s="61"/>
      <c r="BO93" s="61"/>
      <c r="BP93" s="61"/>
      <c r="BQ93" s="61"/>
      <c r="BR93" s="61"/>
      <c r="BS93" s="61"/>
      <c r="BT93" s="61"/>
      <c r="BU93" s="61"/>
      <c r="BV93" s="61"/>
      <c r="BW93" s="61"/>
      <c r="BX93" s="61"/>
    </row>
    <row r="94">
      <c r="A94" s="62" t="str">
        <f t="shared" si="1"/>
        <v>#REF!</v>
      </c>
      <c r="B94" s="61"/>
      <c r="C94" s="61"/>
      <c r="D94" s="61"/>
      <c r="E94" s="61"/>
      <c r="F94" s="61"/>
      <c r="G94" s="61"/>
      <c r="H94" s="61"/>
      <c r="I94" s="61"/>
      <c r="J94" s="61"/>
      <c r="K94" s="61"/>
      <c r="L94" s="61"/>
      <c r="M94" s="61"/>
      <c r="N94" s="61"/>
      <c r="O94" s="61"/>
      <c r="P94" s="61"/>
      <c r="Q94" s="61"/>
      <c r="R94" s="61"/>
      <c r="S94" s="61"/>
      <c r="T94" s="61"/>
      <c r="U94" s="61"/>
      <c r="V94" s="61"/>
      <c r="W94" s="61"/>
      <c r="X94" s="61"/>
      <c r="Y94" s="61"/>
      <c r="Z94" s="61"/>
      <c r="AA94" s="61"/>
      <c r="AB94" s="61"/>
      <c r="AC94" s="61"/>
      <c r="AD94" s="61"/>
      <c r="AE94" s="61"/>
      <c r="AF94" s="61"/>
      <c r="AG94" s="61"/>
      <c r="AH94" s="61"/>
      <c r="AI94" s="61"/>
      <c r="AJ94" s="61"/>
      <c r="AK94" s="61"/>
      <c r="AL94" s="61"/>
      <c r="AM94" s="61"/>
      <c r="AN94" s="61"/>
      <c r="AO94" s="61"/>
      <c r="AP94" s="61"/>
      <c r="AQ94" s="61"/>
      <c r="AR94" s="61"/>
      <c r="AS94" s="61"/>
      <c r="AT94" s="61"/>
      <c r="AU94" s="61"/>
      <c r="AV94" s="61"/>
      <c r="AW94" s="61"/>
      <c r="AX94" s="61"/>
      <c r="AZ94" s="61"/>
      <c r="BA94" s="62" t="str">
        <f t="shared" si="73"/>
        <v>#REF!</v>
      </c>
      <c r="BB94" s="61"/>
      <c r="BD94" s="61"/>
      <c r="BE94" s="61"/>
      <c r="BF94" s="61"/>
      <c r="BG94" s="61"/>
      <c r="BH94" s="61"/>
      <c r="BI94" s="61"/>
      <c r="BJ94" s="61"/>
      <c r="BK94" s="61"/>
      <c r="BL94" s="61"/>
      <c r="BM94" s="61"/>
      <c r="BN94" s="61"/>
      <c r="BO94" s="61"/>
      <c r="BP94" s="61"/>
      <c r="BQ94" s="61"/>
      <c r="BR94" s="61"/>
      <c r="BS94" s="61"/>
      <c r="BT94" s="61"/>
      <c r="BU94" s="61"/>
      <c r="BV94" s="61"/>
      <c r="BW94" s="61"/>
      <c r="BX94" s="61"/>
    </row>
    <row r="95">
      <c r="A95" s="62" t="str">
        <f t="shared" si="1"/>
        <v>#REF!</v>
      </c>
      <c r="B95" s="61"/>
      <c r="C95" s="61"/>
      <c r="D95" s="61"/>
      <c r="E95" s="61"/>
      <c r="F95" s="61"/>
      <c r="G95" s="61"/>
      <c r="H95" s="61"/>
      <c r="I95" s="61"/>
      <c r="J95" s="61"/>
      <c r="K95" s="61"/>
      <c r="L95" s="61"/>
      <c r="M95" s="61"/>
      <c r="N95" s="61"/>
      <c r="O95" s="61"/>
      <c r="P95" s="61"/>
      <c r="Q95" s="61"/>
      <c r="R95" s="61"/>
      <c r="S95" s="61"/>
      <c r="T95" s="61"/>
      <c r="U95" s="61"/>
      <c r="V95" s="61"/>
      <c r="W95" s="61"/>
      <c r="X95" s="61"/>
      <c r="Y95" s="61"/>
      <c r="Z95" s="61"/>
      <c r="AA95" s="61"/>
      <c r="AB95" s="61"/>
      <c r="AC95" s="61"/>
      <c r="AD95" s="61"/>
      <c r="AE95" s="61"/>
      <c r="AF95" s="61"/>
      <c r="AG95" s="61"/>
      <c r="AH95" s="61"/>
      <c r="AI95" s="61"/>
      <c r="AJ95" s="61"/>
      <c r="AK95" s="61"/>
      <c r="AL95" s="61"/>
      <c r="AM95" s="61"/>
      <c r="AN95" s="61"/>
      <c r="AO95" s="61"/>
      <c r="AP95" s="61"/>
      <c r="AQ95" s="61"/>
      <c r="AR95" s="61"/>
      <c r="AS95" s="61"/>
      <c r="AT95" s="61"/>
      <c r="AU95" s="61"/>
      <c r="AV95" s="61"/>
      <c r="AW95" s="61"/>
      <c r="AX95" s="61"/>
      <c r="AY95" s="61"/>
      <c r="AZ95" s="61"/>
      <c r="BA95" s="62" t="str">
        <f t="shared" si="73"/>
        <v>#REF!</v>
      </c>
      <c r="BB95" s="61"/>
      <c r="BC95" s="61"/>
      <c r="BD95" s="61"/>
      <c r="BE95" s="61"/>
      <c r="BF95" s="61"/>
      <c r="BG95" s="61"/>
      <c r="BH95" s="61"/>
      <c r="BI95" s="61"/>
      <c r="BJ95" s="61"/>
      <c r="BK95" s="61"/>
      <c r="BL95" s="61"/>
      <c r="BM95" s="61"/>
      <c r="BN95" s="61"/>
      <c r="BO95" s="61"/>
      <c r="BP95" s="61"/>
      <c r="BQ95" s="61"/>
      <c r="BR95" s="61"/>
      <c r="BS95" s="61"/>
      <c r="BT95" s="61"/>
      <c r="BU95" s="61"/>
      <c r="BV95" s="61"/>
      <c r="BW95" s="61"/>
      <c r="BX95" s="61"/>
    </row>
    <row r="96">
      <c r="A96" s="62" t="str">
        <f t="shared" si="1"/>
        <v>#REF!</v>
      </c>
      <c r="B96" s="61"/>
      <c r="C96" s="61"/>
      <c r="D96" s="61"/>
      <c r="E96" s="61"/>
      <c r="F96" s="61"/>
      <c r="G96" s="61"/>
      <c r="H96" s="61"/>
      <c r="I96" s="61"/>
      <c r="J96" s="61"/>
      <c r="K96" s="61"/>
      <c r="L96" s="61"/>
      <c r="M96" s="61"/>
      <c r="N96" s="61"/>
      <c r="O96" s="61"/>
      <c r="P96" s="61"/>
      <c r="Q96" s="61"/>
      <c r="R96" s="61"/>
      <c r="S96" s="61"/>
      <c r="T96" s="61"/>
      <c r="U96" s="61"/>
      <c r="V96" s="61"/>
      <c r="W96" s="61"/>
      <c r="X96" s="61"/>
      <c r="Y96" s="61"/>
      <c r="Z96" s="61"/>
      <c r="AA96" s="61"/>
      <c r="AB96" s="61"/>
      <c r="AC96" s="61"/>
      <c r="AD96" s="61"/>
      <c r="AE96" s="61"/>
      <c r="AF96" s="61"/>
      <c r="AG96" s="61"/>
      <c r="AH96" s="61"/>
      <c r="AI96" s="61"/>
      <c r="AJ96" s="61"/>
      <c r="AK96" s="61"/>
      <c r="AL96" s="61"/>
      <c r="AM96" s="61"/>
      <c r="AN96" s="61"/>
      <c r="AO96" s="61"/>
      <c r="AP96" s="61"/>
      <c r="AQ96" s="61"/>
      <c r="AR96" s="61"/>
      <c r="AS96" s="61"/>
      <c r="AT96" s="61"/>
      <c r="AU96" s="61"/>
      <c r="AV96" s="61"/>
      <c r="AW96" s="61"/>
      <c r="AX96" s="61"/>
      <c r="AY96" s="61"/>
      <c r="AZ96" s="61"/>
      <c r="BA96" s="62" t="str">
        <f t="shared" si="73"/>
        <v>#REF!</v>
      </c>
      <c r="BB96" s="61"/>
      <c r="BC96" s="61"/>
      <c r="BD96" s="61"/>
      <c r="BE96" s="61"/>
      <c r="BF96" s="61"/>
      <c r="BG96" s="61"/>
      <c r="BH96" s="61"/>
      <c r="BI96" s="61"/>
      <c r="BJ96" s="61"/>
      <c r="BK96" s="61"/>
      <c r="BL96" s="61"/>
      <c r="BM96" s="61"/>
      <c r="BN96" s="61"/>
      <c r="BO96" s="61"/>
      <c r="BP96" s="61"/>
      <c r="BQ96" s="61"/>
      <c r="BR96" s="61"/>
      <c r="BS96" s="61"/>
      <c r="BT96" s="61"/>
      <c r="BU96" s="61"/>
      <c r="BV96" s="61"/>
      <c r="BW96" s="61"/>
      <c r="BX96" s="61"/>
    </row>
    <row r="97">
      <c r="A97" s="62" t="str">
        <f t="shared" si="1"/>
        <v>#REF!</v>
      </c>
      <c r="B97" s="61"/>
      <c r="C97" s="61"/>
      <c r="D97" s="61"/>
      <c r="E97" s="61"/>
      <c r="F97" s="61"/>
      <c r="G97" s="61"/>
      <c r="H97" s="61"/>
      <c r="I97" s="61"/>
      <c r="J97" s="61"/>
      <c r="K97" s="61"/>
      <c r="L97" s="61"/>
      <c r="M97" s="61"/>
      <c r="N97" s="61"/>
      <c r="O97" s="61"/>
      <c r="P97" s="61"/>
      <c r="Q97" s="61"/>
      <c r="R97" s="61"/>
      <c r="S97" s="61"/>
      <c r="T97" s="61"/>
      <c r="U97" s="61"/>
      <c r="V97" s="61"/>
      <c r="W97" s="61"/>
      <c r="X97" s="61"/>
      <c r="Y97" s="61"/>
      <c r="Z97" s="61"/>
      <c r="AA97" s="61"/>
      <c r="AB97" s="61"/>
      <c r="AC97" s="61"/>
      <c r="AD97" s="61"/>
      <c r="AE97" s="61"/>
      <c r="AF97" s="61"/>
      <c r="AG97" s="61"/>
      <c r="AH97" s="61"/>
      <c r="AI97" s="61"/>
      <c r="AJ97" s="61"/>
      <c r="AK97" s="61"/>
      <c r="AL97" s="61"/>
      <c r="AM97" s="61"/>
      <c r="AN97" s="61"/>
      <c r="AO97" s="61"/>
      <c r="AP97" s="61"/>
      <c r="AQ97" s="61"/>
      <c r="AR97" s="61"/>
      <c r="AS97" s="61"/>
      <c r="AT97" s="61"/>
      <c r="AU97" s="61"/>
      <c r="AV97" s="61"/>
      <c r="AW97" s="61"/>
      <c r="AX97" s="61"/>
      <c r="AY97" s="61"/>
      <c r="AZ97" s="61"/>
      <c r="BA97" s="62" t="str">
        <f t="shared" si="73"/>
        <v>#REF!</v>
      </c>
      <c r="BB97" s="61"/>
      <c r="BC97" s="61"/>
      <c r="BD97" s="61"/>
      <c r="BE97" s="61"/>
      <c r="BF97" s="61"/>
      <c r="BG97" s="61"/>
      <c r="BH97" s="61"/>
      <c r="BI97" s="61"/>
      <c r="BJ97" s="61"/>
      <c r="BK97" s="61"/>
      <c r="BL97" s="61"/>
      <c r="BM97" s="61"/>
      <c r="BN97" s="61"/>
      <c r="BO97" s="61"/>
      <c r="BP97" s="61"/>
      <c r="BQ97" s="61"/>
      <c r="BR97" s="61"/>
      <c r="BS97" s="61"/>
      <c r="BT97" s="61"/>
      <c r="BU97" s="61"/>
      <c r="BV97" s="61"/>
      <c r="BW97" s="61"/>
      <c r="BX97" s="61"/>
    </row>
    <row r="98">
      <c r="A98" s="62" t="str">
        <f t="shared" si="1"/>
        <v>#REF!</v>
      </c>
      <c r="B98" s="61"/>
      <c r="C98" s="61"/>
      <c r="D98" s="61"/>
      <c r="E98" s="61"/>
      <c r="F98" s="61"/>
      <c r="G98" s="61"/>
      <c r="H98" s="61"/>
      <c r="I98" s="61"/>
      <c r="J98" s="61"/>
      <c r="K98" s="61"/>
      <c r="L98" s="61"/>
      <c r="M98" s="61"/>
      <c r="N98" s="61"/>
      <c r="O98" s="61"/>
      <c r="P98" s="61"/>
      <c r="Q98" s="61"/>
      <c r="R98" s="61"/>
      <c r="S98" s="61"/>
      <c r="T98" s="61"/>
      <c r="U98" s="61"/>
      <c r="V98" s="61"/>
      <c r="W98" s="61"/>
      <c r="X98" s="61"/>
      <c r="Y98" s="61"/>
      <c r="Z98" s="61"/>
      <c r="AA98" s="61"/>
      <c r="AB98" s="61"/>
      <c r="AC98" s="61"/>
      <c r="AD98" s="61"/>
      <c r="AE98" s="61"/>
      <c r="AF98" s="61"/>
      <c r="AG98" s="61"/>
      <c r="AH98" s="61"/>
      <c r="AI98" s="61"/>
      <c r="AJ98" s="61"/>
      <c r="AK98" s="61"/>
      <c r="AL98" s="61"/>
      <c r="AM98" s="61"/>
      <c r="AN98" s="61"/>
      <c r="AO98" s="61"/>
      <c r="AP98" s="61"/>
      <c r="AQ98" s="61"/>
      <c r="AR98" s="61"/>
      <c r="AS98" s="61"/>
      <c r="AT98" s="61"/>
      <c r="AU98" s="61"/>
      <c r="AV98" s="61"/>
      <c r="AW98" s="61"/>
      <c r="AX98" s="61"/>
      <c r="BD98" s="61"/>
      <c r="BE98" s="61"/>
      <c r="BF98" s="61"/>
      <c r="BG98" s="61"/>
      <c r="BH98" s="61"/>
      <c r="BI98" s="61"/>
      <c r="BJ98" s="61"/>
      <c r="BK98" s="61"/>
      <c r="BL98" s="61"/>
      <c r="BM98" s="61"/>
      <c r="BN98" s="61"/>
      <c r="BO98" s="61"/>
      <c r="BP98" s="61"/>
      <c r="BQ98" s="61"/>
      <c r="BR98" s="61"/>
      <c r="BS98" s="61"/>
      <c r="BT98" s="61"/>
      <c r="BU98" s="61"/>
      <c r="BV98" s="61"/>
      <c r="BW98" s="61"/>
      <c r="BX98" s="61"/>
    </row>
    <row r="99">
      <c r="A99" s="62" t="str">
        <f t="shared" si="1"/>
        <v>#REF!</v>
      </c>
      <c r="B99" s="61"/>
      <c r="C99" s="61"/>
      <c r="D99" s="61"/>
      <c r="E99" s="61"/>
      <c r="F99" s="61"/>
      <c r="G99" s="61"/>
      <c r="H99" s="61"/>
      <c r="I99" s="61"/>
      <c r="J99" s="61"/>
      <c r="K99" s="61"/>
      <c r="L99" s="61"/>
      <c r="M99" s="61"/>
      <c r="N99" s="61"/>
      <c r="O99" s="61"/>
      <c r="P99" s="61"/>
      <c r="Q99" s="61"/>
      <c r="R99" s="61"/>
      <c r="S99" s="61"/>
      <c r="T99" s="61"/>
      <c r="U99" s="61"/>
      <c r="V99" s="61"/>
      <c r="W99" s="61"/>
      <c r="X99" s="61"/>
      <c r="Y99" s="61"/>
      <c r="Z99" s="61"/>
      <c r="AA99" s="61"/>
      <c r="AB99" s="61"/>
      <c r="AC99" s="61"/>
      <c r="AD99" s="61"/>
      <c r="AE99" s="61"/>
      <c r="AF99" s="61"/>
      <c r="AG99" s="61"/>
      <c r="AH99" s="61"/>
      <c r="AI99" s="61"/>
      <c r="AJ99" s="61"/>
      <c r="AK99" s="61"/>
      <c r="AL99" s="61"/>
      <c r="AM99" s="61"/>
      <c r="AN99" s="61"/>
      <c r="AO99" s="61"/>
      <c r="AP99" s="61"/>
      <c r="AQ99" s="61"/>
      <c r="AR99" s="61"/>
      <c r="AS99" s="61"/>
      <c r="AT99" s="61"/>
      <c r="AU99" s="61"/>
      <c r="AV99" s="61"/>
      <c r="AW99" s="61"/>
      <c r="AX99" s="61"/>
      <c r="BD99" s="61"/>
      <c r="BE99" s="61"/>
      <c r="BF99" s="61"/>
      <c r="BG99" s="61"/>
      <c r="BH99" s="61"/>
      <c r="BI99" s="61"/>
      <c r="BJ99" s="61"/>
      <c r="BK99" s="61"/>
      <c r="BL99" s="61"/>
      <c r="BM99" s="61"/>
      <c r="BN99" s="61"/>
      <c r="BO99" s="61"/>
      <c r="BP99" s="61"/>
      <c r="BQ99" s="61"/>
      <c r="BR99" s="61"/>
      <c r="BS99" s="61"/>
      <c r="BT99" s="61"/>
      <c r="BU99" s="61"/>
      <c r="BV99" s="61"/>
      <c r="BW99" s="61"/>
      <c r="BX99" s="61"/>
    </row>
    <row r="100">
      <c r="A100" s="62" t="str">
        <f t="shared" si="1"/>
        <v>#REF!</v>
      </c>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c r="AA100" s="61"/>
      <c r="AB100" s="61"/>
      <c r="AC100" s="61"/>
      <c r="AD100" s="61"/>
      <c r="AE100" s="61"/>
      <c r="AF100" s="61"/>
      <c r="AG100" s="61"/>
      <c r="AH100" s="61"/>
      <c r="AI100" s="61"/>
      <c r="AJ100" s="61"/>
      <c r="AK100" s="61"/>
      <c r="AL100" s="61"/>
      <c r="AM100" s="61"/>
      <c r="AN100" s="61"/>
      <c r="AO100" s="61"/>
      <c r="AP100" s="61"/>
      <c r="AQ100" s="61"/>
      <c r="AR100" s="61"/>
      <c r="AS100" s="61"/>
      <c r="AT100" s="61"/>
      <c r="AU100" s="61"/>
      <c r="AV100" s="61"/>
      <c r="AW100" s="61"/>
      <c r="AX100" s="61"/>
      <c r="BD100" s="61"/>
      <c r="BE100" s="61"/>
      <c r="BF100" s="61"/>
      <c r="BG100" s="61"/>
      <c r="BH100" s="61"/>
      <c r="BI100" s="61"/>
      <c r="BJ100" s="61"/>
      <c r="BK100" s="61"/>
      <c r="BL100" s="61"/>
      <c r="BM100" s="61"/>
      <c r="BN100" s="61"/>
      <c r="BO100" s="61"/>
      <c r="BP100" s="61"/>
      <c r="BQ100" s="61"/>
      <c r="BR100" s="61"/>
      <c r="BS100" s="61"/>
      <c r="BT100" s="61"/>
      <c r="BU100" s="61"/>
      <c r="BV100" s="61"/>
      <c r="BW100" s="61"/>
      <c r="BX100" s="61"/>
    </row>
    <row r="101">
      <c r="A101" s="62" t="str">
        <f t="shared" si="1"/>
        <v>#REF!</v>
      </c>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c r="AA101" s="61"/>
      <c r="AB101" s="61"/>
      <c r="AC101" s="61"/>
      <c r="AD101" s="61"/>
      <c r="AE101" s="61"/>
      <c r="AF101" s="61"/>
      <c r="AG101" s="61"/>
      <c r="AH101" s="61"/>
      <c r="AI101" s="61"/>
      <c r="AJ101" s="61"/>
      <c r="AK101" s="61"/>
      <c r="AL101" s="61"/>
      <c r="AM101" s="61"/>
      <c r="AN101" s="61"/>
      <c r="AO101" s="61"/>
      <c r="AP101" s="61"/>
      <c r="AQ101" s="61"/>
      <c r="AR101" s="61"/>
      <c r="AS101" s="61"/>
      <c r="AT101" s="61"/>
      <c r="AU101" s="61"/>
      <c r="AV101" s="61"/>
      <c r="AW101" s="61"/>
      <c r="AX101" s="61"/>
      <c r="BD101" s="61"/>
      <c r="BE101" s="61"/>
      <c r="BF101" s="61"/>
      <c r="BG101" s="61"/>
      <c r="BH101" s="61"/>
      <c r="BI101" s="61"/>
      <c r="BJ101" s="61"/>
      <c r="BK101" s="61"/>
      <c r="BL101" s="61"/>
      <c r="BM101" s="61"/>
      <c r="BN101" s="61"/>
      <c r="BO101" s="61"/>
      <c r="BP101" s="61"/>
      <c r="BQ101" s="61"/>
      <c r="BR101" s="61"/>
      <c r="BS101" s="61"/>
      <c r="BT101" s="61"/>
      <c r="BU101" s="61"/>
      <c r="BV101" s="61"/>
      <c r="BW101" s="61"/>
      <c r="BX101" s="61"/>
    </row>
    <row r="102">
      <c r="A102" s="62" t="str">
        <f t="shared" si="1"/>
        <v>#REF!</v>
      </c>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c r="AA102" s="61"/>
      <c r="AB102" s="61"/>
      <c r="AC102" s="61"/>
      <c r="AD102" s="61"/>
      <c r="AE102" s="61"/>
      <c r="AF102" s="61"/>
      <c r="AG102" s="61"/>
      <c r="AH102" s="61"/>
      <c r="AI102" s="61"/>
      <c r="AJ102" s="61"/>
      <c r="AK102" s="61"/>
      <c r="AL102" s="61"/>
      <c r="AM102" s="61"/>
      <c r="AN102" s="61"/>
      <c r="AO102" s="61"/>
      <c r="AP102" s="61"/>
      <c r="AQ102" s="61"/>
      <c r="AR102" s="61"/>
      <c r="AS102" s="61"/>
      <c r="AT102" s="61"/>
      <c r="AU102" s="61"/>
      <c r="AV102" s="61"/>
      <c r="AW102" s="61"/>
      <c r="AX102" s="61"/>
      <c r="BD102" s="61"/>
      <c r="BE102" s="61"/>
      <c r="BF102" s="61"/>
      <c r="BG102" s="61"/>
      <c r="BH102" s="61"/>
      <c r="BI102" s="61"/>
      <c r="BJ102" s="61"/>
      <c r="BK102" s="61"/>
      <c r="BL102" s="61"/>
      <c r="BM102" s="61"/>
      <c r="BN102" s="61"/>
      <c r="BO102" s="61"/>
      <c r="BP102" s="61"/>
      <c r="BQ102" s="61"/>
      <c r="BR102" s="61"/>
      <c r="BS102" s="61"/>
      <c r="BT102" s="61"/>
      <c r="BU102" s="61"/>
      <c r="BV102" s="61"/>
      <c r="BW102" s="61"/>
      <c r="BX102" s="61"/>
    </row>
    <row r="103">
      <c r="A103" s="62" t="str">
        <f t="shared" si="1"/>
        <v>#REF!</v>
      </c>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c r="AA103" s="61"/>
      <c r="AB103" s="61"/>
      <c r="AC103" s="61"/>
      <c r="AD103" s="61"/>
      <c r="AE103" s="61"/>
      <c r="AF103" s="61"/>
      <c r="AG103" s="61"/>
      <c r="AH103" s="61"/>
      <c r="AI103" s="61"/>
      <c r="AJ103" s="61"/>
      <c r="AK103" s="61"/>
      <c r="AL103" s="61"/>
      <c r="AM103" s="61"/>
      <c r="AN103" s="61"/>
      <c r="AO103" s="61"/>
      <c r="AP103" s="61"/>
      <c r="AQ103" s="61"/>
      <c r="AR103" s="61"/>
      <c r="AS103" s="61"/>
      <c r="AT103" s="61"/>
      <c r="AU103" s="61"/>
      <c r="AV103" s="61"/>
      <c r="AW103" s="61"/>
      <c r="AX103" s="61"/>
      <c r="BD103" s="61"/>
      <c r="BE103" s="61"/>
      <c r="BF103" s="61"/>
      <c r="BG103" s="61"/>
      <c r="BH103" s="61"/>
      <c r="BI103" s="61"/>
      <c r="BJ103" s="61"/>
      <c r="BK103" s="61"/>
      <c r="BL103" s="61"/>
      <c r="BM103" s="61"/>
      <c r="BN103" s="61"/>
      <c r="BO103" s="61"/>
      <c r="BP103" s="61"/>
      <c r="BQ103" s="61"/>
      <c r="BR103" s="61"/>
      <c r="BS103" s="61"/>
      <c r="BT103" s="61"/>
      <c r="BU103" s="61"/>
      <c r="BV103" s="61"/>
      <c r="BW103" s="61"/>
      <c r="BX103" s="61"/>
    </row>
    <row r="104">
      <c r="A104" s="62" t="str">
        <f t="shared" si="1"/>
        <v>#REF!</v>
      </c>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c r="Z104" s="61"/>
      <c r="AA104" s="61"/>
      <c r="AB104" s="61"/>
      <c r="AC104" s="61"/>
      <c r="AD104" s="61"/>
      <c r="AE104" s="61"/>
      <c r="AF104" s="61"/>
      <c r="AG104" s="61"/>
      <c r="AH104" s="61"/>
      <c r="AI104" s="61"/>
      <c r="AJ104" s="61"/>
      <c r="AK104" s="61"/>
      <c r="AL104" s="61"/>
      <c r="AM104" s="61"/>
      <c r="AN104" s="61"/>
      <c r="AO104" s="61"/>
      <c r="AP104" s="61"/>
      <c r="AQ104" s="61"/>
      <c r="AR104" s="61"/>
      <c r="AS104" s="61"/>
      <c r="AT104" s="61"/>
      <c r="AU104" s="61"/>
      <c r="AV104" s="61"/>
      <c r="AW104" s="61"/>
      <c r="AX104" s="61"/>
      <c r="BD104" s="61"/>
      <c r="BE104" s="61"/>
      <c r="BF104" s="61"/>
      <c r="BG104" s="61"/>
      <c r="BH104" s="61"/>
      <c r="BI104" s="61"/>
      <c r="BJ104" s="61"/>
      <c r="BK104" s="61"/>
      <c r="BL104" s="61"/>
      <c r="BM104" s="61"/>
      <c r="BN104" s="61"/>
      <c r="BO104" s="61"/>
      <c r="BP104" s="61"/>
      <c r="BQ104" s="61"/>
      <c r="BR104" s="61"/>
      <c r="BS104" s="61"/>
      <c r="BT104" s="61"/>
      <c r="BU104" s="61"/>
      <c r="BV104" s="61"/>
      <c r="BW104" s="61"/>
      <c r="BX104" s="61"/>
    </row>
    <row r="105">
      <c r="A105" s="62" t="str">
        <f t="shared" si="1"/>
        <v>#REF!</v>
      </c>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c r="AA105" s="61"/>
      <c r="AB105" s="61"/>
      <c r="AC105" s="61"/>
      <c r="AD105" s="61"/>
      <c r="AE105" s="61"/>
      <c r="AF105" s="61"/>
      <c r="AG105" s="61"/>
      <c r="AH105" s="61"/>
      <c r="AI105" s="61"/>
      <c r="AJ105" s="61"/>
      <c r="AK105" s="61"/>
      <c r="AL105" s="61"/>
      <c r="AM105" s="61"/>
      <c r="AN105" s="61"/>
      <c r="AO105" s="61"/>
      <c r="AP105" s="61"/>
      <c r="AQ105" s="61"/>
      <c r="AR105" s="61"/>
      <c r="AS105" s="61"/>
      <c r="AT105" s="61"/>
      <c r="AU105" s="61"/>
      <c r="AV105" s="61"/>
      <c r="AW105" s="61"/>
      <c r="AX105" s="61"/>
      <c r="BD105" s="61"/>
      <c r="BE105" s="61"/>
      <c r="BF105" s="61"/>
      <c r="BG105" s="61"/>
      <c r="BH105" s="61"/>
      <c r="BI105" s="61"/>
      <c r="BJ105" s="61"/>
      <c r="BK105" s="61"/>
      <c r="BL105" s="61"/>
      <c r="BM105" s="61"/>
      <c r="BN105" s="61"/>
      <c r="BO105" s="61"/>
      <c r="BP105" s="61"/>
      <c r="BQ105" s="61"/>
      <c r="BR105" s="61"/>
      <c r="BS105" s="61"/>
      <c r="BT105" s="61"/>
      <c r="BU105" s="61"/>
      <c r="BV105" s="61"/>
      <c r="BW105" s="61"/>
      <c r="BX105" s="61"/>
    </row>
    <row r="106">
      <c r="A106" s="62" t="str">
        <f t="shared" si="1"/>
        <v>#REF!</v>
      </c>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c r="AA106" s="61"/>
      <c r="AB106" s="61"/>
      <c r="AC106" s="61"/>
      <c r="AD106" s="61"/>
      <c r="AE106" s="61"/>
      <c r="AF106" s="61"/>
      <c r="AG106" s="61"/>
      <c r="AH106" s="61"/>
      <c r="AI106" s="61"/>
      <c r="AJ106" s="61"/>
      <c r="AK106" s="61"/>
      <c r="AL106" s="61"/>
      <c r="AM106" s="61"/>
      <c r="AN106" s="61"/>
      <c r="AO106" s="61"/>
      <c r="AP106" s="61"/>
      <c r="AQ106" s="61"/>
      <c r="AR106" s="61"/>
      <c r="AS106" s="61"/>
      <c r="AT106" s="61"/>
      <c r="AU106" s="61"/>
      <c r="AV106" s="61"/>
      <c r="AW106" s="61"/>
      <c r="AX106" s="61"/>
      <c r="AY106" s="61"/>
      <c r="AZ106" s="61"/>
      <c r="BC106" s="61"/>
      <c r="BD106" s="61"/>
      <c r="BE106" s="61"/>
      <c r="BF106" s="61"/>
      <c r="BG106" s="61"/>
      <c r="BH106" s="61"/>
      <c r="BI106" s="61"/>
      <c r="BJ106" s="61"/>
      <c r="BK106" s="61"/>
      <c r="BL106" s="61"/>
      <c r="BM106" s="61"/>
      <c r="BN106" s="61"/>
      <c r="BO106" s="61"/>
      <c r="BP106" s="61"/>
      <c r="BQ106" s="61"/>
      <c r="BR106" s="61"/>
      <c r="BS106" s="61"/>
      <c r="BT106" s="61"/>
      <c r="BU106" s="61"/>
      <c r="BV106" s="61"/>
      <c r="BW106" s="61"/>
      <c r="BX106" s="61"/>
    </row>
    <row r="107">
      <c r="A107" s="62" t="str">
        <f t="shared" si="1"/>
        <v>#REF!</v>
      </c>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c r="AA107" s="61"/>
      <c r="AB107" s="61"/>
      <c r="AC107" s="61"/>
      <c r="AD107" s="61"/>
      <c r="AE107" s="61"/>
      <c r="AF107" s="61"/>
      <c r="AG107" s="61"/>
      <c r="AH107" s="61"/>
      <c r="AI107" s="61"/>
      <c r="AJ107" s="61"/>
      <c r="AK107" s="61"/>
      <c r="AL107" s="61"/>
      <c r="AM107" s="61"/>
      <c r="AN107" s="61"/>
      <c r="AO107" s="61"/>
      <c r="AP107" s="61"/>
      <c r="AQ107" s="61"/>
      <c r="AR107" s="61"/>
      <c r="AS107" s="61"/>
      <c r="AT107" s="61"/>
      <c r="AU107" s="61"/>
      <c r="AV107" s="61"/>
      <c r="AW107" s="61"/>
      <c r="AX107" s="61"/>
      <c r="AY107" s="61"/>
      <c r="AZ107" s="61"/>
      <c r="BA107" s="61"/>
      <c r="BB107" s="61"/>
      <c r="BC107" s="61"/>
      <c r="BD107" s="61"/>
      <c r="BE107" s="61"/>
      <c r="BF107" s="61"/>
      <c r="BG107" s="61"/>
      <c r="BH107" s="61"/>
      <c r="BI107" s="61"/>
      <c r="BJ107" s="61"/>
      <c r="BK107" s="61"/>
      <c r="BL107" s="61"/>
      <c r="BM107" s="61"/>
      <c r="BN107" s="61"/>
      <c r="BO107" s="61"/>
      <c r="BP107" s="61"/>
      <c r="BQ107" s="61"/>
      <c r="BR107" s="61"/>
      <c r="BS107" s="61"/>
      <c r="BT107" s="61"/>
      <c r="BU107" s="61"/>
      <c r="BV107" s="61"/>
      <c r="BW107" s="61"/>
      <c r="BX107" s="61"/>
    </row>
    <row r="108">
      <c r="A108" s="62" t="str">
        <f t="shared" si="1"/>
        <v>#REF!</v>
      </c>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c r="AA108" s="61"/>
      <c r="AB108" s="61"/>
      <c r="AC108" s="61"/>
      <c r="AD108" s="61"/>
      <c r="AE108" s="61"/>
      <c r="AF108" s="61"/>
      <c r="AG108" s="61"/>
      <c r="AH108" s="61"/>
      <c r="AI108" s="61"/>
      <c r="AJ108" s="61"/>
      <c r="AK108" s="61"/>
      <c r="AL108" s="61"/>
      <c r="AM108" s="61"/>
      <c r="AN108" s="61"/>
      <c r="AO108" s="61"/>
      <c r="AP108" s="61"/>
      <c r="AQ108" s="61"/>
      <c r="AR108" s="61"/>
      <c r="AS108" s="61"/>
      <c r="AT108" s="61"/>
      <c r="AU108" s="61"/>
      <c r="AV108" s="61"/>
      <c r="AW108" s="61"/>
      <c r="AX108" s="61"/>
      <c r="AY108" s="61"/>
      <c r="AZ108" s="61"/>
      <c r="BA108" s="61"/>
      <c r="BB108" s="61"/>
      <c r="BC108" s="61"/>
      <c r="BD108" s="61"/>
      <c r="BE108" s="61"/>
      <c r="BF108" s="61"/>
      <c r="BG108" s="61"/>
      <c r="BH108" s="61"/>
      <c r="BI108" s="61"/>
      <c r="BJ108" s="61"/>
      <c r="BK108" s="61"/>
      <c r="BL108" s="61"/>
      <c r="BM108" s="61"/>
      <c r="BN108" s="61"/>
      <c r="BO108" s="61"/>
      <c r="BP108" s="61"/>
      <c r="BQ108" s="61"/>
      <c r="BR108" s="61"/>
      <c r="BS108" s="61"/>
      <c r="BT108" s="61"/>
      <c r="BU108" s="61"/>
      <c r="BV108" s="61"/>
      <c r="BW108" s="61"/>
      <c r="BX108" s="61"/>
    </row>
    <row r="109">
      <c r="A109" s="62" t="str">
        <f t="shared" si="1"/>
        <v>#REF!</v>
      </c>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c r="AA109" s="61"/>
      <c r="AB109" s="61"/>
      <c r="AC109" s="61"/>
      <c r="AD109" s="61"/>
      <c r="AE109" s="61"/>
      <c r="AF109" s="61"/>
      <c r="AG109" s="61"/>
      <c r="AH109" s="61"/>
      <c r="AI109" s="61"/>
      <c r="AJ109" s="61"/>
      <c r="AK109" s="61"/>
      <c r="AL109" s="61"/>
      <c r="AM109" s="61"/>
      <c r="AN109" s="61"/>
      <c r="AO109" s="61"/>
      <c r="AP109" s="61"/>
      <c r="AQ109" s="61"/>
      <c r="AR109" s="61"/>
      <c r="AS109" s="61"/>
      <c r="AT109" s="61"/>
      <c r="AU109" s="61"/>
      <c r="AV109" s="61"/>
      <c r="AW109" s="61"/>
      <c r="AX109" s="61"/>
      <c r="AY109" s="61"/>
      <c r="AZ109" s="61"/>
      <c r="BA109" s="61"/>
      <c r="BB109" s="61"/>
      <c r="BC109" s="61"/>
      <c r="BD109" s="61"/>
      <c r="BE109" s="61"/>
      <c r="BF109" s="61"/>
      <c r="BG109" s="61"/>
      <c r="BH109" s="61"/>
      <c r="BI109" s="61"/>
      <c r="BJ109" s="61"/>
      <c r="BK109" s="61"/>
      <c r="BL109" s="61"/>
      <c r="BM109" s="61"/>
      <c r="BN109" s="61"/>
      <c r="BO109" s="61"/>
      <c r="BP109" s="61"/>
      <c r="BQ109" s="61"/>
      <c r="BR109" s="61"/>
      <c r="BS109" s="61"/>
      <c r="BT109" s="61"/>
      <c r="BU109" s="61"/>
      <c r="BV109" s="61"/>
      <c r="BW109" s="61"/>
      <c r="BX109" s="61"/>
    </row>
    <row r="110">
      <c r="A110" s="62" t="str">
        <f t="shared" si="1"/>
        <v>#REF!</v>
      </c>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c r="AA110" s="61"/>
      <c r="AB110" s="61"/>
      <c r="AC110" s="61"/>
      <c r="AD110" s="61"/>
      <c r="AE110" s="61"/>
      <c r="AF110" s="61"/>
      <c r="AG110" s="61"/>
      <c r="AH110" s="61"/>
      <c r="AI110" s="61"/>
      <c r="AJ110" s="61"/>
      <c r="AK110" s="61"/>
      <c r="AL110" s="61"/>
      <c r="AM110" s="61"/>
      <c r="AN110" s="61"/>
      <c r="AO110" s="61"/>
      <c r="AP110" s="61"/>
      <c r="AQ110" s="61"/>
      <c r="AR110" s="61"/>
      <c r="AS110" s="61"/>
      <c r="AT110" s="61"/>
      <c r="AU110" s="61"/>
      <c r="AV110" s="61"/>
      <c r="AW110" s="61"/>
      <c r="AX110" s="61"/>
      <c r="AY110" s="61"/>
      <c r="AZ110" s="61"/>
      <c r="BA110" s="61"/>
      <c r="BB110" s="61"/>
      <c r="BC110" s="61"/>
      <c r="BD110" s="61"/>
      <c r="BE110" s="61"/>
      <c r="BF110" s="61"/>
      <c r="BG110" s="61"/>
      <c r="BH110" s="61"/>
      <c r="BI110" s="61"/>
      <c r="BJ110" s="61"/>
      <c r="BK110" s="61"/>
      <c r="BL110" s="61"/>
      <c r="BM110" s="61"/>
      <c r="BN110" s="61"/>
      <c r="BO110" s="61"/>
      <c r="BP110" s="61"/>
      <c r="BQ110" s="61"/>
      <c r="BR110" s="61"/>
      <c r="BS110" s="61"/>
      <c r="BT110" s="61"/>
      <c r="BU110" s="61"/>
      <c r="BV110" s="61"/>
      <c r="BW110" s="61"/>
      <c r="BX110" s="61"/>
    </row>
    <row r="111">
      <c r="A111" s="62" t="str">
        <f t="shared" si="1"/>
        <v>#REF!</v>
      </c>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c r="AA111" s="61"/>
      <c r="AB111" s="61"/>
      <c r="AC111" s="61"/>
      <c r="AD111" s="61"/>
      <c r="AE111" s="61"/>
      <c r="AF111" s="61"/>
      <c r="AG111" s="61"/>
      <c r="AH111" s="61"/>
      <c r="AI111" s="61"/>
      <c r="AJ111" s="61"/>
      <c r="AK111" s="61"/>
      <c r="AL111" s="61"/>
      <c r="AM111" s="61"/>
      <c r="AN111" s="61"/>
      <c r="AO111" s="61"/>
      <c r="AP111" s="61"/>
      <c r="AQ111" s="61"/>
      <c r="AR111" s="61"/>
      <c r="AS111" s="61"/>
      <c r="AT111" s="61"/>
      <c r="AU111" s="61"/>
      <c r="AV111" s="61"/>
      <c r="AW111" s="61"/>
      <c r="AX111" s="61"/>
      <c r="AY111" s="61"/>
      <c r="AZ111" s="61"/>
      <c r="BA111" s="61"/>
      <c r="BB111" s="61"/>
      <c r="BC111" s="61"/>
      <c r="BD111" s="61"/>
      <c r="BE111" s="61"/>
      <c r="BF111" s="61"/>
      <c r="BG111" s="61"/>
      <c r="BH111" s="61"/>
      <c r="BI111" s="61"/>
      <c r="BJ111" s="61"/>
      <c r="BK111" s="61"/>
      <c r="BL111" s="61"/>
      <c r="BM111" s="61"/>
      <c r="BN111" s="61"/>
      <c r="BO111" s="61"/>
      <c r="BP111" s="61"/>
      <c r="BQ111" s="61"/>
      <c r="BR111" s="61"/>
      <c r="BS111" s="61"/>
      <c r="BT111" s="61"/>
      <c r="BU111" s="61"/>
      <c r="BV111" s="61"/>
      <c r="BW111" s="61"/>
      <c r="BX111" s="61"/>
    </row>
    <row r="112">
      <c r="A112" s="62" t="str">
        <f t="shared" si="1"/>
        <v>#REF!</v>
      </c>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c r="AA112" s="61"/>
      <c r="AB112" s="61"/>
      <c r="AC112" s="61"/>
      <c r="AD112" s="61"/>
      <c r="AE112" s="61"/>
      <c r="AF112" s="61"/>
      <c r="AG112" s="61"/>
      <c r="AH112" s="61"/>
      <c r="AI112" s="61"/>
      <c r="AJ112" s="61"/>
      <c r="AK112" s="61"/>
      <c r="AL112" s="61"/>
      <c r="AM112" s="61"/>
      <c r="AN112" s="61"/>
      <c r="AO112" s="61"/>
      <c r="AP112" s="61"/>
      <c r="AQ112" s="61"/>
      <c r="AR112" s="61"/>
      <c r="AS112" s="61"/>
      <c r="AT112" s="61"/>
      <c r="AU112" s="61"/>
      <c r="AV112" s="61"/>
      <c r="AW112" s="61"/>
      <c r="AX112" s="61"/>
      <c r="AY112" s="61"/>
      <c r="AZ112" s="61"/>
      <c r="BA112" s="61"/>
      <c r="BB112" s="61"/>
      <c r="BC112" s="61"/>
      <c r="BD112" s="61"/>
      <c r="BE112" s="61"/>
      <c r="BF112" s="61"/>
      <c r="BG112" s="61"/>
      <c r="BH112" s="61"/>
      <c r="BI112" s="61"/>
      <c r="BJ112" s="61"/>
      <c r="BK112" s="61"/>
      <c r="BL112" s="61"/>
      <c r="BM112" s="61"/>
      <c r="BN112" s="61"/>
      <c r="BO112" s="61"/>
      <c r="BP112" s="61"/>
      <c r="BQ112" s="61"/>
      <c r="BR112" s="61"/>
      <c r="BS112" s="61"/>
      <c r="BT112" s="61"/>
      <c r="BU112" s="61"/>
      <c r="BV112" s="61"/>
      <c r="BW112" s="61"/>
      <c r="BX112" s="61"/>
    </row>
    <row r="113">
      <c r="A113" s="62" t="str">
        <f t="shared" si="1"/>
        <v>#REF!</v>
      </c>
      <c r="B113" s="62"/>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c r="AA113" s="61"/>
      <c r="AB113" s="61"/>
      <c r="AC113" s="61"/>
      <c r="AD113" s="61"/>
      <c r="AE113" s="61"/>
      <c r="AF113" s="61"/>
      <c r="AG113" s="61"/>
      <c r="AH113" s="61"/>
      <c r="AI113" s="61"/>
      <c r="AJ113" s="61"/>
      <c r="AK113" s="61"/>
      <c r="AL113" s="61"/>
      <c r="AM113" s="61"/>
      <c r="AN113" s="61"/>
      <c r="AO113" s="61"/>
      <c r="AP113" s="61"/>
      <c r="AQ113" s="61"/>
      <c r="AR113" s="61"/>
      <c r="AS113" s="61"/>
      <c r="AT113" s="61"/>
      <c r="AU113" s="61"/>
      <c r="AV113" s="61"/>
      <c r="AW113" s="61"/>
      <c r="AX113" s="61"/>
      <c r="AY113" s="61"/>
      <c r="AZ113" s="61"/>
      <c r="BA113" s="61"/>
      <c r="BB113" s="61"/>
      <c r="BC113" s="61"/>
      <c r="BD113" s="61"/>
      <c r="BE113" s="61"/>
      <c r="BF113" s="61"/>
      <c r="BG113" s="61"/>
      <c r="BH113" s="61"/>
      <c r="BI113" s="61"/>
      <c r="BJ113" s="61"/>
      <c r="BK113" s="61"/>
      <c r="BL113" s="61"/>
      <c r="BM113" s="61"/>
      <c r="BN113" s="61"/>
      <c r="BO113" s="61"/>
      <c r="BP113" s="61"/>
      <c r="BQ113" s="61"/>
      <c r="BR113" s="61"/>
      <c r="BS113" s="61"/>
      <c r="BT113" s="61"/>
      <c r="BU113" s="61"/>
      <c r="BV113" s="61"/>
      <c r="BW113" s="61"/>
      <c r="BX113" s="61"/>
    </row>
    <row r="114">
      <c r="A114" s="62" t="str">
        <f t="shared" si="1"/>
        <v>#REF!</v>
      </c>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c r="AA114" s="61"/>
      <c r="AB114" s="61"/>
      <c r="AC114" s="61"/>
      <c r="AD114" s="61"/>
      <c r="AE114" s="61"/>
      <c r="AF114" s="61"/>
      <c r="AG114" s="61"/>
      <c r="AH114" s="61"/>
      <c r="AI114" s="61"/>
      <c r="AJ114" s="61"/>
      <c r="AK114" s="61"/>
      <c r="AL114" s="61"/>
      <c r="AM114" s="61"/>
      <c r="AN114" s="61"/>
      <c r="AO114" s="61"/>
      <c r="AP114" s="61"/>
      <c r="AQ114" s="61"/>
      <c r="AR114" s="61"/>
      <c r="AS114" s="61"/>
      <c r="AT114" s="61"/>
      <c r="AU114" s="61"/>
      <c r="AV114" s="61"/>
      <c r="AW114" s="61"/>
      <c r="AX114" s="61"/>
      <c r="AY114" s="61"/>
      <c r="AZ114" s="61"/>
      <c r="BA114" s="61"/>
      <c r="BB114" s="61"/>
      <c r="BC114" s="61"/>
      <c r="BD114" s="61"/>
      <c r="BE114" s="61"/>
      <c r="BF114" s="61"/>
      <c r="BG114" s="61"/>
      <c r="BH114" s="61"/>
      <c r="BI114" s="61"/>
      <c r="BJ114" s="61"/>
      <c r="BK114" s="61"/>
      <c r="BL114" s="61"/>
      <c r="BM114" s="61"/>
      <c r="BN114" s="61"/>
      <c r="BO114" s="61"/>
      <c r="BP114" s="61"/>
      <c r="BQ114" s="61"/>
      <c r="BR114" s="61"/>
      <c r="BS114" s="61"/>
      <c r="BT114" s="61"/>
      <c r="BU114" s="61"/>
      <c r="BV114" s="61"/>
      <c r="BW114" s="61"/>
      <c r="BX114" s="61"/>
    </row>
    <row r="115">
      <c r="A115" s="62" t="str">
        <f t="shared" si="1"/>
        <v>#REF!</v>
      </c>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c r="AA115" s="61"/>
      <c r="AB115" s="61"/>
      <c r="AC115" s="61"/>
      <c r="AD115" s="61"/>
      <c r="AE115" s="61"/>
      <c r="AF115" s="61"/>
      <c r="AG115" s="61"/>
      <c r="AH115" s="61"/>
      <c r="AI115" s="61"/>
      <c r="AJ115" s="61"/>
      <c r="AK115" s="61"/>
      <c r="AL115" s="61"/>
      <c r="AM115" s="61"/>
      <c r="AN115" s="61"/>
      <c r="AO115" s="61"/>
      <c r="AP115" s="61"/>
      <c r="AQ115" s="61"/>
      <c r="AR115" s="61"/>
      <c r="AS115" s="61"/>
      <c r="AT115" s="61"/>
      <c r="AU115" s="61"/>
      <c r="AV115" s="61"/>
      <c r="AW115" s="61"/>
      <c r="AX115" s="61"/>
      <c r="AY115" s="61"/>
      <c r="AZ115" s="61"/>
      <c r="BA115" s="61"/>
      <c r="BB115" s="61"/>
      <c r="BC115" s="61"/>
      <c r="BD115" s="61"/>
      <c r="BE115" s="61"/>
      <c r="BF115" s="61"/>
      <c r="BG115" s="61"/>
      <c r="BH115" s="61"/>
      <c r="BI115" s="61"/>
      <c r="BJ115" s="61"/>
      <c r="BK115" s="61"/>
      <c r="BL115" s="61"/>
      <c r="BM115" s="61"/>
      <c r="BN115" s="61"/>
      <c r="BO115" s="61"/>
      <c r="BP115" s="61"/>
      <c r="BQ115" s="61"/>
      <c r="BR115" s="61"/>
      <c r="BS115" s="61"/>
      <c r="BT115" s="61"/>
      <c r="BU115" s="61"/>
      <c r="BV115" s="61"/>
      <c r="BW115" s="61"/>
      <c r="BX115" s="61"/>
    </row>
    <row r="116">
      <c r="A116" s="62" t="str">
        <f t="shared" si="1"/>
        <v>#REF!</v>
      </c>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c r="AA116" s="61"/>
      <c r="AB116" s="61"/>
      <c r="AC116" s="61"/>
      <c r="AD116" s="61"/>
      <c r="AE116" s="61"/>
      <c r="AF116" s="61"/>
      <c r="AG116" s="61"/>
      <c r="AH116" s="61"/>
      <c r="AI116" s="61"/>
      <c r="AJ116" s="61"/>
      <c r="AK116" s="61"/>
      <c r="AL116" s="61"/>
      <c r="AM116" s="61"/>
      <c r="AN116" s="61"/>
      <c r="AO116" s="61"/>
      <c r="AP116" s="61"/>
      <c r="AQ116" s="61"/>
      <c r="AR116" s="61"/>
      <c r="AS116" s="61"/>
      <c r="AT116" s="61"/>
      <c r="AU116" s="61"/>
      <c r="AV116" s="61"/>
      <c r="AW116" s="61"/>
      <c r="AX116" s="61"/>
      <c r="AY116" s="61"/>
      <c r="AZ116" s="61"/>
      <c r="BA116" s="61"/>
      <c r="BB116" s="61"/>
      <c r="BC116" s="61"/>
      <c r="BD116" s="61"/>
      <c r="BE116" s="61"/>
      <c r="BF116" s="61"/>
      <c r="BG116" s="61"/>
      <c r="BH116" s="61"/>
      <c r="BI116" s="61"/>
      <c r="BJ116" s="61"/>
      <c r="BK116" s="61"/>
      <c r="BL116" s="61"/>
      <c r="BM116" s="61"/>
      <c r="BN116" s="61"/>
      <c r="BO116" s="61"/>
      <c r="BP116" s="61"/>
      <c r="BQ116" s="61"/>
      <c r="BR116" s="61"/>
      <c r="BS116" s="61"/>
      <c r="BT116" s="61"/>
      <c r="BU116" s="61"/>
      <c r="BV116" s="61"/>
      <c r="BW116" s="61"/>
      <c r="BX116" s="61"/>
    </row>
    <row r="117">
      <c r="A117" s="62" t="str">
        <f t="shared" si="1"/>
        <v>#REF!</v>
      </c>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c r="AA117" s="61"/>
      <c r="AB117" s="61"/>
      <c r="AC117" s="61"/>
      <c r="AD117" s="61"/>
      <c r="AE117" s="61"/>
      <c r="AF117" s="61"/>
      <c r="AG117" s="61"/>
      <c r="AH117" s="61"/>
      <c r="AI117" s="61"/>
      <c r="AJ117" s="61"/>
      <c r="AK117" s="61"/>
      <c r="AL117" s="61"/>
      <c r="AM117" s="61"/>
      <c r="AN117" s="61"/>
      <c r="AO117" s="61"/>
      <c r="AP117" s="61"/>
      <c r="AQ117" s="61"/>
      <c r="AR117" s="61"/>
      <c r="AS117" s="61"/>
      <c r="AT117" s="61"/>
      <c r="AU117" s="61"/>
      <c r="AV117" s="61"/>
      <c r="AW117" s="61"/>
      <c r="AX117" s="61"/>
      <c r="AY117" s="61"/>
      <c r="AZ117" s="61"/>
      <c r="BA117" s="61"/>
      <c r="BB117" s="61"/>
      <c r="BC117" s="61"/>
      <c r="BD117" s="61"/>
      <c r="BE117" s="61"/>
      <c r="BF117" s="61"/>
      <c r="BG117" s="61"/>
      <c r="BH117" s="61"/>
      <c r="BI117" s="61"/>
      <c r="BJ117" s="61"/>
      <c r="BK117" s="61"/>
      <c r="BL117" s="61"/>
      <c r="BM117" s="61"/>
      <c r="BN117" s="61"/>
      <c r="BO117" s="61"/>
      <c r="BP117" s="61"/>
      <c r="BQ117" s="61"/>
      <c r="BR117" s="61"/>
      <c r="BS117" s="61"/>
      <c r="BT117" s="61"/>
      <c r="BU117" s="61"/>
      <c r="BV117" s="61"/>
      <c r="BW117" s="61"/>
      <c r="BX117" s="61"/>
    </row>
    <row r="118">
      <c r="A118" s="62" t="str">
        <f t="shared" si="1"/>
        <v>#REF!</v>
      </c>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c r="AA118" s="61"/>
      <c r="AB118" s="61"/>
      <c r="AC118" s="61"/>
      <c r="AD118" s="61"/>
      <c r="AE118" s="61"/>
      <c r="AF118" s="61"/>
      <c r="AG118" s="61"/>
      <c r="AH118" s="61"/>
      <c r="AI118" s="61"/>
      <c r="AJ118" s="61"/>
      <c r="AK118" s="61"/>
      <c r="AL118" s="61"/>
      <c r="AM118" s="61"/>
      <c r="AN118" s="61"/>
      <c r="AO118" s="61"/>
      <c r="AP118" s="61"/>
      <c r="AQ118" s="61"/>
      <c r="AR118" s="61"/>
      <c r="AS118" s="61"/>
      <c r="AT118" s="61"/>
      <c r="AU118" s="61"/>
      <c r="AV118" s="61"/>
      <c r="AW118" s="61"/>
      <c r="AX118" s="61"/>
      <c r="AY118" s="61"/>
      <c r="AZ118" s="61"/>
      <c r="BA118" s="61"/>
      <c r="BB118" s="61"/>
      <c r="BC118" s="61"/>
      <c r="BD118" s="61"/>
      <c r="BE118" s="61"/>
      <c r="BF118" s="61"/>
      <c r="BG118" s="61"/>
      <c r="BH118" s="61"/>
      <c r="BI118" s="61"/>
      <c r="BJ118" s="61"/>
      <c r="BK118" s="61"/>
      <c r="BL118" s="61"/>
      <c r="BM118" s="61"/>
      <c r="BN118" s="61"/>
      <c r="BO118" s="61"/>
      <c r="BP118" s="61"/>
      <c r="BQ118" s="61"/>
      <c r="BR118" s="61"/>
      <c r="BS118" s="61"/>
      <c r="BT118" s="61"/>
      <c r="BU118" s="61"/>
      <c r="BV118" s="61"/>
      <c r="BW118" s="61"/>
      <c r="BX118" s="61"/>
    </row>
    <row r="119">
      <c r="A119" s="62" t="str">
        <f t="shared" si="1"/>
        <v>#REF!</v>
      </c>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c r="AA119" s="61"/>
      <c r="AB119" s="61"/>
      <c r="AC119" s="61"/>
      <c r="AD119" s="61"/>
      <c r="AE119" s="61"/>
      <c r="AF119" s="61"/>
      <c r="AG119" s="61"/>
      <c r="AH119" s="61"/>
      <c r="AI119" s="61"/>
      <c r="AJ119" s="61"/>
      <c r="AK119" s="61"/>
      <c r="AL119" s="61"/>
      <c r="AM119" s="61"/>
      <c r="AN119" s="61"/>
      <c r="AO119" s="61"/>
      <c r="AP119" s="61"/>
      <c r="AQ119" s="61"/>
      <c r="AR119" s="61"/>
      <c r="AS119" s="61"/>
      <c r="AT119" s="61"/>
      <c r="AU119" s="61"/>
      <c r="AV119" s="61"/>
      <c r="AW119" s="61"/>
      <c r="AX119" s="61"/>
      <c r="AY119" s="61"/>
      <c r="AZ119" s="61"/>
      <c r="BA119" s="61"/>
      <c r="BB119" s="61"/>
      <c r="BC119" s="61"/>
      <c r="BD119" s="61"/>
      <c r="BE119" s="61"/>
      <c r="BF119" s="61"/>
      <c r="BG119" s="61"/>
      <c r="BH119" s="61"/>
      <c r="BI119" s="61"/>
      <c r="BJ119" s="61"/>
      <c r="BK119" s="61"/>
      <c r="BL119" s="61"/>
      <c r="BM119" s="61"/>
      <c r="BN119" s="61"/>
      <c r="BO119" s="61"/>
      <c r="BP119" s="61"/>
      <c r="BQ119" s="61"/>
      <c r="BR119" s="61"/>
      <c r="BS119" s="61"/>
      <c r="BT119" s="61"/>
      <c r="BU119" s="61"/>
      <c r="BV119" s="61"/>
      <c r="BW119" s="61"/>
      <c r="BX119" s="61"/>
    </row>
    <row r="120">
      <c r="A120" s="62" t="str">
        <f t="shared" si="1"/>
        <v>#REF!</v>
      </c>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c r="AA120" s="61"/>
      <c r="AB120" s="61"/>
      <c r="AC120" s="61"/>
      <c r="AD120" s="61"/>
      <c r="AE120" s="61"/>
      <c r="AF120" s="61"/>
      <c r="AG120" s="61"/>
      <c r="AH120" s="61"/>
      <c r="AI120" s="61"/>
      <c r="AJ120" s="61"/>
      <c r="AK120" s="61"/>
      <c r="AL120" s="61"/>
      <c r="AM120" s="61"/>
      <c r="AN120" s="61"/>
      <c r="AO120" s="61"/>
      <c r="AP120" s="61"/>
      <c r="AQ120" s="61"/>
      <c r="AR120" s="61"/>
      <c r="AS120" s="61"/>
      <c r="AT120" s="61"/>
      <c r="AU120" s="61"/>
      <c r="AV120" s="61"/>
      <c r="AW120" s="61"/>
      <c r="AX120" s="61"/>
      <c r="AY120" s="61"/>
      <c r="AZ120" s="61"/>
      <c r="BA120" s="61"/>
      <c r="BB120" s="61"/>
      <c r="BC120" s="61"/>
      <c r="BD120" s="61"/>
      <c r="BE120" s="61"/>
      <c r="BF120" s="61"/>
      <c r="BG120" s="61"/>
      <c r="BH120" s="61"/>
      <c r="BI120" s="61"/>
      <c r="BJ120" s="61"/>
      <c r="BK120" s="61"/>
      <c r="BL120" s="61"/>
      <c r="BM120" s="61"/>
      <c r="BN120" s="61"/>
      <c r="BO120" s="61"/>
      <c r="BP120" s="61"/>
      <c r="BQ120" s="61"/>
      <c r="BR120" s="61"/>
      <c r="BS120" s="61"/>
      <c r="BT120" s="61"/>
      <c r="BU120" s="61"/>
      <c r="BV120" s="61"/>
      <c r="BW120" s="61"/>
      <c r="BX120" s="61"/>
    </row>
    <row r="121">
      <c r="A121" s="62" t="str">
        <f t="shared" si="1"/>
        <v>#REF!</v>
      </c>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c r="AA121" s="61"/>
      <c r="AB121" s="61"/>
      <c r="AC121" s="61"/>
      <c r="AD121" s="61"/>
      <c r="AE121" s="61"/>
      <c r="AF121" s="61"/>
      <c r="AG121" s="61"/>
      <c r="AH121" s="61"/>
      <c r="AI121" s="61"/>
      <c r="AJ121" s="61"/>
      <c r="AK121" s="61"/>
      <c r="AL121" s="61"/>
      <c r="AM121" s="61"/>
      <c r="AN121" s="61"/>
      <c r="AO121" s="61"/>
      <c r="AP121" s="61"/>
      <c r="AQ121" s="61"/>
      <c r="AR121" s="61"/>
      <c r="AS121" s="61"/>
      <c r="AT121" s="61"/>
      <c r="AU121" s="61"/>
      <c r="AV121" s="61"/>
      <c r="AW121" s="61"/>
      <c r="AX121" s="61"/>
      <c r="AY121" s="61"/>
      <c r="AZ121" s="61"/>
      <c r="BA121" s="61"/>
      <c r="BB121" s="61"/>
      <c r="BC121" s="61"/>
      <c r="BD121" s="61"/>
      <c r="BE121" s="61"/>
      <c r="BF121" s="61"/>
      <c r="BG121" s="61"/>
      <c r="BH121" s="61"/>
      <c r="BI121" s="61"/>
      <c r="BJ121" s="61"/>
      <c r="BK121" s="61"/>
      <c r="BL121" s="61"/>
      <c r="BM121" s="61"/>
      <c r="BN121" s="61"/>
      <c r="BO121" s="61"/>
      <c r="BP121" s="61"/>
      <c r="BQ121" s="61"/>
      <c r="BR121" s="61"/>
      <c r="BS121" s="61"/>
      <c r="BT121" s="61"/>
      <c r="BU121" s="61"/>
      <c r="BV121" s="61"/>
      <c r="BW121" s="61"/>
      <c r="BX121" s="61"/>
    </row>
    <row r="122">
      <c r="A122" s="62" t="str">
        <f t="shared" si="1"/>
        <v>#REF!</v>
      </c>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c r="AA122" s="61"/>
      <c r="AB122" s="61"/>
      <c r="AC122" s="61"/>
      <c r="AD122" s="61"/>
      <c r="AE122" s="61"/>
      <c r="AF122" s="61"/>
      <c r="AG122" s="61"/>
      <c r="AH122" s="61"/>
      <c r="AI122" s="61"/>
      <c r="AJ122" s="61"/>
      <c r="AK122" s="61"/>
      <c r="AL122" s="61"/>
      <c r="AM122" s="61"/>
      <c r="AN122" s="61"/>
      <c r="AO122" s="61"/>
      <c r="AP122" s="61"/>
      <c r="AQ122" s="61"/>
      <c r="AR122" s="61"/>
      <c r="AS122" s="61"/>
      <c r="AT122" s="61"/>
      <c r="AU122" s="61"/>
      <c r="AV122" s="61"/>
      <c r="AW122" s="61"/>
      <c r="AX122" s="61"/>
      <c r="AY122" s="61"/>
      <c r="AZ122" s="61"/>
      <c r="BA122" s="61"/>
      <c r="BB122" s="61"/>
      <c r="BC122" s="61"/>
      <c r="BD122" s="61"/>
      <c r="BE122" s="61"/>
      <c r="BF122" s="61"/>
      <c r="BG122" s="61"/>
      <c r="BH122" s="61"/>
      <c r="BI122" s="61"/>
      <c r="BJ122" s="61"/>
      <c r="BK122" s="61"/>
      <c r="BL122" s="61"/>
      <c r="BM122" s="61"/>
      <c r="BN122" s="61"/>
      <c r="BO122" s="61"/>
      <c r="BP122" s="61"/>
      <c r="BQ122" s="61"/>
      <c r="BR122" s="61"/>
      <c r="BS122" s="61"/>
      <c r="BT122" s="61"/>
      <c r="BU122" s="61"/>
      <c r="BV122" s="61"/>
      <c r="BW122" s="61"/>
      <c r="BX122" s="61"/>
    </row>
    <row r="123">
      <c r="A123" s="62" t="str">
        <f t="shared" si="1"/>
        <v>#REF!</v>
      </c>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c r="AA123" s="61"/>
      <c r="AB123" s="61"/>
      <c r="AC123" s="61"/>
      <c r="AD123" s="61"/>
      <c r="AE123" s="61"/>
      <c r="AF123" s="61"/>
      <c r="AG123" s="61"/>
      <c r="AH123" s="61"/>
      <c r="AI123" s="61"/>
      <c r="AJ123" s="61"/>
      <c r="AK123" s="61"/>
      <c r="AL123" s="61"/>
      <c r="AM123" s="61"/>
      <c r="AN123" s="61"/>
      <c r="AO123" s="61"/>
      <c r="AP123" s="61"/>
      <c r="AQ123" s="61"/>
      <c r="AR123" s="61"/>
      <c r="AS123" s="61"/>
      <c r="AT123" s="61"/>
      <c r="AU123" s="61"/>
      <c r="AV123" s="61"/>
      <c r="AW123" s="61"/>
      <c r="AX123" s="61"/>
      <c r="AY123" s="61"/>
      <c r="AZ123" s="61"/>
      <c r="BA123" s="61"/>
      <c r="BB123" s="61"/>
      <c r="BC123" s="61"/>
      <c r="BD123" s="61"/>
      <c r="BE123" s="61"/>
      <c r="BF123" s="61"/>
      <c r="BG123" s="61"/>
      <c r="BH123" s="61"/>
      <c r="BI123" s="61"/>
      <c r="BJ123" s="61"/>
      <c r="BK123" s="61"/>
      <c r="BL123" s="61"/>
      <c r="BM123" s="61"/>
      <c r="BN123" s="61"/>
      <c r="BO123" s="61"/>
      <c r="BP123" s="61"/>
      <c r="BQ123" s="61"/>
      <c r="BR123" s="61"/>
      <c r="BS123" s="61"/>
      <c r="BT123" s="61"/>
      <c r="BU123" s="61"/>
      <c r="BV123" s="61"/>
      <c r="BW123" s="61"/>
      <c r="BX123" s="61"/>
    </row>
    <row r="124">
      <c r="A124" s="62" t="str">
        <f t="shared" si="1"/>
        <v>#REF!</v>
      </c>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c r="AA124" s="61"/>
      <c r="AB124" s="61"/>
      <c r="AC124" s="61"/>
      <c r="AD124" s="61"/>
      <c r="AE124" s="61"/>
      <c r="AF124" s="61"/>
      <c r="AG124" s="61"/>
      <c r="AH124" s="61"/>
      <c r="AI124" s="61"/>
      <c r="AJ124" s="61"/>
      <c r="AK124" s="61"/>
      <c r="AL124" s="61"/>
      <c r="AM124" s="61"/>
      <c r="AN124" s="61"/>
      <c r="AO124" s="61"/>
      <c r="AP124" s="61"/>
      <c r="AQ124" s="61"/>
      <c r="AR124" s="61"/>
      <c r="AS124" s="61"/>
      <c r="AT124" s="61"/>
      <c r="AU124" s="61"/>
      <c r="AV124" s="61"/>
      <c r="AW124" s="61"/>
      <c r="AX124" s="61"/>
      <c r="AY124" s="61"/>
      <c r="AZ124" s="61"/>
      <c r="BA124" s="61"/>
      <c r="BB124" s="61"/>
      <c r="BC124" s="61"/>
      <c r="BD124" s="61"/>
      <c r="BE124" s="61"/>
      <c r="BF124" s="61"/>
      <c r="BG124" s="61"/>
      <c r="BH124" s="61"/>
      <c r="BI124" s="61"/>
      <c r="BJ124" s="61"/>
      <c r="BK124" s="61"/>
      <c r="BL124" s="61"/>
      <c r="BM124" s="61"/>
      <c r="BN124" s="61"/>
      <c r="BO124" s="61"/>
      <c r="BP124" s="61"/>
      <c r="BQ124" s="61"/>
      <c r="BR124" s="61"/>
      <c r="BS124" s="61"/>
      <c r="BT124" s="61"/>
      <c r="BU124" s="61"/>
      <c r="BV124" s="61"/>
      <c r="BW124" s="61"/>
      <c r="BX124" s="61"/>
    </row>
    <row r="125">
      <c r="A125" s="62" t="str">
        <f t="shared" si="1"/>
        <v>#REF!</v>
      </c>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c r="AA125" s="61"/>
      <c r="AB125" s="61"/>
      <c r="AC125" s="61"/>
      <c r="AD125" s="61"/>
      <c r="AE125" s="61"/>
      <c r="AF125" s="61"/>
      <c r="AG125" s="61"/>
      <c r="AH125" s="61"/>
      <c r="AI125" s="61"/>
      <c r="AJ125" s="61"/>
      <c r="AK125" s="61"/>
      <c r="AL125" s="61"/>
      <c r="AM125" s="61"/>
      <c r="AN125" s="61"/>
      <c r="AO125" s="61"/>
      <c r="AP125" s="61"/>
      <c r="AQ125" s="61"/>
      <c r="AR125" s="61"/>
      <c r="AS125" s="61"/>
      <c r="AT125" s="61"/>
      <c r="AU125" s="61"/>
      <c r="AV125" s="61"/>
      <c r="AW125" s="61"/>
      <c r="AX125" s="61"/>
      <c r="AY125" s="61"/>
      <c r="AZ125" s="61"/>
      <c r="BA125" s="61"/>
      <c r="BB125" s="61"/>
      <c r="BC125" s="61"/>
      <c r="BD125" s="61"/>
      <c r="BE125" s="61"/>
      <c r="BF125" s="61"/>
      <c r="BG125" s="61"/>
      <c r="BH125" s="61"/>
      <c r="BI125" s="61"/>
      <c r="BJ125" s="61"/>
      <c r="BK125" s="61"/>
      <c r="BL125" s="61"/>
      <c r="BM125" s="61"/>
      <c r="BN125" s="61"/>
      <c r="BO125" s="61"/>
      <c r="BP125" s="61"/>
      <c r="BQ125" s="61"/>
      <c r="BR125" s="61"/>
      <c r="BS125" s="61"/>
      <c r="BT125" s="61"/>
      <c r="BU125" s="61"/>
      <c r="BV125" s="61"/>
      <c r="BW125" s="61"/>
      <c r="BX125" s="61"/>
    </row>
    <row r="126">
      <c r="A126" s="62" t="str">
        <f t="shared" si="1"/>
        <v>#REF!</v>
      </c>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c r="AA126" s="61"/>
      <c r="AB126" s="61"/>
      <c r="AC126" s="61"/>
      <c r="AD126" s="61"/>
      <c r="AE126" s="61"/>
      <c r="AF126" s="61"/>
      <c r="AG126" s="61"/>
      <c r="AH126" s="61"/>
      <c r="AI126" s="61"/>
      <c r="AJ126" s="61"/>
      <c r="AK126" s="61"/>
      <c r="AL126" s="61"/>
      <c r="AM126" s="61"/>
      <c r="AN126" s="61"/>
      <c r="AO126" s="61"/>
      <c r="AP126" s="61"/>
      <c r="AQ126" s="61"/>
      <c r="AR126" s="61"/>
      <c r="AS126" s="61"/>
      <c r="AT126" s="61"/>
      <c r="AU126" s="61"/>
      <c r="AV126" s="61"/>
      <c r="AW126" s="61"/>
      <c r="AX126" s="61"/>
      <c r="AY126" s="61"/>
      <c r="AZ126" s="61"/>
      <c r="BA126" s="61"/>
      <c r="BB126" s="61"/>
      <c r="BC126" s="61"/>
      <c r="BD126" s="61"/>
      <c r="BE126" s="61"/>
      <c r="BF126" s="61"/>
      <c r="BG126" s="61"/>
      <c r="BH126" s="61"/>
      <c r="BI126" s="61"/>
      <c r="BJ126" s="61"/>
      <c r="BK126" s="61"/>
      <c r="BL126" s="61"/>
      <c r="BM126" s="61"/>
      <c r="BN126" s="61"/>
      <c r="BO126" s="61"/>
      <c r="BP126" s="61"/>
      <c r="BQ126" s="61"/>
      <c r="BR126" s="61"/>
      <c r="BS126" s="61"/>
      <c r="BT126" s="61"/>
      <c r="BU126" s="61"/>
      <c r="BV126" s="61"/>
      <c r="BW126" s="61"/>
      <c r="BX126" s="61"/>
    </row>
    <row r="127">
      <c r="A127" s="62" t="str">
        <f t="shared" si="1"/>
        <v>#REF!</v>
      </c>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c r="AA127" s="61"/>
      <c r="AB127" s="61"/>
      <c r="AC127" s="61"/>
      <c r="AD127" s="61"/>
      <c r="AE127" s="61"/>
      <c r="AF127" s="61"/>
      <c r="AG127" s="61"/>
      <c r="AH127" s="61"/>
      <c r="AI127" s="61"/>
      <c r="AJ127" s="61"/>
      <c r="AK127" s="61"/>
      <c r="AL127" s="61"/>
      <c r="AM127" s="61"/>
      <c r="AN127" s="61"/>
      <c r="AO127" s="61"/>
      <c r="AP127" s="61"/>
      <c r="AQ127" s="61"/>
      <c r="AR127" s="61"/>
      <c r="AS127" s="61"/>
      <c r="AT127" s="61"/>
      <c r="AU127" s="61"/>
      <c r="AV127" s="61"/>
      <c r="AW127" s="61"/>
      <c r="AX127" s="61"/>
      <c r="AY127" s="61"/>
      <c r="AZ127" s="61"/>
      <c r="BA127" s="61"/>
      <c r="BB127" s="61"/>
      <c r="BC127" s="61"/>
      <c r="BD127" s="61"/>
      <c r="BE127" s="61"/>
      <c r="BF127" s="61"/>
      <c r="BG127" s="61"/>
      <c r="BH127" s="61"/>
      <c r="BI127" s="61"/>
      <c r="BJ127" s="61"/>
      <c r="BK127" s="61"/>
      <c r="BL127" s="61"/>
      <c r="BM127" s="61"/>
      <c r="BN127" s="61"/>
      <c r="BO127" s="61"/>
      <c r="BP127" s="61"/>
      <c r="BQ127" s="61"/>
      <c r="BR127" s="61"/>
      <c r="BS127" s="61"/>
      <c r="BT127" s="61"/>
      <c r="BU127" s="61"/>
      <c r="BV127" s="61"/>
      <c r="BW127" s="61"/>
      <c r="BX127" s="61"/>
    </row>
    <row r="128">
      <c r="A128" s="62" t="str">
        <f t="shared" si="1"/>
        <v>#REF!</v>
      </c>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c r="AA128" s="61"/>
      <c r="AB128" s="61"/>
      <c r="AC128" s="61"/>
      <c r="AD128" s="61"/>
      <c r="AE128" s="61"/>
      <c r="AF128" s="61"/>
      <c r="AG128" s="61"/>
      <c r="AH128" s="61"/>
      <c r="AI128" s="61"/>
      <c r="AJ128" s="61"/>
      <c r="AK128" s="61"/>
      <c r="AL128" s="61"/>
      <c r="AM128" s="61"/>
      <c r="AN128" s="61"/>
      <c r="AO128" s="61"/>
      <c r="AP128" s="61"/>
      <c r="AQ128" s="61"/>
      <c r="AR128" s="61"/>
      <c r="AS128" s="61"/>
      <c r="AT128" s="61"/>
      <c r="AU128" s="61"/>
      <c r="AV128" s="61"/>
      <c r="AW128" s="61"/>
      <c r="AX128" s="61"/>
      <c r="AY128" s="61"/>
      <c r="AZ128" s="61"/>
      <c r="BA128" s="61"/>
      <c r="BB128" s="61"/>
      <c r="BC128" s="61"/>
      <c r="BD128" s="61"/>
      <c r="BE128" s="61"/>
      <c r="BF128" s="61"/>
      <c r="BG128" s="61"/>
      <c r="BH128" s="61"/>
      <c r="BI128" s="61"/>
      <c r="BJ128" s="61"/>
      <c r="BK128" s="61"/>
      <c r="BL128" s="61"/>
      <c r="BM128" s="61"/>
      <c r="BN128" s="61"/>
      <c r="BO128" s="61"/>
      <c r="BP128" s="61"/>
      <c r="BQ128" s="61"/>
      <c r="BR128" s="61"/>
      <c r="BS128" s="61"/>
      <c r="BT128" s="61"/>
      <c r="BU128" s="61"/>
      <c r="BV128" s="61"/>
      <c r="BW128" s="61"/>
      <c r="BX128" s="61"/>
    </row>
    <row r="129">
      <c r="A129" s="62" t="str">
        <f t="shared" si="1"/>
        <v>#REF!</v>
      </c>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c r="AA129" s="61"/>
      <c r="AB129" s="61"/>
      <c r="AC129" s="61"/>
      <c r="AD129" s="61"/>
      <c r="AE129" s="61"/>
      <c r="AF129" s="61"/>
      <c r="AG129" s="61"/>
      <c r="AH129" s="61"/>
      <c r="AI129" s="61"/>
      <c r="AJ129" s="61"/>
      <c r="AK129" s="61"/>
      <c r="AL129" s="61"/>
      <c r="AM129" s="61"/>
      <c r="AN129" s="61"/>
      <c r="AO129" s="61"/>
      <c r="AP129" s="61"/>
      <c r="AQ129" s="61"/>
      <c r="AR129" s="61"/>
      <c r="AS129" s="61"/>
      <c r="AT129" s="61"/>
      <c r="AU129" s="61"/>
      <c r="AV129" s="61"/>
      <c r="AW129" s="61"/>
      <c r="AX129" s="61"/>
      <c r="AY129" s="61"/>
      <c r="AZ129" s="61"/>
      <c r="BA129" s="61"/>
      <c r="BB129" s="61"/>
      <c r="BC129" s="61"/>
      <c r="BD129" s="61"/>
      <c r="BE129" s="61"/>
      <c r="BF129" s="61"/>
      <c r="BG129" s="61"/>
      <c r="BH129" s="61"/>
      <c r="BI129" s="61"/>
      <c r="BJ129" s="61"/>
      <c r="BK129" s="61"/>
      <c r="BL129" s="61"/>
      <c r="BM129" s="61"/>
      <c r="BN129" s="61"/>
      <c r="BO129" s="61"/>
      <c r="BP129" s="61"/>
      <c r="BQ129" s="61"/>
      <c r="BR129" s="61"/>
      <c r="BS129" s="61"/>
      <c r="BT129" s="61"/>
      <c r="BU129" s="61"/>
      <c r="BV129" s="61"/>
      <c r="BW129" s="61"/>
      <c r="BX129" s="61"/>
    </row>
    <row r="130">
      <c r="A130" s="62" t="str">
        <f t="shared" si="1"/>
        <v>#REF!</v>
      </c>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c r="AA130" s="61"/>
      <c r="AB130" s="61"/>
      <c r="AC130" s="61"/>
      <c r="AD130" s="61"/>
      <c r="AE130" s="61"/>
      <c r="AF130" s="61"/>
      <c r="AG130" s="61"/>
      <c r="AH130" s="61"/>
      <c r="AI130" s="61"/>
      <c r="AJ130" s="61"/>
      <c r="AK130" s="61"/>
      <c r="AL130" s="61"/>
      <c r="AM130" s="61"/>
      <c r="AN130" s="61"/>
      <c r="AO130" s="61"/>
      <c r="AP130" s="61"/>
      <c r="AQ130" s="61"/>
      <c r="AR130" s="61"/>
      <c r="AS130" s="61"/>
      <c r="AT130" s="61"/>
      <c r="AU130" s="61"/>
      <c r="AV130" s="61"/>
      <c r="AW130" s="61"/>
      <c r="AX130" s="61"/>
      <c r="AY130" s="61"/>
      <c r="AZ130" s="61"/>
      <c r="BA130" s="61"/>
      <c r="BB130" s="61"/>
      <c r="BC130" s="61"/>
      <c r="BD130" s="61"/>
      <c r="BE130" s="61"/>
      <c r="BF130" s="61"/>
      <c r="BG130" s="61"/>
      <c r="BH130" s="61"/>
      <c r="BI130" s="61"/>
      <c r="BJ130" s="61"/>
      <c r="BK130" s="61"/>
      <c r="BL130" s="61"/>
      <c r="BM130" s="61"/>
      <c r="BN130" s="61"/>
      <c r="BO130" s="61"/>
      <c r="BP130" s="61"/>
      <c r="BQ130" s="61"/>
      <c r="BR130" s="61"/>
      <c r="BS130" s="61"/>
      <c r="BT130" s="61"/>
      <c r="BU130" s="61"/>
      <c r="BV130" s="61"/>
      <c r="BW130" s="61"/>
      <c r="BX130" s="61"/>
    </row>
    <row r="131">
      <c r="A131" s="62" t="str">
        <f t="shared" si="1"/>
        <v>#REF!</v>
      </c>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c r="AA131" s="61"/>
      <c r="AB131" s="61"/>
      <c r="AC131" s="61"/>
      <c r="AD131" s="61"/>
      <c r="AE131" s="61"/>
      <c r="AF131" s="61"/>
      <c r="AG131" s="61"/>
      <c r="AH131" s="61"/>
      <c r="AI131" s="61"/>
      <c r="AJ131" s="61"/>
      <c r="AK131" s="61"/>
      <c r="AL131" s="61"/>
      <c r="AM131" s="61"/>
      <c r="AN131" s="61"/>
      <c r="AO131" s="61"/>
      <c r="AP131" s="61"/>
      <c r="AQ131" s="61"/>
      <c r="AR131" s="61"/>
      <c r="AS131" s="61"/>
      <c r="AT131" s="61"/>
      <c r="AU131" s="61"/>
      <c r="AV131" s="61"/>
      <c r="AW131" s="61"/>
      <c r="AX131" s="61"/>
      <c r="AY131" s="61"/>
      <c r="AZ131" s="61"/>
      <c r="BA131" s="61"/>
      <c r="BB131" s="61"/>
      <c r="BC131" s="61"/>
      <c r="BD131" s="61"/>
      <c r="BE131" s="61"/>
      <c r="BF131" s="61"/>
      <c r="BG131" s="61"/>
      <c r="BH131" s="61"/>
      <c r="BI131" s="61"/>
      <c r="BJ131" s="61"/>
      <c r="BK131" s="61"/>
      <c r="BL131" s="61"/>
      <c r="BM131" s="61"/>
      <c r="BN131" s="61"/>
      <c r="BO131" s="61"/>
      <c r="BP131" s="61"/>
      <c r="BQ131" s="61"/>
      <c r="BR131" s="61"/>
      <c r="BS131" s="61"/>
      <c r="BT131" s="61"/>
      <c r="BU131" s="61"/>
      <c r="BV131" s="61"/>
      <c r="BW131" s="61"/>
      <c r="BX131" s="61"/>
    </row>
    <row r="132">
      <c r="A132" s="62" t="str">
        <f t="shared" si="1"/>
        <v>#REF!</v>
      </c>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c r="AA132" s="61"/>
      <c r="AB132" s="61"/>
      <c r="AC132" s="61"/>
      <c r="AD132" s="61"/>
      <c r="AE132" s="61"/>
      <c r="AF132" s="61"/>
      <c r="AG132" s="61"/>
      <c r="AH132" s="61"/>
      <c r="AI132" s="61"/>
      <c r="AJ132" s="61"/>
      <c r="AK132" s="61"/>
      <c r="AL132" s="61"/>
      <c r="AM132" s="61"/>
      <c r="AN132" s="61"/>
      <c r="AO132" s="61"/>
      <c r="AP132" s="61"/>
      <c r="AQ132" s="61"/>
      <c r="AR132" s="61"/>
      <c r="AS132" s="61"/>
      <c r="AT132" s="61"/>
      <c r="AU132" s="61"/>
      <c r="AV132" s="61"/>
      <c r="AW132" s="61"/>
      <c r="AX132" s="61"/>
      <c r="AY132" s="61"/>
      <c r="AZ132" s="61"/>
      <c r="BA132" s="61"/>
      <c r="BB132" s="61"/>
      <c r="BC132" s="61"/>
      <c r="BD132" s="61"/>
      <c r="BE132" s="61"/>
      <c r="BF132" s="61"/>
      <c r="BG132" s="61"/>
      <c r="BH132" s="61"/>
      <c r="BI132" s="61"/>
      <c r="BJ132" s="61"/>
      <c r="BK132" s="61"/>
      <c r="BL132" s="61"/>
      <c r="BM132" s="61"/>
      <c r="BN132" s="61"/>
      <c r="BO132" s="61"/>
      <c r="BP132" s="61"/>
      <c r="BQ132" s="61"/>
      <c r="BR132" s="61"/>
      <c r="BS132" s="61"/>
      <c r="BT132" s="61"/>
      <c r="BU132" s="61"/>
      <c r="BV132" s="61"/>
      <c r="BW132" s="61"/>
      <c r="BX132" s="61"/>
    </row>
    <row r="133">
      <c r="A133" s="62" t="str">
        <f t="shared" si="1"/>
        <v>#REF!</v>
      </c>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c r="AA133" s="61"/>
      <c r="AB133" s="61"/>
      <c r="AC133" s="61"/>
      <c r="AD133" s="61"/>
      <c r="AE133" s="61"/>
      <c r="AF133" s="61"/>
      <c r="AG133" s="61"/>
      <c r="AH133" s="61"/>
      <c r="AI133" s="61"/>
      <c r="AJ133" s="61"/>
      <c r="AK133" s="61"/>
      <c r="AL133" s="61"/>
      <c r="AM133" s="61"/>
      <c r="AN133" s="61"/>
      <c r="AO133" s="61"/>
      <c r="AP133" s="61"/>
      <c r="AQ133" s="61"/>
      <c r="AR133" s="61"/>
      <c r="AS133" s="61"/>
      <c r="AT133" s="61"/>
      <c r="AU133" s="61"/>
      <c r="AV133" s="61"/>
      <c r="AW133" s="61"/>
      <c r="AX133" s="61"/>
      <c r="AY133" s="61"/>
      <c r="AZ133" s="61"/>
      <c r="BA133" s="61"/>
      <c r="BB133" s="61"/>
      <c r="BC133" s="61"/>
      <c r="BD133" s="61"/>
      <c r="BE133" s="61"/>
      <c r="BF133" s="61"/>
      <c r="BG133" s="61"/>
      <c r="BH133" s="61"/>
      <c r="BI133" s="61"/>
      <c r="BJ133" s="61"/>
      <c r="BK133" s="61"/>
      <c r="BL133" s="61"/>
      <c r="BM133" s="61"/>
      <c r="BN133" s="61"/>
      <c r="BO133" s="61"/>
      <c r="BP133" s="61"/>
      <c r="BQ133" s="61"/>
      <c r="BR133" s="61"/>
      <c r="BS133" s="61"/>
      <c r="BT133" s="61"/>
      <c r="BU133" s="61"/>
      <c r="BV133" s="61"/>
      <c r="BW133" s="61"/>
      <c r="BX133" s="61"/>
    </row>
    <row r="134">
      <c r="A134" s="62" t="str">
        <f t="shared" si="1"/>
        <v>#REF!</v>
      </c>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c r="AA134" s="61"/>
      <c r="AB134" s="61"/>
      <c r="AC134" s="61"/>
      <c r="AD134" s="61"/>
      <c r="AE134" s="61"/>
      <c r="AF134" s="61"/>
      <c r="AG134" s="61"/>
      <c r="AH134" s="61"/>
      <c r="AI134" s="61"/>
      <c r="AJ134" s="61"/>
      <c r="AK134" s="61"/>
      <c r="AL134" s="61"/>
      <c r="AM134" s="61"/>
      <c r="AN134" s="61"/>
      <c r="AO134" s="61"/>
      <c r="AP134" s="61"/>
      <c r="AQ134" s="61"/>
      <c r="AR134" s="61"/>
      <c r="AS134" s="61"/>
      <c r="AT134" s="61"/>
      <c r="AU134" s="61"/>
      <c r="AV134" s="61"/>
      <c r="AW134" s="61"/>
      <c r="AX134" s="61"/>
      <c r="AY134" s="61"/>
      <c r="AZ134" s="61"/>
      <c r="BA134" s="61"/>
      <c r="BB134" s="61"/>
      <c r="BC134" s="61"/>
      <c r="BD134" s="61"/>
      <c r="BE134" s="61"/>
      <c r="BF134" s="61"/>
      <c r="BG134" s="61"/>
      <c r="BH134" s="61"/>
      <c r="BI134" s="61"/>
      <c r="BJ134" s="61"/>
      <c r="BK134" s="61"/>
      <c r="BL134" s="61"/>
      <c r="BM134" s="61"/>
      <c r="BN134" s="61"/>
      <c r="BO134" s="61"/>
      <c r="BP134" s="61"/>
      <c r="BQ134" s="61"/>
      <c r="BR134" s="61"/>
      <c r="BS134" s="61"/>
      <c r="BT134" s="61"/>
      <c r="BU134" s="61"/>
      <c r="BV134" s="61"/>
      <c r="BW134" s="61"/>
      <c r="BX134" s="61"/>
    </row>
    <row r="135">
      <c r="A135" s="62" t="str">
        <f t="shared" si="1"/>
        <v>#REF!</v>
      </c>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c r="AA135" s="61"/>
      <c r="AB135" s="61"/>
      <c r="AC135" s="61"/>
      <c r="AD135" s="61"/>
      <c r="AE135" s="61"/>
      <c r="AF135" s="61"/>
      <c r="AG135" s="61"/>
      <c r="AH135" s="61"/>
      <c r="AI135" s="61"/>
      <c r="AJ135" s="61"/>
      <c r="AK135" s="61"/>
      <c r="AL135" s="61"/>
      <c r="AM135" s="61"/>
      <c r="AN135" s="61"/>
      <c r="AO135" s="61"/>
      <c r="AP135" s="61"/>
      <c r="AQ135" s="61"/>
      <c r="AR135" s="61"/>
      <c r="AS135" s="61"/>
      <c r="AT135" s="61"/>
      <c r="AU135" s="61"/>
      <c r="AV135" s="61"/>
      <c r="AW135" s="61"/>
      <c r="AX135" s="61"/>
      <c r="AY135" s="61"/>
      <c r="AZ135" s="61"/>
      <c r="BA135" s="61"/>
      <c r="BB135" s="61"/>
      <c r="BC135" s="61"/>
      <c r="BD135" s="61"/>
      <c r="BE135" s="61"/>
      <c r="BF135" s="61"/>
      <c r="BG135" s="61"/>
      <c r="BH135" s="61"/>
      <c r="BI135" s="61"/>
      <c r="BJ135" s="61"/>
      <c r="BK135" s="61"/>
      <c r="BL135" s="61"/>
      <c r="BM135" s="61"/>
      <c r="BN135" s="61"/>
      <c r="BO135" s="61"/>
      <c r="BP135" s="61"/>
      <c r="BQ135" s="61"/>
      <c r="BR135" s="61"/>
      <c r="BS135" s="61"/>
      <c r="BT135" s="61"/>
      <c r="BU135" s="61"/>
      <c r="BV135" s="61"/>
      <c r="BW135" s="61"/>
      <c r="BX135" s="61"/>
    </row>
    <row r="136">
      <c r="A136" s="62" t="str">
        <f t="shared" si="1"/>
        <v>#REF!</v>
      </c>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c r="AA136" s="61"/>
      <c r="AB136" s="61"/>
      <c r="AC136" s="61"/>
      <c r="AD136" s="61"/>
      <c r="AE136" s="61"/>
      <c r="AF136" s="61"/>
      <c r="AG136" s="61"/>
      <c r="AH136" s="61"/>
      <c r="AI136" s="61"/>
      <c r="AJ136" s="61"/>
      <c r="AK136" s="61"/>
      <c r="AL136" s="61"/>
      <c r="AM136" s="61"/>
      <c r="AN136" s="61"/>
      <c r="AO136" s="61"/>
      <c r="AP136" s="61"/>
      <c r="AQ136" s="61"/>
      <c r="AR136" s="61"/>
      <c r="AS136" s="61"/>
      <c r="AT136" s="61"/>
      <c r="AU136" s="61"/>
      <c r="AV136" s="61"/>
      <c r="AW136" s="61"/>
      <c r="AX136" s="61"/>
      <c r="AY136" s="61"/>
      <c r="AZ136" s="61"/>
      <c r="BA136" s="61"/>
      <c r="BB136" s="61"/>
      <c r="BC136" s="61"/>
      <c r="BD136" s="61"/>
      <c r="BE136" s="61"/>
      <c r="BF136" s="61"/>
      <c r="BG136" s="61"/>
      <c r="BH136" s="61"/>
      <c r="BI136" s="61"/>
      <c r="BJ136" s="61"/>
      <c r="BK136" s="61"/>
      <c r="BL136" s="61"/>
      <c r="BM136" s="61"/>
      <c r="BN136" s="61"/>
      <c r="BO136" s="61"/>
      <c r="BP136" s="61"/>
      <c r="BQ136" s="61"/>
      <c r="BR136" s="61"/>
      <c r="BS136" s="61"/>
      <c r="BT136" s="61"/>
      <c r="BU136" s="61"/>
      <c r="BV136" s="61"/>
      <c r="BW136" s="61"/>
      <c r="BX136" s="61"/>
    </row>
    <row r="137">
      <c r="A137" s="62" t="str">
        <f t="shared" si="1"/>
        <v>#REF!</v>
      </c>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c r="AA137" s="61"/>
      <c r="AB137" s="61"/>
      <c r="AC137" s="61"/>
      <c r="AD137" s="61"/>
      <c r="AE137" s="61"/>
      <c r="AF137" s="61"/>
      <c r="AG137" s="61"/>
      <c r="AH137" s="61"/>
      <c r="AI137" s="61"/>
      <c r="AJ137" s="61"/>
      <c r="AK137" s="61"/>
      <c r="AL137" s="61"/>
      <c r="AM137" s="61"/>
      <c r="AN137" s="61"/>
      <c r="AO137" s="61"/>
      <c r="AP137" s="61"/>
      <c r="AQ137" s="61"/>
      <c r="AR137" s="61"/>
      <c r="AS137" s="61"/>
      <c r="AT137" s="61"/>
      <c r="AU137" s="61"/>
      <c r="AV137" s="61"/>
      <c r="AW137" s="61"/>
      <c r="AX137" s="61"/>
      <c r="AY137" s="61"/>
      <c r="AZ137" s="61"/>
      <c r="BA137" s="61"/>
      <c r="BB137" s="61"/>
      <c r="BC137" s="61"/>
      <c r="BD137" s="61"/>
      <c r="BE137" s="61"/>
      <c r="BF137" s="61"/>
      <c r="BG137" s="61"/>
      <c r="BH137" s="61"/>
      <c r="BI137" s="61"/>
      <c r="BJ137" s="61"/>
      <c r="BK137" s="61"/>
      <c r="BL137" s="61"/>
      <c r="BM137" s="61"/>
      <c r="BN137" s="61"/>
      <c r="BO137" s="61"/>
      <c r="BP137" s="61"/>
      <c r="BQ137" s="61"/>
      <c r="BR137" s="61"/>
      <c r="BS137" s="61"/>
      <c r="BT137" s="61"/>
      <c r="BU137" s="61"/>
      <c r="BV137" s="61"/>
      <c r="BW137" s="61"/>
      <c r="BX137" s="61"/>
    </row>
    <row r="138">
      <c r="A138" s="62" t="str">
        <f t="shared" si="1"/>
        <v>#REF!</v>
      </c>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c r="AA138" s="61"/>
      <c r="AB138" s="61"/>
      <c r="AC138" s="61"/>
      <c r="AD138" s="61"/>
      <c r="AE138" s="61"/>
      <c r="AF138" s="61"/>
      <c r="AG138" s="61"/>
      <c r="AH138" s="61"/>
      <c r="AI138" s="61"/>
      <c r="AJ138" s="61"/>
      <c r="AK138" s="61"/>
      <c r="AL138" s="61"/>
      <c r="AM138" s="61"/>
      <c r="AN138" s="61"/>
      <c r="AO138" s="61"/>
      <c r="AP138" s="61"/>
      <c r="AQ138" s="61"/>
      <c r="AR138" s="61"/>
      <c r="AS138" s="61"/>
      <c r="AT138" s="61"/>
      <c r="AU138" s="61"/>
      <c r="AV138" s="61"/>
      <c r="AW138" s="61"/>
      <c r="AX138" s="61"/>
      <c r="AY138" s="61"/>
      <c r="AZ138" s="61"/>
      <c r="BA138" s="61"/>
      <c r="BB138" s="61"/>
      <c r="BC138" s="61"/>
      <c r="BD138" s="61"/>
      <c r="BE138" s="61"/>
      <c r="BF138" s="61"/>
      <c r="BG138" s="61"/>
      <c r="BH138" s="61"/>
      <c r="BI138" s="61"/>
      <c r="BJ138" s="61"/>
      <c r="BK138" s="61"/>
      <c r="BL138" s="61"/>
      <c r="BM138" s="61"/>
      <c r="BN138" s="61"/>
      <c r="BO138" s="61"/>
      <c r="BP138" s="61"/>
      <c r="BQ138" s="61"/>
      <c r="BR138" s="61"/>
      <c r="BS138" s="61"/>
      <c r="BT138" s="61"/>
      <c r="BU138" s="61"/>
      <c r="BV138" s="61"/>
      <c r="BW138" s="61"/>
      <c r="BX138" s="61"/>
    </row>
    <row r="139">
      <c r="A139" s="62" t="str">
        <f t="shared" si="1"/>
        <v>#REF!</v>
      </c>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c r="AA139" s="61"/>
      <c r="AB139" s="61"/>
      <c r="AC139" s="61"/>
      <c r="AD139" s="61"/>
      <c r="AE139" s="61"/>
      <c r="AF139" s="61"/>
      <c r="AG139" s="61"/>
      <c r="AH139" s="61"/>
      <c r="AI139" s="61"/>
      <c r="AJ139" s="61"/>
      <c r="AK139" s="61"/>
      <c r="AL139" s="61"/>
      <c r="AM139" s="61"/>
      <c r="AN139" s="61"/>
      <c r="AO139" s="61"/>
      <c r="AP139" s="61"/>
      <c r="AQ139" s="61"/>
      <c r="AR139" s="61"/>
      <c r="AS139" s="61"/>
      <c r="AT139" s="61"/>
      <c r="AU139" s="61"/>
      <c r="AV139" s="61"/>
      <c r="AW139" s="61"/>
      <c r="AX139" s="61"/>
      <c r="AY139" s="61"/>
      <c r="AZ139" s="61"/>
      <c r="BA139" s="61"/>
      <c r="BB139" s="61"/>
      <c r="BC139" s="61"/>
      <c r="BD139" s="61"/>
      <c r="BE139" s="61"/>
      <c r="BF139" s="61"/>
      <c r="BG139" s="61"/>
      <c r="BH139" s="61"/>
      <c r="BI139" s="61"/>
      <c r="BJ139" s="61"/>
      <c r="BK139" s="61"/>
      <c r="BL139" s="61"/>
      <c r="BM139" s="61"/>
      <c r="BN139" s="61"/>
      <c r="BO139" s="61"/>
      <c r="BP139" s="61"/>
      <c r="BQ139" s="61"/>
      <c r="BR139" s="61"/>
      <c r="BS139" s="61"/>
      <c r="BT139" s="61"/>
      <c r="BU139" s="61"/>
      <c r="BV139" s="61"/>
      <c r="BW139" s="61"/>
      <c r="BX139" s="61"/>
    </row>
    <row r="140">
      <c r="A140" s="62" t="str">
        <f t="shared" si="1"/>
        <v>#REF!</v>
      </c>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c r="AA140" s="61"/>
      <c r="AB140" s="61"/>
      <c r="AC140" s="61"/>
      <c r="AD140" s="61"/>
      <c r="AE140" s="61"/>
      <c r="AF140" s="61"/>
      <c r="AG140" s="61"/>
      <c r="AH140" s="61"/>
      <c r="AI140" s="61"/>
      <c r="AJ140" s="61"/>
      <c r="AK140" s="61"/>
      <c r="AL140" s="61"/>
      <c r="AM140" s="61"/>
      <c r="AN140" s="61"/>
      <c r="AO140" s="61"/>
      <c r="AP140" s="61"/>
      <c r="AQ140" s="61"/>
      <c r="AR140" s="61"/>
      <c r="AS140" s="61"/>
      <c r="AT140" s="61"/>
      <c r="AU140" s="61"/>
      <c r="AV140" s="61"/>
      <c r="AW140" s="61"/>
      <c r="AX140" s="61"/>
      <c r="AY140" s="61"/>
      <c r="AZ140" s="61"/>
      <c r="BA140" s="61"/>
      <c r="BB140" s="61"/>
      <c r="BC140" s="61"/>
      <c r="BD140" s="61"/>
      <c r="BE140" s="61"/>
      <c r="BF140" s="61"/>
      <c r="BG140" s="61"/>
      <c r="BH140" s="61"/>
      <c r="BI140" s="61"/>
      <c r="BJ140" s="61"/>
      <c r="BK140" s="61"/>
      <c r="BL140" s="61"/>
      <c r="BM140" s="61"/>
      <c r="BN140" s="61"/>
      <c r="BO140" s="61"/>
      <c r="BP140" s="61"/>
      <c r="BQ140" s="61"/>
      <c r="BR140" s="61"/>
      <c r="BS140" s="61"/>
      <c r="BT140" s="61"/>
      <c r="BU140" s="61"/>
      <c r="BV140" s="61"/>
      <c r="BW140" s="61"/>
      <c r="BX140" s="61"/>
    </row>
    <row r="141">
      <c r="A141" s="62" t="str">
        <f t="shared" si="1"/>
        <v>#REF!</v>
      </c>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c r="AA141" s="61"/>
      <c r="AB141" s="61"/>
      <c r="AC141" s="61"/>
      <c r="AD141" s="61"/>
      <c r="AE141" s="61"/>
      <c r="AF141" s="61"/>
      <c r="AG141" s="61"/>
      <c r="AH141" s="61"/>
      <c r="AI141" s="61"/>
      <c r="AJ141" s="61"/>
      <c r="AK141" s="61"/>
      <c r="AL141" s="61"/>
      <c r="AM141" s="61"/>
      <c r="AN141" s="61"/>
      <c r="AO141" s="61"/>
      <c r="AP141" s="61"/>
      <c r="AQ141" s="61"/>
      <c r="AR141" s="61"/>
      <c r="AS141" s="61"/>
      <c r="AT141" s="61"/>
      <c r="AU141" s="61"/>
      <c r="AV141" s="61"/>
      <c r="AW141" s="61"/>
      <c r="AX141" s="61"/>
      <c r="AY141" s="61"/>
      <c r="AZ141" s="61"/>
      <c r="BA141" s="61"/>
      <c r="BB141" s="61"/>
      <c r="BC141" s="61"/>
      <c r="BD141" s="61"/>
      <c r="BE141" s="61"/>
      <c r="BF141" s="61"/>
      <c r="BG141" s="61"/>
      <c r="BH141" s="61"/>
      <c r="BI141" s="61"/>
      <c r="BJ141" s="61"/>
      <c r="BK141" s="61"/>
      <c r="BL141" s="61"/>
      <c r="BM141" s="61"/>
      <c r="BN141" s="61"/>
      <c r="BO141" s="61"/>
      <c r="BP141" s="61"/>
      <c r="BQ141" s="61"/>
      <c r="BR141" s="61"/>
      <c r="BS141" s="61"/>
      <c r="BT141" s="61"/>
      <c r="BU141" s="61"/>
      <c r="BV141" s="61"/>
      <c r="BW141" s="61"/>
      <c r="BX141" s="61"/>
    </row>
    <row r="142">
      <c r="A142" s="62" t="str">
        <f t="shared" si="1"/>
        <v>#REF!</v>
      </c>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c r="AA142" s="61"/>
      <c r="AB142" s="61"/>
      <c r="AC142" s="61"/>
      <c r="AD142" s="61"/>
      <c r="AE142" s="61"/>
      <c r="AF142" s="61"/>
      <c r="AG142" s="61"/>
      <c r="AH142" s="61"/>
      <c r="AI142" s="61"/>
      <c r="AJ142" s="61"/>
      <c r="AK142" s="61"/>
      <c r="AL142" s="61"/>
      <c r="AM142" s="61"/>
      <c r="AN142" s="61"/>
      <c r="AO142" s="61"/>
      <c r="AP142" s="61"/>
      <c r="AQ142" s="61"/>
      <c r="AR142" s="61"/>
      <c r="AS142" s="61"/>
      <c r="AT142" s="61"/>
      <c r="AU142" s="61"/>
      <c r="AV142" s="61"/>
      <c r="AW142" s="61"/>
      <c r="AX142" s="61"/>
      <c r="AY142" s="61"/>
      <c r="AZ142" s="61"/>
      <c r="BA142" s="61"/>
      <c r="BB142" s="61"/>
      <c r="BC142" s="61"/>
      <c r="BD142" s="61"/>
      <c r="BE142" s="61"/>
      <c r="BF142" s="61"/>
      <c r="BG142" s="61"/>
      <c r="BH142" s="61"/>
      <c r="BI142" s="61"/>
      <c r="BJ142" s="61"/>
      <c r="BK142" s="61"/>
      <c r="BL142" s="61"/>
      <c r="BM142" s="61"/>
      <c r="BN142" s="61"/>
      <c r="BO142" s="61"/>
      <c r="BP142" s="61"/>
      <c r="BQ142" s="61"/>
      <c r="BR142" s="61"/>
      <c r="BS142" s="61"/>
      <c r="BT142" s="61"/>
      <c r="BU142" s="61"/>
      <c r="BV142" s="61"/>
      <c r="BW142" s="61"/>
      <c r="BX142" s="61"/>
    </row>
    <row r="143">
      <c r="A143" s="62" t="str">
        <f t="shared" si="1"/>
        <v>#REF!</v>
      </c>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c r="AA143" s="61"/>
      <c r="AB143" s="61"/>
      <c r="AC143" s="61"/>
      <c r="AD143" s="61"/>
      <c r="AE143" s="61"/>
      <c r="AF143" s="61"/>
      <c r="AG143" s="61"/>
      <c r="AH143" s="61"/>
      <c r="AI143" s="61"/>
      <c r="AJ143" s="61"/>
      <c r="AK143" s="61"/>
      <c r="AL143" s="61"/>
      <c r="AM143" s="61"/>
      <c r="AN143" s="61"/>
      <c r="AO143" s="61"/>
      <c r="AP143" s="61"/>
      <c r="AQ143" s="61"/>
      <c r="AR143" s="61"/>
      <c r="AS143" s="61"/>
      <c r="AT143" s="61"/>
      <c r="AU143" s="61"/>
      <c r="AV143" s="61"/>
      <c r="AW143" s="61"/>
      <c r="AX143" s="61"/>
      <c r="AY143" s="61"/>
      <c r="AZ143" s="61"/>
      <c r="BA143" s="61"/>
      <c r="BB143" s="61"/>
      <c r="BC143" s="61"/>
      <c r="BD143" s="61"/>
      <c r="BE143" s="61"/>
      <c r="BF143" s="61"/>
      <c r="BG143" s="61"/>
      <c r="BH143" s="61"/>
      <c r="BI143" s="61"/>
      <c r="BJ143" s="61"/>
      <c r="BK143" s="61"/>
      <c r="BL143" s="61"/>
      <c r="BM143" s="61"/>
      <c r="BN143" s="61"/>
      <c r="BO143" s="61"/>
      <c r="BP143" s="61"/>
      <c r="BQ143" s="61"/>
      <c r="BR143" s="61"/>
      <c r="BS143" s="61"/>
      <c r="BT143" s="61"/>
      <c r="BU143" s="61"/>
      <c r="BV143" s="61"/>
      <c r="BW143" s="61"/>
      <c r="BX143" s="61"/>
    </row>
    <row r="144">
      <c r="A144" s="62" t="str">
        <f t="shared" si="1"/>
        <v>#REF!</v>
      </c>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c r="AA144" s="61"/>
      <c r="AB144" s="61"/>
      <c r="AC144" s="61"/>
      <c r="AD144" s="61"/>
      <c r="AE144" s="61"/>
      <c r="AF144" s="61"/>
      <c r="AG144" s="61"/>
      <c r="AH144" s="61"/>
      <c r="AI144" s="61"/>
      <c r="AJ144" s="61"/>
      <c r="AK144" s="61"/>
      <c r="AL144" s="61"/>
      <c r="AM144" s="61"/>
      <c r="AN144" s="61"/>
      <c r="AO144" s="61"/>
      <c r="AP144" s="61"/>
      <c r="AQ144" s="61"/>
      <c r="AR144" s="61"/>
      <c r="AS144" s="61"/>
      <c r="AT144" s="61"/>
      <c r="AU144" s="61"/>
      <c r="AV144" s="61"/>
      <c r="AW144" s="61"/>
      <c r="AX144" s="61"/>
      <c r="AY144" s="61"/>
      <c r="AZ144" s="61"/>
      <c r="BA144" s="61"/>
      <c r="BB144" s="61"/>
      <c r="BC144" s="61"/>
      <c r="BD144" s="61"/>
      <c r="BE144" s="61"/>
      <c r="BF144" s="61"/>
      <c r="BG144" s="61"/>
      <c r="BH144" s="61"/>
      <c r="BI144" s="61"/>
      <c r="BJ144" s="61"/>
      <c r="BK144" s="61"/>
      <c r="BL144" s="61"/>
      <c r="BM144" s="61"/>
      <c r="BN144" s="61"/>
      <c r="BO144" s="61"/>
      <c r="BP144" s="61"/>
      <c r="BQ144" s="61"/>
      <c r="BR144" s="61"/>
      <c r="BS144" s="61"/>
      <c r="BT144" s="61"/>
      <c r="BU144" s="61"/>
      <c r="BV144" s="61"/>
      <c r="BW144" s="61"/>
      <c r="BX144" s="61"/>
    </row>
    <row r="145">
      <c r="A145" s="62" t="str">
        <f t="shared" si="1"/>
        <v>#REF!</v>
      </c>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c r="AA145" s="61"/>
      <c r="AB145" s="61"/>
      <c r="AC145" s="61"/>
      <c r="AD145" s="61"/>
      <c r="AE145" s="61"/>
      <c r="AF145" s="61"/>
      <c r="AG145" s="61"/>
      <c r="AH145" s="61"/>
      <c r="AI145" s="61"/>
      <c r="AJ145" s="61"/>
      <c r="AK145" s="61"/>
      <c r="AL145" s="61"/>
      <c r="AM145" s="61"/>
      <c r="AN145" s="61"/>
      <c r="AO145" s="61"/>
      <c r="AP145" s="61"/>
      <c r="AQ145" s="61"/>
      <c r="AR145" s="61"/>
      <c r="AS145" s="61"/>
      <c r="AT145" s="61"/>
      <c r="AU145" s="61"/>
      <c r="AV145" s="61"/>
      <c r="AW145" s="61"/>
      <c r="AX145" s="61"/>
      <c r="AY145" s="61"/>
      <c r="AZ145" s="61"/>
      <c r="BA145" s="61"/>
      <c r="BB145" s="61"/>
      <c r="BC145" s="61"/>
      <c r="BD145" s="61"/>
      <c r="BE145" s="61"/>
      <c r="BF145" s="61"/>
      <c r="BG145" s="61"/>
      <c r="BH145" s="61"/>
      <c r="BI145" s="61"/>
      <c r="BJ145" s="61"/>
      <c r="BK145" s="61"/>
      <c r="BL145" s="61"/>
      <c r="BM145" s="61"/>
      <c r="BN145" s="61"/>
      <c r="BO145" s="61"/>
      <c r="BP145" s="61"/>
      <c r="BQ145" s="61"/>
      <c r="BR145" s="61"/>
      <c r="BS145" s="61"/>
      <c r="BT145" s="61"/>
      <c r="BU145" s="61"/>
      <c r="BV145" s="61"/>
      <c r="BW145" s="61"/>
      <c r="BX145" s="61"/>
    </row>
    <row r="146">
      <c r="A146" s="62" t="str">
        <f t="shared" si="1"/>
        <v>#REF!</v>
      </c>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c r="AA146" s="61"/>
      <c r="AB146" s="61"/>
      <c r="AC146" s="61"/>
      <c r="AD146" s="61"/>
      <c r="AE146" s="61"/>
      <c r="AF146" s="61"/>
      <c r="AG146" s="61"/>
      <c r="AH146" s="61"/>
      <c r="AI146" s="61"/>
      <c r="AJ146" s="61"/>
      <c r="AK146" s="61"/>
      <c r="AL146" s="61"/>
      <c r="AM146" s="61"/>
      <c r="AN146" s="61"/>
      <c r="AO146" s="61"/>
      <c r="AP146" s="61"/>
      <c r="AQ146" s="61"/>
      <c r="AR146" s="61"/>
      <c r="AS146" s="61"/>
      <c r="AT146" s="61"/>
      <c r="AU146" s="61"/>
      <c r="AV146" s="61"/>
      <c r="AW146" s="61"/>
      <c r="AX146" s="61"/>
      <c r="AY146" s="61"/>
      <c r="AZ146" s="61"/>
      <c r="BA146" s="61"/>
      <c r="BB146" s="61"/>
      <c r="BC146" s="61"/>
      <c r="BD146" s="61"/>
      <c r="BE146" s="61"/>
      <c r="BF146" s="61"/>
      <c r="BG146" s="61"/>
      <c r="BH146" s="61"/>
      <c r="BI146" s="61"/>
      <c r="BJ146" s="61"/>
      <c r="BK146" s="61"/>
      <c r="BL146" s="61"/>
      <c r="BM146" s="61"/>
      <c r="BN146" s="61"/>
      <c r="BO146" s="61"/>
      <c r="BP146" s="61"/>
      <c r="BQ146" s="61"/>
      <c r="BR146" s="61"/>
      <c r="BS146" s="61"/>
      <c r="BT146" s="61"/>
      <c r="BU146" s="61"/>
      <c r="BV146" s="61"/>
      <c r="BW146" s="61"/>
      <c r="BX146" s="61"/>
    </row>
    <row r="147">
      <c r="A147" s="62" t="str">
        <f t="shared" si="1"/>
        <v>#REF!</v>
      </c>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c r="AA147" s="61"/>
      <c r="AB147" s="61"/>
      <c r="AC147" s="61"/>
      <c r="AD147" s="61"/>
      <c r="AE147" s="61"/>
      <c r="AF147" s="61"/>
      <c r="AG147" s="61"/>
      <c r="AH147" s="61"/>
      <c r="AI147" s="61"/>
      <c r="AJ147" s="61"/>
      <c r="AK147" s="61"/>
      <c r="AL147" s="61"/>
      <c r="AM147" s="61"/>
      <c r="AN147" s="61"/>
      <c r="AO147" s="61"/>
      <c r="AP147" s="61"/>
      <c r="AQ147" s="61"/>
      <c r="AR147" s="61"/>
      <c r="AS147" s="61"/>
      <c r="AT147" s="61"/>
      <c r="AU147" s="61"/>
      <c r="AV147" s="61"/>
      <c r="AW147" s="61"/>
      <c r="AX147" s="61"/>
      <c r="AY147" s="61"/>
      <c r="AZ147" s="61"/>
      <c r="BA147" s="61"/>
      <c r="BB147" s="61"/>
      <c r="BC147" s="61"/>
      <c r="BD147" s="61"/>
      <c r="BE147" s="61"/>
      <c r="BF147" s="61"/>
      <c r="BG147" s="61"/>
      <c r="BH147" s="61"/>
      <c r="BI147" s="61"/>
      <c r="BJ147" s="61"/>
      <c r="BK147" s="61"/>
      <c r="BL147" s="61"/>
      <c r="BM147" s="61"/>
      <c r="BN147" s="61"/>
      <c r="BO147" s="61"/>
      <c r="BP147" s="61"/>
      <c r="BQ147" s="61"/>
      <c r="BR147" s="61"/>
      <c r="BS147" s="61"/>
      <c r="BT147" s="61"/>
      <c r="BU147" s="61"/>
      <c r="BV147" s="61"/>
      <c r="BW147" s="61"/>
      <c r="BX147" s="61"/>
    </row>
    <row r="148">
      <c r="A148" s="62" t="str">
        <f t="shared" si="1"/>
        <v>#REF!</v>
      </c>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c r="AA148" s="61"/>
      <c r="AB148" s="61"/>
      <c r="AC148" s="61"/>
      <c r="AD148" s="61"/>
      <c r="AE148" s="61"/>
      <c r="AF148" s="61"/>
      <c r="AG148" s="61"/>
      <c r="AH148" s="61"/>
      <c r="AI148" s="61"/>
      <c r="AJ148" s="61"/>
      <c r="AK148" s="61"/>
      <c r="AL148" s="61"/>
      <c r="AM148" s="61"/>
      <c r="AN148" s="61"/>
      <c r="AO148" s="61"/>
      <c r="AP148" s="61"/>
      <c r="AQ148" s="61"/>
      <c r="AR148" s="61"/>
      <c r="AS148" s="61"/>
      <c r="AT148" s="61"/>
      <c r="AU148" s="61"/>
      <c r="AV148" s="61"/>
      <c r="AW148" s="61"/>
      <c r="AX148" s="61"/>
      <c r="AY148" s="61"/>
      <c r="AZ148" s="61"/>
      <c r="BA148" s="61"/>
      <c r="BB148" s="61"/>
      <c r="BC148" s="61"/>
      <c r="BD148" s="61"/>
      <c r="BE148" s="61"/>
      <c r="BF148" s="61"/>
      <c r="BG148" s="61"/>
      <c r="BH148" s="61"/>
      <c r="BI148" s="61"/>
      <c r="BJ148" s="61"/>
      <c r="BK148" s="61"/>
      <c r="BL148" s="61"/>
      <c r="BM148" s="61"/>
      <c r="BN148" s="61"/>
      <c r="BO148" s="61"/>
      <c r="BP148" s="61"/>
      <c r="BQ148" s="61"/>
      <c r="BR148" s="61"/>
      <c r="BS148" s="61"/>
      <c r="BT148" s="61"/>
      <c r="BU148" s="61"/>
      <c r="BV148" s="61"/>
      <c r="BW148" s="61"/>
      <c r="BX148" s="61"/>
    </row>
    <row r="149">
      <c r="A149" s="62" t="str">
        <f t="shared" si="1"/>
        <v>#REF!</v>
      </c>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c r="AA149" s="61"/>
      <c r="AB149" s="61"/>
      <c r="AC149" s="61"/>
      <c r="AD149" s="61"/>
      <c r="AE149" s="61"/>
      <c r="AF149" s="61"/>
      <c r="AG149" s="61"/>
      <c r="AH149" s="61"/>
      <c r="AI149" s="61"/>
      <c r="AJ149" s="61"/>
      <c r="AK149" s="61"/>
      <c r="AL149" s="61"/>
      <c r="AM149" s="61"/>
      <c r="AN149" s="61"/>
      <c r="AO149" s="61"/>
      <c r="AP149" s="61"/>
      <c r="AQ149" s="61"/>
      <c r="AR149" s="61"/>
      <c r="AS149" s="61"/>
      <c r="AT149" s="61"/>
      <c r="AU149" s="61"/>
      <c r="AV149" s="61"/>
      <c r="AW149" s="61"/>
      <c r="AX149" s="61"/>
      <c r="AY149" s="61"/>
      <c r="AZ149" s="61"/>
      <c r="BA149" s="61"/>
      <c r="BB149" s="61"/>
      <c r="BC149" s="61"/>
      <c r="BD149" s="61"/>
      <c r="BE149" s="61"/>
      <c r="BF149" s="61"/>
      <c r="BG149" s="61"/>
      <c r="BH149" s="61"/>
      <c r="BI149" s="61"/>
      <c r="BJ149" s="61"/>
      <c r="BK149" s="61"/>
      <c r="BL149" s="61"/>
      <c r="BM149" s="61"/>
      <c r="BN149" s="61"/>
      <c r="BO149" s="61"/>
      <c r="BP149" s="61"/>
      <c r="BQ149" s="61"/>
      <c r="BR149" s="61"/>
      <c r="BS149" s="61"/>
      <c r="BT149" s="61"/>
      <c r="BU149" s="61"/>
      <c r="BV149" s="61"/>
      <c r="BW149" s="61"/>
      <c r="BX149" s="61"/>
    </row>
    <row r="150">
      <c r="A150" s="62" t="str">
        <f t="shared" si="1"/>
        <v>#REF!</v>
      </c>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c r="AA150" s="61"/>
      <c r="AB150" s="61"/>
      <c r="AC150" s="61"/>
      <c r="AD150" s="61"/>
      <c r="AE150" s="61"/>
      <c r="AF150" s="61"/>
      <c r="AG150" s="61"/>
      <c r="AH150" s="61"/>
      <c r="AI150" s="61"/>
      <c r="AJ150" s="61"/>
      <c r="AK150" s="61"/>
      <c r="AL150" s="61"/>
      <c r="AM150" s="61"/>
      <c r="AN150" s="61"/>
      <c r="AO150" s="61"/>
      <c r="AP150" s="61"/>
      <c r="AQ150" s="61"/>
      <c r="AR150" s="61"/>
      <c r="AS150" s="61"/>
      <c r="AT150" s="61"/>
      <c r="AU150" s="61"/>
      <c r="AV150" s="61"/>
      <c r="AW150" s="61"/>
      <c r="AX150" s="61"/>
      <c r="AY150" s="61"/>
      <c r="AZ150" s="61"/>
      <c r="BA150" s="61"/>
      <c r="BB150" s="61"/>
      <c r="BC150" s="61"/>
      <c r="BD150" s="61"/>
      <c r="BE150" s="61"/>
      <c r="BF150" s="61"/>
      <c r="BG150" s="61"/>
      <c r="BH150" s="61"/>
      <c r="BI150" s="61"/>
      <c r="BJ150" s="61"/>
      <c r="BK150" s="61"/>
      <c r="BL150" s="61"/>
      <c r="BM150" s="61"/>
      <c r="BN150" s="61"/>
      <c r="BO150" s="61"/>
      <c r="BP150" s="61"/>
      <c r="BQ150" s="61"/>
      <c r="BR150" s="61"/>
      <c r="BS150" s="61"/>
      <c r="BT150" s="61"/>
      <c r="BU150" s="61"/>
      <c r="BV150" s="61"/>
      <c r="BW150" s="61"/>
      <c r="BX150" s="61"/>
    </row>
    <row r="151">
      <c r="A151" s="62" t="str">
        <f t="shared" si="1"/>
        <v>#REF!</v>
      </c>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1"/>
      <c r="AJ151" s="61"/>
      <c r="AK151" s="61"/>
      <c r="AL151" s="61"/>
      <c r="AM151" s="61"/>
      <c r="AN151" s="61"/>
      <c r="AO151" s="61"/>
      <c r="AP151" s="61"/>
      <c r="AQ151" s="61"/>
      <c r="AR151" s="61"/>
      <c r="AS151" s="61"/>
      <c r="AT151" s="61"/>
      <c r="AU151" s="61"/>
      <c r="AV151" s="61"/>
      <c r="AW151" s="61"/>
      <c r="AX151" s="61"/>
      <c r="AY151" s="61"/>
      <c r="AZ151" s="61"/>
      <c r="BA151" s="61"/>
      <c r="BB151" s="61"/>
      <c r="BC151" s="61"/>
      <c r="BD151" s="61"/>
      <c r="BE151" s="61"/>
      <c r="BF151" s="61"/>
      <c r="BG151" s="61"/>
      <c r="BH151" s="61"/>
      <c r="BI151" s="61"/>
      <c r="BJ151" s="61"/>
      <c r="BK151" s="61"/>
      <c r="BL151" s="61"/>
      <c r="BM151" s="61"/>
      <c r="BN151" s="61"/>
      <c r="BO151" s="61"/>
      <c r="BP151" s="61"/>
      <c r="BQ151" s="61"/>
      <c r="BR151" s="61"/>
      <c r="BS151" s="61"/>
      <c r="BT151" s="61"/>
      <c r="BU151" s="61"/>
      <c r="BV151" s="61"/>
      <c r="BW151" s="61"/>
      <c r="BX151" s="61"/>
    </row>
    <row r="152">
      <c r="A152" s="62" t="str">
        <f t="shared" si="1"/>
        <v>#REF!</v>
      </c>
      <c r="B152" s="61"/>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1"/>
      <c r="AA152" s="61"/>
      <c r="AB152" s="61"/>
      <c r="AC152" s="61"/>
      <c r="AD152" s="61"/>
      <c r="AE152" s="61"/>
      <c r="AF152" s="61"/>
      <c r="AG152" s="61"/>
      <c r="AH152" s="61"/>
      <c r="AI152" s="61"/>
      <c r="AJ152" s="61"/>
      <c r="AK152" s="61"/>
      <c r="AL152" s="61"/>
      <c r="AM152" s="61"/>
      <c r="AN152" s="61"/>
      <c r="AO152" s="61"/>
      <c r="AP152" s="61"/>
      <c r="AQ152" s="61"/>
      <c r="AR152" s="61"/>
      <c r="AS152" s="61"/>
      <c r="AT152" s="61"/>
      <c r="AU152" s="61"/>
      <c r="AV152" s="61"/>
      <c r="AW152" s="61"/>
      <c r="AX152" s="61"/>
      <c r="AY152" s="61"/>
      <c r="AZ152" s="61"/>
      <c r="BA152" s="61"/>
      <c r="BB152" s="61"/>
      <c r="BC152" s="61"/>
      <c r="BD152" s="61"/>
      <c r="BE152" s="61"/>
      <c r="BF152" s="61"/>
      <c r="BG152" s="61"/>
      <c r="BH152" s="61"/>
      <c r="BI152" s="61"/>
      <c r="BJ152" s="61"/>
      <c r="BK152" s="61"/>
      <c r="BL152" s="61"/>
      <c r="BM152" s="61"/>
      <c r="BN152" s="61"/>
      <c r="BO152" s="61"/>
      <c r="BP152" s="61"/>
      <c r="BQ152" s="61"/>
      <c r="BR152" s="61"/>
      <c r="BS152" s="61"/>
      <c r="BT152" s="61"/>
      <c r="BU152" s="61"/>
      <c r="BV152" s="61"/>
      <c r="BW152" s="61"/>
      <c r="BX152" s="61"/>
    </row>
    <row r="153">
      <c r="A153" s="62" t="str">
        <f t="shared" si="1"/>
        <v>#REF!</v>
      </c>
      <c r="B153" s="61"/>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1"/>
      <c r="AA153" s="61"/>
      <c r="AB153" s="61"/>
      <c r="AC153" s="61"/>
      <c r="AD153" s="61"/>
      <c r="AE153" s="61"/>
      <c r="AF153" s="61"/>
      <c r="AG153" s="61"/>
      <c r="AH153" s="61"/>
      <c r="AI153" s="61"/>
      <c r="AJ153" s="61"/>
      <c r="AK153" s="61"/>
      <c r="AL153" s="61"/>
      <c r="AM153" s="61"/>
      <c r="AN153" s="61"/>
      <c r="AO153" s="61"/>
      <c r="AP153" s="61"/>
      <c r="AQ153" s="61"/>
      <c r="AR153" s="61"/>
      <c r="AS153" s="61"/>
      <c r="AT153" s="61"/>
      <c r="AU153" s="61"/>
      <c r="AV153" s="61"/>
      <c r="AW153" s="61"/>
      <c r="AX153" s="61"/>
      <c r="AY153" s="61"/>
      <c r="AZ153" s="61"/>
      <c r="BA153" s="61"/>
      <c r="BB153" s="61"/>
      <c r="BC153" s="61"/>
      <c r="BD153" s="61"/>
      <c r="BE153" s="61"/>
      <c r="BF153" s="61"/>
      <c r="BG153" s="61"/>
      <c r="BH153" s="61"/>
      <c r="BI153" s="61"/>
      <c r="BJ153" s="61"/>
      <c r="BK153" s="61"/>
      <c r="BL153" s="61"/>
      <c r="BM153" s="61"/>
      <c r="BN153" s="61"/>
      <c r="BO153" s="61"/>
      <c r="BP153" s="61"/>
      <c r="BQ153" s="61"/>
      <c r="BR153" s="61"/>
      <c r="BS153" s="61"/>
      <c r="BT153" s="61"/>
      <c r="BU153" s="61"/>
      <c r="BV153" s="61"/>
      <c r="BW153" s="61"/>
      <c r="BX153" s="61"/>
    </row>
    <row r="154">
      <c r="A154" s="62" t="str">
        <f t="shared" si="1"/>
        <v>#REF!</v>
      </c>
      <c r="B154" s="61"/>
      <c r="C154" s="61"/>
      <c r="D154" s="61"/>
      <c r="E154" s="61"/>
      <c r="F154" s="61"/>
      <c r="G154" s="61"/>
      <c r="H154" s="61"/>
      <c r="I154" s="61"/>
      <c r="J154" s="61"/>
      <c r="K154" s="61"/>
      <c r="L154" s="61"/>
      <c r="M154" s="61"/>
      <c r="N154" s="61"/>
      <c r="O154" s="61"/>
      <c r="P154" s="61"/>
      <c r="Q154" s="61"/>
      <c r="R154" s="61"/>
      <c r="S154" s="61"/>
      <c r="T154" s="61"/>
      <c r="U154" s="61"/>
      <c r="V154" s="61"/>
      <c r="W154" s="61"/>
      <c r="X154" s="61"/>
      <c r="Y154" s="61"/>
      <c r="Z154" s="61"/>
      <c r="AA154" s="61"/>
      <c r="AB154" s="61"/>
      <c r="AC154" s="61"/>
      <c r="AD154" s="61"/>
      <c r="AE154" s="61"/>
      <c r="AF154" s="61"/>
      <c r="AG154" s="61"/>
      <c r="AH154" s="61"/>
      <c r="AI154" s="61"/>
      <c r="AJ154" s="61"/>
      <c r="AK154" s="61"/>
      <c r="AL154" s="61"/>
      <c r="AM154" s="61"/>
      <c r="AN154" s="61"/>
      <c r="AO154" s="61"/>
      <c r="AP154" s="61"/>
      <c r="AQ154" s="61"/>
      <c r="AR154" s="61"/>
      <c r="AS154" s="61"/>
      <c r="AT154" s="61"/>
      <c r="AU154" s="61"/>
      <c r="AV154" s="61"/>
      <c r="AW154" s="61"/>
      <c r="AX154" s="61"/>
      <c r="AY154" s="61"/>
      <c r="AZ154" s="61"/>
      <c r="BA154" s="61"/>
      <c r="BB154" s="61"/>
      <c r="BC154" s="61"/>
      <c r="BD154" s="61"/>
      <c r="BE154" s="61"/>
      <c r="BF154" s="61"/>
      <c r="BG154" s="61"/>
      <c r="BH154" s="61"/>
      <c r="BI154" s="61"/>
      <c r="BJ154" s="61"/>
      <c r="BK154" s="61"/>
      <c r="BL154" s="61"/>
      <c r="BM154" s="61"/>
      <c r="BN154" s="61"/>
      <c r="BO154" s="61"/>
      <c r="BP154" s="61"/>
      <c r="BQ154" s="61"/>
      <c r="BR154" s="61"/>
      <c r="BS154" s="61"/>
      <c r="BT154" s="61"/>
      <c r="BU154" s="61"/>
      <c r="BV154" s="61"/>
      <c r="BW154" s="61"/>
      <c r="BX154" s="61"/>
    </row>
    <row r="155">
      <c r="A155" s="62" t="str">
        <f t="shared" si="1"/>
        <v>#REF!</v>
      </c>
      <c r="B155" s="61"/>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1"/>
      <c r="AA155" s="61"/>
      <c r="AB155" s="61"/>
      <c r="AC155" s="61"/>
      <c r="AD155" s="61"/>
      <c r="AE155" s="61"/>
      <c r="AF155" s="61"/>
      <c r="AG155" s="61"/>
      <c r="AH155" s="61"/>
      <c r="AI155" s="61"/>
      <c r="AJ155" s="61"/>
      <c r="AK155" s="61"/>
      <c r="AL155" s="61"/>
      <c r="AM155" s="61"/>
      <c r="AN155" s="61"/>
      <c r="AO155" s="61"/>
      <c r="AP155" s="61"/>
      <c r="AQ155" s="61"/>
      <c r="AR155" s="61"/>
      <c r="AS155" s="61"/>
      <c r="AT155" s="61"/>
      <c r="AU155" s="61"/>
      <c r="AV155" s="61"/>
      <c r="AW155" s="61"/>
      <c r="AX155" s="61"/>
      <c r="AY155" s="61"/>
      <c r="AZ155" s="61"/>
      <c r="BA155" s="61"/>
      <c r="BB155" s="61"/>
      <c r="BC155" s="61"/>
      <c r="BD155" s="61"/>
      <c r="BE155" s="61"/>
      <c r="BF155" s="61"/>
      <c r="BG155" s="61"/>
      <c r="BH155" s="61"/>
      <c r="BI155" s="61"/>
      <c r="BJ155" s="61"/>
      <c r="BK155" s="61"/>
      <c r="BL155" s="61"/>
      <c r="BM155" s="61"/>
      <c r="BN155" s="61"/>
      <c r="BO155" s="61"/>
      <c r="BP155" s="61"/>
      <c r="BQ155" s="61"/>
      <c r="BR155" s="61"/>
      <c r="BS155" s="61"/>
      <c r="BT155" s="61"/>
      <c r="BU155" s="61"/>
      <c r="BV155" s="61"/>
      <c r="BW155" s="61"/>
      <c r="BX155" s="61"/>
    </row>
    <row r="156">
      <c r="A156" s="62" t="str">
        <f t="shared" si="1"/>
        <v>#REF!</v>
      </c>
      <c r="B156" s="61"/>
      <c r="C156" s="61"/>
      <c r="D156" s="61"/>
      <c r="E156" s="61"/>
      <c r="F156" s="61"/>
      <c r="G156" s="61"/>
      <c r="H156" s="61"/>
      <c r="I156" s="61"/>
      <c r="J156" s="61"/>
      <c r="K156" s="61"/>
      <c r="L156" s="61"/>
      <c r="M156" s="61"/>
      <c r="N156" s="61"/>
      <c r="O156" s="61"/>
      <c r="P156" s="61"/>
      <c r="Q156" s="61"/>
      <c r="R156" s="61"/>
      <c r="S156" s="61"/>
      <c r="T156" s="61"/>
      <c r="U156" s="61"/>
      <c r="V156" s="61"/>
      <c r="W156" s="61"/>
      <c r="X156" s="61"/>
      <c r="Y156" s="61"/>
      <c r="Z156" s="61"/>
      <c r="AA156" s="61"/>
      <c r="AB156" s="61"/>
      <c r="AC156" s="61"/>
      <c r="AD156" s="61"/>
      <c r="AE156" s="61"/>
      <c r="AF156" s="61"/>
      <c r="AG156" s="61"/>
      <c r="AH156" s="61"/>
      <c r="AI156" s="61"/>
      <c r="AJ156" s="61"/>
      <c r="AK156" s="61"/>
      <c r="AL156" s="61"/>
      <c r="AM156" s="61"/>
      <c r="AN156" s="61"/>
      <c r="AO156" s="61"/>
      <c r="AP156" s="61"/>
      <c r="AQ156" s="61"/>
      <c r="AR156" s="61"/>
      <c r="AS156" s="61"/>
      <c r="AT156" s="61"/>
      <c r="AU156" s="61"/>
      <c r="AV156" s="61"/>
      <c r="AW156" s="61"/>
      <c r="AX156" s="61"/>
      <c r="AY156" s="61"/>
      <c r="AZ156" s="61"/>
      <c r="BA156" s="61"/>
      <c r="BB156" s="61"/>
      <c r="BC156" s="61"/>
      <c r="BD156" s="61"/>
      <c r="BE156" s="61"/>
      <c r="BF156" s="61"/>
      <c r="BG156" s="61"/>
      <c r="BH156" s="61"/>
      <c r="BI156" s="61"/>
      <c r="BJ156" s="61"/>
      <c r="BK156" s="61"/>
      <c r="BL156" s="61"/>
      <c r="BM156" s="61"/>
      <c r="BN156" s="61"/>
      <c r="BO156" s="61"/>
      <c r="BP156" s="61"/>
      <c r="BQ156" s="61"/>
      <c r="BR156" s="61"/>
      <c r="BS156" s="61"/>
      <c r="BT156" s="61"/>
      <c r="BU156" s="61"/>
      <c r="BV156" s="61"/>
      <c r="BW156" s="61"/>
      <c r="BX156" s="61"/>
    </row>
    <row r="157">
      <c r="A157" s="62" t="str">
        <f t="shared" si="1"/>
        <v>#REF!</v>
      </c>
      <c r="B157" s="61"/>
      <c r="C157" s="61"/>
      <c r="D157" s="61"/>
      <c r="E157" s="61"/>
      <c r="F157" s="61"/>
      <c r="G157" s="61"/>
      <c r="H157" s="61"/>
      <c r="I157" s="61"/>
      <c r="J157" s="61"/>
      <c r="K157" s="61"/>
      <c r="L157" s="61"/>
      <c r="M157" s="61"/>
      <c r="N157" s="61"/>
      <c r="O157" s="61"/>
      <c r="P157" s="61"/>
      <c r="Q157" s="61"/>
      <c r="R157" s="61"/>
      <c r="S157" s="61"/>
      <c r="T157" s="61"/>
      <c r="U157" s="61"/>
      <c r="V157" s="61"/>
      <c r="W157" s="61"/>
      <c r="X157" s="61"/>
      <c r="Y157" s="61"/>
      <c r="Z157" s="61"/>
      <c r="AA157" s="61"/>
      <c r="AB157" s="61"/>
      <c r="AC157" s="61"/>
      <c r="AD157" s="61"/>
      <c r="AE157" s="61"/>
      <c r="AF157" s="61"/>
      <c r="AG157" s="61"/>
      <c r="AH157" s="61"/>
      <c r="AI157" s="61"/>
      <c r="AJ157" s="61"/>
      <c r="AK157" s="61"/>
      <c r="AL157" s="61"/>
      <c r="AM157" s="61"/>
      <c r="AN157" s="61"/>
      <c r="AO157" s="61"/>
      <c r="AP157" s="61"/>
      <c r="AQ157" s="61"/>
      <c r="AR157" s="61"/>
      <c r="AS157" s="61"/>
      <c r="AT157" s="61"/>
      <c r="AU157" s="61"/>
      <c r="AV157" s="61"/>
      <c r="AW157" s="61"/>
      <c r="AX157" s="61"/>
      <c r="AY157" s="61"/>
      <c r="AZ157" s="61"/>
      <c r="BA157" s="61"/>
      <c r="BB157" s="61"/>
      <c r="BC157" s="61"/>
      <c r="BD157" s="61"/>
      <c r="BE157" s="61"/>
      <c r="BF157" s="61"/>
      <c r="BG157" s="61"/>
      <c r="BH157" s="61"/>
      <c r="BI157" s="61"/>
      <c r="BJ157" s="61"/>
      <c r="BK157" s="61"/>
      <c r="BL157" s="61"/>
      <c r="BM157" s="61"/>
      <c r="BN157" s="61"/>
      <c r="BO157" s="61"/>
      <c r="BP157" s="61"/>
      <c r="BQ157" s="61"/>
      <c r="BR157" s="61"/>
      <c r="BS157" s="61"/>
      <c r="BT157" s="61"/>
      <c r="BU157" s="61"/>
      <c r="BV157" s="61"/>
      <c r="BW157" s="61"/>
      <c r="BX157" s="61"/>
    </row>
    <row r="158">
      <c r="A158" s="62" t="str">
        <f t="shared" si="1"/>
        <v>#REF!</v>
      </c>
      <c r="B158" s="61"/>
      <c r="C158" s="61"/>
      <c r="D158" s="61"/>
      <c r="E158" s="61"/>
      <c r="F158" s="61"/>
      <c r="G158" s="61"/>
      <c r="H158" s="61"/>
      <c r="I158" s="61"/>
      <c r="J158" s="61"/>
      <c r="K158" s="61"/>
      <c r="L158" s="61"/>
      <c r="M158" s="61"/>
      <c r="N158" s="61"/>
      <c r="O158" s="61"/>
      <c r="P158" s="61"/>
      <c r="Q158" s="61"/>
      <c r="R158" s="61"/>
      <c r="S158" s="61"/>
      <c r="T158" s="61"/>
      <c r="U158" s="61"/>
      <c r="V158" s="61"/>
      <c r="W158" s="61"/>
      <c r="X158" s="61"/>
      <c r="Y158" s="61"/>
      <c r="Z158" s="61"/>
      <c r="AA158" s="61"/>
      <c r="AB158" s="61"/>
      <c r="AC158" s="61"/>
      <c r="AD158" s="61"/>
      <c r="AE158" s="61"/>
      <c r="AF158" s="61"/>
      <c r="AG158" s="61"/>
      <c r="AH158" s="61"/>
      <c r="AI158" s="61"/>
      <c r="AJ158" s="61"/>
      <c r="AK158" s="61"/>
      <c r="AL158" s="61"/>
      <c r="AM158" s="61"/>
      <c r="AN158" s="61"/>
      <c r="AO158" s="61"/>
      <c r="AP158" s="61"/>
      <c r="AQ158" s="61"/>
      <c r="AR158" s="61"/>
      <c r="AS158" s="61"/>
      <c r="AT158" s="61"/>
      <c r="AU158" s="61"/>
      <c r="AV158" s="61"/>
      <c r="AW158" s="61"/>
      <c r="AX158" s="61"/>
      <c r="AY158" s="61"/>
      <c r="AZ158" s="61"/>
      <c r="BA158" s="61"/>
      <c r="BB158" s="61"/>
      <c r="BC158" s="61"/>
      <c r="BD158" s="61"/>
      <c r="BE158" s="61"/>
      <c r="BF158" s="61"/>
      <c r="BG158" s="61"/>
      <c r="BH158" s="61"/>
      <c r="BI158" s="61"/>
      <c r="BJ158" s="61"/>
      <c r="BK158" s="61"/>
      <c r="BL158" s="61"/>
      <c r="BM158" s="61"/>
      <c r="BN158" s="61"/>
      <c r="BO158" s="61"/>
      <c r="BP158" s="61"/>
      <c r="BQ158" s="61"/>
      <c r="BR158" s="61"/>
      <c r="BS158" s="61"/>
      <c r="BT158" s="61"/>
      <c r="BU158" s="61"/>
      <c r="BV158" s="61"/>
      <c r="BW158" s="61"/>
      <c r="BX158" s="61"/>
    </row>
    <row r="159">
      <c r="A159" s="62" t="str">
        <f t="shared" si="1"/>
        <v>#REF!</v>
      </c>
      <c r="B159" s="61"/>
      <c r="C159" s="61"/>
      <c r="D159" s="61"/>
      <c r="E159" s="61"/>
      <c r="F159" s="61"/>
      <c r="G159" s="61"/>
      <c r="H159" s="61"/>
      <c r="I159" s="61"/>
      <c r="J159" s="61"/>
      <c r="K159" s="61"/>
      <c r="L159" s="61"/>
      <c r="M159" s="61"/>
      <c r="N159" s="61"/>
      <c r="O159" s="61"/>
      <c r="P159" s="61"/>
      <c r="Q159" s="61"/>
      <c r="R159" s="61"/>
      <c r="S159" s="61"/>
      <c r="T159" s="61"/>
      <c r="U159" s="61"/>
      <c r="V159" s="61"/>
      <c r="W159" s="61"/>
      <c r="X159" s="61"/>
      <c r="Y159" s="61"/>
      <c r="Z159" s="61"/>
      <c r="AA159" s="61"/>
      <c r="AB159" s="61"/>
      <c r="AC159" s="61"/>
      <c r="AD159" s="61"/>
      <c r="AE159" s="61"/>
      <c r="AF159" s="61"/>
      <c r="AG159" s="61"/>
      <c r="AH159" s="61"/>
      <c r="AI159" s="61"/>
      <c r="AJ159" s="61"/>
      <c r="AK159" s="61"/>
      <c r="AL159" s="61"/>
      <c r="AM159" s="61"/>
      <c r="AN159" s="61"/>
      <c r="AO159" s="61"/>
      <c r="AP159" s="61"/>
      <c r="AQ159" s="61"/>
      <c r="AR159" s="61"/>
      <c r="AS159" s="61"/>
      <c r="AT159" s="61"/>
      <c r="AU159" s="61"/>
      <c r="AV159" s="61"/>
      <c r="AW159" s="61"/>
      <c r="AX159" s="61"/>
      <c r="AY159" s="61"/>
      <c r="AZ159" s="61"/>
      <c r="BA159" s="61"/>
      <c r="BB159" s="61"/>
      <c r="BC159" s="61"/>
      <c r="BD159" s="61"/>
      <c r="BE159" s="61"/>
      <c r="BF159" s="61"/>
      <c r="BG159" s="61"/>
      <c r="BH159" s="61"/>
      <c r="BI159" s="61"/>
      <c r="BJ159" s="61"/>
      <c r="BK159" s="61"/>
      <c r="BL159" s="61"/>
      <c r="BM159" s="61"/>
      <c r="BN159" s="61"/>
      <c r="BO159" s="61"/>
      <c r="BP159" s="61"/>
      <c r="BQ159" s="61"/>
      <c r="BR159" s="61"/>
      <c r="BS159" s="61"/>
      <c r="BT159" s="61"/>
      <c r="BU159" s="61"/>
      <c r="BV159" s="61"/>
      <c r="BW159" s="61"/>
      <c r="BX159" s="61"/>
    </row>
    <row r="160">
      <c r="A160" s="62" t="str">
        <f t="shared" si="1"/>
        <v>#REF!</v>
      </c>
      <c r="B160" s="61"/>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1"/>
      <c r="AA160" s="61"/>
      <c r="AB160" s="61"/>
      <c r="AC160" s="61"/>
      <c r="AD160" s="61"/>
      <c r="AE160" s="61"/>
      <c r="AF160" s="61"/>
      <c r="AG160" s="61"/>
      <c r="AH160" s="61"/>
      <c r="AI160" s="61"/>
      <c r="AJ160" s="61"/>
      <c r="AK160" s="61"/>
      <c r="AL160" s="61"/>
      <c r="AM160" s="61"/>
      <c r="AN160" s="61"/>
      <c r="AO160" s="61"/>
      <c r="AP160" s="61"/>
      <c r="AQ160" s="61"/>
      <c r="AR160" s="61"/>
      <c r="AS160" s="61"/>
      <c r="AT160" s="61"/>
      <c r="AU160" s="61"/>
      <c r="AV160" s="61"/>
      <c r="AW160" s="61"/>
      <c r="AX160" s="61"/>
      <c r="AY160" s="61"/>
      <c r="AZ160" s="61"/>
      <c r="BA160" s="61"/>
      <c r="BB160" s="61"/>
      <c r="BC160" s="61"/>
      <c r="BD160" s="61"/>
      <c r="BE160" s="61"/>
      <c r="BF160" s="61"/>
      <c r="BG160" s="61"/>
      <c r="BH160" s="61"/>
      <c r="BI160" s="61"/>
      <c r="BJ160" s="61"/>
      <c r="BK160" s="61"/>
      <c r="BL160" s="61"/>
      <c r="BM160" s="61"/>
      <c r="BN160" s="61"/>
      <c r="BO160" s="61"/>
      <c r="BP160" s="61"/>
      <c r="BQ160" s="61"/>
      <c r="BR160" s="61"/>
      <c r="BS160" s="61"/>
      <c r="BT160" s="61"/>
      <c r="BU160" s="61"/>
      <c r="BV160" s="61"/>
      <c r="BW160" s="61"/>
      <c r="BX160" s="61"/>
    </row>
    <row r="161">
      <c r="A161" s="62" t="str">
        <f t="shared" si="1"/>
        <v>#REF!</v>
      </c>
      <c r="B161" s="61"/>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1"/>
      <c r="AA161" s="61"/>
      <c r="AB161" s="61"/>
      <c r="AC161" s="61"/>
      <c r="AD161" s="61"/>
      <c r="AE161" s="61"/>
      <c r="AF161" s="61"/>
      <c r="AG161" s="61"/>
      <c r="AH161" s="61"/>
      <c r="AI161" s="61"/>
      <c r="AJ161" s="61"/>
      <c r="AK161" s="61"/>
      <c r="AL161" s="61"/>
      <c r="AM161" s="61"/>
      <c r="AN161" s="61"/>
      <c r="AO161" s="61"/>
      <c r="AP161" s="61"/>
      <c r="AQ161" s="61"/>
      <c r="AR161" s="61"/>
      <c r="AS161" s="61"/>
      <c r="AT161" s="61"/>
      <c r="AU161" s="61"/>
      <c r="AV161" s="61"/>
      <c r="AW161" s="61"/>
      <c r="AX161" s="61"/>
      <c r="AY161" s="61"/>
      <c r="AZ161" s="61"/>
      <c r="BA161" s="61"/>
      <c r="BB161" s="61"/>
      <c r="BC161" s="61"/>
      <c r="BD161" s="61"/>
      <c r="BE161" s="61"/>
      <c r="BF161" s="61"/>
      <c r="BG161" s="61"/>
      <c r="BH161" s="61"/>
      <c r="BI161" s="61"/>
      <c r="BJ161" s="61"/>
      <c r="BK161" s="61"/>
      <c r="BL161" s="61"/>
      <c r="BM161" s="61"/>
      <c r="BN161" s="61"/>
      <c r="BO161" s="61"/>
      <c r="BP161" s="61"/>
      <c r="BQ161" s="61"/>
      <c r="BR161" s="61"/>
      <c r="BS161" s="61"/>
      <c r="BT161" s="61"/>
      <c r="BU161" s="61"/>
      <c r="BV161" s="61"/>
      <c r="BW161" s="61"/>
      <c r="BX161" s="61"/>
    </row>
    <row r="162">
      <c r="A162" s="62" t="str">
        <f t="shared" si="1"/>
        <v>#REF!</v>
      </c>
      <c r="B162" s="61"/>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c r="AA162" s="61"/>
      <c r="AB162" s="61"/>
      <c r="AC162" s="61"/>
      <c r="AD162" s="61"/>
      <c r="AE162" s="61"/>
      <c r="AF162" s="61"/>
      <c r="AG162" s="61"/>
      <c r="AH162" s="61"/>
      <c r="AI162" s="61"/>
      <c r="AJ162" s="61"/>
      <c r="AK162" s="61"/>
      <c r="AL162" s="61"/>
      <c r="AM162" s="61"/>
      <c r="AN162" s="61"/>
      <c r="AO162" s="61"/>
      <c r="AP162" s="61"/>
      <c r="AQ162" s="61"/>
      <c r="AR162" s="61"/>
      <c r="AS162" s="61"/>
      <c r="AT162" s="61"/>
      <c r="AU162" s="61"/>
      <c r="AV162" s="61"/>
      <c r="AW162" s="61"/>
      <c r="AX162" s="61"/>
      <c r="AY162" s="61"/>
      <c r="AZ162" s="61"/>
      <c r="BA162" s="61"/>
      <c r="BB162" s="61"/>
      <c r="BC162" s="61"/>
      <c r="BD162" s="61"/>
      <c r="BE162" s="61"/>
      <c r="BF162" s="61"/>
      <c r="BG162" s="61"/>
      <c r="BH162" s="61"/>
      <c r="BI162" s="61"/>
      <c r="BJ162" s="61"/>
      <c r="BK162" s="61"/>
      <c r="BL162" s="61"/>
      <c r="BM162" s="61"/>
      <c r="BN162" s="61"/>
      <c r="BO162" s="61"/>
      <c r="BP162" s="61"/>
      <c r="BQ162" s="61"/>
      <c r="BR162" s="61"/>
      <c r="BS162" s="61"/>
      <c r="BT162" s="61"/>
      <c r="BU162" s="61"/>
      <c r="BV162" s="61"/>
      <c r="BW162" s="61"/>
      <c r="BX162" s="61"/>
    </row>
    <row r="163">
      <c r="A163" s="62" t="str">
        <f t="shared" si="1"/>
        <v>#REF!</v>
      </c>
      <c r="B163" s="61"/>
      <c r="C163" s="61"/>
      <c r="D163" s="61"/>
      <c r="E163" s="61"/>
      <c r="F163" s="61"/>
      <c r="G163" s="61"/>
      <c r="H163" s="61"/>
      <c r="I163" s="61"/>
      <c r="J163" s="61"/>
      <c r="K163" s="61"/>
      <c r="L163" s="61"/>
      <c r="M163" s="61"/>
      <c r="N163" s="61"/>
      <c r="O163" s="61"/>
      <c r="P163" s="61"/>
      <c r="Q163" s="61"/>
      <c r="R163" s="61"/>
      <c r="S163" s="61"/>
      <c r="T163" s="61"/>
      <c r="U163" s="61"/>
      <c r="V163" s="61"/>
      <c r="W163" s="61"/>
      <c r="X163" s="61"/>
      <c r="Y163" s="61"/>
      <c r="Z163" s="61"/>
      <c r="AA163" s="61"/>
      <c r="AB163" s="61"/>
      <c r="AC163" s="61"/>
      <c r="AD163" s="61"/>
      <c r="AE163" s="61"/>
      <c r="AF163" s="61"/>
      <c r="AG163" s="61"/>
      <c r="AH163" s="61"/>
      <c r="AI163" s="61"/>
      <c r="AJ163" s="61"/>
      <c r="AK163" s="61"/>
      <c r="AL163" s="61"/>
      <c r="AM163" s="61"/>
      <c r="AN163" s="61"/>
      <c r="AO163" s="61"/>
      <c r="AP163" s="61"/>
      <c r="AQ163" s="61"/>
      <c r="AR163" s="61"/>
      <c r="AS163" s="61"/>
      <c r="AT163" s="61"/>
      <c r="AU163" s="61"/>
      <c r="AV163" s="61"/>
      <c r="AW163" s="61"/>
      <c r="AX163" s="61"/>
      <c r="AY163" s="61"/>
      <c r="AZ163" s="61"/>
      <c r="BA163" s="61"/>
      <c r="BB163" s="61"/>
      <c r="BC163" s="61"/>
      <c r="BD163" s="61"/>
      <c r="BE163" s="61"/>
      <c r="BF163" s="61"/>
      <c r="BG163" s="61"/>
      <c r="BH163" s="61"/>
      <c r="BI163" s="61"/>
      <c r="BJ163" s="61"/>
      <c r="BK163" s="61"/>
      <c r="BL163" s="61"/>
      <c r="BM163" s="61"/>
      <c r="BN163" s="61"/>
      <c r="BO163" s="61"/>
      <c r="BP163" s="61"/>
      <c r="BQ163" s="61"/>
      <c r="BR163" s="61"/>
      <c r="BS163" s="61"/>
      <c r="BT163" s="61"/>
      <c r="BU163" s="61"/>
      <c r="BV163" s="61"/>
      <c r="BW163" s="61"/>
      <c r="BX163" s="61"/>
    </row>
    <row r="164">
      <c r="A164" s="62" t="str">
        <f t="shared" si="1"/>
        <v>#REF!</v>
      </c>
      <c r="B164" s="61"/>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Z164" s="61"/>
      <c r="AA164" s="61"/>
      <c r="AB164" s="61"/>
      <c r="AC164" s="61"/>
      <c r="AD164" s="61"/>
      <c r="AE164" s="61"/>
      <c r="AF164" s="61"/>
      <c r="AG164" s="61"/>
      <c r="AH164" s="61"/>
      <c r="AI164" s="61"/>
      <c r="AJ164" s="61"/>
      <c r="AK164" s="61"/>
      <c r="AL164" s="61"/>
      <c r="AM164" s="61"/>
      <c r="AN164" s="61"/>
      <c r="AO164" s="61"/>
      <c r="AP164" s="61"/>
      <c r="AQ164" s="61"/>
      <c r="AR164" s="61"/>
      <c r="AS164" s="61"/>
      <c r="AT164" s="61"/>
      <c r="AU164" s="61"/>
      <c r="AV164" s="61"/>
      <c r="AW164" s="61"/>
      <c r="AX164" s="61"/>
      <c r="AY164" s="61"/>
      <c r="AZ164" s="61"/>
      <c r="BA164" s="61"/>
      <c r="BB164" s="61"/>
      <c r="BC164" s="61"/>
      <c r="BD164" s="61"/>
      <c r="BE164" s="61"/>
      <c r="BF164" s="61"/>
      <c r="BG164" s="61"/>
      <c r="BH164" s="61"/>
      <c r="BI164" s="61"/>
      <c r="BJ164" s="61"/>
      <c r="BK164" s="61"/>
      <c r="BL164" s="61"/>
      <c r="BM164" s="61"/>
      <c r="BN164" s="61"/>
      <c r="BO164" s="61"/>
      <c r="BP164" s="61"/>
      <c r="BQ164" s="61"/>
      <c r="BR164" s="61"/>
      <c r="BS164" s="61"/>
      <c r="BT164" s="61"/>
      <c r="BU164" s="61"/>
      <c r="BV164" s="61"/>
      <c r="BW164" s="61"/>
      <c r="BX164" s="61"/>
    </row>
    <row r="165">
      <c r="A165" s="62" t="str">
        <f t="shared" si="1"/>
        <v>#REF!</v>
      </c>
      <c r="B165" s="61"/>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1"/>
      <c r="AA165" s="61"/>
      <c r="AB165" s="61"/>
      <c r="AC165" s="61"/>
      <c r="AD165" s="61"/>
      <c r="AE165" s="61"/>
      <c r="AF165" s="61"/>
      <c r="AG165" s="61"/>
      <c r="AH165" s="61"/>
      <c r="AI165" s="61"/>
      <c r="AJ165" s="61"/>
      <c r="AK165" s="61"/>
      <c r="AL165" s="61"/>
      <c r="AM165" s="61"/>
      <c r="AN165" s="61"/>
      <c r="AO165" s="61"/>
      <c r="AP165" s="61"/>
      <c r="AQ165" s="61"/>
      <c r="AR165" s="61"/>
      <c r="AS165" s="61"/>
      <c r="AT165" s="61"/>
      <c r="AU165" s="61"/>
      <c r="AV165" s="61"/>
      <c r="AW165" s="61"/>
      <c r="AX165" s="61"/>
      <c r="AY165" s="61"/>
      <c r="AZ165" s="61"/>
      <c r="BA165" s="61"/>
      <c r="BB165" s="61"/>
      <c r="BC165" s="61"/>
      <c r="BD165" s="61"/>
      <c r="BE165" s="61"/>
      <c r="BF165" s="61"/>
      <c r="BG165" s="61"/>
      <c r="BH165" s="61"/>
      <c r="BI165" s="61"/>
      <c r="BJ165" s="61"/>
      <c r="BK165" s="61"/>
      <c r="BL165" s="61"/>
      <c r="BM165" s="61"/>
      <c r="BN165" s="61"/>
      <c r="BO165" s="61"/>
      <c r="BP165" s="61"/>
      <c r="BQ165" s="61"/>
      <c r="BR165" s="61"/>
      <c r="BS165" s="61"/>
      <c r="BT165" s="61"/>
      <c r="BU165" s="61"/>
      <c r="BV165" s="61"/>
      <c r="BW165" s="61"/>
      <c r="BX165" s="61"/>
    </row>
    <row r="166">
      <c r="A166" s="62" t="str">
        <f t="shared" si="1"/>
        <v>#REF!</v>
      </c>
      <c r="B166" s="61"/>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1"/>
      <c r="AA166" s="61"/>
      <c r="AB166" s="61"/>
      <c r="AC166" s="61"/>
      <c r="AD166" s="61"/>
      <c r="AE166" s="61"/>
      <c r="AF166" s="61"/>
      <c r="AG166" s="61"/>
      <c r="AH166" s="61"/>
      <c r="AI166" s="61"/>
      <c r="AJ166" s="61"/>
      <c r="AK166" s="61"/>
      <c r="AL166" s="61"/>
      <c r="AM166" s="61"/>
      <c r="AN166" s="61"/>
      <c r="AO166" s="61"/>
      <c r="AP166" s="61"/>
      <c r="AQ166" s="61"/>
      <c r="AR166" s="61"/>
      <c r="AS166" s="61"/>
      <c r="AT166" s="61"/>
      <c r="AU166" s="61"/>
      <c r="AV166" s="61"/>
      <c r="AW166" s="61"/>
      <c r="AX166" s="61"/>
      <c r="AY166" s="61"/>
      <c r="AZ166" s="61"/>
      <c r="BA166" s="61"/>
      <c r="BB166" s="61"/>
      <c r="BC166" s="61"/>
      <c r="BD166" s="61"/>
      <c r="BE166" s="61"/>
      <c r="BF166" s="61"/>
      <c r="BG166" s="61"/>
      <c r="BH166" s="61"/>
      <c r="BI166" s="61"/>
      <c r="BJ166" s="61"/>
      <c r="BK166" s="61"/>
      <c r="BL166" s="61"/>
      <c r="BM166" s="61"/>
      <c r="BN166" s="61"/>
      <c r="BO166" s="61"/>
      <c r="BP166" s="61"/>
      <c r="BQ166" s="61"/>
      <c r="BR166" s="61"/>
      <c r="BS166" s="61"/>
      <c r="BT166" s="61"/>
      <c r="BU166" s="61"/>
      <c r="BV166" s="61"/>
      <c r="BW166" s="61"/>
      <c r="BX166" s="61"/>
    </row>
    <row r="167">
      <c r="A167" s="62" t="str">
        <f t="shared" si="1"/>
        <v>#REF!</v>
      </c>
      <c r="B167" s="61"/>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1"/>
      <c r="AA167" s="61"/>
      <c r="AB167" s="61"/>
      <c r="AC167" s="61"/>
      <c r="AD167" s="61"/>
      <c r="AE167" s="61"/>
      <c r="AF167" s="61"/>
      <c r="AG167" s="61"/>
      <c r="AH167" s="61"/>
      <c r="AI167" s="61"/>
      <c r="AJ167" s="61"/>
      <c r="AK167" s="61"/>
      <c r="AL167" s="61"/>
      <c r="AM167" s="61"/>
      <c r="AN167" s="61"/>
      <c r="AO167" s="61"/>
      <c r="AP167" s="61"/>
      <c r="AQ167" s="61"/>
      <c r="AR167" s="61"/>
      <c r="AS167" s="61"/>
      <c r="AT167" s="61"/>
      <c r="AU167" s="61"/>
      <c r="AV167" s="61"/>
      <c r="AW167" s="61"/>
      <c r="AX167" s="61"/>
      <c r="AY167" s="61"/>
      <c r="AZ167" s="61"/>
      <c r="BA167" s="61"/>
      <c r="BB167" s="61"/>
      <c r="BC167" s="61"/>
      <c r="BD167" s="61"/>
      <c r="BE167" s="61"/>
      <c r="BF167" s="61"/>
      <c r="BG167" s="61"/>
      <c r="BH167" s="61"/>
      <c r="BI167" s="61"/>
      <c r="BJ167" s="61"/>
      <c r="BK167" s="61"/>
      <c r="BL167" s="61"/>
      <c r="BM167" s="61"/>
      <c r="BN167" s="61"/>
      <c r="BO167" s="61"/>
      <c r="BP167" s="61"/>
      <c r="BQ167" s="61"/>
      <c r="BR167" s="61"/>
      <c r="BS167" s="61"/>
      <c r="BT167" s="61"/>
      <c r="BU167" s="61"/>
      <c r="BV167" s="61"/>
      <c r="BW167" s="61"/>
      <c r="BX167" s="61"/>
    </row>
    <row r="168">
      <c r="A168" s="62" t="str">
        <f t="shared" si="1"/>
        <v>#REF!</v>
      </c>
      <c r="B168" s="61"/>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c r="AA168" s="61"/>
      <c r="AB168" s="61"/>
      <c r="AC168" s="61"/>
      <c r="AD168" s="61"/>
      <c r="AE168" s="61"/>
      <c r="AF168" s="61"/>
      <c r="AG168" s="61"/>
      <c r="AH168" s="61"/>
      <c r="AI168" s="61"/>
      <c r="AJ168" s="61"/>
      <c r="AK168" s="61"/>
      <c r="AL168" s="61"/>
      <c r="AM168" s="61"/>
      <c r="AN168" s="61"/>
      <c r="AO168" s="61"/>
      <c r="AP168" s="61"/>
      <c r="AQ168" s="61"/>
      <c r="AR168" s="61"/>
      <c r="AS168" s="61"/>
      <c r="AT168" s="61"/>
      <c r="AU168" s="61"/>
      <c r="AV168" s="61"/>
      <c r="AW168" s="61"/>
      <c r="AX168" s="61"/>
      <c r="AY168" s="61"/>
      <c r="AZ168" s="61"/>
      <c r="BA168" s="61"/>
      <c r="BB168" s="61"/>
      <c r="BC168" s="61"/>
      <c r="BD168" s="61"/>
      <c r="BE168" s="61"/>
      <c r="BF168" s="61"/>
      <c r="BG168" s="61"/>
      <c r="BH168" s="61"/>
      <c r="BI168" s="61"/>
      <c r="BJ168" s="61"/>
      <c r="BK168" s="61"/>
      <c r="BL168" s="61"/>
      <c r="BM168" s="61"/>
      <c r="BN168" s="61"/>
      <c r="BO168" s="61"/>
      <c r="BP168" s="61"/>
      <c r="BQ168" s="61"/>
      <c r="BR168" s="61"/>
      <c r="BS168" s="61"/>
      <c r="BT168" s="61"/>
      <c r="BU168" s="61"/>
      <c r="BV168" s="61"/>
      <c r="BW168" s="61"/>
      <c r="BX168" s="61"/>
    </row>
    <row r="169">
      <c r="A169" s="62" t="str">
        <f t="shared" si="1"/>
        <v>#REF!</v>
      </c>
      <c r="B169" s="61"/>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1"/>
      <c r="AA169" s="61"/>
      <c r="AB169" s="61"/>
      <c r="AC169" s="61"/>
      <c r="AD169" s="61"/>
      <c r="AE169" s="61"/>
      <c r="AF169" s="61"/>
      <c r="AG169" s="61"/>
      <c r="AH169" s="61"/>
      <c r="AI169" s="61"/>
      <c r="AJ169" s="61"/>
      <c r="AK169" s="61"/>
      <c r="AL169" s="61"/>
      <c r="AM169" s="61"/>
      <c r="AN169" s="61"/>
      <c r="AO169" s="61"/>
      <c r="AP169" s="61"/>
      <c r="AQ169" s="61"/>
      <c r="AR169" s="61"/>
      <c r="AS169" s="61"/>
      <c r="AT169" s="61"/>
      <c r="AU169" s="61"/>
      <c r="AV169" s="61"/>
      <c r="AW169" s="61"/>
      <c r="AX169" s="61"/>
      <c r="AY169" s="61"/>
      <c r="AZ169" s="61"/>
      <c r="BA169" s="61"/>
      <c r="BB169" s="61"/>
      <c r="BC169" s="61"/>
      <c r="BD169" s="61"/>
      <c r="BE169" s="61"/>
      <c r="BF169" s="61"/>
      <c r="BG169" s="61"/>
      <c r="BH169" s="61"/>
      <c r="BI169" s="61"/>
      <c r="BJ169" s="61"/>
      <c r="BK169" s="61"/>
      <c r="BL169" s="61"/>
      <c r="BM169" s="61"/>
      <c r="BN169" s="61"/>
      <c r="BO169" s="61"/>
      <c r="BP169" s="61"/>
      <c r="BQ169" s="61"/>
      <c r="BR169" s="61"/>
      <c r="BS169" s="61"/>
      <c r="BT169" s="61"/>
      <c r="BU169" s="61"/>
      <c r="BV169" s="61"/>
      <c r="BW169" s="61"/>
      <c r="BX169" s="61"/>
    </row>
    <row r="170">
      <c r="A170" s="62" t="str">
        <f t="shared" si="1"/>
        <v>#REF!</v>
      </c>
      <c r="B170" s="61"/>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1"/>
      <c r="AA170" s="61"/>
      <c r="AB170" s="61"/>
      <c r="AC170" s="61"/>
      <c r="AD170" s="61"/>
      <c r="AE170" s="61"/>
      <c r="AF170" s="61"/>
      <c r="AG170" s="61"/>
      <c r="AH170" s="61"/>
      <c r="AI170" s="61"/>
      <c r="AJ170" s="61"/>
      <c r="AK170" s="61"/>
      <c r="AL170" s="61"/>
      <c r="AM170" s="61"/>
      <c r="AN170" s="61"/>
      <c r="AO170" s="61"/>
      <c r="AP170" s="61"/>
      <c r="AQ170" s="61"/>
      <c r="AR170" s="61"/>
      <c r="AS170" s="61"/>
      <c r="AT170" s="61"/>
      <c r="AU170" s="61"/>
      <c r="AV170" s="61"/>
      <c r="AW170" s="61"/>
      <c r="AX170" s="61"/>
      <c r="AY170" s="61"/>
      <c r="AZ170" s="61"/>
      <c r="BA170" s="61"/>
      <c r="BB170" s="61"/>
      <c r="BC170" s="61"/>
      <c r="BD170" s="61"/>
      <c r="BE170" s="61"/>
      <c r="BF170" s="61"/>
      <c r="BG170" s="61"/>
      <c r="BH170" s="61"/>
      <c r="BI170" s="61"/>
      <c r="BJ170" s="61"/>
      <c r="BK170" s="61"/>
      <c r="BL170" s="61"/>
      <c r="BM170" s="61"/>
      <c r="BN170" s="61"/>
      <c r="BO170" s="61"/>
      <c r="BP170" s="61"/>
      <c r="BQ170" s="61"/>
      <c r="BR170" s="61"/>
      <c r="BS170" s="61"/>
      <c r="BT170" s="61"/>
      <c r="BU170" s="61"/>
      <c r="BV170" s="61"/>
      <c r="BW170" s="61"/>
      <c r="BX170" s="61"/>
    </row>
    <row r="171">
      <c r="A171" s="62" t="str">
        <f t="shared" si="1"/>
        <v>#REF!</v>
      </c>
      <c r="B171" s="61"/>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1"/>
      <c r="AA171" s="61"/>
      <c r="AB171" s="61"/>
      <c r="AC171" s="61"/>
      <c r="AD171" s="61"/>
      <c r="AE171" s="61"/>
      <c r="AF171" s="61"/>
      <c r="AG171" s="61"/>
      <c r="AH171" s="61"/>
      <c r="AI171" s="61"/>
      <c r="AJ171" s="61"/>
      <c r="AK171" s="61"/>
      <c r="AL171" s="61"/>
      <c r="AM171" s="61"/>
      <c r="AN171" s="61"/>
      <c r="AO171" s="61"/>
      <c r="AP171" s="61"/>
      <c r="AQ171" s="61"/>
      <c r="AR171" s="61"/>
      <c r="AS171" s="61"/>
      <c r="AT171" s="61"/>
      <c r="AU171" s="61"/>
      <c r="AV171" s="61"/>
      <c r="AW171" s="61"/>
      <c r="AX171" s="61"/>
      <c r="AY171" s="61"/>
      <c r="AZ171" s="61"/>
      <c r="BA171" s="61"/>
      <c r="BB171" s="61"/>
      <c r="BC171" s="61"/>
      <c r="BD171" s="61"/>
      <c r="BE171" s="61"/>
      <c r="BF171" s="61"/>
      <c r="BG171" s="61"/>
      <c r="BH171" s="61"/>
      <c r="BI171" s="61"/>
      <c r="BJ171" s="61"/>
      <c r="BK171" s="61"/>
      <c r="BL171" s="61"/>
      <c r="BM171" s="61"/>
      <c r="BN171" s="61"/>
      <c r="BO171" s="61"/>
      <c r="BP171" s="61"/>
      <c r="BQ171" s="61"/>
      <c r="BR171" s="61"/>
      <c r="BS171" s="61"/>
      <c r="BT171" s="61"/>
      <c r="BU171" s="61"/>
      <c r="BV171" s="61"/>
      <c r="BW171" s="61"/>
      <c r="BX171" s="61"/>
    </row>
    <row r="172">
      <c r="A172" s="62" t="str">
        <f t="shared" si="1"/>
        <v>#REF!</v>
      </c>
      <c r="B172" s="61"/>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c r="AA172" s="61"/>
      <c r="AB172" s="61"/>
      <c r="AC172" s="61"/>
      <c r="AD172" s="61"/>
      <c r="AE172" s="61"/>
      <c r="AF172" s="61"/>
      <c r="AG172" s="61"/>
      <c r="AH172" s="61"/>
      <c r="AI172" s="61"/>
      <c r="AJ172" s="61"/>
      <c r="AK172" s="61"/>
      <c r="AL172" s="61"/>
      <c r="AM172" s="61"/>
      <c r="AN172" s="61"/>
      <c r="AO172" s="61"/>
      <c r="AP172" s="61"/>
      <c r="AQ172" s="61"/>
      <c r="AR172" s="61"/>
      <c r="AS172" s="61"/>
      <c r="AT172" s="61"/>
      <c r="AU172" s="61"/>
      <c r="AV172" s="61"/>
      <c r="AW172" s="61"/>
      <c r="AX172" s="61"/>
      <c r="AY172" s="61"/>
      <c r="AZ172" s="61"/>
      <c r="BA172" s="61"/>
      <c r="BB172" s="61"/>
      <c r="BC172" s="61"/>
      <c r="BD172" s="61"/>
      <c r="BE172" s="61"/>
      <c r="BF172" s="61"/>
      <c r="BG172" s="61"/>
      <c r="BH172" s="61"/>
      <c r="BI172" s="61"/>
      <c r="BJ172" s="61"/>
      <c r="BK172" s="61"/>
      <c r="BL172" s="61"/>
      <c r="BM172" s="61"/>
      <c r="BN172" s="61"/>
      <c r="BO172" s="61"/>
      <c r="BP172" s="61"/>
      <c r="BQ172" s="61"/>
      <c r="BR172" s="61"/>
      <c r="BS172" s="61"/>
      <c r="BT172" s="61"/>
      <c r="BU172" s="61"/>
      <c r="BV172" s="61"/>
      <c r="BW172" s="61"/>
      <c r="BX172" s="61"/>
    </row>
    <row r="173">
      <c r="A173" s="62" t="str">
        <f t="shared" si="1"/>
        <v>#REF!</v>
      </c>
      <c r="B173" s="61"/>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1"/>
      <c r="AA173" s="61"/>
      <c r="AB173" s="61"/>
      <c r="AC173" s="61"/>
      <c r="AD173" s="61"/>
      <c r="AE173" s="61"/>
      <c r="AF173" s="61"/>
      <c r="AG173" s="61"/>
      <c r="AH173" s="61"/>
      <c r="AI173" s="61"/>
      <c r="AJ173" s="61"/>
      <c r="AK173" s="61"/>
      <c r="AL173" s="61"/>
      <c r="AM173" s="61"/>
      <c r="AN173" s="61"/>
      <c r="AO173" s="61"/>
      <c r="AP173" s="61"/>
      <c r="AQ173" s="61"/>
      <c r="AR173" s="61"/>
      <c r="AS173" s="61"/>
      <c r="AT173" s="61"/>
      <c r="AU173" s="61"/>
      <c r="AV173" s="61"/>
      <c r="AW173" s="61"/>
      <c r="AX173" s="61"/>
      <c r="AY173" s="61"/>
      <c r="AZ173" s="61"/>
      <c r="BA173" s="61"/>
      <c r="BB173" s="61"/>
      <c r="BC173" s="61"/>
      <c r="BD173" s="61"/>
      <c r="BE173" s="61"/>
      <c r="BF173" s="61"/>
      <c r="BG173" s="61"/>
      <c r="BH173" s="61"/>
      <c r="BI173" s="61"/>
      <c r="BJ173" s="61"/>
      <c r="BK173" s="61"/>
      <c r="BL173" s="61"/>
      <c r="BM173" s="61"/>
      <c r="BN173" s="61"/>
      <c r="BO173" s="61"/>
      <c r="BP173" s="61"/>
      <c r="BQ173" s="61"/>
      <c r="BR173" s="61"/>
      <c r="BS173" s="61"/>
      <c r="BT173" s="61"/>
      <c r="BU173" s="61"/>
      <c r="BV173" s="61"/>
      <c r="BW173" s="61"/>
      <c r="BX173" s="61"/>
    </row>
    <row r="174">
      <c r="A174" s="62" t="str">
        <f t="shared" si="1"/>
        <v>#REF!</v>
      </c>
      <c r="B174" s="61"/>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1"/>
      <c r="AA174" s="61"/>
      <c r="AB174" s="61"/>
      <c r="AC174" s="61"/>
      <c r="AD174" s="61"/>
      <c r="AE174" s="61"/>
      <c r="AF174" s="61"/>
      <c r="AG174" s="61"/>
      <c r="AH174" s="61"/>
      <c r="AI174" s="61"/>
      <c r="AJ174" s="61"/>
      <c r="AK174" s="61"/>
      <c r="AL174" s="61"/>
      <c r="AM174" s="61"/>
      <c r="AN174" s="61"/>
      <c r="AO174" s="61"/>
      <c r="AP174" s="61"/>
      <c r="AQ174" s="61"/>
      <c r="AR174" s="61"/>
      <c r="AS174" s="61"/>
      <c r="AT174" s="61"/>
      <c r="AU174" s="61"/>
      <c r="AV174" s="61"/>
      <c r="AW174" s="61"/>
      <c r="AX174" s="61"/>
      <c r="AY174" s="61"/>
      <c r="AZ174" s="61"/>
      <c r="BA174" s="61"/>
      <c r="BB174" s="61"/>
      <c r="BC174" s="61"/>
      <c r="BD174" s="61"/>
      <c r="BE174" s="61"/>
      <c r="BF174" s="61"/>
      <c r="BG174" s="61"/>
      <c r="BH174" s="61"/>
      <c r="BI174" s="61"/>
      <c r="BJ174" s="61"/>
      <c r="BK174" s="61"/>
      <c r="BL174" s="61"/>
      <c r="BM174" s="61"/>
      <c r="BN174" s="61"/>
      <c r="BO174" s="61"/>
      <c r="BP174" s="61"/>
      <c r="BQ174" s="61"/>
      <c r="BR174" s="61"/>
      <c r="BS174" s="61"/>
      <c r="BT174" s="61"/>
      <c r="BU174" s="61"/>
      <c r="BV174" s="61"/>
      <c r="BW174" s="61"/>
      <c r="BX174" s="61"/>
    </row>
    <row r="175">
      <c r="A175" s="62" t="str">
        <f t="shared" si="1"/>
        <v>#REF!</v>
      </c>
      <c r="B175" s="61"/>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1"/>
      <c r="AA175" s="61"/>
      <c r="AB175" s="61"/>
      <c r="AC175" s="61"/>
      <c r="AD175" s="61"/>
      <c r="AE175" s="61"/>
      <c r="AF175" s="61"/>
      <c r="AG175" s="61"/>
      <c r="AH175" s="61"/>
      <c r="AI175" s="61"/>
      <c r="AJ175" s="61"/>
      <c r="AK175" s="61"/>
      <c r="AL175" s="61"/>
      <c r="AM175" s="61"/>
      <c r="AN175" s="61"/>
      <c r="AO175" s="61"/>
      <c r="AP175" s="61"/>
      <c r="AQ175" s="61"/>
      <c r="AR175" s="61"/>
      <c r="AS175" s="61"/>
      <c r="AT175" s="61"/>
      <c r="AU175" s="61"/>
      <c r="AV175" s="61"/>
      <c r="AW175" s="61"/>
      <c r="AX175" s="61"/>
      <c r="AY175" s="61"/>
      <c r="AZ175" s="61"/>
      <c r="BA175" s="61"/>
      <c r="BB175" s="61"/>
      <c r="BC175" s="61"/>
      <c r="BD175" s="61"/>
      <c r="BE175" s="61"/>
      <c r="BF175" s="61"/>
      <c r="BG175" s="61"/>
      <c r="BH175" s="61"/>
      <c r="BI175" s="61"/>
      <c r="BJ175" s="61"/>
      <c r="BK175" s="61"/>
      <c r="BL175" s="61"/>
      <c r="BM175" s="61"/>
      <c r="BN175" s="61"/>
      <c r="BO175" s="61"/>
      <c r="BP175" s="61"/>
      <c r="BQ175" s="61"/>
      <c r="BR175" s="61"/>
      <c r="BS175" s="61"/>
      <c r="BT175" s="61"/>
      <c r="BU175" s="61"/>
      <c r="BV175" s="61"/>
      <c r="BW175" s="61"/>
      <c r="BX175" s="61"/>
    </row>
    <row r="176">
      <c r="A176" s="62" t="str">
        <f t="shared" si="1"/>
        <v>#REF!</v>
      </c>
      <c r="B176" s="61"/>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1"/>
      <c r="AA176" s="61"/>
      <c r="AB176" s="61"/>
      <c r="AC176" s="61"/>
      <c r="AD176" s="61"/>
      <c r="AE176" s="61"/>
      <c r="AF176" s="61"/>
      <c r="AG176" s="61"/>
      <c r="AH176" s="61"/>
      <c r="AI176" s="61"/>
      <c r="AJ176" s="61"/>
      <c r="AK176" s="61"/>
      <c r="AL176" s="61"/>
      <c r="AM176" s="61"/>
      <c r="AN176" s="61"/>
      <c r="AO176" s="61"/>
      <c r="AP176" s="61"/>
      <c r="AQ176" s="61"/>
      <c r="AR176" s="61"/>
      <c r="AS176" s="61"/>
      <c r="AT176" s="61"/>
      <c r="AU176" s="61"/>
      <c r="AV176" s="61"/>
      <c r="AW176" s="61"/>
      <c r="AX176" s="61"/>
      <c r="AY176" s="61"/>
      <c r="AZ176" s="61"/>
      <c r="BA176" s="61"/>
      <c r="BB176" s="61"/>
      <c r="BC176" s="61"/>
      <c r="BD176" s="61"/>
      <c r="BE176" s="61"/>
      <c r="BF176" s="61"/>
      <c r="BG176" s="61"/>
      <c r="BH176" s="61"/>
      <c r="BI176" s="61"/>
      <c r="BJ176" s="61"/>
      <c r="BK176" s="61"/>
      <c r="BL176" s="61"/>
      <c r="BM176" s="61"/>
      <c r="BN176" s="61"/>
      <c r="BO176" s="61"/>
      <c r="BP176" s="61"/>
      <c r="BQ176" s="61"/>
      <c r="BR176" s="61"/>
      <c r="BS176" s="61"/>
      <c r="BT176" s="61"/>
      <c r="BU176" s="61"/>
      <c r="BV176" s="61"/>
      <c r="BW176" s="61"/>
      <c r="BX176" s="61"/>
    </row>
    <row r="177">
      <c r="A177" s="62" t="str">
        <f t="shared" si="1"/>
        <v>#REF!</v>
      </c>
      <c r="B177" s="61"/>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c r="AA177" s="61"/>
      <c r="AB177" s="61"/>
      <c r="AC177" s="61"/>
      <c r="AD177" s="61"/>
      <c r="AE177" s="61"/>
      <c r="AF177" s="61"/>
      <c r="AG177" s="61"/>
      <c r="AH177" s="61"/>
      <c r="AI177" s="61"/>
      <c r="AJ177" s="61"/>
      <c r="AK177" s="61"/>
      <c r="AL177" s="61"/>
      <c r="AM177" s="61"/>
      <c r="AN177" s="61"/>
      <c r="AO177" s="61"/>
      <c r="AP177" s="61"/>
      <c r="AQ177" s="61"/>
      <c r="AR177" s="61"/>
      <c r="AS177" s="61"/>
      <c r="AT177" s="61"/>
      <c r="AU177" s="61"/>
      <c r="AV177" s="61"/>
      <c r="AW177" s="61"/>
      <c r="AX177" s="61"/>
      <c r="AY177" s="61"/>
      <c r="AZ177" s="61"/>
      <c r="BA177" s="61"/>
      <c r="BB177" s="61"/>
      <c r="BC177" s="61"/>
      <c r="BD177" s="61"/>
      <c r="BE177" s="61"/>
      <c r="BF177" s="61"/>
      <c r="BG177" s="61"/>
      <c r="BH177" s="61"/>
      <c r="BI177" s="61"/>
      <c r="BJ177" s="61"/>
      <c r="BK177" s="61"/>
      <c r="BL177" s="61"/>
      <c r="BM177" s="61"/>
      <c r="BN177" s="61"/>
      <c r="BO177" s="61"/>
      <c r="BP177" s="61"/>
      <c r="BQ177" s="61"/>
      <c r="BR177" s="61"/>
      <c r="BS177" s="61"/>
      <c r="BT177" s="61"/>
      <c r="BU177" s="61"/>
      <c r="BV177" s="61"/>
      <c r="BW177" s="61"/>
      <c r="BX177" s="61"/>
    </row>
    <row r="178">
      <c r="A178" s="62" t="str">
        <f t="shared" si="1"/>
        <v>#REF!</v>
      </c>
      <c r="B178" s="61"/>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1"/>
      <c r="AA178" s="61"/>
      <c r="AB178" s="61"/>
      <c r="AC178" s="61"/>
      <c r="AD178" s="61"/>
      <c r="AE178" s="61"/>
      <c r="AF178" s="61"/>
      <c r="AG178" s="61"/>
      <c r="AH178" s="61"/>
      <c r="AI178" s="61"/>
      <c r="AJ178" s="61"/>
      <c r="AK178" s="61"/>
      <c r="AL178" s="61"/>
      <c r="AM178" s="61"/>
      <c r="AN178" s="61"/>
      <c r="AO178" s="61"/>
      <c r="AP178" s="61"/>
      <c r="AQ178" s="61"/>
      <c r="AR178" s="61"/>
      <c r="AS178" s="61"/>
      <c r="AT178" s="61"/>
      <c r="AU178" s="61"/>
      <c r="AV178" s="61"/>
      <c r="AW178" s="61"/>
      <c r="AX178" s="61"/>
      <c r="AY178" s="61"/>
      <c r="AZ178" s="61"/>
      <c r="BA178" s="61"/>
      <c r="BB178" s="61"/>
      <c r="BC178" s="61"/>
      <c r="BD178" s="61"/>
      <c r="BE178" s="61"/>
      <c r="BF178" s="61"/>
      <c r="BG178" s="61"/>
      <c r="BH178" s="61"/>
      <c r="BI178" s="61"/>
      <c r="BJ178" s="61"/>
      <c r="BK178" s="61"/>
      <c r="BL178" s="61"/>
      <c r="BM178" s="61"/>
      <c r="BN178" s="61"/>
      <c r="BO178" s="61"/>
      <c r="BP178" s="61"/>
      <c r="BQ178" s="61"/>
      <c r="BR178" s="61"/>
      <c r="BS178" s="61"/>
      <c r="BT178" s="61"/>
      <c r="BU178" s="61"/>
      <c r="BV178" s="61"/>
      <c r="BW178" s="61"/>
      <c r="BX178" s="61"/>
    </row>
    <row r="179">
      <c r="A179" s="62" t="str">
        <f t="shared" si="1"/>
        <v>#REF!</v>
      </c>
      <c r="B179" s="61"/>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c r="AA179" s="61"/>
      <c r="AB179" s="61"/>
      <c r="AC179" s="61"/>
      <c r="AD179" s="61"/>
      <c r="AE179" s="61"/>
      <c r="AF179" s="61"/>
      <c r="AG179" s="61"/>
      <c r="AH179" s="61"/>
      <c r="AI179" s="61"/>
      <c r="AJ179" s="61"/>
      <c r="AK179" s="61"/>
      <c r="AL179" s="61"/>
      <c r="AM179" s="61"/>
      <c r="AN179" s="61"/>
      <c r="AO179" s="61"/>
      <c r="AP179" s="61"/>
      <c r="AQ179" s="61"/>
      <c r="AR179" s="61"/>
      <c r="AS179" s="61"/>
      <c r="AT179" s="61"/>
      <c r="AU179" s="61"/>
      <c r="AV179" s="61"/>
      <c r="AW179" s="61"/>
      <c r="AX179" s="61"/>
      <c r="AY179" s="61"/>
      <c r="AZ179" s="61"/>
      <c r="BA179" s="61"/>
      <c r="BB179" s="61"/>
      <c r="BC179" s="61"/>
      <c r="BD179" s="61"/>
      <c r="BE179" s="61"/>
      <c r="BF179" s="61"/>
      <c r="BG179" s="61"/>
      <c r="BH179" s="61"/>
      <c r="BI179" s="61"/>
      <c r="BJ179" s="61"/>
      <c r="BK179" s="61"/>
      <c r="BL179" s="61"/>
      <c r="BM179" s="61"/>
      <c r="BN179" s="61"/>
      <c r="BO179" s="61"/>
      <c r="BP179" s="61"/>
      <c r="BQ179" s="61"/>
      <c r="BR179" s="61"/>
      <c r="BS179" s="61"/>
      <c r="BT179" s="61"/>
      <c r="BU179" s="61"/>
      <c r="BV179" s="61"/>
      <c r="BW179" s="61"/>
      <c r="BX179" s="61"/>
    </row>
    <row r="180">
      <c r="A180" s="62" t="str">
        <f t="shared" si="1"/>
        <v>#REF!</v>
      </c>
      <c r="B180" s="61"/>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1"/>
      <c r="AA180" s="61"/>
      <c r="AB180" s="61"/>
      <c r="AC180" s="61"/>
      <c r="AD180" s="61"/>
      <c r="AE180" s="61"/>
      <c r="AF180" s="61"/>
      <c r="AG180" s="61"/>
      <c r="AH180" s="61"/>
      <c r="AI180" s="61"/>
      <c r="AJ180" s="61"/>
      <c r="AK180" s="61"/>
      <c r="AL180" s="61"/>
      <c r="AM180" s="61"/>
      <c r="AN180" s="61"/>
      <c r="AO180" s="61"/>
      <c r="AP180" s="61"/>
      <c r="AQ180" s="61"/>
      <c r="AR180" s="61"/>
      <c r="AS180" s="61"/>
      <c r="AT180" s="61"/>
      <c r="AU180" s="61"/>
      <c r="AV180" s="61"/>
      <c r="AW180" s="61"/>
      <c r="AX180" s="61"/>
      <c r="AY180" s="61"/>
      <c r="AZ180" s="61"/>
      <c r="BA180" s="61"/>
      <c r="BB180" s="61"/>
      <c r="BC180" s="61"/>
      <c r="BD180" s="61"/>
      <c r="BE180" s="61"/>
      <c r="BF180" s="61"/>
      <c r="BG180" s="61"/>
      <c r="BH180" s="61"/>
      <c r="BI180" s="61"/>
      <c r="BJ180" s="61"/>
      <c r="BK180" s="61"/>
      <c r="BL180" s="61"/>
      <c r="BM180" s="61"/>
      <c r="BN180" s="61"/>
      <c r="BO180" s="61"/>
      <c r="BP180" s="61"/>
      <c r="BQ180" s="61"/>
      <c r="BR180" s="61"/>
      <c r="BS180" s="61"/>
      <c r="BT180" s="61"/>
      <c r="BU180" s="61"/>
      <c r="BV180" s="61"/>
      <c r="BW180" s="61"/>
      <c r="BX180" s="61"/>
    </row>
    <row r="181">
      <c r="A181" s="62" t="str">
        <f t="shared" si="1"/>
        <v>#REF!</v>
      </c>
      <c r="B181" s="61"/>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1"/>
      <c r="AA181" s="61"/>
      <c r="AB181" s="61"/>
      <c r="AC181" s="61"/>
      <c r="AD181" s="61"/>
      <c r="AE181" s="61"/>
      <c r="AF181" s="61"/>
      <c r="AG181" s="61"/>
      <c r="AH181" s="61"/>
      <c r="AI181" s="61"/>
      <c r="AJ181" s="61"/>
      <c r="AK181" s="61"/>
      <c r="AL181" s="61"/>
      <c r="AM181" s="61"/>
      <c r="AN181" s="61"/>
      <c r="AO181" s="61"/>
      <c r="AP181" s="61"/>
      <c r="AQ181" s="61"/>
      <c r="AR181" s="61"/>
      <c r="AS181" s="61"/>
      <c r="AT181" s="61"/>
      <c r="AU181" s="61"/>
      <c r="AV181" s="61"/>
      <c r="AW181" s="61"/>
      <c r="AX181" s="61"/>
      <c r="AY181" s="61"/>
      <c r="AZ181" s="61"/>
      <c r="BA181" s="61"/>
      <c r="BB181" s="61"/>
      <c r="BC181" s="61"/>
      <c r="BD181" s="61"/>
      <c r="BE181" s="61"/>
      <c r="BF181" s="61"/>
      <c r="BG181" s="61"/>
      <c r="BH181" s="61"/>
      <c r="BI181" s="61"/>
      <c r="BJ181" s="61"/>
      <c r="BK181" s="61"/>
      <c r="BL181" s="61"/>
      <c r="BM181" s="61"/>
      <c r="BN181" s="61"/>
      <c r="BO181" s="61"/>
      <c r="BP181" s="61"/>
      <c r="BQ181" s="61"/>
      <c r="BR181" s="61"/>
      <c r="BS181" s="61"/>
      <c r="BT181" s="61"/>
      <c r="BU181" s="61"/>
      <c r="BV181" s="61"/>
      <c r="BW181" s="61"/>
      <c r="BX181" s="61"/>
    </row>
    <row r="182">
      <c r="A182" s="62" t="str">
        <f t="shared" si="1"/>
        <v>#REF!</v>
      </c>
      <c r="B182" s="61"/>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c r="AA182" s="61"/>
      <c r="AB182" s="61"/>
      <c r="AC182" s="61"/>
      <c r="AD182" s="61"/>
      <c r="AE182" s="61"/>
      <c r="AF182" s="61"/>
      <c r="AG182" s="61"/>
      <c r="AH182" s="61"/>
      <c r="AI182" s="61"/>
      <c r="AJ182" s="61"/>
      <c r="AK182" s="61"/>
      <c r="AL182" s="61"/>
      <c r="AM182" s="61"/>
      <c r="AN182" s="61"/>
      <c r="AO182" s="61"/>
      <c r="AP182" s="61"/>
      <c r="AQ182" s="61"/>
      <c r="AR182" s="61"/>
      <c r="AS182" s="61"/>
      <c r="AT182" s="61"/>
      <c r="AU182" s="61"/>
      <c r="AV182" s="61"/>
      <c r="AW182" s="61"/>
      <c r="AX182" s="61"/>
      <c r="AY182" s="61"/>
      <c r="AZ182" s="61"/>
      <c r="BA182" s="61"/>
      <c r="BB182" s="61"/>
      <c r="BC182" s="61"/>
      <c r="BD182" s="61"/>
      <c r="BE182" s="61"/>
      <c r="BF182" s="61"/>
      <c r="BG182" s="61"/>
      <c r="BH182" s="61"/>
      <c r="BI182" s="61"/>
      <c r="BJ182" s="61"/>
      <c r="BK182" s="61"/>
      <c r="BL182" s="61"/>
      <c r="BM182" s="61"/>
      <c r="BN182" s="61"/>
      <c r="BO182" s="61"/>
      <c r="BP182" s="61"/>
      <c r="BQ182" s="61"/>
      <c r="BR182" s="61"/>
      <c r="BS182" s="61"/>
      <c r="BT182" s="61"/>
      <c r="BU182" s="61"/>
      <c r="BV182" s="61"/>
      <c r="BW182" s="61"/>
      <c r="BX182" s="61"/>
    </row>
    <row r="183">
      <c r="A183" s="62" t="str">
        <f t="shared" si="1"/>
        <v>#REF!</v>
      </c>
      <c r="B183" s="61"/>
      <c r="C183" s="61"/>
      <c r="D183" s="61"/>
      <c r="E183" s="61"/>
      <c r="F183" s="61"/>
      <c r="G183" s="61"/>
      <c r="H183" s="61"/>
      <c r="I183" s="61"/>
      <c r="J183" s="61"/>
      <c r="K183" s="61"/>
      <c r="L183" s="61"/>
      <c r="M183" s="61"/>
      <c r="N183" s="61"/>
      <c r="O183" s="61"/>
      <c r="P183" s="61"/>
      <c r="Q183" s="61"/>
      <c r="R183" s="61"/>
      <c r="S183" s="61"/>
      <c r="T183" s="61"/>
      <c r="U183" s="61"/>
      <c r="V183" s="61"/>
      <c r="W183" s="61"/>
      <c r="X183" s="61"/>
      <c r="Y183" s="61"/>
      <c r="Z183" s="61"/>
      <c r="AA183" s="61"/>
      <c r="AB183" s="61"/>
      <c r="AC183" s="61"/>
      <c r="AD183" s="61"/>
      <c r="AE183" s="61"/>
      <c r="AF183" s="61"/>
      <c r="AG183" s="61"/>
      <c r="AH183" s="61"/>
      <c r="AI183" s="61"/>
      <c r="AJ183" s="61"/>
      <c r="AK183" s="61"/>
      <c r="AL183" s="61"/>
      <c r="AM183" s="61"/>
      <c r="AN183" s="61"/>
      <c r="AO183" s="61"/>
      <c r="AP183" s="61"/>
      <c r="AQ183" s="61"/>
      <c r="AR183" s="61"/>
      <c r="AS183" s="61"/>
      <c r="AT183" s="61"/>
      <c r="AU183" s="61"/>
      <c r="AV183" s="61"/>
      <c r="AW183" s="61"/>
      <c r="AX183" s="61"/>
      <c r="AY183" s="61"/>
      <c r="AZ183" s="61"/>
      <c r="BA183" s="61"/>
      <c r="BB183" s="61"/>
      <c r="BC183" s="61"/>
      <c r="BD183" s="61"/>
      <c r="BE183" s="61"/>
      <c r="BF183" s="61"/>
      <c r="BG183" s="61"/>
      <c r="BH183" s="61"/>
      <c r="BI183" s="61"/>
      <c r="BJ183" s="61"/>
      <c r="BK183" s="61"/>
      <c r="BL183" s="61"/>
      <c r="BM183" s="61"/>
      <c r="BN183" s="61"/>
      <c r="BO183" s="61"/>
      <c r="BP183" s="61"/>
      <c r="BQ183" s="61"/>
      <c r="BR183" s="61"/>
      <c r="BS183" s="61"/>
      <c r="BT183" s="61"/>
      <c r="BU183" s="61"/>
      <c r="BV183" s="61"/>
      <c r="BW183" s="61"/>
      <c r="BX183" s="61"/>
    </row>
    <row r="184">
      <c r="A184" s="62" t="str">
        <f t="shared" si="1"/>
        <v>#REF!</v>
      </c>
      <c r="B184" s="61"/>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1"/>
      <c r="AA184" s="61"/>
      <c r="AB184" s="61"/>
      <c r="AC184" s="61"/>
      <c r="AD184" s="61"/>
      <c r="AE184" s="61"/>
      <c r="AF184" s="61"/>
      <c r="AG184" s="61"/>
      <c r="AH184" s="61"/>
      <c r="AI184" s="61"/>
      <c r="AJ184" s="61"/>
      <c r="AK184" s="61"/>
      <c r="AL184" s="61"/>
      <c r="AM184" s="61"/>
      <c r="AN184" s="61"/>
      <c r="AO184" s="61"/>
      <c r="AP184" s="61"/>
      <c r="AQ184" s="61"/>
      <c r="AR184" s="61"/>
      <c r="AS184" s="61"/>
      <c r="AT184" s="61"/>
      <c r="AU184" s="61"/>
      <c r="AV184" s="61"/>
      <c r="AW184" s="61"/>
      <c r="AX184" s="61"/>
      <c r="AY184" s="61"/>
      <c r="AZ184" s="61"/>
      <c r="BA184" s="61"/>
      <c r="BB184" s="61"/>
      <c r="BC184" s="61"/>
      <c r="BD184" s="61"/>
      <c r="BE184" s="61"/>
      <c r="BF184" s="61"/>
      <c r="BG184" s="61"/>
      <c r="BH184" s="61"/>
      <c r="BI184" s="61"/>
      <c r="BJ184" s="61"/>
      <c r="BK184" s="61"/>
      <c r="BL184" s="61"/>
      <c r="BM184" s="61"/>
      <c r="BN184" s="61"/>
      <c r="BO184" s="61"/>
      <c r="BP184" s="61"/>
      <c r="BQ184" s="61"/>
      <c r="BR184" s="61"/>
      <c r="BS184" s="61"/>
      <c r="BT184" s="61"/>
      <c r="BU184" s="61"/>
      <c r="BV184" s="61"/>
      <c r="BW184" s="61"/>
      <c r="BX184" s="61"/>
    </row>
    <row r="185">
      <c r="A185" s="62" t="str">
        <f t="shared" si="1"/>
        <v>#REF!</v>
      </c>
      <c r="B185" s="61"/>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1"/>
      <c r="AA185" s="61"/>
      <c r="AB185" s="61"/>
      <c r="AC185" s="61"/>
      <c r="AD185" s="61"/>
      <c r="AE185" s="61"/>
      <c r="AF185" s="61"/>
      <c r="AG185" s="61"/>
      <c r="AH185" s="61"/>
      <c r="AI185" s="61"/>
      <c r="AJ185" s="61"/>
      <c r="AK185" s="61"/>
      <c r="AL185" s="61"/>
      <c r="AM185" s="61"/>
      <c r="AN185" s="61"/>
      <c r="AO185" s="61"/>
      <c r="AP185" s="61"/>
      <c r="AQ185" s="61"/>
      <c r="AR185" s="61"/>
      <c r="AS185" s="61"/>
      <c r="AT185" s="61"/>
      <c r="AU185" s="61"/>
      <c r="AV185" s="61"/>
      <c r="AW185" s="61"/>
      <c r="AX185" s="61"/>
      <c r="AY185" s="61"/>
      <c r="AZ185" s="61"/>
      <c r="BA185" s="61"/>
      <c r="BB185" s="61"/>
      <c r="BC185" s="61"/>
      <c r="BD185" s="61"/>
      <c r="BE185" s="61"/>
      <c r="BF185" s="61"/>
      <c r="BG185" s="61"/>
      <c r="BH185" s="61"/>
      <c r="BI185" s="61"/>
      <c r="BJ185" s="61"/>
      <c r="BK185" s="61"/>
      <c r="BL185" s="61"/>
      <c r="BM185" s="61"/>
      <c r="BN185" s="61"/>
      <c r="BO185" s="61"/>
      <c r="BP185" s="61"/>
      <c r="BQ185" s="61"/>
      <c r="BR185" s="61"/>
      <c r="BS185" s="61"/>
      <c r="BT185" s="61"/>
      <c r="BU185" s="61"/>
      <c r="BV185" s="61"/>
      <c r="BW185" s="61"/>
      <c r="BX185" s="61"/>
    </row>
    <row r="186">
      <c r="A186" s="62" t="str">
        <f t="shared" si="1"/>
        <v>#REF!</v>
      </c>
      <c r="B186" s="61"/>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1"/>
      <c r="AA186" s="61"/>
      <c r="AB186" s="61"/>
      <c r="AC186" s="61"/>
      <c r="AD186" s="61"/>
      <c r="AE186" s="61"/>
      <c r="AF186" s="61"/>
      <c r="AG186" s="61"/>
      <c r="AH186" s="61"/>
      <c r="AI186" s="61"/>
      <c r="AJ186" s="61"/>
      <c r="AK186" s="61"/>
      <c r="AL186" s="61"/>
      <c r="AM186" s="61"/>
      <c r="AN186" s="61"/>
      <c r="AO186" s="61"/>
      <c r="AP186" s="61"/>
      <c r="AQ186" s="61"/>
      <c r="AR186" s="61"/>
      <c r="AS186" s="61"/>
      <c r="AT186" s="61"/>
      <c r="AU186" s="61"/>
      <c r="AV186" s="61"/>
      <c r="AW186" s="61"/>
      <c r="AX186" s="61"/>
      <c r="AY186" s="61"/>
      <c r="AZ186" s="61"/>
      <c r="BA186" s="61"/>
      <c r="BB186" s="61"/>
      <c r="BC186" s="61"/>
      <c r="BD186" s="61"/>
      <c r="BE186" s="61"/>
      <c r="BF186" s="61"/>
      <c r="BG186" s="61"/>
      <c r="BH186" s="61"/>
      <c r="BI186" s="61"/>
      <c r="BJ186" s="61"/>
      <c r="BK186" s="61"/>
      <c r="BL186" s="61"/>
      <c r="BM186" s="61"/>
      <c r="BN186" s="61"/>
      <c r="BO186" s="61"/>
      <c r="BP186" s="61"/>
      <c r="BQ186" s="61"/>
      <c r="BR186" s="61"/>
      <c r="BS186" s="61"/>
      <c r="BT186" s="61"/>
      <c r="BU186" s="61"/>
      <c r="BV186" s="61"/>
      <c r="BW186" s="61"/>
      <c r="BX186" s="61"/>
    </row>
    <row r="187">
      <c r="A187" s="62" t="str">
        <f t="shared" si="1"/>
        <v>#REF!</v>
      </c>
      <c r="B187" s="61"/>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c r="AA187" s="61"/>
      <c r="AB187" s="61"/>
      <c r="AC187" s="61"/>
      <c r="AD187" s="61"/>
      <c r="AE187" s="61"/>
      <c r="AF187" s="61"/>
      <c r="AG187" s="61"/>
      <c r="AH187" s="61"/>
      <c r="AI187" s="61"/>
      <c r="AJ187" s="61"/>
      <c r="AK187" s="61"/>
      <c r="AL187" s="61"/>
      <c r="AM187" s="61"/>
      <c r="AN187" s="61"/>
      <c r="AO187" s="61"/>
      <c r="AP187" s="61"/>
      <c r="AQ187" s="61"/>
      <c r="AR187" s="61"/>
      <c r="AS187" s="61"/>
      <c r="AT187" s="61"/>
      <c r="AU187" s="61"/>
      <c r="AV187" s="61"/>
      <c r="AW187" s="61"/>
      <c r="AX187" s="61"/>
      <c r="AY187" s="61"/>
      <c r="AZ187" s="61"/>
      <c r="BA187" s="61"/>
      <c r="BB187" s="61"/>
      <c r="BC187" s="61"/>
      <c r="BD187" s="61"/>
      <c r="BE187" s="61"/>
      <c r="BF187" s="61"/>
      <c r="BG187" s="61"/>
      <c r="BH187" s="61"/>
      <c r="BI187" s="61"/>
      <c r="BJ187" s="61"/>
      <c r="BK187" s="61"/>
      <c r="BL187" s="61"/>
      <c r="BM187" s="61"/>
      <c r="BN187" s="61"/>
      <c r="BO187" s="61"/>
      <c r="BP187" s="61"/>
      <c r="BQ187" s="61"/>
      <c r="BR187" s="61"/>
      <c r="BS187" s="61"/>
      <c r="BT187" s="61"/>
      <c r="BU187" s="61"/>
      <c r="BV187" s="61"/>
      <c r="BW187" s="61"/>
      <c r="BX187" s="61"/>
    </row>
    <row r="188">
      <c r="A188" s="62" t="str">
        <f t="shared" si="1"/>
        <v>#REF!</v>
      </c>
      <c r="B188" s="61"/>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1"/>
      <c r="AA188" s="61"/>
      <c r="AB188" s="61"/>
      <c r="AC188" s="61"/>
      <c r="AD188" s="61"/>
      <c r="AE188" s="61"/>
      <c r="AF188" s="61"/>
      <c r="AG188" s="61"/>
      <c r="AH188" s="61"/>
      <c r="AI188" s="61"/>
      <c r="AJ188" s="61"/>
      <c r="AK188" s="61"/>
      <c r="AL188" s="61"/>
      <c r="AM188" s="61"/>
      <c r="AN188" s="61"/>
      <c r="AO188" s="61"/>
      <c r="AP188" s="61"/>
      <c r="AQ188" s="61"/>
      <c r="AR188" s="61"/>
      <c r="AS188" s="61"/>
      <c r="AT188" s="61"/>
      <c r="AU188" s="61"/>
      <c r="AV188" s="61"/>
      <c r="AW188" s="61"/>
      <c r="AX188" s="61"/>
      <c r="AY188" s="61"/>
      <c r="AZ188" s="61"/>
      <c r="BA188" s="61"/>
      <c r="BB188" s="61"/>
      <c r="BC188" s="61"/>
      <c r="BD188" s="61"/>
      <c r="BE188" s="61"/>
      <c r="BF188" s="61"/>
      <c r="BG188" s="61"/>
      <c r="BH188" s="61"/>
      <c r="BI188" s="61"/>
      <c r="BJ188" s="61"/>
      <c r="BK188" s="61"/>
      <c r="BL188" s="61"/>
      <c r="BM188" s="61"/>
      <c r="BN188" s="61"/>
      <c r="BO188" s="61"/>
      <c r="BP188" s="61"/>
      <c r="BQ188" s="61"/>
      <c r="BR188" s="61"/>
      <c r="BS188" s="61"/>
      <c r="BT188" s="61"/>
      <c r="BU188" s="61"/>
      <c r="BV188" s="61"/>
      <c r="BW188" s="61"/>
      <c r="BX188" s="61"/>
    </row>
    <row r="189">
      <c r="A189" s="62" t="str">
        <f t="shared" si="1"/>
        <v>#REF!</v>
      </c>
      <c r="B189" s="61"/>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1"/>
      <c r="AA189" s="61"/>
      <c r="AB189" s="61"/>
      <c r="AC189" s="61"/>
      <c r="AD189" s="61"/>
      <c r="AE189" s="61"/>
      <c r="AF189" s="61"/>
      <c r="AG189" s="61"/>
      <c r="AH189" s="61"/>
      <c r="AI189" s="61"/>
      <c r="AJ189" s="61"/>
      <c r="AK189" s="61"/>
      <c r="AL189" s="61"/>
      <c r="AM189" s="61"/>
      <c r="AN189" s="61"/>
      <c r="AO189" s="61"/>
      <c r="AP189" s="61"/>
      <c r="AQ189" s="61"/>
      <c r="AR189" s="61"/>
      <c r="AS189" s="61"/>
      <c r="AT189" s="61"/>
      <c r="AU189" s="61"/>
      <c r="AV189" s="61"/>
      <c r="AW189" s="61"/>
      <c r="AX189" s="61"/>
      <c r="AY189" s="61"/>
      <c r="AZ189" s="61"/>
      <c r="BA189" s="61"/>
      <c r="BB189" s="61"/>
      <c r="BC189" s="61"/>
      <c r="BD189" s="61"/>
      <c r="BE189" s="61"/>
      <c r="BF189" s="61"/>
      <c r="BG189" s="61"/>
      <c r="BH189" s="61"/>
      <c r="BI189" s="61"/>
      <c r="BJ189" s="61"/>
      <c r="BK189" s="61"/>
      <c r="BL189" s="61"/>
      <c r="BM189" s="61"/>
      <c r="BN189" s="61"/>
      <c r="BO189" s="61"/>
      <c r="BP189" s="61"/>
      <c r="BQ189" s="61"/>
      <c r="BR189" s="61"/>
      <c r="BS189" s="61"/>
      <c r="BT189" s="61"/>
      <c r="BU189" s="61"/>
      <c r="BV189" s="61"/>
      <c r="BW189" s="61"/>
      <c r="BX189" s="61"/>
    </row>
    <row r="190">
      <c r="A190" s="62" t="str">
        <f t="shared" si="1"/>
        <v>#REF!</v>
      </c>
      <c r="B190" s="61"/>
      <c r="C190" s="61"/>
      <c r="D190" s="61"/>
      <c r="E190" s="61"/>
      <c r="F190" s="61"/>
      <c r="G190" s="61"/>
      <c r="H190" s="61"/>
      <c r="I190" s="61"/>
      <c r="J190" s="61"/>
      <c r="K190" s="61"/>
      <c r="L190" s="61"/>
      <c r="M190" s="61"/>
      <c r="N190" s="61"/>
      <c r="O190" s="61"/>
      <c r="P190" s="61"/>
      <c r="Q190" s="61"/>
      <c r="R190" s="61"/>
      <c r="S190" s="61"/>
      <c r="T190" s="61"/>
      <c r="U190" s="61"/>
      <c r="V190" s="61"/>
      <c r="W190" s="61"/>
      <c r="X190" s="61"/>
      <c r="Y190" s="61"/>
      <c r="Z190" s="61"/>
      <c r="AA190" s="61"/>
      <c r="AB190" s="61"/>
      <c r="AC190" s="61"/>
      <c r="AD190" s="61"/>
      <c r="AE190" s="61"/>
      <c r="AF190" s="61"/>
      <c r="AG190" s="61"/>
      <c r="AH190" s="61"/>
      <c r="AI190" s="61"/>
      <c r="AJ190" s="61"/>
      <c r="AK190" s="61"/>
      <c r="AL190" s="61"/>
      <c r="AM190" s="61"/>
      <c r="AN190" s="61"/>
      <c r="AO190" s="61"/>
      <c r="AP190" s="61"/>
      <c r="AQ190" s="61"/>
      <c r="AR190" s="61"/>
      <c r="AS190" s="61"/>
      <c r="AT190" s="61"/>
      <c r="AU190" s="61"/>
      <c r="AV190" s="61"/>
      <c r="AW190" s="61"/>
      <c r="AX190" s="61"/>
      <c r="AY190" s="61"/>
      <c r="AZ190" s="61"/>
      <c r="BA190" s="61"/>
      <c r="BB190" s="61"/>
      <c r="BC190" s="61"/>
      <c r="BD190" s="61"/>
      <c r="BE190" s="61"/>
      <c r="BF190" s="61"/>
      <c r="BG190" s="61"/>
      <c r="BH190" s="61"/>
      <c r="BI190" s="61"/>
      <c r="BJ190" s="61"/>
      <c r="BK190" s="61"/>
      <c r="BL190" s="61"/>
      <c r="BM190" s="61"/>
      <c r="BN190" s="61"/>
      <c r="BO190" s="61"/>
      <c r="BP190" s="61"/>
      <c r="BQ190" s="61"/>
      <c r="BR190" s="61"/>
      <c r="BS190" s="61"/>
      <c r="BT190" s="61"/>
      <c r="BU190" s="61"/>
      <c r="BV190" s="61"/>
      <c r="BW190" s="61"/>
      <c r="BX190" s="61"/>
    </row>
    <row r="191">
      <c r="A191" s="62" t="str">
        <f t="shared" si="1"/>
        <v>#REF!</v>
      </c>
      <c r="B191" s="61"/>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1"/>
      <c r="AA191" s="61"/>
      <c r="AB191" s="61"/>
      <c r="AC191" s="61"/>
      <c r="AD191" s="61"/>
      <c r="AE191" s="61"/>
      <c r="AF191" s="61"/>
      <c r="AG191" s="61"/>
      <c r="AH191" s="61"/>
      <c r="AI191" s="61"/>
      <c r="AJ191" s="61"/>
      <c r="AK191" s="61"/>
      <c r="AL191" s="61"/>
      <c r="AM191" s="61"/>
      <c r="AN191" s="61"/>
      <c r="AO191" s="61"/>
      <c r="AP191" s="61"/>
      <c r="AQ191" s="61"/>
      <c r="AR191" s="61"/>
      <c r="AS191" s="61"/>
      <c r="AT191" s="61"/>
      <c r="AU191" s="61"/>
      <c r="AV191" s="61"/>
      <c r="AW191" s="61"/>
      <c r="AX191" s="61"/>
      <c r="AY191" s="61"/>
      <c r="AZ191" s="61"/>
      <c r="BA191" s="61"/>
      <c r="BB191" s="61"/>
      <c r="BC191" s="61"/>
      <c r="BD191" s="61"/>
      <c r="BE191" s="61"/>
      <c r="BF191" s="61"/>
      <c r="BG191" s="61"/>
      <c r="BH191" s="61"/>
      <c r="BI191" s="61"/>
      <c r="BJ191" s="61"/>
      <c r="BK191" s="61"/>
      <c r="BL191" s="61"/>
      <c r="BM191" s="61"/>
      <c r="BN191" s="61"/>
      <c r="BO191" s="61"/>
      <c r="BP191" s="61"/>
      <c r="BQ191" s="61"/>
      <c r="BR191" s="61"/>
      <c r="BS191" s="61"/>
      <c r="BT191" s="61"/>
      <c r="BU191" s="61"/>
      <c r="BV191" s="61"/>
      <c r="BW191" s="61"/>
      <c r="BX191" s="61"/>
    </row>
    <row r="192">
      <c r="A192" s="62" t="str">
        <f t="shared" si="1"/>
        <v>#REF!</v>
      </c>
      <c r="B192" s="61"/>
      <c r="C192" s="61"/>
      <c r="D192" s="61"/>
      <c r="E192" s="61"/>
      <c r="F192" s="61"/>
      <c r="G192" s="61"/>
      <c r="H192" s="61"/>
      <c r="I192" s="61"/>
      <c r="J192" s="61"/>
      <c r="K192" s="61"/>
      <c r="L192" s="61"/>
      <c r="M192" s="61"/>
      <c r="N192" s="61"/>
      <c r="O192" s="61"/>
      <c r="P192" s="61"/>
      <c r="Q192" s="61"/>
      <c r="R192" s="61"/>
      <c r="S192" s="61"/>
      <c r="T192" s="61"/>
      <c r="U192" s="61"/>
      <c r="V192" s="61"/>
      <c r="W192" s="61"/>
      <c r="X192" s="61"/>
      <c r="Y192" s="61"/>
      <c r="Z192" s="61"/>
      <c r="AA192" s="61"/>
      <c r="AB192" s="61"/>
      <c r="AC192" s="61"/>
      <c r="AD192" s="61"/>
      <c r="AE192" s="61"/>
      <c r="AF192" s="61"/>
      <c r="AG192" s="61"/>
      <c r="AH192" s="61"/>
      <c r="AI192" s="61"/>
      <c r="AJ192" s="61"/>
      <c r="AK192" s="61"/>
      <c r="AL192" s="61"/>
      <c r="AM192" s="61"/>
      <c r="AN192" s="61"/>
      <c r="AO192" s="61"/>
      <c r="AP192" s="61"/>
      <c r="AQ192" s="61"/>
      <c r="AR192" s="61"/>
      <c r="AS192" s="61"/>
      <c r="AT192" s="61"/>
      <c r="AU192" s="61"/>
      <c r="AV192" s="61"/>
      <c r="AW192" s="61"/>
      <c r="AX192" s="61"/>
      <c r="AY192" s="61"/>
      <c r="AZ192" s="61"/>
      <c r="BA192" s="61"/>
      <c r="BB192" s="61"/>
      <c r="BC192" s="61"/>
      <c r="BD192" s="61"/>
      <c r="BE192" s="61"/>
      <c r="BF192" s="61"/>
      <c r="BG192" s="61"/>
      <c r="BH192" s="61"/>
      <c r="BI192" s="61"/>
      <c r="BJ192" s="61"/>
      <c r="BK192" s="61"/>
      <c r="BL192" s="61"/>
      <c r="BM192" s="61"/>
      <c r="BN192" s="61"/>
      <c r="BO192" s="61"/>
      <c r="BP192" s="61"/>
      <c r="BQ192" s="61"/>
      <c r="BR192" s="61"/>
      <c r="BS192" s="61"/>
      <c r="BT192" s="61"/>
      <c r="BU192" s="61"/>
      <c r="BV192" s="61"/>
      <c r="BW192" s="61"/>
      <c r="BX192" s="61"/>
    </row>
    <row r="193">
      <c r="A193" s="62" t="str">
        <f t="shared" si="1"/>
        <v>#REF!</v>
      </c>
      <c r="B193" s="61"/>
      <c r="C193" s="61"/>
      <c r="D193" s="61"/>
      <c r="E193" s="61"/>
      <c r="F193" s="61"/>
      <c r="G193" s="61"/>
      <c r="H193" s="61"/>
      <c r="I193" s="61"/>
      <c r="J193" s="61"/>
      <c r="K193" s="61"/>
      <c r="L193" s="61"/>
      <c r="M193" s="61"/>
      <c r="N193" s="61"/>
      <c r="O193" s="61"/>
      <c r="P193" s="61"/>
      <c r="Q193" s="61"/>
      <c r="R193" s="61"/>
      <c r="S193" s="61"/>
      <c r="T193" s="61"/>
      <c r="U193" s="61"/>
      <c r="V193" s="61"/>
      <c r="W193" s="61"/>
      <c r="X193" s="61"/>
      <c r="Y193" s="61"/>
      <c r="Z193" s="61"/>
      <c r="AA193" s="61"/>
      <c r="AB193" s="61"/>
      <c r="AC193" s="61"/>
      <c r="AD193" s="61"/>
      <c r="AE193" s="61"/>
      <c r="AF193" s="61"/>
      <c r="AG193" s="61"/>
      <c r="AH193" s="61"/>
      <c r="AI193" s="61"/>
      <c r="AJ193" s="61"/>
      <c r="AK193" s="61"/>
      <c r="AL193" s="61"/>
      <c r="AM193" s="61"/>
      <c r="AN193" s="61"/>
      <c r="AO193" s="61"/>
      <c r="AP193" s="61"/>
      <c r="AQ193" s="61"/>
      <c r="AR193" s="61"/>
      <c r="AS193" s="61"/>
      <c r="AT193" s="61"/>
      <c r="AU193" s="61"/>
      <c r="AV193" s="61"/>
      <c r="AW193" s="61"/>
      <c r="AX193" s="61"/>
      <c r="AY193" s="61"/>
      <c r="AZ193" s="61"/>
      <c r="BA193" s="61"/>
      <c r="BB193" s="61"/>
      <c r="BC193" s="61"/>
      <c r="BD193" s="61"/>
      <c r="BE193" s="61"/>
      <c r="BF193" s="61"/>
      <c r="BG193" s="61"/>
      <c r="BH193" s="61"/>
      <c r="BI193" s="61"/>
      <c r="BJ193" s="61"/>
      <c r="BK193" s="61"/>
      <c r="BL193" s="61"/>
      <c r="BM193" s="61"/>
      <c r="BN193" s="61"/>
      <c r="BO193" s="61"/>
      <c r="BP193" s="61"/>
      <c r="BQ193" s="61"/>
      <c r="BR193" s="61"/>
      <c r="BS193" s="61"/>
      <c r="BT193" s="61"/>
      <c r="BU193" s="61"/>
      <c r="BV193" s="61"/>
      <c r="BW193" s="61"/>
      <c r="BX193" s="61"/>
    </row>
    <row r="194">
      <c r="A194" s="62" t="str">
        <f t="shared" si="1"/>
        <v>#REF!</v>
      </c>
      <c r="B194" s="61"/>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1"/>
      <c r="AA194" s="61"/>
      <c r="AB194" s="61"/>
      <c r="AC194" s="61"/>
      <c r="AD194" s="61"/>
      <c r="AE194" s="61"/>
      <c r="AF194" s="61"/>
      <c r="AG194" s="61"/>
      <c r="AH194" s="61"/>
      <c r="AI194" s="61"/>
      <c r="AJ194" s="61"/>
      <c r="AK194" s="61"/>
      <c r="AL194" s="61"/>
      <c r="AM194" s="61"/>
      <c r="AN194" s="61"/>
      <c r="AO194" s="61"/>
      <c r="AP194" s="61"/>
      <c r="AQ194" s="61"/>
      <c r="AR194" s="61"/>
      <c r="AS194" s="61"/>
      <c r="AT194" s="61"/>
      <c r="AU194" s="61"/>
      <c r="AV194" s="61"/>
      <c r="AW194" s="61"/>
      <c r="AX194" s="61"/>
      <c r="AY194" s="61"/>
      <c r="AZ194" s="61"/>
      <c r="BA194" s="61"/>
      <c r="BB194" s="61"/>
      <c r="BC194" s="61"/>
      <c r="BD194" s="61"/>
      <c r="BE194" s="61"/>
      <c r="BF194" s="61"/>
      <c r="BG194" s="61"/>
      <c r="BH194" s="61"/>
      <c r="BI194" s="61"/>
      <c r="BJ194" s="61"/>
      <c r="BK194" s="61"/>
      <c r="BL194" s="61"/>
      <c r="BM194" s="61"/>
      <c r="BN194" s="61"/>
      <c r="BO194" s="61"/>
      <c r="BP194" s="61"/>
      <c r="BQ194" s="61"/>
      <c r="BR194" s="61"/>
      <c r="BS194" s="61"/>
      <c r="BT194" s="61"/>
      <c r="BU194" s="61"/>
      <c r="BV194" s="61"/>
      <c r="BW194" s="61"/>
      <c r="BX194" s="61"/>
    </row>
    <row r="195">
      <c r="A195" s="62" t="str">
        <f t="shared" si="1"/>
        <v>#REF!</v>
      </c>
      <c r="B195" s="61"/>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1"/>
      <c r="AA195" s="61"/>
      <c r="AB195" s="61"/>
      <c r="AC195" s="61"/>
      <c r="AD195" s="61"/>
      <c r="AE195" s="61"/>
      <c r="AF195" s="61"/>
      <c r="AG195" s="61"/>
      <c r="AH195" s="61"/>
      <c r="AI195" s="61"/>
      <c r="AJ195" s="61"/>
      <c r="AK195" s="61"/>
      <c r="AL195" s="61"/>
      <c r="AM195" s="61"/>
      <c r="AN195" s="61"/>
      <c r="AO195" s="61"/>
      <c r="AP195" s="61"/>
      <c r="AQ195" s="61"/>
      <c r="AR195" s="61"/>
      <c r="AS195" s="61"/>
      <c r="AT195" s="61"/>
      <c r="AU195" s="61"/>
      <c r="AV195" s="61"/>
      <c r="AW195" s="61"/>
      <c r="AX195" s="61"/>
      <c r="AY195" s="61"/>
      <c r="AZ195" s="61"/>
      <c r="BA195" s="61"/>
      <c r="BB195" s="61"/>
      <c r="BC195" s="61"/>
      <c r="BD195" s="61"/>
      <c r="BE195" s="61"/>
      <c r="BF195" s="61"/>
      <c r="BG195" s="61"/>
      <c r="BH195" s="61"/>
      <c r="BI195" s="61"/>
      <c r="BJ195" s="61"/>
      <c r="BK195" s="61"/>
      <c r="BL195" s="61"/>
      <c r="BM195" s="61"/>
      <c r="BN195" s="61"/>
      <c r="BO195" s="61"/>
      <c r="BP195" s="61"/>
      <c r="BQ195" s="61"/>
      <c r="BR195" s="61"/>
      <c r="BS195" s="61"/>
      <c r="BT195" s="61"/>
      <c r="BU195" s="61"/>
      <c r="BV195" s="61"/>
      <c r="BW195" s="61"/>
      <c r="BX195" s="61"/>
    </row>
    <row r="196">
      <c r="A196" s="62" t="str">
        <f t="shared" si="1"/>
        <v>#REF!</v>
      </c>
      <c r="B196" s="61"/>
      <c r="C196" s="61"/>
      <c r="D196" s="61"/>
      <c r="E196" s="61"/>
      <c r="F196" s="61"/>
      <c r="G196" s="61"/>
      <c r="H196" s="61"/>
      <c r="I196" s="61"/>
      <c r="J196" s="61"/>
      <c r="K196" s="61"/>
      <c r="L196" s="61"/>
      <c r="M196" s="61"/>
      <c r="N196" s="61"/>
      <c r="O196" s="61"/>
      <c r="P196" s="61"/>
      <c r="Q196" s="61"/>
      <c r="R196" s="61"/>
      <c r="S196" s="61"/>
      <c r="T196" s="61"/>
      <c r="U196" s="61"/>
      <c r="V196" s="61"/>
      <c r="W196" s="61"/>
      <c r="X196" s="61"/>
      <c r="Y196" s="61"/>
      <c r="Z196" s="61"/>
      <c r="AA196" s="61"/>
      <c r="AB196" s="61"/>
      <c r="AC196" s="61"/>
      <c r="AD196" s="61"/>
      <c r="AE196" s="61"/>
      <c r="AF196" s="61"/>
      <c r="AG196" s="61"/>
      <c r="AH196" s="61"/>
      <c r="AI196" s="61"/>
      <c r="AJ196" s="61"/>
      <c r="AK196" s="61"/>
      <c r="AL196" s="61"/>
      <c r="AM196" s="61"/>
      <c r="AN196" s="61"/>
      <c r="AO196" s="61"/>
      <c r="AP196" s="61"/>
      <c r="AQ196" s="61"/>
      <c r="AR196" s="61"/>
      <c r="AS196" s="61"/>
      <c r="AT196" s="61"/>
      <c r="AU196" s="61"/>
      <c r="AV196" s="61"/>
      <c r="AW196" s="61"/>
      <c r="AX196" s="61"/>
      <c r="AY196" s="61"/>
      <c r="AZ196" s="61"/>
      <c r="BA196" s="61"/>
      <c r="BB196" s="61"/>
      <c r="BC196" s="61"/>
      <c r="BD196" s="61"/>
      <c r="BE196" s="61"/>
      <c r="BF196" s="61"/>
      <c r="BG196" s="61"/>
      <c r="BH196" s="61"/>
      <c r="BI196" s="61"/>
      <c r="BJ196" s="61"/>
      <c r="BK196" s="61"/>
      <c r="BL196" s="61"/>
      <c r="BM196" s="61"/>
      <c r="BN196" s="61"/>
      <c r="BO196" s="61"/>
      <c r="BP196" s="61"/>
      <c r="BQ196" s="61"/>
      <c r="BR196" s="61"/>
      <c r="BS196" s="61"/>
      <c r="BT196" s="61"/>
      <c r="BU196" s="61"/>
      <c r="BV196" s="61"/>
      <c r="BW196" s="61"/>
      <c r="BX196" s="61"/>
    </row>
    <row r="197">
      <c r="A197" s="62" t="str">
        <f t="shared" si="1"/>
        <v>#REF!</v>
      </c>
      <c r="B197" s="61"/>
      <c r="C197" s="61"/>
      <c r="D197" s="61"/>
      <c r="E197" s="61"/>
      <c r="F197" s="61"/>
      <c r="G197" s="61"/>
      <c r="H197" s="61"/>
      <c r="I197" s="61"/>
      <c r="J197" s="61"/>
      <c r="K197" s="61"/>
      <c r="L197" s="61"/>
      <c r="M197" s="61"/>
      <c r="N197" s="61"/>
      <c r="O197" s="61"/>
      <c r="P197" s="61"/>
      <c r="Q197" s="61"/>
      <c r="R197" s="61"/>
      <c r="S197" s="61"/>
      <c r="T197" s="61"/>
      <c r="U197" s="61"/>
      <c r="V197" s="61"/>
      <c r="W197" s="61"/>
      <c r="X197" s="61"/>
      <c r="Y197" s="61"/>
      <c r="Z197" s="61"/>
      <c r="AA197" s="61"/>
      <c r="AB197" s="61"/>
      <c r="AC197" s="61"/>
      <c r="AD197" s="61"/>
      <c r="AE197" s="61"/>
      <c r="AF197" s="61"/>
      <c r="AG197" s="61"/>
      <c r="AH197" s="61"/>
      <c r="AI197" s="61"/>
      <c r="AJ197" s="61"/>
      <c r="AK197" s="61"/>
      <c r="AL197" s="61"/>
      <c r="AM197" s="61"/>
      <c r="AN197" s="61"/>
      <c r="AO197" s="61"/>
      <c r="AP197" s="61"/>
      <c r="AQ197" s="61"/>
      <c r="AR197" s="61"/>
      <c r="AS197" s="61"/>
      <c r="AT197" s="61"/>
      <c r="AU197" s="61"/>
      <c r="AV197" s="61"/>
      <c r="AW197" s="61"/>
      <c r="AX197" s="61"/>
      <c r="AY197" s="61"/>
      <c r="AZ197" s="61"/>
      <c r="BA197" s="61"/>
      <c r="BB197" s="61"/>
      <c r="BC197" s="61"/>
      <c r="BD197" s="61"/>
      <c r="BE197" s="61"/>
      <c r="BF197" s="61"/>
      <c r="BG197" s="61"/>
      <c r="BH197" s="61"/>
      <c r="BI197" s="61"/>
      <c r="BJ197" s="61"/>
      <c r="BK197" s="61"/>
      <c r="BL197" s="61"/>
      <c r="BM197" s="61"/>
      <c r="BN197" s="61"/>
      <c r="BO197" s="61"/>
      <c r="BP197" s="61"/>
      <c r="BQ197" s="61"/>
      <c r="BR197" s="61"/>
      <c r="BS197" s="61"/>
      <c r="BT197" s="61"/>
      <c r="BU197" s="61"/>
      <c r="BV197" s="61"/>
      <c r="BW197" s="61"/>
      <c r="BX197" s="61"/>
    </row>
    <row r="198">
      <c r="A198" s="62" t="str">
        <f t="shared" si="1"/>
        <v>#REF!</v>
      </c>
      <c r="B198" s="61"/>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c r="AA198" s="61"/>
      <c r="AB198" s="61"/>
      <c r="AC198" s="61"/>
      <c r="AD198" s="61"/>
      <c r="AE198" s="61"/>
      <c r="AF198" s="61"/>
      <c r="AG198" s="61"/>
      <c r="AH198" s="61"/>
      <c r="AI198" s="61"/>
      <c r="AJ198" s="61"/>
      <c r="AK198" s="61"/>
      <c r="AL198" s="61"/>
      <c r="AM198" s="61"/>
      <c r="AN198" s="61"/>
      <c r="AO198" s="61"/>
      <c r="AP198" s="61"/>
      <c r="AQ198" s="61"/>
      <c r="AR198" s="61"/>
      <c r="AS198" s="61"/>
      <c r="AT198" s="61"/>
      <c r="AU198" s="61"/>
      <c r="AV198" s="61"/>
      <c r="AW198" s="61"/>
      <c r="AX198" s="61"/>
      <c r="AY198" s="61"/>
      <c r="AZ198" s="61"/>
      <c r="BA198" s="61"/>
      <c r="BB198" s="61"/>
      <c r="BC198" s="61"/>
      <c r="BD198" s="61"/>
      <c r="BE198" s="61"/>
      <c r="BF198" s="61"/>
      <c r="BG198" s="61"/>
      <c r="BH198" s="61"/>
      <c r="BI198" s="61"/>
      <c r="BJ198" s="61"/>
      <c r="BK198" s="61"/>
      <c r="BL198" s="61"/>
      <c r="BM198" s="61"/>
      <c r="BN198" s="61"/>
      <c r="BO198" s="61"/>
      <c r="BP198" s="61"/>
      <c r="BQ198" s="61"/>
      <c r="BR198" s="61"/>
      <c r="BS198" s="61"/>
      <c r="BT198" s="61"/>
      <c r="BU198" s="61"/>
      <c r="BV198" s="61"/>
      <c r="BW198" s="61"/>
      <c r="BX198" s="61"/>
    </row>
    <row r="199">
      <c r="A199" s="62" t="str">
        <f t="shared" si="1"/>
        <v>#REF!</v>
      </c>
      <c r="B199" s="61"/>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1"/>
      <c r="AA199" s="61"/>
      <c r="AB199" s="61"/>
      <c r="AC199" s="61"/>
      <c r="AD199" s="61"/>
      <c r="AE199" s="61"/>
      <c r="AF199" s="61"/>
      <c r="AG199" s="61"/>
      <c r="AH199" s="61"/>
      <c r="AI199" s="61"/>
      <c r="AJ199" s="61"/>
      <c r="AK199" s="61"/>
      <c r="AL199" s="61"/>
      <c r="AM199" s="61"/>
      <c r="AN199" s="61"/>
      <c r="AO199" s="61"/>
      <c r="AP199" s="61"/>
      <c r="AQ199" s="61"/>
      <c r="AR199" s="61"/>
      <c r="AS199" s="61"/>
      <c r="AT199" s="61"/>
      <c r="AU199" s="61"/>
      <c r="AV199" s="61"/>
      <c r="AW199" s="61"/>
      <c r="AX199" s="61"/>
      <c r="AY199" s="61"/>
      <c r="AZ199" s="61"/>
      <c r="BA199" s="61"/>
      <c r="BB199" s="61"/>
      <c r="BC199" s="61"/>
      <c r="BD199" s="61"/>
      <c r="BE199" s="61"/>
      <c r="BF199" s="61"/>
      <c r="BG199" s="61"/>
      <c r="BH199" s="61"/>
      <c r="BI199" s="61"/>
      <c r="BJ199" s="61"/>
      <c r="BK199" s="61"/>
      <c r="BL199" s="61"/>
      <c r="BM199" s="61"/>
      <c r="BN199" s="61"/>
      <c r="BO199" s="61"/>
      <c r="BP199" s="61"/>
      <c r="BQ199" s="61"/>
      <c r="BR199" s="61"/>
      <c r="BS199" s="61"/>
      <c r="BT199" s="61"/>
      <c r="BU199" s="61"/>
      <c r="BV199" s="61"/>
      <c r="BW199" s="61"/>
      <c r="BX199" s="61"/>
    </row>
    <row r="200">
      <c r="A200" s="62" t="str">
        <f t="shared" si="1"/>
        <v>#REF!</v>
      </c>
      <c r="B200" s="61"/>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1"/>
      <c r="AA200" s="61"/>
      <c r="AB200" s="61"/>
      <c r="AC200" s="61"/>
      <c r="AD200" s="61"/>
      <c r="AE200" s="61"/>
      <c r="AF200" s="61"/>
      <c r="AG200" s="61"/>
      <c r="AH200" s="61"/>
      <c r="AI200" s="61"/>
      <c r="AJ200" s="61"/>
      <c r="AK200" s="61"/>
      <c r="AL200" s="61"/>
      <c r="AM200" s="61"/>
      <c r="AN200" s="61"/>
      <c r="AO200" s="61"/>
      <c r="AP200" s="61"/>
      <c r="AQ200" s="61"/>
      <c r="AR200" s="61"/>
      <c r="AS200" s="61"/>
      <c r="AT200" s="61"/>
      <c r="AU200" s="61"/>
      <c r="AV200" s="61"/>
      <c r="AW200" s="61"/>
      <c r="AX200" s="61"/>
      <c r="AY200" s="61"/>
      <c r="AZ200" s="61"/>
      <c r="BA200" s="61"/>
      <c r="BB200" s="61"/>
      <c r="BC200" s="61"/>
      <c r="BD200" s="61"/>
      <c r="BE200" s="61"/>
      <c r="BF200" s="61"/>
      <c r="BG200" s="61"/>
      <c r="BH200" s="61"/>
      <c r="BI200" s="61"/>
      <c r="BJ200" s="61"/>
      <c r="BK200" s="61"/>
      <c r="BL200" s="61"/>
      <c r="BM200" s="61"/>
      <c r="BN200" s="61"/>
      <c r="BO200" s="61"/>
      <c r="BP200" s="61"/>
      <c r="BQ200" s="61"/>
      <c r="BR200" s="61"/>
      <c r="BS200" s="61"/>
      <c r="BT200" s="61"/>
      <c r="BU200" s="61"/>
      <c r="BV200" s="61"/>
      <c r="BW200" s="61"/>
      <c r="BX200" s="61"/>
    </row>
    <row r="201">
      <c r="A201" s="62" t="str">
        <f t="shared" si="1"/>
        <v>#REF!</v>
      </c>
      <c r="B201" s="61"/>
      <c r="C201" s="61"/>
      <c r="D201" s="61"/>
      <c r="E201" s="61"/>
      <c r="F201" s="61"/>
      <c r="G201" s="61"/>
      <c r="H201" s="61"/>
      <c r="I201" s="61"/>
      <c r="J201" s="61"/>
      <c r="K201" s="61"/>
      <c r="L201" s="61"/>
      <c r="M201" s="61"/>
      <c r="N201" s="61"/>
      <c r="O201" s="61"/>
      <c r="P201" s="61"/>
      <c r="Q201" s="61"/>
      <c r="R201" s="61"/>
      <c r="S201" s="61"/>
      <c r="T201" s="61"/>
      <c r="U201" s="61"/>
      <c r="V201" s="61"/>
      <c r="W201" s="61"/>
      <c r="X201" s="61"/>
      <c r="Y201" s="61"/>
      <c r="Z201" s="61"/>
      <c r="AA201" s="61"/>
      <c r="AB201" s="61"/>
      <c r="AC201" s="61"/>
      <c r="AD201" s="61"/>
      <c r="AE201" s="61"/>
      <c r="AF201" s="61"/>
      <c r="AG201" s="61"/>
      <c r="AH201" s="61"/>
      <c r="AI201" s="61"/>
      <c r="AJ201" s="61"/>
      <c r="AK201" s="61"/>
      <c r="AL201" s="61"/>
      <c r="AM201" s="61"/>
      <c r="AN201" s="61"/>
      <c r="AO201" s="61"/>
      <c r="AP201" s="61"/>
      <c r="AQ201" s="61"/>
      <c r="AR201" s="61"/>
      <c r="AS201" s="61"/>
      <c r="AT201" s="61"/>
      <c r="AU201" s="61"/>
      <c r="AV201" s="61"/>
      <c r="AW201" s="61"/>
      <c r="AX201" s="61"/>
      <c r="AY201" s="61"/>
      <c r="AZ201" s="61"/>
      <c r="BA201" s="61"/>
      <c r="BB201" s="61"/>
      <c r="BC201" s="61"/>
      <c r="BD201" s="61"/>
      <c r="BE201" s="61"/>
      <c r="BF201" s="61"/>
      <c r="BG201" s="61"/>
      <c r="BH201" s="61"/>
      <c r="BI201" s="61"/>
      <c r="BJ201" s="61"/>
      <c r="BK201" s="61"/>
      <c r="BL201" s="61"/>
      <c r="BM201" s="61"/>
      <c r="BN201" s="61"/>
      <c r="BO201" s="61"/>
      <c r="BP201" s="61"/>
      <c r="BQ201" s="61"/>
      <c r="BR201" s="61"/>
      <c r="BS201" s="61"/>
      <c r="BT201" s="61"/>
      <c r="BU201" s="61"/>
      <c r="BV201" s="61"/>
      <c r="BW201" s="61"/>
      <c r="BX201" s="61"/>
    </row>
    <row r="202">
      <c r="A202" s="62" t="str">
        <f t="shared" si="1"/>
        <v>#REF!</v>
      </c>
      <c r="B202" s="61"/>
      <c r="C202" s="61"/>
      <c r="D202" s="61"/>
      <c r="E202" s="61"/>
      <c r="F202" s="61"/>
      <c r="G202" s="61"/>
      <c r="H202" s="61"/>
      <c r="I202" s="61"/>
      <c r="J202" s="61"/>
      <c r="K202" s="61"/>
      <c r="L202" s="61"/>
      <c r="M202" s="61"/>
      <c r="N202" s="61"/>
      <c r="O202" s="61"/>
      <c r="P202" s="61"/>
      <c r="Q202" s="61"/>
      <c r="R202" s="61"/>
      <c r="S202" s="61"/>
      <c r="T202" s="61"/>
      <c r="U202" s="61"/>
      <c r="V202" s="61"/>
      <c r="W202" s="61"/>
      <c r="X202" s="61"/>
      <c r="Y202" s="61"/>
      <c r="Z202" s="61"/>
      <c r="AA202" s="61"/>
      <c r="AB202" s="61"/>
      <c r="AC202" s="61"/>
      <c r="AD202" s="61"/>
      <c r="AE202" s="61"/>
      <c r="AF202" s="61"/>
      <c r="AG202" s="61"/>
      <c r="AH202" s="61"/>
      <c r="AI202" s="61"/>
      <c r="AJ202" s="61"/>
      <c r="AK202" s="61"/>
      <c r="AL202" s="61"/>
      <c r="AM202" s="61"/>
      <c r="AN202" s="61"/>
      <c r="AO202" s="61"/>
      <c r="AP202" s="61"/>
      <c r="AQ202" s="61"/>
      <c r="AR202" s="61"/>
      <c r="AS202" s="61"/>
      <c r="AT202" s="61"/>
      <c r="AU202" s="61"/>
      <c r="AV202" s="61"/>
      <c r="AW202" s="61"/>
      <c r="AX202" s="61"/>
      <c r="AY202" s="61"/>
      <c r="AZ202" s="61"/>
      <c r="BA202" s="61"/>
      <c r="BB202" s="61"/>
      <c r="BC202" s="61"/>
      <c r="BD202" s="61"/>
      <c r="BE202" s="61"/>
      <c r="BF202" s="61"/>
      <c r="BG202" s="61"/>
      <c r="BH202" s="61"/>
      <c r="BI202" s="61"/>
      <c r="BJ202" s="61"/>
      <c r="BK202" s="61"/>
      <c r="BL202" s="61"/>
      <c r="BM202" s="61"/>
      <c r="BN202" s="61"/>
      <c r="BO202" s="61"/>
      <c r="BP202" s="61"/>
      <c r="BQ202" s="61"/>
      <c r="BR202" s="61"/>
      <c r="BS202" s="61"/>
      <c r="BT202" s="61"/>
      <c r="BU202" s="61"/>
      <c r="BV202" s="61"/>
      <c r="BW202" s="61"/>
      <c r="BX202" s="61"/>
    </row>
    <row r="203">
      <c r="A203" s="62" t="str">
        <f t="shared" si="1"/>
        <v>#REF!</v>
      </c>
      <c r="B203" s="61"/>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1"/>
      <c r="AA203" s="61"/>
      <c r="AB203" s="61"/>
      <c r="AC203" s="61"/>
      <c r="AD203" s="61"/>
      <c r="AE203" s="61"/>
      <c r="AF203" s="61"/>
      <c r="AG203" s="61"/>
      <c r="AH203" s="61"/>
      <c r="AI203" s="61"/>
      <c r="AJ203" s="61"/>
      <c r="AK203" s="61"/>
      <c r="AL203" s="61"/>
      <c r="AM203" s="61"/>
      <c r="AN203" s="61"/>
      <c r="AO203" s="61"/>
      <c r="AP203" s="61"/>
      <c r="AQ203" s="61"/>
      <c r="AR203" s="61"/>
      <c r="AS203" s="61"/>
      <c r="AT203" s="61"/>
      <c r="AU203" s="61"/>
      <c r="AV203" s="61"/>
      <c r="AW203" s="61"/>
      <c r="AX203" s="61"/>
      <c r="AY203" s="61"/>
      <c r="AZ203" s="61"/>
      <c r="BA203" s="61"/>
      <c r="BB203" s="61"/>
      <c r="BC203" s="61"/>
      <c r="BD203" s="61"/>
      <c r="BE203" s="61"/>
      <c r="BF203" s="61"/>
      <c r="BG203" s="61"/>
      <c r="BH203" s="61"/>
      <c r="BI203" s="61"/>
      <c r="BJ203" s="61"/>
      <c r="BK203" s="61"/>
      <c r="BL203" s="61"/>
      <c r="BM203" s="61"/>
      <c r="BN203" s="61"/>
      <c r="BO203" s="61"/>
      <c r="BP203" s="61"/>
      <c r="BQ203" s="61"/>
      <c r="BR203" s="61"/>
      <c r="BS203" s="61"/>
      <c r="BT203" s="61"/>
      <c r="BU203" s="61"/>
      <c r="BV203" s="61"/>
      <c r="BW203" s="61"/>
      <c r="BX203" s="61"/>
    </row>
    <row r="204">
      <c r="A204" s="62" t="str">
        <f t="shared" si="1"/>
        <v>#REF!</v>
      </c>
      <c r="B204" s="61"/>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1"/>
      <c r="AA204" s="61"/>
      <c r="AB204" s="61"/>
      <c r="AC204" s="61"/>
      <c r="AD204" s="61"/>
      <c r="AE204" s="61"/>
      <c r="AF204" s="61"/>
      <c r="AG204" s="61"/>
      <c r="AH204" s="61"/>
      <c r="AI204" s="61"/>
      <c r="AJ204" s="61"/>
      <c r="AK204" s="61"/>
      <c r="AL204" s="61"/>
      <c r="AM204" s="61"/>
      <c r="AN204" s="61"/>
      <c r="AO204" s="61"/>
      <c r="AP204" s="61"/>
      <c r="AQ204" s="61"/>
      <c r="AR204" s="61"/>
      <c r="AS204" s="61"/>
      <c r="AT204" s="61"/>
      <c r="AU204" s="61"/>
      <c r="AV204" s="61"/>
      <c r="AW204" s="61"/>
      <c r="AX204" s="61"/>
      <c r="AY204" s="61"/>
      <c r="AZ204" s="61"/>
      <c r="BA204" s="61"/>
      <c r="BB204" s="61"/>
      <c r="BC204" s="61"/>
      <c r="BD204" s="61"/>
      <c r="BE204" s="61"/>
      <c r="BF204" s="61"/>
      <c r="BG204" s="61"/>
      <c r="BH204" s="61"/>
      <c r="BI204" s="61"/>
      <c r="BJ204" s="61"/>
      <c r="BK204" s="61"/>
      <c r="BL204" s="61"/>
      <c r="BM204" s="61"/>
      <c r="BN204" s="61"/>
      <c r="BO204" s="61"/>
      <c r="BP204" s="61"/>
      <c r="BQ204" s="61"/>
      <c r="BR204" s="61"/>
      <c r="BS204" s="61"/>
      <c r="BT204" s="61"/>
      <c r="BU204" s="61"/>
      <c r="BV204" s="61"/>
      <c r="BW204" s="61"/>
      <c r="BX204" s="61"/>
    </row>
    <row r="205">
      <c r="A205" s="62" t="str">
        <f t="shared" si="1"/>
        <v>#REF!</v>
      </c>
      <c r="B205" s="61"/>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1"/>
      <c r="AA205" s="61"/>
      <c r="AB205" s="61"/>
      <c r="AC205" s="61"/>
      <c r="AD205" s="61"/>
      <c r="AE205" s="61"/>
      <c r="AF205" s="61"/>
      <c r="AG205" s="61"/>
      <c r="AH205" s="61"/>
      <c r="AI205" s="61"/>
      <c r="AJ205" s="61"/>
      <c r="AK205" s="61"/>
      <c r="AL205" s="61"/>
      <c r="AM205" s="61"/>
      <c r="AN205" s="61"/>
      <c r="AO205" s="61"/>
      <c r="AP205" s="61"/>
      <c r="AQ205" s="61"/>
      <c r="AR205" s="61"/>
      <c r="AS205" s="61"/>
      <c r="AT205" s="61"/>
      <c r="AU205" s="61"/>
      <c r="AV205" s="61"/>
      <c r="AW205" s="61"/>
      <c r="AX205" s="61"/>
      <c r="AY205" s="61"/>
      <c r="AZ205" s="61"/>
      <c r="BA205" s="61"/>
      <c r="BB205" s="61"/>
      <c r="BC205" s="61"/>
      <c r="BD205" s="61"/>
      <c r="BE205" s="61"/>
      <c r="BF205" s="61"/>
      <c r="BG205" s="61"/>
      <c r="BH205" s="61"/>
      <c r="BI205" s="61"/>
      <c r="BJ205" s="61"/>
      <c r="BK205" s="61"/>
      <c r="BL205" s="61"/>
      <c r="BM205" s="61"/>
      <c r="BN205" s="61"/>
      <c r="BO205" s="61"/>
      <c r="BP205" s="61"/>
      <c r="BQ205" s="61"/>
      <c r="BR205" s="61"/>
      <c r="BS205" s="61"/>
      <c r="BT205" s="61"/>
      <c r="BU205" s="61"/>
      <c r="BV205" s="61"/>
      <c r="BW205" s="61"/>
      <c r="BX205" s="61"/>
    </row>
    <row r="206">
      <c r="A206" s="62" t="str">
        <f t="shared" si="1"/>
        <v>#REF!</v>
      </c>
      <c r="B206" s="61"/>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1"/>
      <c r="AA206" s="61"/>
      <c r="AB206" s="61"/>
      <c r="AC206" s="61"/>
      <c r="AD206" s="61"/>
      <c r="AE206" s="61"/>
      <c r="AF206" s="61"/>
      <c r="AG206" s="61"/>
      <c r="AH206" s="61"/>
      <c r="AI206" s="61"/>
      <c r="AJ206" s="61"/>
      <c r="AK206" s="61"/>
      <c r="AL206" s="61"/>
      <c r="AM206" s="61"/>
      <c r="AN206" s="61"/>
      <c r="AO206" s="61"/>
      <c r="AP206" s="61"/>
      <c r="AQ206" s="61"/>
      <c r="AR206" s="61"/>
      <c r="AS206" s="61"/>
      <c r="AT206" s="61"/>
      <c r="AU206" s="61"/>
      <c r="AV206" s="61"/>
      <c r="AW206" s="61"/>
      <c r="AX206" s="61"/>
      <c r="AY206" s="61"/>
      <c r="AZ206" s="61"/>
      <c r="BA206" s="61"/>
      <c r="BB206" s="61"/>
      <c r="BC206" s="61"/>
      <c r="BD206" s="61"/>
      <c r="BE206" s="61"/>
      <c r="BF206" s="61"/>
      <c r="BG206" s="61"/>
      <c r="BH206" s="61"/>
      <c r="BI206" s="61"/>
      <c r="BJ206" s="61"/>
      <c r="BK206" s="61"/>
      <c r="BL206" s="61"/>
      <c r="BM206" s="61"/>
      <c r="BN206" s="61"/>
      <c r="BO206" s="61"/>
      <c r="BP206" s="61"/>
      <c r="BQ206" s="61"/>
      <c r="BR206" s="61"/>
      <c r="BS206" s="61"/>
      <c r="BT206" s="61"/>
      <c r="BU206" s="61"/>
      <c r="BV206" s="61"/>
      <c r="BW206" s="61"/>
      <c r="BX206" s="61"/>
    </row>
    <row r="207">
      <c r="A207" s="62" t="str">
        <f t="shared" si="1"/>
        <v>#REF!</v>
      </c>
      <c r="B207" s="61"/>
      <c r="C207" s="61"/>
      <c r="D207" s="61"/>
      <c r="E207" s="61"/>
      <c r="F207" s="61"/>
      <c r="G207" s="61"/>
      <c r="H207" s="61"/>
      <c r="I207" s="61"/>
      <c r="J207" s="61"/>
      <c r="K207" s="61"/>
      <c r="L207" s="61"/>
      <c r="M207" s="61"/>
      <c r="N207" s="61"/>
      <c r="O207" s="61"/>
      <c r="P207" s="61"/>
      <c r="Q207" s="61"/>
      <c r="R207" s="61"/>
      <c r="S207" s="61"/>
      <c r="T207" s="61"/>
      <c r="U207" s="61"/>
      <c r="V207" s="61"/>
      <c r="W207" s="61"/>
      <c r="X207" s="61"/>
      <c r="Y207" s="61"/>
      <c r="Z207" s="61"/>
      <c r="AA207" s="61"/>
      <c r="AB207" s="61"/>
      <c r="AC207" s="61"/>
      <c r="AD207" s="61"/>
      <c r="AE207" s="61"/>
      <c r="AF207" s="61"/>
      <c r="AG207" s="61"/>
      <c r="AH207" s="61"/>
      <c r="AI207" s="61"/>
      <c r="AJ207" s="61"/>
      <c r="AK207" s="61"/>
      <c r="AL207" s="61"/>
      <c r="AM207" s="61"/>
      <c r="AN207" s="61"/>
      <c r="AO207" s="61"/>
      <c r="AP207" s="61"/>
      <c r="AQ207" s="61"/>
      <c r="AR207" s="61"/>
      <c r="AS207" s="61"/>
      <c r="AT207" s="61"/>
      <c r="AU207" s="61"/>
      <c r="AV207" s="61"/>
      <c r="AW207" s="61"/>
      <c r="AX207" s="61"/>
      <c r="AY207" s="61"/>
      <c r="AZ207" s="61"/>
      <c r="BA207" s="61"/>
      <c r="BB207" s="61"/>
      <c r="BC207" s="61"/>
      <c r="BD207" s="61"/>
      <c r="BE207" s="61"/>
      <c r="BF207" s="61"/>
      <c r="BG207" s="61"/>
      <c r="BH207" s="61"/>
      <c r="BI207" s="61"/>
      <c r="BJ207" s="61"/>
      <c r="BK207" s="61"/>
      <c r="BL207" s="61"/>
      <c r="BM207" s="61"/>
      <c r="BN207" s="61"/>
      <c r="BO207" s="61"/>
      <c r="BP207" s="61"/>
      <c r="BQ207" s="61"/>
      <c r="BR207" s="61"/>
      <c r="BS207" s="61"/>
      <c r="BT207" s="61"/>
      <c r="BU207" s="61"/>
      <c r="BV207" s="61"/>
      <c r="BW207" s="61"/>
      <c r="BX207" s="61"/>
    </row>
    <row r="208">
      <c r="A208" s="62" t="str">
        <f t="shared" si="1"/>
        <v>#REF!</v>
      </c>
      <c r="B208" s="61"/>
      <c r="C208" s="61"/>
      <c r="D208" s="61"/>
      <c r="E208" s="61"/>
      <c r="F208" s="61"/>
      <c r="G208" s="61"/>
      <c r="H208" s="61"/>
      <c r="I208" s="61"/>
      <c r="J208" s="61"/>
      <c r="K208" s="61"/>
      <c r="L208" s="61"/>
      <c r="M208" s="61"/>
      <c r="N208" s="61"/>
      <c r="O208" s="61"/>
      <c r="P208" s="61"/>
      <c r="Q208" s="61"/>
      <c r="R208" s="61"/>
      <c r="S208" s="61"/>
      <c r="T208" s="61"/>
      <c r="U208" s="61"/>
      <c r="V208" s="61"/>
      <c r="W208" s="61"/>
      <c r="X208" s="61"/>
      <c r="Y208" s="61"/>
      <c r="Z208" s="61"/>
      <c r="AA208" s="61"/>
      <c r="AB208" s="61"/>
      <c r="AC208" s="61"/>
      <c r="AD208" s="61"/>
      <c r="AE208" s="61"/>
      <c r="AF208" s="61"/>
      <c r="AG208" s="61"/>
      <c r="AH208" s="61"/>
      <c r="AI208" s="61"/>
      <c r="AJ208" s="61"/>
      <c r="AK208" s="61"/>
      <c r="AL208" s="61"/>
      <c r="AM208" s="61"/>
      <c r="AN208" s="61"/>
      <c r="AO208" s="61"/>
      <c r="AP208" s="61"/>
      <c r="AQ208" s="61"/>
      <c r="AR208" s="61"/>
      <c r="AS208" s="61"/>
      <c r="AT208" s="61"/>
      <c r="AU208" s="61"/>
      <c r="AV208" s="61"/>
      <c r="AW208" s="61"/>
      <c r="AX208" s="61"/>
      <c r="AY208" s="61"/>
      <c r="AZ208" s="61"/>
      <c r="BA208" s="61"/>
      <c r="BB208" s="61"/>
      <c r="BC208" s="61"/>
      <c r="BD208" s="61"/>
      <c r="BE208" s="61"/>
      <c r="BF208" s="61"/>
      <c r="BG208" s="61"/>
      <c r="BH208" s="61"/>
      <c r="BI208" s="61"/>
      <c r="BJ208" s="61"/>
      <c r="BK208" s="61"/>
      <c r="BL208" s="61"/>
      <c r="BM208" s="61"/>
      <c r="BN208" s="61"/>
      <c r="BO208" s="61"/>
      <c r="BP208" s="61"/>
      <c r="BQ208" s="61"/>
      <c r="BR208" s="61"/>
      <c r="BS208" s="61"/>
      <c r="BT208" s="61"/>
      <c r="BU208" s="61"/>
      <c r="BV208" s="61"/>
      <c r="BW208" s="61"/>
      <c r="BX208" s="61"/>
    </row>
    <row r="209">
      <c r="A209" s="62" t="str">
        <f t="shared" si="1"/>
        <v>#REF!</v>
      </c>
      <c r="B209" s="61"/>
      <c r="C209" s="61"/>
      <c r="D209" s="61"/>
      <c r="E209" s="61"/>
      <c r="F209" s="61"/>
      <c r="G209" s="61"/>
      <c r="H209" s="61"/>
      <c r="I209" s="61"/>
      <c r="J209" s="61"/>
      <c r="K209" s="61"/>
      <c r="L209" s="61"/>
      <c r="M209" s="61"/>
      <c r="N209" s="61"/>
      <c r="O209" s="61"/>
      <c r="P209" s="61"/>
      <c r="Q209" s="61"/>
      <c r="R209" s="61"/>
      <c r="S209" s="61"/>
      <c r="T209" s="61"/>
      <c r="U209" s="61"/>
      <c r="V209" s="61"/>
      <c r="W209" s="61"/>
      <c r="X209" s="61"/>
      <c r="Y209" s="61"/>
      <c r="Z209" s="61"/>
      <c r="AA209" s="61"/>
      <c r="AB209" s="61"/>
      <c r="AC209" s="61"/>
      <c r="AD209" s="61"/>
      <c r="AE209" s="61"/>
      <c r="AF209" s="61"/>
      <c r="AG209" s="61"/>
      <c r="AH209" s="61"/>
      <c r="AI209" s="61"/>
      <c r="AJ209" s="61"/>
      <c r="AK209" s="61"/>
      <c r="AL209" s="61"/>
      <c r="AM209" s="61"/>
      <c r="AN209" s="61"/>
      <c r="AO209" s="61"/>
      <c r="AP209" s="61"/>
      <c r="AQ209" s="61"/>
      <c r="AR209" s="61"/>
      <c r="AS209" s="61"/>
      <c r="AT209" s="61"/>
      <c r="AU209" s="61"/>
      <c r="AV209" s="61"/>
      <c r="AW209" s="61"/>
      <c r="AX209" s="61"/>
      <c r="AY209" s="61"/>
      <c r="AZ209" s="61"/>
      <c r="BA209" s="61"/>
      <c r="BB209" s="61"/>
      <c r="BC209" s="61"/>
      <c r="BD209" s="61"/>
      <c r="BE209" s="61"/>
      <c r="BF209" s="61"/>
      <c r="BG209" s="61"/>
      <c r="BH209" s="61"/>
      <c r="BI209" s="61"/>
      <c r="BJ209" s="61"/>
      <c r="BK209" s="61"/>
      <c r="BL209" s="61"/>
      <c r="BM209" s="61"/>
      <c r="BN209" s="61"/>
      <c r="BO209" s="61"/>
      <c r="BP209" s="61"/>
      <c r="BQ209" s="61"/>
      <c r="BR209" s="61"/>
      <c r="BS209" s="61"/>
      <c r="BT209" s="61"/>
      <c r="BU209" s="61"/>
      <c r="BV209" s="61"/>
      <c r="BW209" s="61"/>
      <c r="BX209" s="61"/>
    </row>
    <row r="210">
      <c r="A210" s="62" t="str">
        <f t="shared" si="1"/>
        <v>#REF!</v>
      </c>
      <c r="B210" s="61"/>
      <c r="C210" s="61"/>
      <c r="D210" s="61"/>
      <c r="E210" s="61"/>
      <c r="F210" s="61"/>
      <c r="G210" s="61"/>
      <c r="H210" s="61"/>
      <c r="I210" s="61"/>
      <c r="J210" s="61"/>
      <c r="K210" s="61"/>
      <c r="L210" s="61"/>
      <c r="M210" s="61"/>
      <c r="N210" s="61"/>
      <c r="O210" s="61"/>
      <c r="P210" s="61"/>
      <c r="Q210" s="61"/>
      <c r="R210" s="61"/>
      <c r="S210" s="61"/>
      <c r="T210" s="61"/>
      <c r="U210" s="61"/>
      <c r="V210" s="61"/>
      <c r="W210" s="61"/>
      <c r="X210" s="61"/>
      <c r="Y210" s="61"/>
      <c r="Z210" s="61"/>
      <c r="AA210" s="61"/>
      <c r="AB210" s="61"/>
      <c r="AC210" s="61"/>
      <c r="AD210" s="61"/>
      <c r="AE210" s="61"/>
      <c r="AF210" s="61"/>
      <c r="AG210" s="61"/>
      <c r="AH210" s="61"/>
      <c r="AI210" s="61"/>
      <c r="AJ210" s="61"/>
      <c r="AK210" s="61"/>
      <c r="AL210" s="61"/>
      <c r="AM210" s="61"/>
      <c r="AN210" s="61"/>
      <c r="AO210" s="61"/>
      <c r="AP210" s="61"/>
      <c r="AQ210" s="61"/>
      <c r="AR210" s="61"/>
      <c r="AS210" s="61"/>
      <c r="AT210" s="61"/>
      <c r="AU210" s="61"/>
      <c r="AV210" s="61"/>
      <c r="AW210" s="61"/>
      <c r="AX210" s="61"/>
      <c r="AY210" s="61"/>
      <c r="AZ210" s="61"/>
      <c r="BA210" s="61"/>
      <c r="BB210" s="61"/>
      <c r="BC210" s="61"/>
      <c r="BD210" s="61"/>
      <c r="BE210" s="61"/>
      <c r="BF210" s="61"/>
      <c r="BG210" s="61"/>
      <c r="BH210" s="61"/>
      <c r="BI210" s="61"/>
      <c r="BJ210" s="61"/>
      <c r="BK210" s="61"/>
      <c r="BL210" s="61"/>
      <c r="BM210" s="61"/>
      <c r="BN210" s="61"/>
      <c r="BO210" s="61"/>
      <c r="BP210" s="61"/>
      <c r="BQ210" s="61"/>
      <c r="BR210" s="61"/>
      <c r="BS210" s="61"/>
      <c r="BT210" s="61"/>
      <c r="BU210" s="61"/>
      <c r="BV210" s="61"/>
      <c r="BW210" s="61"/>
      <c r="BX210" s="61"/>
    </row>
    <row r="211">
      <c r="A211" s="62" t="str">
        <f t="shared" si="1"/>
        <v>#REF!</v>
      </c>
      <c r="B211" s="61"/>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1"/>
      <c r="AA211" s="61"/>
      <c r="AB211" s="61"/>
      <c r="AC211" s="61"/>
      <c r="AD211" s="61"/>
      <c r="AE211" s="61"/>
      <c r="AF211" s="61"/>
      <c r="AG211" s="61"/>
      <c r="AH211" s="61"/>
      <c r="AI211" s="61"/>
      <c r="AJ211" s="61"/>
      <c r="AK211" s="61"/>
      <c r="AL211" s="61"/>
      <c r="AM211" s="61"/>
      <c r="AN211" s="61"/>
      <c r="AO211" s="61"/>
      <c r="AP211" s="61"/>
      <c r="AQ211" s="61"/>
      <c r="AR211" s="61"/>
      <c r="AS211" s="61"/>
      <c r="AT211" s="61"/>
      <c r="AU211" s="61"/>
      <c r="AV211" s="61"/>
      <c r="AW211" s="61"/>
      <c r="AX211" s="61"/>
      <c r="AY211" s="61"/>
      <c r="AZ211" s="61"/>
      <c r="BA211" s="61"/>
      <c r="BB211" s="61"/>
      <c r="BC211" s="61"/>
      <c r="BD211" s="61"/>
      <c r="BE211" s="61"/>
      <c r="BF211" s="61"/>
      <c r="BG211" s="61"/>
      <c r="BH211" s="61"/>
      <c r="BI211" s="61"/>
      <c r="BJ211" s="61"/>
      <c r="BK211" s="61"/>
      <c r="BL211" s="61"/>
      <c r="BM211" s="61"/>
      <c r="BN211" s="61"/>
      <c r="BO211" s="61"/>
      <c r="BP211" s="61"/>
      <c r="BQ211" s="61"/>
      <c r="BR211" s="61"/>
      <c r="BS211" s="61"/>
      <c r="BT211" s="61"/>
      <c r="BU211" s="61"/>
      <c r="BV211" s="61"/>
      <c r="BW211" s="61"/>
      <c r="BX211" s="61"/>
    </row>
    <row r="212">
      <c r="A212" s="62" t="str">
        <f t="shared" si="1"/>
        <v>#REF!</v>
      </c>
      <c r="B212" s="61"/>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1"/>
      <c r="AA212" s="61"/>
      <c r="AB212" s="61"/>
      <c r="AC212" s="61"/>
      <c r="AD212" s="61"/>
      <c r="AE212" s="61"/>
      <c r="AF212" s="61"/>
      <c r="AG212" s="61"/>
      <c r="AH212" s="61"/>
      <c r="AI212" s="61"/>
      <c r="AJ212" s="61"/>
      <c r="AK212" s="61"/>
      <c r="AL212" s="61"/>
      <c r="AM212" s="61"/>
      <c r="AN212" s="61"/>
      <c r="AO212" s="61"/>
      <c r="AP212" s="61"/>
      <c r="AQ212" s="61"/>
      <c r="AR212" s="61"/>
      <c r="AS212" s="61"/>
      <c r="AT212" s="61"/>
      <c r="AU212" s="61"/>
      <c r="AV212" s="61"/>
      <c r="AW212" s="61"/>
      <c r="AX212" s="61"/>
      <c r="AY212" s="61"/>
      <c r="AZ212" s="61"/>
      <c r="BA212" s="61"/>
      <c r="BB212" s="61"/>
      <c r="BC212" s="61"/>
      <c r="BD212" s="61"/>
      <c r="BE212" s="61"/>
      <c r="BF212" s="61"/>
      <c r="BG212" s="61"/>
      <c r="BH212" s="61"/>
      <c r="BI212" s="61"/>
      <c r="BJ212" s="61"/>
      <c r="BK212" s="61"/>
      <c r="BL212" s="61"/>
      <c r="BM212" s="61"/>
      <c r="BN212" s="61"/>
      <c r="BO212" s="61"/>
      <c r="BP212" s="61"/>
      <c r="BQ212" s="61"/>
      <c r="BR212" s="61"/>
      <c r="BS212" s="61"/>
      <c r="BT212" s="61"/>
      <c r="BU212" s="61"/>
      <c r="BV212" s="61"/>
      <c r="BW212" s="61"/>
      <c r="BX212" s="61"/>
    </row>
    <row r="213">
      <c r="A213" s="62" t="str">
        <f t="shared" si="1"/>
        <v>#REF!</v>
      </c>
      <c r="B213" s="61"/>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1"/>
      <c r="AA213" s="61"/>
      <c r="AB213" s="61"/>
      <c r="AC213" s="61"/>
      <c r="AD213" s="61"/>
      <c r="AE213" s="61"/>
      <c r="AF213" s="61"/>
      <c r="AG213" s="61"/>
      <c r="AH213" s="61"/>
      <c r="AI213" s="61"/>
      <c r="AJ213" s="61"/>
      <c r="AK213" s="61"/>
      <c r="AL213" s="61"/>
      <c r="AM213" s="61"/>
      <c r="AN213" s="61"/>
      <c r="AO213" s="61"/>
      <c r="AP213" s="61"/>
      <c r="AQ213" s="61"/>
      <c r="AR213" s="61"/>
      <c r="AS213" s="61"/>
      <c r="AT213" s="61"/>
      <c r="AU213" s="61"/>
      <c r="AV213" s="61"/>
      <c r="AW213" s="61"/>
      <c r="AX213" s="61"/>
      <c r="AY213" s="61"/>
      <c r="AZ213" s="61"/>
      <c r="BA213" s="61"/>
      <c r="BB213" s="61"/>
      <c r="BC213" s="61"/>
      <c r="BD213" s="61"/>
      <c r="BE213" s="61"/>
      <c r="BF213" s="61"/>
      <c r="BG213" s="61"/>
      <c r="BH213" s="61"/>
      <c r="BI213" s="61"/>
      <c r="BJ213" s="61"/>
      <c r="BK213" s="61"/>
      <c r="BL213" s="61"/>
      <c r="BM213" s="61"/>
      <c r="BN213" s="61"/>
      <c r="BO213" s="61"/>
      <c r="BP213" s="61"/>
      <c r="BQ213" s="61"/>
      <c r="BR213" s="61"/>
      <c r="BS213" s="61"/>
      <c r="BT213" s="61"/>
      <c r="BU213" s="61"/>
      <c r="BV213" s="61"/>
      <c r="BW213" s="61"/>
      <c r="BX213" s="61"/>
    </row>
    <row r="214">
      <c r="A214" s="62" t="str">
        <f t="shared" si="1"/>
        <v>#REF!</v>
      </c>
      <c r="B214" s="61"/>
      <c r="C214" s="61"/>
      <c r="D214" s="61"/>
      <c r="E214" s="61"/>
      <c r="F214" s="61"/>
      <c r="G214" s="61"/>
      <c r="H214" s="61"/>
      <c r="I214" s="61"/>
      <c r="J214" s="61"/>
      <c r="K214" s="61"/>
      <c r="L214" s="61"/>
      <c r="M214" s="61"/>
      <c r="N214" s="61"/>
      <c r="O214" s="61"/>
      <c r="P214" s="61"/>
      <c r="Q214" s="61"/>
      <c r="R214" s="61"/>
      <c r="S214" s="61"/>
      <c r="T214" s="61"/>
      <c r="U214" s="61"/>
      <c r="V214" s="61"/>
      <c r="W214" s="61"/>
      <c r="X214" s="61"/>
      <c r="Y214" s="61"/>
      <c r="Z214" s="61"/>
      <c r="AA214" s="61"/>
      <c r="AB214" s="61"/>
      <c r="AC214" s="61"/>
      <c r="AD214" s="61"/>
      <c r="AE214" s="61"/>
      <c r="AF214" s="61"/>
      <c r="AG214" s="61"/>
      <c r="AH214" s="61"/>
      <c r="AI214" s="61"/>
      <c r="AJ214" s="61"/>
      <c r="AK214" s="61"/>
      <c r="AL214" s="61"/>
      <c r="AM214" s="61"/>
      <c r="AN214" s="61"/>
      <c r="AO214" s="61"/>
      <c r="AP214" s="61"/>
      <c r="AQ214" s="61"/>
      <c r="AR214" s="61"/>
      <c r="AS214" s="61"/>
      <c r="AT214" s="61"/>
      <c r="AU214" s="61"/>
      <c r="AV214" s="61"/>
      <c r="AW214" s="61"/>
      <c r="AX214" s="61"/>
      <c r="AY214" s="61"/>
      <c r="AZ214" s="61"/>
      <c r="BA214" s="61"/>
      <c r="BB214" s="61"/>
      <c r="BC214" s="61"/>
      <c r="BD214" s="61"/>
      <c r="BE214" s="61"/>
      <c r="BF214" s="61"/>
      <c r="BG214" s="61"/>
      <c r="BH214" s="61"/>
      <c r="BI214" s="61"/>
      <c r="BJ214" s="61"/>
      <c r="BK214" s="61"/>
      <c r="BL214" s="61"/>
      <c r="BM214" s="61"/>
      <c r="BN214" s="61"/>
      <c r="BO214" s="61"/>
      <c r="BP214" s="61"/>
      <c r="BQ214" s="61"/>
      <c r="BR214" s="61"/>
      <c r="BS214" s="61"/>
      <c r="BT214" s="61"/>
      <c r="BU214" s="61"/>
      <c r="BV214" s="61"/>
      <c r="BW214" s="61"/>
      <c r="BX214" s="61"/>
    </row>
    <row r="215">
      <c r="A215" s="62" t="str">
        <f t="shared" si="1"/>
        <v>#REF!</v>
      </c>
      <c r="B215" s="61"/>
      <c r="C215" s="61"/>
      <c r="D215" s="61"/>
      <c r="E215" s="61"/>
      <c r="F215" s="61"/>
      <c r="G215" s="61"/>
      <c r="H215" s="61"/>
      <c r="I215" s="61"/>
      <c r="J215" s="61"/>
      <c r="K215" s="61"/>
      <c r="L215" s="61"/>
      <c r="M215" s="61"/>
      <c r="N215" s="61"/>
      <c r="O215" s="61"/>
      <c r="P215" s="61"/>
      <c r="Q215" s="61"/>
      <c r="R215" s="61"/>
      <c r="S215" s="61"/>
      <c r="T215" s="61"/>
      <c r="U215" s="61"/>
      <c r="V215" s="61"/>
      <c r="W215" s="61"/>
      <c r="X215" s="61"/>
      <c r="Y215" s="61"/>
      <c r="Z215" s="61"/>
      <c r="AA215" s="61"/>
      <c r="AB215" s="61"/>
      <c r="AC215" s="61"/>
      <c r="AD215" s="61"/>
      <c r="AE215" s="61"/>
      <c r="AF215" s="61"/>
      <c r="AG215" s="61"/>
      <c r="AH215" s="61"/>
      <c r="AI215" s="61"/>
      <c r="AJ215" s="61"/>
      <c r="AK215" s="61"/>
      <c r="AL215" s="61"/>
      <c r="AM215" s="61"/>
      <c r="AN215" s="61"/>
      <c r="AO215" s="61"/>
      <c r="AP215" s="61"/>
      <c r="AQ215" s="61"/>
      <c r="AR215" s="61"/>
      <c r="AS215" s="61"/>
      <c r="AT215" s="61"/>
      <c r="AU215" s="61"/>
      <c r="AV215" s="61"/>
      <c r="AW215" s="61"/>
      <c r="AX215" s="61"/>
      <c r="AY215" s="61"/>
      <c r="AZ215" s="61"/>
      <c r="BA215" s="61"/>
      <c r="BB215" s="61"/>
      <c r="BC215" s="61"/>
      <c r="BD215" s="61"/>
      <c r="BE215" s="61"/>
      <c r="BF215" s="61"/>
      <c r="BG215" s="61"/>
      <c r="BH215" s="61"/>
      <c r="BI215" s="61"/>
      <c r="BJ215" s="61"/>
      <c r="BK215" s="61"/>
      <c r="BL215" s="61"/>
      <c r="BM215" s="61"/>
      <c r="BN215" s="61"/>
      <c r="BO215" s="61"/>
      <c r="BP215" s="61"/>
      <c r="BQ215" s="61"/>
      <c r="BR215" s="61"/>
      <c r="BS215" s="61"/>
      <c r="BT215" s="61"/>
      <c r="BU215" s="61"/>
      <c r="BV215" s="61"/>
      <c r="BW215" s="61"/>
      <c r="BX215" s="61"/>
    </row>
    <row r="216">
      <c r="A216" s="62" t="str">
        <f t="shared" si="1"/>
        <v>#REF!</v>
      </c>
      <c r="B216" s="61"/>
      <c r="C216" s="61"/>
      <c r="D216" s="61"/>
      <c r="E216" s="61"/>
      <c r="F216" s="61"/>
      <c r="G216" s="61"/>
      <c r="H216" s="61"/>
      <c r="I216" s="61"/>
      <c r="J216" s="61"/>
      <c r="K216" s="61"/>
      <c r="L216" s="61"/>
      <c r="M216" s="61"/>
      <c r="N216" s="61"/>
      <c r="O216" s="61"/>
      <c r="P216" s="61"/>
      <c r="Q216" s="61"/>
      <c r="R216" s="61"/>
      <c r="S216" s="61"/>
      <c r="T216" s="61"/>
      <c r="U216" s="61"/>
      <c r="V216" s="61"/>
      <c r="W216" s="61"/>
      <c r="X216" s="61"/>
      <c r="Y216" s="61"/>
      <c r="Z216" s="61"/>
      <c r="AA216" s="61"/>
      <c r="AB216" s="61"/>
      <c r="AC216" s="61"/>
      <c r="AD216" s="61"/>
      <c r="AE216" s="61"/>
      <c r="AF216" s="61"/>
      <c r="AG216" s="61"/>
      <c r="AH216" s="61"/>
      <c r="AI216" s="61"/>
      <c r="AJ216" s="61"/>
      <c r="AK216" s="61"/>
      <c r="AL216" s="61"/>
      <c r="AM216" s="61"/>
      <c r="AN216" s="61"/>
      <c r="AO216" s="61"/>
      <c r="AP216" s="61"/>
      <c r="AQ216" s="61"/>
      <c r="AR216" s="61"/>
      <c r="AS216" s="61"/>
      <c r="AT216" s="61"/>
      <c r="AU216" s="61"/>
      <c r="AV216" s="61"/>
      <c r="AW216" s="61"/>
      <c r="AX216" s="61"/>
      <c r="AY216" s="61"/>
      <c r="AZ216" s="61"/>
      <c r="BA216" s="61"/>
      <c r="BB216" s="61"/>
      <c r="BC216" s="61"/>
      <c r="BD216" s="61"/>
      <c r="BE216" s="61"/>
      <c r="BF216" s="61"/>
      <c r="BG216" s="61"/>
      <c r="BH216" s="61"/>
      <c r="BI216" s="61"/>
      <c r="BJ216" s="61"/>
      <c r="BK216" s="61"/>
      <c r="BL216" s="61"/>
      <c r="BM216" s="61"/>
      <c r="BN216" s="61"/>
      <c r="BO216" s="61"/>
      <c r="BP216" s="61"/>
      <c r="BQ216" s="61"/>
      <c r="BR216" s="61"/>
      <c r="BS216" s="61"/>
      <c r="BT216" s="61"/>
      <c r="BU216" s="61"/>
      <c r="BV216" s="61"/>
      <c r="BW216" s="61"/>
      <c r="BX216" s="61"/>
    </row>
    <row r="217">
      <c r="A217" s="62" t="str">
        <f t="shared" si="1"/>
        <v>#REF!</v>
      </c>
      <c r="B217" s="72"/>
      <c r="C217" s="61"/>
      <c r="D217" s="61"/>
      <c r="E217" s="61"/>
      <c r="F217" s="61"/>
      <c r="G217" s="61"/>
      <c r="H217" s="61"/>
      <c r="I217" s="61"/>
      <c r="J217" s="61"/>
      <c r="K217" s="61"/>
      <c r="L217" s="61"/>
      <c r="M217" s="61"/>
      <c r="N217" s="61"/>
      <c r="O217" s="61"/>
      <c r="P217" s="61"/>
      <c r="Q217" s="61"/>
      <c r="R217" s="61"/>
      <c r="S217" s="61"/>
      <c r="T217" s="61"/>
      <c r="U217" s="61"/>
      <c r="V217" s="61"/>
      <c r="W217" s="61"/>
      <c r="X217" s="61"/>
      <c r="Y217" s="61"/>
      <c r="Z217" s="61"/>
      <c r="AA217" s="61"/>
      <c r="AB217" s="61"/>
      <c r="AC217" s="61"/>
      <c r="AD217" s="61"/>
      <c r="AE217" s="61"/>
      <c r="AF217" s="61"/>
      <c r="AG217" s="61"/>
      <c r="AH217" s="61"/>
      <c r="AI217" s="61"/>
      <c r="AJ217" s="61"/>
      <c r="AK217" s="61"/>
      <c r="AL217" s="61"/>
      <c r="AM217" s="61"/>
      <c r="AN217" s="61"/>
      <c r="AO217" s="61"/>
      <c r="AP217" s="61"/>
      <c r="AQ217" s="61"/>
      <c r="AR217" s="61"/>
      <c r="AS217" s="61"/>
      <c r="AT217" s="61"/>
      <c r="AU217" s="61"/>
      <c r="AV217" s="61"/>
      <c r="AW217" s="61"/>
      <c r="AX217" s="61"/>
      <c r="AY217" s="61"/>
      <c r="AZ217" s="61"/>
      <c r="BA217" s="61"/>
      <c r="BB217" s="61"/>
      <c r="BC217" s="61"/>
      <c r="BD217" s="61"/>
      <c r="BE217" s="61"/>
      <c r="BF217" s="61"/>
      <c r="BG217" s="61"/>
      <c r="BH217" s="61"/>
      <c r="BI217" s="61"/>
      <c r="BJ217" s="61"/>
      <c r="BK217" s="61"/>
      <c r="BL217" s="61"/>
      <c r="BM217" s="61"/>
      <c r="BN217" s="61"/>
      <c r="BO217" s="61"/>
      <c r="BP217" s="61"/>
      <c r="BQ217" s="61"/>
      <c r="BR217" s="61"/>
      <c r="BS217" s="61"/>
      <c r="BT217" s="61"/>
      <c r="BU217" s="61"/>
      <c r="BV217" s="61"/>
      <c r="BW217" s="61"/>
      <c r="BX217" s="61"/>
    </row>
    <row r="218">
      <c r="A218" s="62" t="str">
        <f t="shared" si="1"/>
        <v>#REF!</v>
      </c>
      <c r="B218" s="62"/>
      <c r="C218" s="61"/>
      <c r="D218" s="61"/>
      <c r="E218" s="61"/>
      <c r="F218" s="61"/>
      <c r="G218" s="61"/>
      <c r="H218" s="61"/>
      <c r="I218" s="61"/>
      <c r="J218" s="61"/>
      <c r="K218" s="61"/>
      <c r="L218" s="61"/>
      <c r="M218" s="61"/>
      <c r="N218" s="61"/>
      <c r="O218" s="61"/>
      <c r="P218" s="61"/>
      <c r="Q218" s="61"/>
      <c r="R218" s="61"/>
      <c r="S218" s="61"/>
      <c r="T218" s="61"/>
      <c r="U218" s="61"/>
      <c r="V218" s="61"/>
      <c r="W218" s="61"/>
      <c r="X218" s="61"/>
      <c r="Y218" s="61"/>
      <c r="Z218" s="61"/>
      <c r="AA218" s="61"/>
      <c r="AB218" s="61"/>
      <c r="AC218" s="61"/>
      <c r="AD218" s="61"/>
      <c r="AE218" s="61"/>
      <c r="AF218" s="61"/>
      <c r="AG218" s="61"/>
      <c r="AH218" s="61"/>
      <c r="AI218" s="61"/>
      <c r="AJ218" s="61"/>
      <c r="AK218" s="61"/>
      <c r="AL218" s="61"/>
      <c r="AM218" s="61"/>
      <c r="AN218" s="61"/>
      <c r="AO218" s="61"/>
      <c r="AP218" s="61"/>
      <c r="AQ218" s="61"/>
      <c r="AR218" s="61"/>
      <c r="AS218" s="61"/>
      <c r="AT218" s="61"/>
      <c r="AU218" s="61"/>
      <c r="AV218" s="61"/>
      <c r="AW218" s="61"/>
      <c r="AX218" s="61"/>
      <c r="AY218" s="61"/>
      <c r="AZ218" s="61"/>
      <c r="BA218" s="61"/>
      <c r="BB218" s="61"/>
      <c r="BC218" s="61"/>
      <c r="BD218" s="61"/>
      <c r="BE218" s="61"/>
      <c r="BF218" s="61"/>
      <c r="BG218" s="61"/>
      <c r="BH218" s="61"/>
      <c r="BI218" s="61"/>
      <c r="BJ218" s="61"/>
      <c r="BK218" s="61"/>
      <c r="BL218" s="61"/>
      <c r="BM218" s="61"/>
      <c r="BN218" s="61"/>
      <c r="BO218" s="61"/>
      <c r="BP218" s="61"/>
      <c r="BQ218" s="61"/>
      <c r="BR218" s="61"/>
      <c r="BS218" s="61"/>
      <c r="BT218" s="61"/>
      <c r="BU218" s="61"/>
      <c r="BV218" s="61"/>
      <c r="BW218" s="61"/>
      <c r="BX218" s="61"/>
    </row>
    <row r="219">
      <c r="A219" s="62" t="str">
        <f t="shared" si="1"/>
        <v>#REF!</v>
      </c>
      <c r="B219" s="61"/>
      <c r="C219" s="61"/>
      <c r="D219" s="61"/>
      <c r="E219" s="61"/>
      <c r="F219" s="61"/>
      <c r="G219" s="61"/>
      <c r="H219" s="61"/>
      <c r="I219" s="61"/>
      <c r="J219" s="61"/>
      <c r="K219" s="61"/>
      <c r="L219" s="61"/>
      <c r="M219" s="61"/>
      <c r="N219" s="61"/>
      <c r="O219" s="61"/>
      <c r="P219" s="61"/>
      <c r="Q219" s="61"/>
      <c r="R219" s="61"/>
      <c r="S219" s="61"/>
      <c r="T219" s="61"/>
      <c r="U219" s="61"/>
      <c r="V219" s="61"/>
      <c r="W219" s="61"/>
      <c r="X219" s="61"/>
      <c r="Y219" s="61"/>
      <c r="Z219" s="61"/>
      <c r="AA219" s="61"/>
      <c r="AB219" s="61"/>
      <c r="AC219" s="61"/>
      <c r="AD219" s="61"/>
      <c r="AE219" s="61"/>
      <c r="AF219" s="61"/>
      <c r="AG219" s="61"/>
      <c r="AH219" s="61"/>
      <c r="AI219" s="61"/>
      <c r="AJ219" s="61"/>
      <c r="AK219" s="61"/>
      <c r="AL219" s="61"/>
      <c r="AM219" s="61"/>
      <c r="AN219" s="61"/>
      <c r="AO219" s="61"/>
      <c r="AP219" s="61"/>
      <c r="AQ219" s="61"/>
      <c r="AR219" s="61"/>
      <c r="AS219" s="61"/>
      <c r="AT219" s="61"/>
      <c r="AU219" s="61"/>
      <c r="AV219" s="61"/>
      <c r="AW219" s="61"/>
      <c r="AX219" s="61"/>
      <c r="AY219" s="61"/>
      <c r="AZ219" s="61"/>
      <c r="BA219" s="61"/>
      <c r="BB219" s="61"/>
      <c r="BC219" s="61"/>
      <c r="BD219" s="61"/>
      <c r="BE219" s="61"/>
      <c r="BF219" s="61"/>
      <c r="BG219" s="61"/>
      <c r="BH219" s="61"/>
      <c r="BI219" s="61"/>
      <c r="BJ219" s="61"/>
      <c r="BK219" s="61"/>
      <c r="BL219" s="61"/>
      <c r="BM219" s="61"/>
      <c r="BN219" s="61"/>
      <c r="BO219" s="61"/>
      <c r="BP219" s="61"/>
      <c r="BQ219" s="61"/>
      <c r="BR219" s="61"/>
      <c r="BS219" s="61"/>
      <c r="BT219" s="61"/>
      <c r="BU219" s="61"/>
      <c r="BV219" s="61"/>
      <c r="BW219" s="61"/>
      <c r="BX219" s="61"/>
    </row>
    <row r="220">
      <c r="A220" s="62" t="str">
        <f t="shared" si="1"/>
        <v>#REF!</v>
      </c>
      <c r="B220" s="61"/>
      <c r="C220" s="61"/>
      <c r="D220" s="61"/>
      <c r="E220" s="61"/>
      <c r="F220" s="61"/>
      <c r="G220" s="61"/>
      <c r="H220" s="61"/>
      <c r="I220" s="61"/>
      <c r="J220" s="61"/>
      <c r="K220" s="61"/>
      <c r="L220" s="61"/>
      <c r="M220" s="61"/>
      <c r="N220" s="61"/>
      <c r="O220" s="61"/>
      <c r="P220" s="61"/>
      <c r="Q220" s="61"/>
      <c r="R220" s="61"/>
      <c r="S220" s="61"/>
      <c r="T220" s="61"/>
      <c r="U220" s="61"/>
      <c r="V220" s="61"/>
      <c r="W220" s="61"/>
      <c r="X220" s="61"/>
      <c r="Y220" s="61"/>
      <c r="Z220" s="61"/>
      <c r="AA220" s="61"/>
      <c r="AB220" s="61"/>
      <c r="AC220" s="61"/>
      <c r="AD220" s="61"/>
      <c r="AE220" s="61"/>
      <c r="AF220" s="61"/>
      <c r="AG220" s="61"/>
      <c r="AH220" s="61"/>
      <c r="AI220" s="61"/>
      <c r="AJ220" s="61"/>
      <c r="AK220" s="61"/>
      <c r="AL220" s="61"/>
      <c r="AM220" s="61"/>
      <c r="AN220" s="61"/>
      <c r="AO220" s="61"/>
      <c r="AP220" s="61"/>
      <c r="AQ220" s="61"/>
      <c r="AR220" s="61"/>
      <c r="AS220" s="61"/>
      <c r="AT220" s="61"/>
      <c r="AU220" s="61"/>
      <c r="AV220" s="61"/>
      <c r="AW220" s="61"/>
      <c r="AX220" s="61"/>
      <c r="AY220" s="61"/>
      <c r="AZ220" s="61"/>
      <c r="BA220" s="61"/>
      <c r="BB220" s="61"/>
      <c r="BC220" s="61"/>
      <c r="BD220" s="61"/>
      <c r="BE220" s="61"/>
      <c r="BF220" s="61"/>
      <c r="BG220" s="61"/>
      <c r="BH220" s="61"/>
      <c r="BI220" s="61"/>
      <c r="BJ220" s="61"/>
      <c r="BK220" s="61"/>
      <c r="BL220" s="61"/>
      <c r="BM220" s="61"/>
      <c r="BN220" s="61"/>
      <c r="BO220" s="61"/>
      <c r="BP220" s="61"/>
      <c r="BQ220" s="61"/>
      <c r="BR220" s="61"/>
      <c r="BS220" s="61"/>
      <c r="BT220" s="61"/>
      <c r="BU220" s="61"/>
      <c r="BV220" s="61"/>
      <c r="BW220" s="61"/>
      <c r="BX220" s="61"/>
    </row>
    <row r="221">
      <c r="A221" s="62" t="str">
        <f t="shared" si="1"/>
        <v>#REF!</v>
      </c>
      <c r="B221" s="61"/>
      <c r="C221" s="61"/>
      <c r="D221" s="61"/>
      <c r="E221" s="61"/>
      <c r="F221" s="61"/>
      <c r="G221" s="61"/>
      <c r="H221" s="61"/>
      <c r="I221" s="61"/>
      <c r="J221" s="61"/>
      <c r="K221" s="61"/>
      <c r="L221" s="61"/>
      <c r="M221" s="61"/>
      <c r="N221" s="61"/>
      <c r="O221" s="61"/>
      <c r="P221" s="61"/>
      <c r="Q221" s="61"/>
      <c r="R221" s="61"/>
      <c r="S221" s="61"/>
      <c r="T221" s="61"/>
      <c r="U221" s="61"/>
      <c r="V221" s="61"/>
      <c r="W221" s="61"/>
      <c r="X221" s="61"/>
      <c r="Y221" s="61"/>
      <c r="Z221" s="61"/>
      <c r="AA221" s="61"/>
      <c r="AB221" s="61"/>
      <c r="AC221" s="61"/>
      <c r="AD221" s="61"/>
      <c r="AE221" s="61"/>
      <c r="AF221" s="61"/>
      <c r="AG221" s="61"/>
      <c r="AH221" s="61"/>
      <c r="AI221" s="61"/>
      <c r="AJ221" s="61"/>
      <c r="AK221" s="61"/>
      <c r="AL221" s="61"/>
      <c r="AM221" s="61"/>
      <c r="AN221" s="61"/>
      <c r="AO221" s="61"/>
      <c r="AP221" s="61"/>
      <c r="AQ221" s="61"/>
      <c r="AR221" s="61"/>
      <c r="AS221" s="61"/>
      <c r="AT221" s="61"/>
      <c r="AU221" s="61"/>
      <c r="AV221" s="61"/>
      <c r="AW221" s="61"/>
      <c r="AX221" s="61"/>
      <c r="AY221" s="61"/>
      <c r="AZ221" s="61"/>
      <c r="BA221" s="61"/>
      <c r="BB221" s="61"/>
      <c r="BC221" s="61"/>
      <c r="BD221" s="61"/>
      <c r="BE221" s="61"/>
      <c r="BF221" s="61"/>
      <c r="BG221" s="61"/>
      <c r="BH221" s="61"/>
      <c r="BI221" s="61"/>
      <c r="BJ221" s="61"/>
      <c r="BK221" s="61"/>
      <c r="BL221" s="61"/>
      <c r="BM221" s="61"/>
      <c r="BN221" s="61"/>
      <c r="BO221" s="61"/>
      <c r="BP221" s="61"/>
      <c r="BQ221" s="61"/>
      <c r="BR221" s="61"/>
      <c r="BS221" s="61"/>
      <c r="BT221" s="61"/>
      <c r="BU221" s="61"/>
      <c r="BV221" s="61"/>
      <c r="BW221" s="61"/>
      <c r="BX221" s="61"/>
    </row>
    <row r="222">
      <c r="A222" s="62" t="str">
        <f t="shared" si="1"/>
        <v>#REF!</v>
      </c>
      <c r="B222" s="61"/>
      <c r="C222" s="61"/>
      <c r="D222" s="61"/>
      <c r="E222" s="61"/>
      <c r="F222" s="61"/>
      <c r="G222" s="61"/>
      <c r="H222" s="61"/>
      <c r="I222" s="61"/>
      <c r="J222" s="61"/>
      <c r="K222" s="61"/>
      <c r="L222" s="61"/>
      <c r="M222" s="61"/>
      <c r="N222" s="61"/>
      <c r="O222" s="61"/>
      <c r="P222" s="61"/>
      <c r="Q222" s="61"/>
      <c r="R222" s="61"/>
      <c r="S222" s="61"/>
      <c r="T222" s="61"/>
      <c r="U222" s="61"/>
      <c r="V222" s="61"/>
      <c r="W222" s="61"/>
      <c r="X222" s="61"/>
      <c r="Y222" s="61"/>
      <c r="Z222" s="61"/>
      <c r="AA222" s="61"/>
      <c r="AB222" s="61"/>
      <c r="AC222" s="61"/>
      <c r="AD222" s="61"/>
      <c r="AE222" s="61"/>
      <c r="AF222" s="61"/>
      <c r="AG222" s="61"/>
      <c r="AH222" s="61"/>
      <c r="AI222" s="61"/>
      <c r="AJ222" s="61"/>
      <c r="AK222" s="61"/>
      <c r="AL222" s="61"/>
      <c r="AM222" s="61"/>
      <c r="AN222" s="61"/>
      <c r="AO222" s="61"/>
      <c r="AP222" s="61"/>
      <c r="AQ222" s="61"/>
      <c r="AR222" s="61"/>
      <c r="AS222" s="61"/>
      <c r="AT222" s="61"/>
      <c r="AU222" s="61"/>
      <c r="AV222" s="61"/>
      <c r="AW222" s="61"/>
      <c r="AX222" s="61"/>
      <c r="AY222" s="61"/>
      <c r="AZ222" s="61"/>
      <c r="BA222" s="61"/>
      <c r="BB222" s="61"/>
      <c r="BC222" s="61"/>
      <c r="BD222" s="61"/>
      <c r="BE222" s="61"/>
      <c r="BF222" s="61"/>
      <c r="BG222" s="61"/>
      <c r="BH222" s="61"/>
      <c r="BI222" s="61"/>
      <c r="BJ222" s="61"/>
      <c r="BK222" s="61"/>
      <c r="BL222" s="61"/>
      <c r="BM222" s="61"/>
      <c r="BN222" s="61"/>
      <c r="BO222" s="61"/>
      <c r="BP222" s="61"/>
      <c r="BQ222" s="61"/>
      <c r="BR222" s="61"/>
      <c r="BS222" s="61"/>
      <c r="BT222" s="61"/>
      <c r="BU222" s="61"/>
      <c r="BV222" s="61"/>
      <c r="BW222" s="61"/>
      <c r="BX222" s="61"/>
    </row>
    <row r="223">
      <c r="A223" s="62" t="str">
        <f t="shared" si="1"/>
        <v>#REF!</v>
      </c>
      <c r="B223" s="61"/>
      <c r="C223" s="61"/>
      <c r="D223" s="61"/>
      <c r="E223" s="61"/>
      <c r="F223" s="61"/>
      <c r="G223" s="61"/>
      <c r="H223" s="61"/>
      <c r="I223" s="61"/>
      <c r="J223" s="61"/>
      <c r="K223" s="61"/>
      <c r="L223" s="61"/>
      <c r="M223" s="61"/>
      <c r="N223" s="61"/>
      <c r="O223" s="61"/>
      <c r="P223" s="61"/>
      <c r="Q223" s="61"/>
      <c r="R223" s="61"/>
      <c r="S223" s="61"/>
      <c r="T223" s="61"/>
      <c r="U223" s="61"/>
      <c r="V223" s="61"/>
      <c r="W223" s="61"/>
      <c r="X223" s="61"/>
      <c r="Y223" s="61"/>
      <c r="Z223" s="61"/>
      <c r="AA223" s="61"/>
      <c r="AB223" s="61"/>
      <c r="AC223" s="61"/>
      <c r="AD223" s="61"/>
      <c r="AE223" s="61"/>
      <c r="AF223" s="61"/>
      <c r="AG223" s="61"/>
      <c r="AH223" s="61"/>
      <c r="AI223" s="61"/>
      <c r="AJ223" s="61"/>
      <c r="AK223" s="61"/>
      <c r="AL223" s="61"/>
      <c r="AM223" s="61"/>
      <c r="AN223" s="61"/>
      <c r="AO223" s="61"/>
      <c r="AP223" s="61"/>
      <c r="AQ223" s="61"/>
      <c r="AR223" s="61"/>
      <c r="AS223" s="61"/>
      <c r="AT223" s="61"/>
      <c r="AU223" s="61"/>
      <c r="AV223" s="61"/>
      <c r="AW223" s="61"/>
      <c r="AX223" s="61"/>
      <c r="AY223" s="61"/>
      <c r="AZ223" s="61"/>
      <c r="BA223" s="61"/>
      <c r="BB223" s="61"/>
      <c r="BC223" s="61"/>
      <c r="BD223" s="61"/>
      <c r="BE223" s="61"/>
      <c r="BF223" s="61"/>
      <c r="BG223" s="61"/>
      <c r="BH223" s="61"/>
      <c r="BI223" s="61"/>
      <c r="BJ223" s="61"/>
      <c r="BK223" s="61"/>
      <c r="BL223" s="61"/>
      <c r="BM223" s="61"/>
      <c r="BN223" s="61"/>
      <c r="BO223" s="61"/>
      <c r="BP223" s="61"/>
      <c r="BQ223" s="61"/>
      <c r="BR223" s="61"/>
      <c r="BS223" s="61"/>
      <c r="BT223" s="61"/>
      <c r="BU223" s="61"/>
      <c r="BV223" s="61"/>
      <c r="BW223" s="61"/>
      <c r="BX223" s="61"/>
    </row>
    <row r="224">
      <c r="A224" s="62" t="str">
        <f t="shared" si="1"/>
        <v>#REF!</v>
      </c>
      <c r="B224" s="61"/>
      <c r="C224" s="61"/>
      <c r="D224" s="61"/>
      <c r="E224" s="61"/>
      <c r="F224" s="61"/>
      <c r="G224" s="61"/>
      <c r="H224" s="61"/>
      <c r="I224" s="61"/>
      <c r="J224" s="61"/>
      <c r="K224" s="61"/>
      <c r="L224" s="61"/>
      <c r="M224" s="61"/>
      <c r="N224" s="61"/>
      <c r="O224" s="61"/>
      <c r="P224" s="61"/>
      <c r="Q224" s="61"/>
      <c r="R224" s="61"/>
      <c r="S224" s="61"/>
      <c r="T224" s="61"/>
      <c r="U224" s="61"/>
      <c r="V224" s="61"/>
      <c r="W224" s="61"/>
      <c r="X224" s="61"/>
      <c r="Y224" s="61"/>
      <c r="Z224" s="61"/>
      <c r="AA224" s="61"/>
      <c r="AB224" s="61"/>
      <c r="AC224" s="61"/>
      <c r="AD224" s="61"/>
      <c r="AE224" s="61"/>
      <c r="AF224" s="61"/>
      <c r="AG224" s="61"/>
      <c r="AH224" s="61"/>
      <c r="AI224" s="61"/>
      <c r="AJ224" s="61"/>
      <c r="AK224" s="61"/>
      <c r="AL224" s="61"/>
      <c r="AM224" s="61"/>
      <c r="AN224" s="61"/>
      <c r="AO224" s="61"/>
      <c r="AP224" s="61"/>
      <c r="AQ224" s="61"/>
      <c r="AR224" s="61"/>
      <c r="AS224" s="61"/>
      <c r="AT224" s="61"/>
      <c r="AU224" s="61"/>
      <c r="AV224" s="61"/>
      <c r="AW224" s="61"/>
      <c r="AX224" s="61"/>
      <c r="AY224" s="61"/>
      <c r="AZ224" s="61"/>
      <c r="BA224" s="61"/>
      <c r="BB224" s="61"/>
      <c r="BC224" s="61"/>
      <c r="BD224" s="61"/>
      <c r="BE224" s="61"/>
      <c r="BF224" s="61"/>
      <c r="BG224" s="61"/>
      <c r="BH224" s="61"/>
      <c r="BI224" s="61"/>
      <c r="BJ224" s="61"/>
      <c r="BK224" s="61"/>
      <c r="BL224" s="61"/>
      <c r="BM224" s="61"/>
      <c r="BN224" s="61"/>
      <c r="BO224" s="61"/>
      <c r="BP224" s="61"/>
      <c r="BQ224" s="61"/>
      <c r="BR224" s="61"/>
      <c r="BS224" s="61"/>
      <c r="BT224" s="61"/>
      <c r="BU224" s="61"/>
      <c r="BV224" s="61"/>
      <c r="BW224" s="61"/>
      <c r="BX224" s="61"/>
    </row>
    <row r="225">
      <c r="A225" s="62" t="str">
        <f t="shared" si="1"/>
        <v>#REF!</v>
      </c>
      <c r="B225" s="61"/>
      <c r="C225" s="61"/>
      <c r="D225" s="61"/>
      <c r="E225" s="61"/>
      <c r="F225" s="61"/>
      <c r="G225" s="61"/>
      <c r="H225" s="61"/>
      <c r="I225" s="61"/>
      <c r="J225" s="61"/>
      <c r="K225" s="61"/>
      <c r="L225" s="61"/>
      <c r="M225" s="61"/>
      <c r="N225" s="61"/>
      <c r="O225" s="61"/>
      <c r="P225" s="61"/>
      <c r="Q225" s="61"/>
      <c r="R225" s="61"/>
      <c r="S225" s="61"/>
      <c r="T225" s="61"/>
      <c r="U225" s="61"/>
      <c r="V225" s="61"/>
      <c r="W225" s="61"/>
      <c r="X225" s="61"/>
      <c r="Y225" s="61"/>
      <c r="Z225" s="61"/>
      <c r="AA225" s="61"/>
      <c r="AB225" s="61"/>
      <c r="AC225" s="61"/>
      <c r="AD225" s="61"/>
      <c r="AE225" s="61"/>
      <c r="AF225" s="61"/>
      <c r="AG225" s="61"/>
      <c r="AH225" s="61"/>
      <c r="AI225" s="61"/>
      <c r="AJ225" s="61"/>
      <c r="AK225" s="61"/>
      <c r="AL225" s="61"/>
      <c r="AM225" s="61"/>
      <c r="AN225" s="61"/>
      <c r="AO225" s="61"/>
      <c r="AP225" s="61"/>
      <c r="AQ225" s="61"/>
      <c r="AR225" s="61"/>
      <c r="AS225" s="61"/>
      <c r="AT225" s="61"/>
      <c r="AU225" s="61"/>
      <c r="AV225" s="61"/>
      <c r="AW225" s="61"/>
      <c r="AX225" s="61"/>
      <c r="AY225" s="61"/>
      <c r="AZ225" s="61"/>
      <c r="BA225" s="61"/>
      <c r="BB225" s="61"/>
      <c r="BC225" s="61"/>
      <c r="BD225" s="61"/>
      <c r="BE225" s="61"/>
      <c r="BF225" s="61"/>
      <c r="BG225" s="61"/>
      <c r="BH225" s="61"/>
      <c r="BI225" s="61"/>
      <c r="BJ225" s="61"/>
      <c r="BK225" s="61"/>
      <c r="BL225" s="61"/>
      <c r="BM225" s="61"/>
      <c r="BN225" s="61"/>
      <c r="BO225" s="61"/>
      <c r="BP225" s="61"/>
      <c r="BQ225" s="61"/>
      <c r="BR225" s="61"/>
      <c r="BS225" s="61"/>
      <c r="BT225" s="61"/>
      <c r="BU225" s="61"/>
      <c r="BV225" s="61"/>
      <c r="BW225" s="61"/>
      <c r="BX225" s="61"/>
    </row>
    <row r="226">
      <c r="A226" s="62" t="str">
        <f t="shared" si="1"/>
        <v>#REF!</v>
      </c>
      <c r="B226" s="61"/>
      <c r="C226" s="61"/>
      <c r="D226" s="61"/>
      <c r="E226" s="61"/>
      <c r="F226" s="61"/>
      <c r="G226" s="61"/>
      <c r="H226" s="61"/>
      <c r="I226" s="61"/>
      <c r="J226" s="61"/>
      <c r="K226" s="61"/>
      <c r="L226" s="61"/>
      <c r="M226" s="61"/>
      <c r="N226" s="61"/>
      <c r="O226" s="61"/>
      <c r="P226" s="61"/>
      <c r="Q226" s="61"/>
      <c r="R226" s="61"/>
      <c r="S226" s="61"/>
      <c r="T226" s="61"/>
      <c r="U226" s="61"/>
      <c r="V226" s="61"/>
      <c r="W226" s="61"/>
      <c r="X226" s="61"/>
      <c r="Y226" s="61"/>
      <c r="Z226" s="61"/>
      <c r="AA226" s="61"/>
      <c r="AB226" s="61"/>
      <c r="AC226" s="61"/>
      <c r="AD226" s="61"/>
      <c r="AE226" s="61"/>
      <c r="AF226" s="61"/>
      <c r="AG226" s="61"/>
      <c r="AH226" s="61"/>
      <c r="AI226" s="61"/>
      <c r="AJ226" s="61"/>
      <c r="AK226" s="61"/>
      <c r="AL226" s="61"/>
      <c r="AM226" s="61"/>
      <c r="AN226" s="61"/>
      <c r="AO226" s="61"/>
      <c r="AP226" s="61"/>
      <c r="AQ226" s="61"/>
      <c r="AR226" s="61"/>
      <c r="AS226" s="61"/>
      <c r="AT226" s="61"/>
      <c r="AU226" s="61"/>
      <c r="AV226" s="61"/>
      <c r="AW226" s="61"/>
      <c r="AX226" s="61"/>
      <c r="AY226" s="61"/>
      <c r="AZ226" s="61"/>
      <c r="BA226" s="61"/>
      <c r="BB226" s="61"/>
      <c r="BC226" s="61"/>
      <c r="BD226" s="61"/>
      <c r="BE226" s="61"/>
      <c r="BF226" s="61"/>
      <c r="BG226" s="61"/>
      <c r="BH226" s="61"/>
      <c r="BI226" s="61"/>
      <c r="BJ226" s="61"/>
      <c r="BK226" s="61"/>
      <c r="BL226" s="61"/>
      <c r="BM226" s="61"/>
      <c r="BN226" s="61"/>
      <c r="BO226" s="61"/>
      <c r="BP226" s="61"/>
      <c r="BQ226" s="61"/>
      <c r="BR226" s="61"/>
      <c r="BS226" s="61"/>
      <c r="BT226" s="61"/>
      <c r="BU226" s="61"/>
      <c r="BV226" s="61"/>
      <c r="BW226" s="61"/>
      <c r="BX226" s="61"/>
    </row>
    <row r="227">
      <c r="A227" s="62" t="str">
        <f t="shared" si="1"/>
        <v>#REF!</v>
      </c>
      <c r="B227" s="61"/>
      <c r="C227" s="61"/>
      <c r="D227" s="61"/>
      <c r="E227" s="61"/>
      <c r="F227" s="61"/>
      <c r="G227" s="61"/>
      <c r="H227" s="61"/>
      <c r="I227" s="61"/>
      <c r="J227" s="61"/>
      <c r="K227" s="61"/>
      <c r="L227" s="61"/>
      <c r="M227" s="61"/>
      <c r="N227" s="61"/>
      <c r="O227" s="61"/>
      <c r="P227" s="61"/>
      <c r="Q227" s="61"/>
      <c r="R227" s="61"/>
      <c r="S227" s="61"/>
      <c r="T227" s="61"/>
      <c r="U227" s="61"/>
      <c r="V227" s="61"/>
      <c r="W227" s="61"/>
      <c r="X227" s="61"/>
      <c r="Y227" s="61"/>
      <c r="Z227" s="61"/>
      <c r="AA227" s="61"/>
      <c r="AB227" s="61"/>
      <c r="AC227" s="61"/>
      <c r="AD227" s="61"/>
      <c r="AE227" s="61"/>
      <c r="AF227" s="61"/>
      <c r="AG227" s="61"/>
      <c r="AH227" s="61"/>
      <c r="AI227" s="61"/>
      <c r="AJ227" s="61"/>
      <c r="AK227" s="61"/>
      <c r="AL227" s="61"/>
      <c r="AM227" s="61"/>
      <c r="AN227" s="61"/>
      <c r="AO227" s="61"/>
      <c r="AP227" s="61"/>
      <c r="AQ227" s="61"/>
      <c r="AR227" s="61"/>
      <c r="AS227" s="61"/>
      <c r="AT227" s="61"/>
      <c r="AU227" s="61"/>
      <c r="AV227" s="61"/>
      <c r="AW227" s="61"/>
      <c r="AX227" s="61"/>
      <c r="AY227" s="61"/>
      <c r="AZ227" s="61"/>
      <c r="BA227" s="61"/>
      <c r="BB227" s="61"/>
      <c r="BC227" s="61"/>
      <c r="BD227" s="61"/>
      <c r="BE227" s="61"/>
      <c r="BF227" s="61"/>
      <c r="BG227" s="61"/>
      <c r="BH227" s="61"/>
      <c r="BI227" s="61"/>
      <c r="BJ227" s="61"/>
      <c r="BK227" s="61"/>
      <c r="BL227" s="61"/>
      <c r="BM227" s="61"/>
      <c r="BN227" s="61"/>
      <c r="BO227" s="61"/>
      <c r="BP227" s="61"/>
      <c r="BQ227" s="61"/>
      <c r="BR227" s="61"/>
      <c r="BS227" s="61"/>
      <c r="BT227" s="61"/>
      <c r="BU227" s="61"/>
      <c r="BV227" s="61"/>
      <c r="BW227" s="61"/>
      <c r="BX227" s="61"/>
    </row>
    <row r="228">
      <c r="A228" s="62" t="str">
        <f t="shared" si="1"/>
        <v>#REF!</v>
      </c>
      <c r="B228" s="61"/>
      <c r="C228" s="61"/>
      <c r="D228" s="61"/>
      <c r="E228" s="61"/>
      <c r="F228" s="61"/>
      <c r="G228" s="61"/>
      <c r="H228" s="61"/>
      <c r="I228" s="61"/>
      <c r="J228" s="61"/>
      <c r="K228" s="61"/>
      <c r="L228" s="61"/>
      <c r="M228" s="61"/>
      <c r="N228" s="61"/>
      <c r="O228" s="61"/>
      <c r="P228" s="61"/>
      <c r="Q228" s="61"/>
      <c r="R228" s="61"/>
      <c r="S228" s="61"/>
      <c r="T228" s="61"/>
      <c r="U228" s="61"/>
      <c r="V228" s="61"/>
      <c r="W228" s="61"/>
      <c r="X228" s="61"/>
      <c r="Y228" s="61"/>
      <c r="Z228" s="61"/>
      <c r="AA228" s="61"/>
      <c r="AB228" s="61"/>
      <c r="AC228" s="61"/>
      <c r="AD228" s="61"/>
      <c r="AE228" s="61"/>
      <c r="AF228" s="61"/>
      <c r="AG228" s="61"/>
      <c r="AH228" s="61"/>
      <c r="AI228" s="61"/>
      <c r="AJ228" s="61"/>
      <c r="AK228" s="61"/>
      <c r="AL228" s="61"/>
      <c r="AM228" s="61"/>
      <c r="AN228" s="61"/>
      <c r="AO228" s="61"/>
      <c r="AP228" s="61"/>
      <c r="AQ228" s="61"/>
      <c r="AR228" s="61"/>
      <c r="AS228" s="61"/>
      <c r="AT228" s="61"/>
      <c r="AU228" s="61"/>
      <c r="AV228" s="61"/>
      <c r="AW228" s="61"/>
      <c r="AX228" s="61"/>
      <c r="AY228" s="61"/>
      <c r="AZ228" s="61"/>
      <c r="BA228" s="61"/>
      <c r="BB228" s="61"/>
      <c r="BC228" s="61"/>
      <c r="BD228" s="61"/>
      <c r="BE228" s="61"/>
      <c r="BF228" s="61"/>
      <c r="BG228" s="61"/>
      <c r="BH228" s="61"/>
      <c r="BI228" s="61"/>
      <c r="BJ228" s="61"/>
      <c r="BK228" s="61"/>
      <c r="BL228" s="61"/>
      <c r="BM228" s="61"/>
      <c r="BN228" s="61"/>
      <c r="BO228" s="61"/>
      <c r="BP228" s="61"/>
      <c r="BQ228" s="61"/>
      <c r="BR228" s="61"/>
      <c r="BS228" s="61"/>
      <c r="BT228" s="61"/>
      <c r="BU228" s="61"/>
      <c r="BV228" s="61"/>
      <c r="BW228" s="61"/>
      <c r="BX228" s="61"/>
    </row>
    <row r="229">
      <c r="A229" s="62" t="str">
        <f t="shared" si="1"/>
        <v>#REF!</v>
      </c>
      <c r="B229" s="61"/>
      <c r="C229" s="61"/>
      <c r="D229" s="61"/>
      <c r="E229" s="61"/>
      <c r="F229" s="61"/>
      <c r="G229" s="61"/>
      <c r="H229" s="61"/>
      <c r="I229" s="61"/>
      <c r="J229" s="61"/>
      <c r="K229" s="61"/>
      <c r="L229" s="61"/>
      <c r="M229" s="61"/>
      <c r="N229" s="61"/>
      <c r="O229" s="61"/>
      <c r="P229" s="61"/>
      <c r="Q229" s="61"/>
      <c r="R229" s="61"/>
      <c r="S229" s="61"/>
      <c r="T229" s="61"/>
      <c r="U229" s="61"/>
      <c r="V229" s="61"/>
      <c r="W229" s="61"/>
      <c r="X229" s="61"/>
      <c r="Y229" s="61"/>
      <c r="Z229" s="61"/>
      <c r="AA229" s="61"/>
      <c r="AB229" s="61"/>
      <c r="AC229" s="61"/>
      <c r="AD229" s="61"/>
      <c r="AE229" s="61"/>
      <c r="AF229" s="61"/>
      <c r="AG229" s="61"/>
      <c r="AH229" s="61"/>
      <c r="AI229" s="61"/>
      <c r="AJ229" s="61"/>
      <c r="AK229" s="61"/>
      <c r="AL229" s="61"/>
      <c r="AM229" s="61"/>
      <c r="AN229" s="61"/>
      <c r="AO229" s="61"/>
      <c r="AP229" s="61"/>
      <c r="AQ229" s="61"/>
      <c r="AR229" s="61"/>
      <c r="AS229" s="61"/>
      <c r="AT229" s="61"/>
      <c r="AU229" s="61"/>
      <c r="AV229" s="61"/>
      <c r="AW229" s="61"/>
      <c r="AX229" s="61"/>
      <c r="AY229" s="61"/>
      <c r="AZ229" s="61"/>
      <c r="BA229" s="61"/>
      <c r="BB229" s="61"/>
      <c r="BC229" s="61"/>
      <c r="BD229" s="61"/>
      <c r="BE229" s="61"/>
      <c r="BF229" s="61"/>
      <c r="BG229" s="61"/>
      <c r="BH229" s="61"/>
      <c r="BI229" s="61"/>
      <c r="BJ229" s="61"/>
      <c r="BK229" s="61"/>
      <c r="BL229" s="61"/>
      <c r="BM229" s="61"/>
      <c r="BN229" s="61"/>
      <c r="BO229" s="61"/>
      <c r="BP229" s="61"/>
      <c r="BQ229" s="61"/>
      <c r="BR229" s="61"/>
      <c r="BS229" s="61"/>
      <c r="BT229" s="61"/>
      <c r="BU229" s="61"/>
      <c r="BV229" s="61"/>
      <c r="BW229" s="61"/>
      <c r="BX229" s="61"/>
    </row>
    <row r="230">
      <c r="A230" s="62" t="str">
        <f t="shared" si="1"/>
        <v>#REF!</v>
      </c>
      <c r="B230" s="61"/>
      <c r="C230" s="61"/>
      <c r="D230" s="61"/>
      <c r="E230" s="61"/>
      <c r="F230" s="61"/>
      <c r="G230" s="61"/>
      <c r="H230" s="61"/>
      <c r="I230" s="61"/>
      <c r="J230" s="61"/>
      <c r="K230" s="61"/>
      <c r="L230" s="61"/>
      <c r="M230" s="61"/>
      <c r="N230" s="61"/>
      <c r="O230" s="61"/>
      <c r="P230" s="61"/>
      <c r="Q230" s="61"/>
      <c r="R230" s="61"/>
      <c r="S230" s="61"/>
      <c r="T230" s="61"/>
      <c r="U230" s="61"/>
      <c r="V230" s="61"/>
      <c r="W230" s="61"/>
      <c r="X230" s="61"/>
      <c r="Y230" s="61"/>
      <c r="Z230" s="61"/>
      <c r="AA230" s="61"/>
      <c r="AB230" s="61"/>
      <c r="AC230" s="61"/>
      <c r="AD230" s="61"/>
      <c r="AE230" s="61"/>
      <c r="AF230" s="61"/>
      <c r="AG230" s="61"/>
      <c r="AH230" s="61"/>
      <c r="AI230" s="61"/>
      <c r="AJ230" s="61"/>
      <c r="AK230" s="61"/>
      <c r="AL230" s="61"/>
      <c r="AM230" s="61"/>
      <c r="AN230" s="61"/>
      <c r="AO230" s="61"/>
      <c r="AP230" s="61"/>
      <c r="AQ230" s="61"/>
      <c r="AR230" s="61"/>
      <c r="AS230" s="61"/>
      <c r="AT230" s="61"/>
      <c r="AU230" s="61"/>
      <c r="AV230" s="61"/>
      <c r="AW230" s="61"/>
      <c r="AX230" s="61"/>
      <c r="AY230" s="61"/>
      <c r="AZ230" s="61"/>
      <c r="BA230" s="61"/>
      <c r="BB230" s="61"/>
      <c r="BC230" s="61"/>
      <c r="BD230" s="61"/>
      <c r="BE230" s="61"/>
      <c r="BF230" s="61"/>
      <c r="BG230" s="61"/>
      <c r="BH230" s="61"/>
      <c r="BI230" s="61"/>
      <c r="BJ230" s="61"/>
      <c r="BK230" s="61"/>
      <c r="BL230" s="61"/>
      <c r="BM230" s="61"/>
      <c r="BN230" s="61"/>
      <c r="BO230" s="61"/>
      <c r="BP230" s="61"/>
      <c r="BQ230" s="61"/>
      <c r="BR230" s="61"/>
      <c r="BS230" s="61"/>
      <c r="BT230" s="61"/>
      <c r="BU230" s="61"/>
      <c r="BV230" s="61"/>
      <c r="BW230" s="61"/>
      <c r="BX230" s="61"/>
    </row>
    <row r="231">
      <c r="A231" s="62" t="str">
        <f t="shared" si="1"/>
        <v>#REF!</v>
      </c>
      <c r="B231" s="61"/>
      <c r="C231" s="61"/>
      <c r="D231" s="61"/>
      <c r="E231" s="61"/>
      <c r="F231" s="61"/>
      <c r="G231" s="61"/>
      <c r="H231" s="61"/>
      <c r="I231" s="61"/>
      <c r="J231" s="61"/>
      <c r="K231" s="61"/>
      <c r="L231" s="61"/>
      <c r="M231" s="61"/>
      <c r="N231" s="61"/>
      <c r="O231" s="61"/>
      <c r="P231" s="61"/>
      <c r="Q231" s="61"/>
      <c r="R231" s="61"/>
      <c r="S231" s="61"/>
      <c r="T231" s="61"/>
      <c r="U231" s="61"/>
      <c r="V231" s="61"/>
      <c r="W231" s="61"/>
      <c r="X231" s="61"/>
      <c r="Y231" s="61"/>
      <c r="Z231" s="61"/>
      <c r="AA231" s="61"/>
      <c r="AB231" s="61"/>
      <c r="AC231" s="61"/>
      <c r="AD231" s="61"/>
      <c r="AE231" s="61"/>
      <c r="AF231" s="61"/>
      <c r="AG231" s="61"/>
      <c r="AH231" s="61"/>
      <c r="AI231" s="61"/>
      <c r="AJ231" s="61"/>
      <c r="AK231" s="61"/>
      <c r="AL231" s="61"/>
      <c r="AM231" s="61"/>
      <c r="AN231" s="61"/>
      <c r="AO231" s="61"/>
      <c r="AP231" s="61"/>
      <c r="AQ231" s="61"/>
      <c r="AR231" s="61"/>
      <c r="AS231" s="61"/>
      <c r="AT231" s="61"/>
      <c r="AU231" s="61"/>
      <c r="AV231" s="61"/>
      <c r="AW231" s="61"/>
      <c r="AX231" s="61"/>
      <c r="AY231" s="61"/>
      <c r="AZ231" s="61"/>
      <c r="BA231" s="61"/>
      <c r="BB231" s="61"/>
      <c r="BC231" s="61"/>
      <c r="BD231" s="61"/>
      <c r="BE231" s="61"/>
      <c r="BF231" s="61"/>
      <c r="BG231" s="61"/>
      <c r="BH231" s="61"/>
      <c r="BI231" s="61"/>
      <c r="BJ231" s="61"/>
      <c r="BK231" s="61"/>
      <c r="BL231" s="61"/>
      <c r="BM231" s="61"/>
      <c r="BN231" s="61"/>
      <c r="BO231" s="61"/>
      <c r="BP231" s="61"/>
      <c r="BQ231" s="61"/>
      <c r="BR231" s="61"/>
      <c r="BS231" s="61"/>
      <c r="BT231" s="61"/>
      <c r="BU231" s="61"/>
      <c r="BV231" s="61"/>
      <c r="BW231" s="61"/>
      <c r="BX231" s="61"/>
    </row>
    <row r="232">
      <c r="A232" s="62" t="str">
        <f t="shared" si="1"/>
        <v>#REF!</v>
      </c>
      <c r="B232" s="61"/>
      <c r="C232" s="61"/>
      <c r="D232" s="61"/>
      <c r="E232" s="61"/>
      <c r="F232" s="61"/>
      <c r="G232" s="61"/>
      <c r="H232" s="61"/>
      <c r="I232" s="61"/>
      <c r="J232" s="61"/>
      <c r="K232" s="61"/>
      <c r="L232" s="61"/>
      <c r="M232" s="61"/>
      <c r="N232" s="61"/>
      <c r="O232" s="61"/>
      <c r="P232" s="61"/>
      <c r="Q232" s="61"/>
      <c r="R232" s="61"/>
      <c r="S232" s="61"/>
      <c r="T232" s="61"/>
      <c r="U232" s="61"/>
      <c r="V232" s="61"/>
      <c r="W232" s="61"/>
      <c r="X232" s="61"/>
      <c r="Y232" s="61"/>
      <c r="Z232" s="61"/>
      <c r="AA232" s="61"/>
      <c r="AB232" s="61"/>
      <c r="AC232" s="61"/>
      <c r="AD232" s="61"/>
      <c r="AE232" s="61"/>
      <c r="AF232" s="61"/>
      <c r="AG232" s="61"/>
      <c r="AH232" s="61"/>
      <c r="AI232" s="61"/>
      <c r="AJ232" s="61"/>
      <c r="AK232" s="61"/>
      <c r="AL232" s="61"/>
      <c r="AM232" s="61"/>
      <c r="AN232" s="61"/>
      <c r="AO232" s="61"/>
      <c r="AP232" s="61"/>
      <c r="AQ232" s="61"/>
      <c r="AR232" s="61"/>
      <c r="AS232" s="61"/>
      <c r="AT232" s="61"/>
      <c r="AU232" s="61"/>
      <c r="AV232" s="61"/>
      <c r="AW232" s="61"/>
      <c r="AX232" s="61"/>
      <c r="AY232" s="61"/>
      <c r="AZ232" s="61"/>
      <c r="BA232" s="61"/>
      <c r="BB232" s="61"/>
      <c r="BC232" s="61"/>
      <c r="BD232" s="61"/>
      <c r="BE232" s="61"/>
      <c r="BF232" s="61"/>
      <c r="BG232" s="61"/>
      <c r="BH232" s="61"/>
      <c r="BI232" s="61"/>
      <c r="BJ232" s="61"/>
      <c r="BK232" s="61"/>
      <c r="BL232" s="61"/>
      <c r="BM232" s="61"/>
      <c r="BN232" s="61"/>
      <c r="BO232" s="61"/>
      <c r="BP232" s="61"/>
      <c r="BQ232" s="61"/>
      <c r="BR232" s="61"/>
      <c r="BS232" s="61"/>
      <c r="BT232" s="61"/>
      <c r="BU232" s="61"/>
      <c r="BV232" s="61"/>
      <c r="BW232" s="61"/>
      <c r="BX232" s="61"/>
    </row>
    <row r="233">
      <c r="A233" s="62" t="str">
        <f t="shared" si="1"/>
        <v>#REF!</v>
      </c>
      <c r="B233" s="61"/>
      <c r="C233" s="61"/>
      <c r="D233" s="61"/>
      <c r="E233" s="61"/>
      <c r="F233" s="61"/>
      <c r="G233" s="61"/>
      <c r="H233" s="61"/>
      <c r="I233" s="61"/>
      <c r="J233" s="61"/>
      <c r="K233" s="61"/>
      <c r="L233" s="61"/>
      <c r="M233" s="61"/>
      <c r="N233" s="61"/>
      <c r="O233" s="61"/>
      <c r="P233" s="61"/>
      <c r="Q233" s="61"/>
      <c r="R233" s="61"/>
      <c r="S233" s="61"/>
      <c r="T233" s="61"/>
      <c r="U233" s="61"/>
      <c r="V233" s="61"/>
      <c r="W233" s="61"/>
      <c r="X233" s="61"/>
      <c r="Y233" s="61"/>
      <c r="Z233" s="61"/>
      <c r="AA233" s="61"/>
      <c r="AB233" s="61"/>
      <c r="AC233" s="61"/>
      <c r="AD233" s="61"/>
      <c r="AE233" s="61"/>
      <c r="AF233" s="61"/>
      <c r="AG233" s="61"/>
      <c r="AH233" s="61"/>
      <c r="AI233" s="61"/>
      <c r="AJ233" s="61"/>
      <c r="AK233" s="61"/>
      <c r="AL233" s="61"/>
      <c r="AM233" s="61"/>
      <c r="AN233" s="61"/>
      <c r="AO233" s="61"/>
      <c r="AP233" s="61"/>
      <c r="AQ233" s="61"/>
      <c r="AR233" s="61"/>
      <c r="AS233" s="61"/>
      <c r="AT233" s="61"/>
      <c r="AU233" s="61"/>
      <c r="AV233" s="61"/>
      <c r="AW233" s="61"/>
      <c r="AX233" s="61"/>
      <c r="AY233" s="61"/>
      <c r="AZ233" s="61"/>
      <c r="BA233" s="61"/>
      <c r="BB233" s="61"/>
      <c r="BC233" s="61"/>
      <c r="BD233" s="61"/>
      <c r="BE233" s="61"/>
      <c r="BF233" s="61"/>
      <c r="BG233" s="61"/>
      <c r="BH233" s="61"/>
      <c r="BI233" s="61"/>
      <c r="BJ233" s="61"/>
      <c r="BK233" s="61"/>
      <c r="BL233" s="61"/>
      <c r="BM233" s="61"/>
      <c r="BN233" s="61"/>
      <c r="BO233" s="61"/>
      <c r="BP233" s="61"/>
      <c r="BQ233" s="61"/>
      <c r="BR233" s="61"/>
      <c r="BS233" s="61"/>
      <c r="BT233" s="61"/>
      <c r="BU233" s="61"/>
      <c r="BV233" s="61"/>
      <c r="BW233" s="61"/>
      <c r="BX233" s="61"/>
    </row>
    <row r="234">
      <c r="A234" s="62" t="str">
        <f t="shared" si="1"/>
        <v>#REF!</v>
      </c>
      <c r="B234" s="62"/>
      <c r="C234" s="62"/>
      <c r="D234" s="61"/>
      <c r="E234" s="61"/>
      <c r="F234" s="61"/>
      <c r="G234" s="61"/>
      <c r="H234" s="61"/>
      <c r="I234" s="61"/>
      <c r="J234" s="61"/>
      <c r="K234" s="61"/>
      <c r="L234" s="61"/>
      <c r="M234" s="61"/>
      <c r="N234" s="61"/>
      <c r="O234" s="61"/>
      <c r="P234" s="61"/>
      <c r="Q234" s="61"/>
      <c r="R234" s="61"/>
      <c r="S234" s="61"/>
      <c r="T234" s="61"/>
      <c r="U234" s="61"/>
      <c r="V234" s="61"/>
      <c r="W234" s="61"/>
      <c r="X234" s="61"/>
      <c r="Y234" s="61"/>
      <c r="Z234" s="61"/>
      <c r="AA234" s="61"/>
      <c r="AB234" s="61"/>
      <c r="AC234" s="61"/>
      <c r="AD234" s="61"/>
      <c r="AE234" s="61"/>
      <c r="AF234" s="61"/>
      <c r="AG234" s="61"/>
      <c r="AH234" s="61"/>
      <c r="AI234" s="61"/>
      <c r="AJ234" s="61"/>
      <c r="AK234" s="61"/>
      <c r="AL234" s="61"/>
      <c r="AM234" s="61"/>
      <c r="AN234" s="61"/>
      <c r="AO234" s="61"/>
      <c r="AP234" s="61"/>
      <c r="AQ234" s="61"/>
      <c r="AR234" s="61"/>
      <c r="AS234" s="61"/>
      <c r="AT234" s="61"/>
      <c r="AU234" s="61"/>
      <c r="AV234" s="61"/>
      <c r="AW234" s="61"/>
      <c r="AX234" s="61"/>
      <c r="AY234" s="61"/>
      <c r="AZ234" s="61"/>
      <c r="BA234" s="61"/>
      <c r="BB234" s="61"/>
      <c r="BC234" s="61"/>
      <c r="BD234" s="61"/>
      <c r="BE234" s="61"/>
      <c r="BF234" s="61"/>
      <c r="BG234" s="61"/>
      <c r="BH234" s="61"/>
      <c r="BI234" s="61"/>
      <c r="BJ234" s="61"/>
      <c r="BK234" s="61"/>
      <c r="BL234" s="61"/>
      <c r="BM234" s="61"/>
      <c r="BN234" s="61"/>
      <c r="BO234" s="61"/>
      <c r="BP234" s="61"/>
      <c r="BQ234" s="61"/>
      <c r="BR234" s="61"/>
      <c r="BS234" s="61"/>
      <c r="BT234" s="61"/>
      <c r="BU234" s="61"/>
      <c r="BV234" s="61"/>
      <c r="BW234" s="61"/>
      <c r="BX234" s="61"/>
    </row>
    <row r="235">
      <c r="A235" s="62" t="str">
        <f t="shared" si="1"/>
        <v>#REF!</v>
      </c>
      <c r="B235" s="61"/>
      <c r="C235" s="61"/>
      <c r="D235" s="61"/>
      <c r="E235" s="61"/>
      <c r="F235" s="61"/>
      <c r="G235" s="61"/>
      <c r="H235" s="61"/>
      <c r="I235" s="61"/>
      <c r="J235" s="61"/>
      <c r="K235" s="61"/>
      <c r="L235" s="61"/>
      <c r="M235" s="61"/>
      <c r="N235" s="61"/>
      <c r="O235" s="61"/>
      <c r="P235" s="61"/>
      <c r="Q235" s="61"/>
      <c r="R235" s="61"/>
      <c r="S235" s="61"/>
      <c r="T235" s="61"/>
      <c r="U235" s="61"/>
      <c r="V235" s="61"/>
      <c r="W235" s="61"/>
      <c r="X235" s="61"/>
      <c r="Y235" s="61"/>
      <c r="Z235" s="61"/>
      <c r="AA235" s="61"/>
      <c r="AB235" s="61"/>
      <c r="AC235" s="61"/>
      <c r="AD235" s="61"/>
      <c r="AE235" s="61"/>
      <c r="AF235" s="61"/>
      <c r="AG235" s="61"/>
      <c r="AH235" s="61"/>
      <c r="AI235" s="61"/>
      <c r="AJ235" s="61"/>
      <c r="AK235" s="61"/>
      <c r="AL235" s="61"/>
      <c r="AM235" s="61"/>
      <c r="AN235" s="61"/>
      <c r="AO235" s="61"/>
      <c r="AP235" s="61"/>
      <c r="AQ235" s="61"/>
      <c r="AR235" s="61"/>
      <c r="AS235" s="61"/>
      <c r="AT235" s="61"/>
      <c r="AU235" s="61"/>
      <c r="AV235" s="61"/>
      <c r="AW235" s="61"/>
      <c r="AX235" s="61"/>
      <c r="AY235" s="61"/>
      <c r="AZ235" s="61"/>
      <c r="BA235" s="61"/>
      <c r="BB235" s="61"/>
      <c r="BC235" s="61"/>
      <c r="BD235" s="61"/>
      <c r="BE235" s="61"/>
      <c r="BF235" s="61"/>
      <c r="BG235" s="61"/>
      <c r="BH235" s="61"/>
      <c r="BI235" s="61"/>
      <c r="BJ235" s="61"/>
      <c r="BK235" s="61"/>
      <c r="BL235" s="61"/>
      <c r="BM235" s="61"/>
      <c r="BN235" s="61"/>
      <c r="BO235" s="61"/>
      <c r="BP235" s="61"/>
      <c r="BQ235" s="61"/>
      <c r="BR235" s="61"/>
      <c r="BS235" s="61"/>
      <c r="BT235" s="61"/>
      <c r="BU235" s="61"/>
      <c r="BV235" s="61"/>
      <c r="BW235" s="61"/>
      <c r="BX235" s="61"/>
    </row>
    <row r="236">
      <c r="A236" s="62" t="str">
        <f t="shared" si="1"/>
        <v>#REF!</v>
      </c>
      <c r="B236" s="61"/>
      <c r="C236" s="61"/>
      <c r="D236" s="61"/>
      <c r="E236" s="61"/>
      <c r="F236" s="61"/>
      <c r="G236" s="61"/>
      <c r="H236" s="61"/>
      <c r="I236" s="61"/>
      <c r="J236" s="61"/>
      <c r="K236" s="61"/>
      <c r="L236" s="61"/>
      <c r="M236" s="61"/>
      <c r="N236" s="61"/>
      <c r="O236" s="61"/>
      <c r="P236" s="61"/>
      <c r="Q236" s="61"/>
      <c r="R236" s="61"/>
      <c r="S236" s="61"/>
      <c r="T236" s="61"/>
      <c r="U236" s="61"/>
      <c r="V236" s="61"/>
      <c r="W236" s="61"/>
      <c r="X236" s="61"/>
      <c r="Y236" s="61"/>
      <c r="Z236" s="61"/>
      <c r="AA236" s="61"/>
      <c r="AB236" s="61"/>
      <c r="AC236" s="61"/>
      <c r="AD236" s="61"/>
      <c r="AE236" s="61"/>
      <c r="AF236" s="61"/>
      <c r="AG236" s="61"/>
      <c r="AH236" s="61"/>
      <c r="AI236" s="61"/>
      <c r="AJ236" s="61"/>
      <c r="AK236" s="61"/>
      <c r="AL236" s="61"/>
      <c r="AM236" s="61"/>
      <c r="AN236" s="61"/>
      <c r="AO236" s="61"/>
      <c r="AP236" s="61"/>
      <c r="AQ236" s="61"/>
      <c r="AR236" s="61"/>
      <c r="AS236" s="61"/>
      <c r="AT236" s="61"/>
      <c r="AU236" s="61"/>
      <c r="AV236" s="61"/>
      <c r="AW236" s="61"/>
      <c r="AX236" s="61"/>
      <c r="AY236" s="61"/>
      <c r="AZ236" s="61"/>
      <c r="BA236" s="61"/>
      <c r="BB236" s="61"/>
      <c r="BC236" s="61"/>
      <c r="BD236" s="61"/>
      <c r="BE236" s="61"/>
      <c r="BF236" s="61"/>
      <c r="BG236" s="61"/>
      <c r="BH236" s="61"/>
      <c r="BI236" s="61"/>
      <c r="BJ236" s="61"/>
      <c r="BK236" s="61"/>
      <c r="BL236" s="61"/>
      <c r="BM236" s="61"/>
      <c r="BN236" s="61"/>
      <c r="BO236" s="61"/>
      <c r="BP236" s="61"/>
      <c r="BQ236" s="61"/>
      <c r="BR236" s="61"/>
      <c r="BS236" s="61"/>
      <c r="BT236" s="61"/>
      <c r="BU236" s="61"/>
      <c r="BV236" s="61"/>
      <c r="BW236" s="61"/>
      <c r="BX236" s="61"/>
    </row>
    <row r="237">
      <c r="A237" s="62" t="str">
        <f t="shared" si="1"/>
        <v>#REF!</v>
      </c>
      <c r="B237" s="61"/>
      <c r="C237" s="61"/>
      <c r="D237" s="61"/>
      <c r="E237" s="61"/>
      <c r="F237" s="61"/>
      <c r="G237" s="61"/>
      <c r="H237" s="61"/>
      <c r="I237" s="61"/>
      <c r="J237" s="61"/>
      <c r="K237" s="61"/>
      <c r="L237" s="61"/>
      <c r="M237" s="61"/>
      <c r="N237" s="61"/>
      <c r="O237" s="61"/>
      <c r="P237" s="61"/>
      <c r="Q237" s="61"/>
      <c r="R237" s="61"/>
      <c r="S237" s="61"/>
      <c r="T237" s="61"/>
      <c r="U237" s="61"/>
      <c r="V237" s="61"/>
      <c r="W237" s="61"/>
      <c r="X237" s="61"/>
      <c r="Y237" s="61"/>
      <c r="Z237" s="61"/>
      <c r="AA237" s="61"/>
      <c r="AB237" s="61"/>
      <c r="AC237" s="61"/>
      <c r="AD237" s="61"/>
      <c r="AE237" s="61"/>
      <c r="AF237" s="61"/>
      <c r="AG237" s="61"/>
      <c r="AH237" s="61"/>
      <c r="AI237" s="61"/>
      <c r="AJ237" s="61"/>
      <c r="AK237" s="61"/>
      <c r="AL237" s="61"/>
      <c r="AM237" s="61"/>
      <c r="AN237" s="61"/>
      <c r="AO237" s="61"/>
      <c r="AP237" s="61"/>
      <c r="AQ237" s="61"/>
      <c r="AR237" s="61"/>
      <c r="AS237" s="61"/>
      <c r="AT237" s="61"/>
      <c r="AU237" s="61"/>
      <c r="AV237" s="61"/>
      <c r="AW237" s="61"/>
      <c r="AX237" s="61"/>
      <c r="AY237" s="61"/>
      <c r="AZ237" s="61"/>
      <c r="BA237" s="61"/>
      <c r="BB237" s="61"/>
      <c r="BC237" s="61"/>
      <c r="BD237" s="61"/>
      <c r="BE237" s="61"/>
      <c r="BF237" s="61"/>
      <c r="BG237" s="61"/>
      <c r="BH237" s="61"/>
      <c r="BI237" s="61"/>
      <c r="BJ237" s="61"/>
      <c r="BK237" s="61"/>
      <c r="BL237" s="61"/>
      <c r="BM237" s="61"/>
      <c r="BN237" s="61"/>
      <c r="BO237" s="61"/>
      <c r="BP237" s="61"/>
      <c r="BQ237" s="61"/>
      <c r="BR237" s="61"/>
      <c r="BS237" s="61"/>
      <c r="BT237" s="61"/>
      <c r="BU237" s="61"/>
      <c r="BV237" s="61"/>
      <c r="BW237" s="61"/>
      <c r="BX237" s="61"/>
    </row>
    <row r="238">
      <c r="A238" s="62" t="str">
        <f t="shared" si="1"/>
        <v>#REF!</v>
      </c>
      <c r="B238" s="61"/>
      <c r="C238" s="61"/>
      <c r="D238" s="61"/>
      <c r="E238" s="61"/>
      <c r="F238" s="61"/>
      <c r="G238" s="61"/>
      <c r="H238" s="61"/>
      <c r="I238" s="61"/>
      <c r="J238" s="61"/>
      <c r="K238" s="61"/>
      <c r="L238" s="61"/>
      <c r="M238" s="61"/>
      <c r="N238" s="61"/>
      <c r="O238" s="61"/>
      <c r="P238" s="61"/>
      <c r="Q238" s="61"/>
      <c r="R238" s="61"/>
      <c r="S238" s="61"/>
      <c r="T238" s="61"/>
      <c r="U238" s="61"/>
      <c r="V238" s="61"/>
      <c r="W238" s="61"/>
      <c r="X238" s="61"/>
      <c r="Y238" s="61"/>
      <c r="Z238" s="61"/>
      <c r="AA238" s="61"/>
      <c r="AB238" s="61"/>
      <c r="AC238" s="61"/>
      <c r="AD238" s="61"/>
      <c r="AE238" s="61"/>
      <c r="AF238" s="61"/>
      <c r="AG238" s="61"/>
      <c r="AH238" s="61"/>
      <c r="AI238" s="61"/>
      <c r="AJ238" s="61"/>
      <c r="AK238" s="61"/>
      <c r="AL238" s="61"/>
      <c r="AM238" s="61"/>
      <c r="AN238" s="61"/>
      <c r="AO238" s="61"/>
      <c r="AP238" s="61"/>
      <c r="AQ238" s="61"/>
      <c r="AR238" s="61"/>
      <c r="AS238" s="61"/>
      <c r="AT238" s="61"/>
      <c r="AU238" s="61"/>
      <c r="AV238" s="61"/>
      <c r="AW238" s="61"/>
      <c r="AX238" s="61"/>
      <c r="AY238" s="61"/>
      <c r="AZ238" s="61"/>
      <c r="BA238" s="61"/>
      <c r="BB238" s="61"/>
      <c r="BC238" s="61"/>
      <c r="BD238" s="61"/>
      <c r="BE238" s="61"/>
      <c r="BF238" s="61"/>
      <c r="BG238" s="61"/>
      <c r="BH238" s="61"/>
      <c r="BI238" s="61"/>
      <c r="BJ238" s="61"/>
      <c r="BK238" s="61"/>
      <c r="BL238" s="61"/>
      <c r="BM238" s="61"/>
      <c r="BN238" s="61"/>
      <c r="BO238" s="61"/>
      <c r="BP238" s="61"/>
      <c r="BQ238" s="61"/>
      <c r="BR238" s="61"/>
      <c r="BS238" s="61"/>
      <c r="BT238" s="61"/>
      <c r="BU238" s="61"/>
      <c r="BV238" s="61"/>
      <c r="BW238" s="61"/>
      <c r="BX238" s="61"/>
    </row>
    <row r="239">
      <c r="A239" s="62" t="str">
        <f t="shared" si="1"/>
        <v>#REF!</v>
      </c>
      <c r="B239" s="61"/>
      <c r="C239" s="61"/>
      <c r="D239" s="61"/>
      <c r="E239" s="61"/>
      <c r="F239" s="61"/>
      <c r="G239" s="61"/>
      <c r="H239" s="61"/>
      <c r="I239" s="61"/>
      <c r="J239" s="61"/>
      <c r="K239" s="61"/>
      <c r="L239" s="61"/>
      <c r="M239" s="61"/>
      <c r="N239" s="61"/>
      <c r="O239" s="61"/>
      <c r="P239" s="61"/>
      <c r="Q239" s="61"/>
      <c r="R239" s="61"/>
      <c r="S239" s="61"/>
      <c r="T239" s="61"/>
      <c r="U239" s="61"/>
      <c r="V239" s="61"/>
      <c r="W239" s="61"/>
      <c r="X239" s="61"/>
      <c r="Y239" s="61"/>
      <c r="Z239" s="61"/>
      <c r="AA239" s="61"/>
      <c r="AB239" s="61"/>
      <c r="AC239" s="61"/>
      <c r="AD239" s="61"/>
      <c r="AE239" s="61"/>
      <c r="AF239" s="61"/>
      <c r="AG239" s="61"/>
      <c r="AH239" s="61"/>
      <c r="AI239" s="61"/>
      <c r="AJ239" s="61"/>
      <c r="AK239" s="61"/>
      <c r="AL239" s="61"/>
      <c r="AM239" s="61"/>
      <c r="AN239" s="61"/>
      <c r="AO239" s="61"/>
      <c r="AP239" s="61"/>
      <c r="AQ239" s="61"/>
      <c r="AR239" s="61"/>
      <c r="AS239" s="61"/>
      <c r="AT239" s="61"/>
      <c r="AU239" s="61"/>
      <c r="AV239" s="61"/>
      <c r="AW239" s="61"/>
      <c r="AX239" s="61"/>
      <c r="AY239" s="61"/>
      <c r="AZ239" s="61"/>
      <c r="BA239" s="61"/>
      <c r="BB239" s="61"/>
      <c r="BC239" s="61"/>
      <c r="BD239" s="61"/>
      <c r="BE239" s="61"/>
      <c r="BF239" s="61"/>
      <c r="BG239" s="61"/>
      <c r="BH239" s="61"/>
      <c r="BI239" s="61"/>
      <c r="BJ239" s="61"/>
      <c r="BK239" s="61"/>
      <c r="BL239" s="61"/>
      <c r="BM239" s="61"/>
      <c r="BN239" s="61"/>
      <c r="BO239" s="61"/>
      <c r="BP239" s="61"/>
      <c r="BQ239" s="61"/>
      <c r="BR239" s="61"/>
      <c r="BS239" s="61"/>
      <c r="BT239" s="61"/>
      <c r="BU239" s="61"/>
      <c r="BV239" s="61"/>
      <c r="BW239" s="61"/>
      <c r="BX239" s="61"/>
    </row>
    <row r="240">
      <c r="A240" s="62" t="str">
        <f t="shared" si="1"/>
        <v>#REF!</v>
      </c>
      <c r="B240" s="61"/>
      <c r="C240" s="61"/>
      <c r="D240" s="61"/>
      <c r="E240" s="61"/>
      <c r="F240" s="61"/>
      <c r="G240" s="61"/>
      <c r="H240" s="61"/>
      <c r="I240" s="61"/>
      <c r="J240" s="61"/>
      <c r="K240" s="61"/>
      <c r="L240" s="61"/>
      <c r="M240" s="61"/>
      <c r="N240" s="61"/>
      <c r="O240" s="61"/>
      <c r="P240" s="61"/>
      <c r="Q240" s="61"/>
      <c r="R240" s="61"/>
      <c r="S240" s="61"/>
      <c r="T240" s="61"/>
      <c r="U240" s="61"/>
      <c r="V240" s="61"/>
      <c r="W240" s="61"/>
      <c r="X240" s="61"/>
      <c r="Y240" s="61"/>
      <c r="Z240" s="61"/>
      <c r="AA240" s="61"/>
      <c r="AB240" s="61"/>
      <c r="AC240" s="61"/>
      <c r="AD240" s="61"/>
      <c r="AE240" s="61"/>
      <c r="AF240" s="61"/>
      <c r="AG240" s="61"/>
      <c r="AH240" s="61"/>
      <c r="AI240" s="61"/>
      <c r="AJ240" s="61"/>
      <c r="AK240" s="61"/>
      <c r="AL240" s="61"/>
      <c r="AM240" s="61"/>
      <c r="AN240" s="61"/>
      <c r="AO240" s="61"/>
      <c r="AP240" s="61"/>
      <c r="AQ240" s="61"/>
      <c r="AR240" s="61"/>
      <c r="AS240" s="61"/>
      <c r="AT240" s="61"/>
      <c r="AU240" s="61"/>
      <c r="AV240" s="61"/>
      <c r="AW240" s="61"/>
      <c r="AX240" s="61"/>
      <c r="AY240" s="61"/>
      <c r="AZ240" s="61"/>
      <c r="BA240" s="61"/>
      <c r="BB240" s="61"/>
      <c r="BC240" s="61"/>
      <c r="BD240" s="61"/>
      <c r="BE240" s="61"/>
      <c r="BF240" s="61"/>
      <c r="BG240" s="61"/>
      <c r="BH240" s="61"/>
      <c r="BI240" s="61"/>
      <c r="BJ240" s="61"/>
      <c r="BK240" s="61"/>
      <c r="BL240" s="61"/>
      <c r="BM240" s="61"/>
      <c r="BN240" s="61"/>
      <c r="BO240" s="61"/>
      <c r="BP240" s="61"/>
      <c r="BQ240" s="61"/>
      <c r="BR240" s="61"/>
      <c r="BS240" s="61"/>
      <c r="BT240" s="61"/>
      <c r="BU240" s="61"/>
      <c r="BV240" s="61"/>
      <c r="BW240" s="61"/>
      <c r="BX240" s="61"/>
    </row>
    <row r="241">
      <c r="A241" s="62" t="str">
        <f t="shared" si="1"/>
        <v>#REF!</v>
      </c>
      <c r="B241" s="61"/>
      <c r="C241" s="61"/>
      <c r="D241" s="61"/>
      <c r="E241" s="61"/>
      <c r="F241" s="61"/>
      <c r="G241" s="61"/>
      <c r="H241" s="61"/>
      <c r="I241" s="61"/>
      <c r="J241" s="61"/>
      <c r="K241" s="61"/>
      <c r="L241" s="61"/>
      <c r="M241" s="61"/>
      <c r="N241" s="61"/>
      <c r="O241" s="61"/>
      <c r="P241" s="61"/>
      <c r="Q241" s="61"/>
      <c r="R241" s="61"/>
      <c r="S241" s="61"/>
      <c r="T241" s="61"/>
      <c r="U241" s="61"/>
      <c r="V241" s="61"/>
      <c r="W241" s="61"/>
      <c r="X241" s="61"/>
      <c r="Y241" s="61"/>
      <c r="Z241" s="61"/>
      <c r="AA241" s="61"/>
      <c r="AB241" s="61"/>
      <c r="AC241" s="61"/>
      <c r="AD241" s="61"/>
      <c r="AE241" s="61"/>
      <c r="AF241" s="61"/>
      <c r="AG241" s="61"/>
      <c r="AH241" s="61"/>
      <c r="AI241" s="61"/>
      <c r="AJ241" s="61"/>
      <c r="AK241" s="61"/>
      <c r="AL241" s="61"/>
      <c r="AM241" s="61"/>
      <c r="AN241" s="61"/>
      <c r="AO241" s="61"/>
      <c r="AP241" s="61"/>
      <c r="AQ241" s="61"/>
      <c r="AR241" s="61"/>
      <c r="AS241" s="61"/>
      <c r="AT241" s="61"/>
      <c r="AU241" s="61"/>
      <c r="AV241" s="61"/>
      <c r="AW241" s="61"/>
      <c r="AX241" s="61"/>
      <c r="AY241" s="61"/>
      <c r="AZ241" s="61"/>
      <c r="BA241" s="61"/>
      <c r="BB241" s="61"/>
      <c r="BC241" s="61"/>
      <c r="BD241" s="61"/>
      <c r="BE241" s="61"/>
      <c r="BF241" s="61"/>
      <c r="BG241" s="61"/>
      <c r="BH241" s="61"/>
      <c r="BI241" s="61"/>
      <c r="BJ241" s="61"/>
      <c r="BK241" s="61"/>
      <c r="BL241" s="61"/>
      <c r="BM241" s="61"/>
      <c r="BN241" s="61"/>
      <c r="BO241" s="61"/>
      <c r="BP241" s="61"/>
      <c r="BQ241" s="61"/>
      <c r="BR241" s="61"/>
      <c r="BS241" s="61"/>
      <c r="BT241" s="61"/>
      <c r="BU241" s="61"/>
      <c r="BV241" s="61"/>
      <c r="BW241" s="61"/>
      <c r="BX241" s="61"/>
    </row>
    <row r="242">
      <c r="A242" s="62" t="str">
        <f t="shared" si="1"/>
        <v>#REF!</v>
      </c>
      <c r="B242" s="61"/>
      <c r="C242" s="61"/>
      <c r="D242" s="61"/>
      <c r="E242" s="61"/>
      <c r="F242" s="61"/>
      <c r="G242" s="61"/>
      <c r="H242" s="61"/>
      <c r="I242" s="61"/>
      <c r="J242" s="61"/>
      <c r="K242" s="61"/>
      <c r="L242" s="61"/>
      <c r="M242" s="61"/>
      <c r="N242" s="61"/>
      <c r="O242" s="61"/>
      <c r="P242" s="61"/>
      <c r="Q242" s="61"/>
      <c r="R242" s="61"/>
      <c r="S242" s="61"/>
      <c r="T242" s="61"/>
      <c r="U242" s="61"/>
      <c r="V242" s="61"/>
      <c r="W242" s="61"/>
      <c r="X242" s="61"/>
      <c r="Y242" s="61"/>
      <c r="Z242" s="61"/>
      <c r="AA242" s="61"/>
      <c r="AB242" s="61"/>
      <c r="AC242" s="61"/>
      <c r="AD242" s="61"/>
      <c r="AE242" s="61"/>
      <c r="AF242" s="61"/>
      <c r="AG242" s="61"/>
      <c r="AH242" s="61"/>
      <c r="AI242" s="61"/>
      <c r="AJ242" s="61"/>
      <c r="AK242" s="61"/>
      <c r="AL242" s="61"/>
      <c r="AM242" s="61"/>
      <c r="AN242" s="61"/>
      <c r="AO242" s="61"/>
      <c r="AP242" s="61"/>
      <c r="AQ242" s="61"/>
      <c r="AR242" s="61"/>
      <c r="AS242" s="61"/>
      <c r="AT242" s="61"/>
      <c r="AU242" s="61"/>
      <c r="AV242" s="61"/>
      <c r="AW242" s="61"/>
      <c r="AX242" s="61"/>
      <c r="AY242" s="61"/>
      <c r="AZ242" s="61"/>
      <c r="BA242" s="61"/>
      <c r="BB242" s="61"/>
      <c r="BC242" s="61"/>
      <c r="BD242" s="61"/>
      <c r="BE242" s="61"/>
      <c r="BF242" s="61"/>
      <c r="BG242" s="61"/>
      <c r="BH242" s="61"/>
      <c r="BI242" s="61"/>
      <c r="BJ242" s="61"/>
      <c r="BK242" s="61"/>
      <c r="BL242" s="61"/>
      <c r="BM242" s="61"/>
      <c r="BN242" s="61"/>
      <c r="BO242" s="61"/>
      <c r="BP242" s="61"/>
      <c r="BQ242" s="61"/>
      <c r="BR242" s="61"/>
      <c r="BS242" s="61"/>
      <c r="BT242" s="61"/>
      <c r="BU242" s="61"/>
      <c r="BV242" s="61"/>
      <c r="BW242" s="61"/>
      <c r="BX242" s="61"/>
    </row>
    <row r="243">
      <c r="A243" s="62" t="str">
        <f t="shared" si="1"/>
        <v>#REF!</v>
      </c>
      <c r="B243" s="61"/>
      <c r="C243" s="61"/>
      <c r="D243" s="61"/>
      <c r="E243" s="61"/>
      <c r="F243" s="61"/>
      <c r="G243" s="61"/>
      <c r="H243" s="61"/>
      <c r="I243" s="61"/>
      <c r="J243" s="61"/>
      <c r="K243" s="61"/>
      <c r="L243" s="61"/>
      <c r="M243" s="61"/>
      <c r="N243" s="61"/>
      <c r="O243" s="61"/>
      <c r="P243" s="61"/>
      <c r="Q243" s="61"/>
      <c r="R243" s="61"/>
      <c r="S243" s="61"/>
      <c r="T243" s="61"/>
      <c r="U243" s="61"/>
      <c r="V243" s="61"/>
      <c r="W243" s="61"/>
      <c r="X243" s="61"/>
      <c r="Y243" s="61"/>
      <c r="Z243" s="61"/>
      <c r="AA243" s="61"/>
      <c r="AB243" s="61"/>
      <c r="AC243" s="61"/>
      <c r="AD243" s="61"/>
      <c r="AE243" s="61"/>
      <c r="AF243" s="61"/>
      <c r="AG243" s="61"/>
      <c r="AH243" s="61"/>
      <c r="AI243" s="61"/>
      <c r="AJ243" s="61"/>
      <c r="AK243" s="61"/>
      <c r="AL243" s="61"/>
      <c r="AM243" s="61"/>
      <c r="AN243" s="61"/>
      <c r="AO243" s="61"/>
      <c r="AP243" s="61"/>
      <c r="AQ243" s="61"/>
      <c r="AR243" s="61"/>
      <c r="AS243" s="61"/>
      <c r="AT243" s="61"/>
      <c r="AU243" s="61"/>
      <c r="AV243" s="61"/>
      <c r="AW243" s="61"/>
      <c r="AX243" s="61"/>
      <c r="AY243" s="61"/>
      <c r="AZ243" s="61"/>
      <c r="BA243" s="61"/>
      <c r="BB243" s="61"/>
      <c r="BC243" s="61"/>
      <c r="BD243" s="61"/>
      <c r="BE243" s="61"/>
      <c r="BF243" s="61"/>
      <c r="BG243" s="61"/>
      <c r="BH243" s="61"/>
      <c r="BI243" s="61"/>
      <c r="BJ243" s="61"/>
      <c r="BK243" s="61"/>
      <c r="BL243" s="61"/>
      <c r="BM243" s="61"/>
      <c r="BN243" s="61"/>
      <c r="BO243" s="61"/>
      <c r="BP243" s="61"/>
      <c r="BQ243" s="61"/>
      <c r="BR243" s="61"/>
      <c r="BS243" s="61"/>
      <c r="BT243" s="61"/>
      <c r="BU243" s="61"/>
      <c r="BV243" s="61"/>
      <c r="BW243" s="61"/>
      <c r="BX243" s="61"/>
    </row>
    <row r="244">
      <c r="A244" s="62" t="str">
        <f t="shared" si="1"/>
        <v>#REF!</v>
      </c>
      <c r="B244" s="61"/>
      <c r="C244" s="61"/>
      <c r="D244" s="61"/>
      <c r="E244" s="61"/>
      <c r="F244" s="61"/>
      <c r="G244" s="61"/>
      <c r="H244" s="61"/>
      <c r="I244" s="61"/>
      <c r="J244" s="61"/>
      <c r="K244" s="61"/>
      <c r="L244" s="61"/>
      <c r="M244" s="61"/>
      <c r="N244" s="61"/>
      <c r="O244" s="61"/>
      <c r="P244" s="61"/>
      <c r="Q244" s="61"/>
      <c r="R244" s="61"/>
      <c r="S244" s="61"/>
      <c r="T244" s="61"/>
      <c r="U244" s="61"/>
      <c r="V244" s="61"/>
      <c r="W244" s="61"/>
      <c r="X244" s="61"/>
      <c r="Y244" s="61"/>
      <c r="Z244" s="61"/>
      <c r="AA244" s="61"/>
      <c r="AB244" s="61"/>
      <c r="AC244" s="61"/>
      <c r="AD244" s="61"/>
      <c r="AE244" s="61"/>
      <c r="AF244" s="61"/>
      <c r="AG244" s="61"/>
      <c r="AH244" s="61"/>
      <c r="AI244" s="61"/>
      <c r="AJ244" s="61"/>
      <c r="AK244" s="61"/>
      <c r="AL244" s="61"/>
      <c r="AM244" s="61"/>
      <c r="AN244" s="61"/>
      <c r="AO244" s="61"/>
      <c r="AP244" s="61"/>
      <c r="AQ244" s="61"/>
      <c r="AR244" s="61"/>
      <c r="AS244" s="61"/>
      <c r="AT244" s="61"/>
      <c r="AU244" s="61"/>
      <c r="AV244" s="61"/>
      <c r="AW244" s="61"/>
      <c r="AX244" s="61"/>
      <c r="AY244" s="61"/>
      <c r="AZ244" s="61"/>
      <c r="BA244" s="61"/>
      <c r="BB244" s="61"/>
      <c r="BC244" s="61"/>
      <c r="BD244" s="61"/>
      <c r="BE244" s="61"/>
      <c r="BF244" s="61"/>
      <c r="BG244" s="61"/>
      <c r="BH244" s="61"/>
      <c r="BI244" s="61"/>
      <c r="BJ244" s="61"/>
      <c r="BK244" s="61"/>
      <c r="BL244" s="61"/>
      <c r="BM244" s="61"/>
      <c r="BN244" s="61"/>
      <c r="BO244" s="61"/>
      <c r="BP244" s="61"/>
      <c r="BQ244" s="61"/>
      <c r="BR244" s="61"/>
      <c r="BS244" s="61"/>
      <c r="BT244" s="61"/>
      <c r="BU244" s="61"/>
      <c r="BV244" s="61"/>
      <c r="BW244" s="61"/>
      <c r="BX244" s="61"/>
    </row>
    <row r="245">
      <c r="A245" s="62" t="str">
        <f t="shared" si="1"/>
        <v>#REF!</v>
      </c>
      <c r="B245" s="61"/>
      <c r="C245" s="61"/>
      <c r="D245" s="61"/>
      <c r="E245" s="61"/>
      <c r="F245" s="61"/>
      <c r="G245" s="61"/>
      <c r="H245" s="61"/>
      <c r="I245" s="61"/>
      <c r="J245" s="61"/>
      <c r="K245" s="61"/>
      <c r="L245" s="61"/>
      <c r="M245" s="61"/>
      <c r="N245" s="61"/>
      <c r="O245" s="61"/>
      <c r="P245" s="61"/>
      <c r="Q245" s="61"/>
      <c r="R245" s="61"/>
      <c r="S245" s="61"/>
      <c r="T245" s="61"/>
      <c r="U245" s="61"/>
      <c r="V245" s="61"/>
      <c r="W245" s="61"/>
      <c r="X245" s="61"/>
      <c r="Y245" s="61"/>
      <c r="Z245" s="61"/>
      <c r="AA245" s="61"/>
      <c r="AB245" s="61"/>
      <c r="AC245" s="61"/>
      <c r="AD245" s="61"/>
      <c r="AE245" s="61"/>
      <c r="AF245" s="61"/>
      <c r="AG245" s="61"/>
      <c r="AH245" s="61"/>
      <c r="AI245" s="61"/>
      <c r="AJ245" s="61"/>
      <c r="AK245" s="61"/>
      <c r="AL245" s="61"/>
      <c r="AM245" s="61"/>
      <c r="AN245" s="61"/>
      <c r="AO245" s="61"/>
      <c r="AP245" s="61"/>
      <c r="AQ245" s="61"/>
      <c r="AR245" s="61"/>
      <c r="AS245" s="61"/>
      <c r="AT245" s="61"/>
      <c r="AU245" s="61"/>
      <c r="AV245" s="61"/>
      <c r="AW245" s="61"/>
      <c r="AX245" s="61"/>
      <c r="AY245" s="61"/>
      <c r="AZ245" s="61"/>
      <c r="BA245" s="61"/>
      <c r="BB245" s="61"/>
      <c r="BC245" s="61"/>
      <c r="BD245" s="61"/>
      <c r="BE245" s="61"/>
      <c r="BF245" s="61"/>
      <c r="BG245" s="61"/>
      <c r="BH245" s="61"/>
      <c r="BI245" s="61"/>
      <c r="BJ245" s="61"/>
      <c r="BK245" s="61"/>
      <c r="BL245" s="61"/>
      <c r="BM245" s="61"/>
      <c r="BN245" s="61"/>
      <c r="BO245" s="61"/>
      <c r="BP245" s="61"/>
      <c r="BQ245" s="61"/>
      <c r="BR245" s="61"/>
      <c r="BS245" s="61"/>
      <c r="BT245" s="61"/>
      <c r="BU245" s="61"/>
      <c r="BV245" s="61"/>
      <c r="BW245" s="61"/>
      <c r="BX245" s="61"/>
    </row>
    <row r="246">
      <c r="A246" s="62" t="str">
        <f t="shared" si="1"/>
        <v>#REF!</v>
      </c>
      <c r="B246" s="61"/>
      <c r="C246" s="61"/>
      <c r="D246" s="61"/>
      <c r="E246" s="61"/>
      <c r="F246" s="61"/>
      <c r="G246" s="61"/>
      <c r="H246" s="61"/>
      <c r="I246" s="61"/>
      <c r="J246" s="61"/>
      <c r="K246" s="61"/>
      <c r="L246" s="61"/>
      <c r="M246" s="61"/>
      <c r="N246" s="61"/>
      <c r="O246" s="61"/>
      <c r="P246" s="61"/>
      <c r="Q246" s="61"/>
      <c r="R246" s="61"/>
      <c r="S246" s="61"/>
      <c r="T246" s="61"/>
      <c r="U246" s="61"/>
      <c r="V246" s="61"/>
      <c r="W246" s="61"/>
      <c r="X246" s="61"/>
      <c r="Y246" s="61"/>
      <c r="Z246" s="61"/>
      <c r="AA246" s="61"/>
      <c r="AB246" s="61"/>
      <c r="AC246" s="61"/>
      <c r="AD246" s="61"/>
      <c r="AE246" s="61"/>
      <c r="AF246" s="61"/>
      <c r="AG246" s="61"/>
      <c r="AH246" s="61"/>
      <c r="AI246" s="61"/>
      <c r="AJ246" s="61"/>
      <c r="AK246" s="61"/>
      <c r="AL246" s="61"/>
      <c r="AM246" s="61"/>
      <c r="AN246" s="61"/>
      <c r="AO246" s="61"/>
      <c r="AP246" s="61"/>
      <c r="AQ246" s="61"/>
      <c r="AR246" s="61"/>
      <c r="AS246" s="61"/>
      <c r="AT246" s="61"/>
      <c r="AU246" s="61"/>
      <c r="AV246" s="61"/>
      <c r="AW246" s="61"/>
      <c r="AX246" s="61"/>
      <c r="AY246" s="61"/>
      <c r="AZ246" s="61"/>
      <c r="BA246" s="61"/>
      <c r="BB246" s="61"/>
      <c r="BC246" s="61"/>
      <c r="BD246" s="61"/>
      <c r="BE246" s="61"/>
      <c r="BF246" s="61"/>
      <c r="BG246" s="61"/>
      <c r="BH246" s="61"/>
      <c r="BI246" s="61"/>
      <c r="BJ246" s="61"/>
      <c r="BK246" s="61"/>
      <c r="BL246" s="61"/>
      <c r="BM246" s="61"/>
      <c r="BN246" s="61"/>
      <c r="BO246" s="61"/>
      <c r="BP246" s="61"/>
      <c r="BQ246" s="61"/>
      <c r="BR246" s="61"/>
      <c r="BS246" s="61"/>
      <c r="BT246" s="61"/>
      <c r="BU246" s="61"/>
      <c r="BV246" s="61"/>
      <c r="BW246" s="61"/>
      <c r="BX246" s="61"/>
    </row>
    <row r="247">
      <c r="A247" s="62" t="str">
        <f t="shared" si="1"/>
        <v>#REF!</v>
      </c>
      <c r="B247" s="61"/>
      <c r="C247" s="61"/>
      <c r="D247" s="61"/>
      <c r="E247" s="61"/>
      <c r="F247" s="61"/>
      <c r="G247" s="61"/>
      <c r="H247" s="61"/>
      <c r="I247" s="61"/>
      <c r="J247" s="61"/>
      <c r="K247" s="61"/>
      <c r="L247" s="61"/>
      <c r="M247" s="61"/>
      <c r="N247" s="61"/>
      <c r="O247" s="61"/>
      <c r="P247" s="61"/>
      <c r="Q247" s="61"/>
      <c r="R247" s="61"/>
      <c r="S247" s="61"/>
      <c r="T247" s="61"/>
      <c r="U247" s="61"/>
      <c r="V247" s="61"/>
      <c r="W247" s="61"/>
      <c r="X247" s="61"/>
      <c r="Y247" s="61"/>
      <c r="Z247" s="61"/>
      <c r="AA247" s="61"/>
      <c r="AB247" s="61"/>
      <c r="AC247" s="61"/>
      <c r="AD247" s="61"/>
      <c r="AE247" s="61"/>
      <c r="AF247" s="61"/>
      <c r="AG247" s="61"/>
      <c r="AH247" s="61"/>
      <c r="AI247" s="61"/>
      <c r="AJ247" s="61"/>
      <c r="AK247" s="61"/>
      <c r="AL247" s="61"/>
      <c r="AM247" s="61"/>
      <c r="AN247" s="61"/>
      <c r="AO247" s="61"/>
      <c r="AP247" s="61"/>
      <c r="AQ247" s="61"/>
      <c r="AR247" s="61"/>
      <c r="AS247" s="61"/>
      <c r="AT247" s="61"/>
      <c r="AU247" s="61"/>
      <c r="AV247" s="61"/>
      <c r="AW247" s="61"/>
      <c r="AX247" s="61"/>
      <c r="AY247" s="61"/>
      <c r="AZ247" s="61"/>
      <c r="BA247" s="61"/>
      <c r="BB247" s="61"/>
      <c r="BC247" s="61"/>
      <c r="BD247" s="61"/>
      <c r="BE247" s="61"/>
      <c r="BF247" s="61"/>
      <c r="BG247" s="61"/>
      <c r="BH247" s="61"/>
      <c r="BI247" s="61"/>
      <c r="BJ247" s="61"/>
      <c r="BK247" s="61"/>
      <c r="BL247" s="61"/>
      <c r="BM247" s="61"/>
      <c r="BN247" s="61"/>
      <c r="BO247" s="61"/>
      <c r="BP247" s="61"/>
      <c r="BQ247" s="61"/>
      <c r="BR247" s="61"/>
      <c r="BS247" s="61"/>
      <c r="BT247" s="61"/>
      <c r="BU247" s="61"/>
      <c r="BV247" s="61"/>
      <c r="BW247" s="61"/>
      <c r="BX247" s="61"/>
    </row>
    <row r="248">
      <c r="A248" s="62" t="str">
        <f t="shared" si="1"/>
        <v>#REF!</v>
      </c>
      <c r="B248" s="61"/>
      <c r="C248" s="61"/>
      <c r="D248" s="61"/>
      <c r="E248" s="61"/>
      <c r="F248" s="61"/>
      <c r="G248" s="61"/>
      <c r="H248" s="61"/>
      <c r="I248" s="61"/>
      <c r="J248" s="61"/>
      <c r="K248" s="61"/>
      <c r="L248" s="61"/>
      <c r="M248" s="61"/>
      <c r="N248" s="61"/>
      <c r="O248" s="61"/>
      <c r="P248" s="61"/>
      <c r="Q248" s="61"/>
      <c r="R248" s="61"/>
      <c r="S248" s="61"/>
      <c r="T248" s="61"/>
      <c r="U248" s="61"/>
      <c r="V248" s="61"/>
      <c r="W248" s="61"/>
      <c r="X248" s="61"/>
      <c r="Y248" s="61"/>
      <c r="Z248" s="61"/>
      <c r="AA248" s="61"/>
      <c r="AB248" s="61"/>
      <c r="AC248" s="61"/>
      <c r="AD248" s="61"/>
      <c r="AE248" s="61"/>
      <c r="AF248" s="61"/>
      <c r="AG248" s="61"/>
      <c r="AH248" s="61"/>
      <c r="AI248" s="61"/>
      <c r="AJ248" s="61"/>
      <c r="AK248" s="61"/>
      <c r="AL248" s="61"/>
      <c r="AM248" s="61"/>
      <c r="AN248" s="61"/>
      <c r="AO248" s="61"/>
      <c r="AP248" s="61"/>
      <c r="AQ248" s="61"/>
      <c r="AR248" s="61"/>
      <c r="AS248" s="61"/>
      <c r="AT248" s="61"/>
      <c r="AU248" s="61"/>
      <c r="AV248" s="61"/>
      <c r="AW248" s="61"/>
      <c r="AX248" s="61"/>
      <c r="AY248" s="61"/>
      <c r="AZ248" s="61"/>
      <c r="BA248" s="61"/>
      <c r="BB248" s="61"/>
      <c r="BC248" s="61"/>
      <c r="BD248" s="61"/>
      <c r="BE248" s="61"/>
      <c r="BF248" s="61"/>
      <c r="BG248" s="61"/>
      <c r="BH248" s="61"/>
      <c r="BI248" s="61"/>
      <c r="BJ248" s="61"/>
      <c r="BK248" s="61"/>
      <c r="BL248" s="61"/>
      <c r="BM248" s="61"/>
      <c r="BN248" s="61"/>
      <c r="BO248" s="61"/>
      <c r="BP248" s="61"/>
      <c r="BQ248" s="61"/>
      <c r="BR248" s="61"/>
      <c r="BS248" s="61"/>
      <c r="BT248" s="61"/>
      <c r="BU248" s="61"/>
      <c r="BV248" s="61"/>
      <c r="BW248" s="61"/>
      <c r="BX248" s="61"/>
    </row>
    <row r="249">
      <c r="A249" s="62" t="str">
        <f t="shared" si="1"/>
        <v>#REF!</v>
      </c>
      <c r="B249" s="61"/>
      <c r="C249" s="61"/>
      <c r="D249" s="61"/>
      <c r="E249" s="61"/>
      <c r="F249" s="61"/>
      <c r="G249" s="61"/>
      <c r="H249" s="61"/>
      <c r="I249" s="61"/>
      <c r="J249" s="61"/>
      <c r="K249" s="61"/>
      <c r="L249" s="61"/>
      <c r="M249" s="61"/>
      <c r="N249" s="61"/>
      <c r="O249" s="61"/>
      <c r="P249" s="61"/>
      <c r="Q249" s="61"/>
      <c r="R249" s="61"/>
      <c r="S249" s="61"/>
      <c r="T249" s="61"/>
      <c r="U249" s="61"/>
      <c r="V249" s="61"/>
      <c r="W249" s="61"/>
      <c r="X249" s="61"/>
      <c r="Y249" s="61"/>
      <c r="Z249" s="61"/>
      <c r="AA249" s="61"/>
      <c r="AB249" s="61"/>
      <c r="AC249" s="61"/>
      <c r="AD249" s="61"/>
      <c r="AE249" s="61"/>
      <c r="AF249" s="61"/>
      <c r="AG249" s="61"/>
      <c r="AH249" s="61"/>
      <c r="AI249" s="61"/>
      <c r="AJ249" s="61"/>
      <c r="AK249" s="61"/>
      <c r="AL249" s="61"/>
      <c r="AM249" s="61"/>
      <c r="AN249" s="61"/>
      <c r="AO249" s="61"/>
      <c r="AP249" s="61"/>
      <c r="AQ249" s="61"/>
      <c r="AR249" s="61"/>
      <c r="AS249" s="61"/>
      <c r="AT249" s="61"/>
      <c r="AU249" s="61"/>
      <c r="AV249" s="61"/>
      <c r="AW249" s="61"/>
      <c r="AX249" s="61"/>
      <c r="AY249" s="61"/>
      <c r="AZ249" s="61"/>
      <c r="BA249" s="61"/>
      <c r="BB249" s="61"/>
      <c r="BC249" s="61"/>
      <c r="BD249" s="61"/>
      <c r="BE249" s="61"/>
      <c r="BF249" s="61"/>
      <c r="BG249" s="61"/>
      <c r="BH249" s="61"/>
      <c r="BI249" s="61"/>
      <c r="BJ249" s="61"/>
      <c r="BK249" s="61"/>
      <c r="BL249" s="61"/>
      <c r="BM249" s="61"/>
      <c r="BN249" s="61"/>
      <c r="BO249" s="61"/>
      <c r="BP249" s="61"/>
      <c r="BQ249" s="61"/>
      <c r="BR249" s="61"/>
      <c r="BS249" s="61"/>
      <c r="BT249" s="61"/>
      <c r="BU249" s="61"/>
      <c r="BV249" s="61"/>
      <c r="BW249" s="61"/>
      <c r="BX249" s="61"/>
    </row>
    <row r="250">
      <c r="A250" s="62" t="str">
        <f t="shared" si="1"/>
        <v>#REF!</v>
      </c>
      <c r="B250" s="61"/>
      <c r="C250" s="61"/>
      <c r="D250" s="61"/>
      <c r="E250" s="61"/>
      <c r="F250" s="61"/>
      <c r="G250" s="61"/>
      <c r="H250" s="61"/>
      <c r="I250" s="61"/>
      <c r="J250" s="61"/>
      <c r="K250" s="61"/>
      <c r="L250" s="61"/>
      <c r="M250" s="61"/>
      <c r="N250" s="61"/>
      <c r="O250" s="61"/>
      <c r="P250" s="61"/>
      <c r="Q250" s="61"/>
      <c r="R250" s="61"/>
      <c r="S250" s="61"/>
      <c r="T250" s="61"/>
      <c r="U250" s="61"/>
      <c r="V250" s="61"/>
      <c r="W250" s="61"/>
      <c r="X250" s="61"/>
      <c r="Y250" s="61"/>
      <c r="Z250" s="61"/>
      <c r="AA250" s="61"/>
      <c r="AB250" s="61"/>
      <c r="AC250" s="61"/>
      <c r="AD250" s="61"/>
      <c r="AE250" s="61"/>
      <c r="AF250" s="61"/>
      <c r="AG250" s="61"/>
      <c r="AH250" s="61"/>
      <c r="AI250" s="61"/>
      <c r="AJ250" s="61"/>
      <c r="AK250" s="61"/>
      <c r="AL250" s="61"/>
      <c r="AM250" s="61"/>
      <c r="AN250" s="61"/>
      <c r="AO250" s="61"/>
      <c r="AP250" s="61"/>
      <c r="AQ250" s="61"/>
      <c r="AR250" s="61"/>
      <c r="AS250" s="61"/>
      <c r="AT250" s="61"/>
      <c r="AU250" s="61"/>
      <c r="AV250" s="61"/>
      <c r="AW250" s="61"/>
      <c r="AX250" s="61"/>
      <c r="AY250" s="61"/>
      <c r="AZ250" s="61"/>
      <c r="BA250" s="61"/>
      <c r="BB250" s="61"/>
      <c r="BC250" s="61"/>
      <c r="BD250" s="61"/>
      <c r="BE250" s="61"/>
      <c r="BF250" s="61"/>
      <c r="BG250" s="61"/>
      <c r="BH250" s="61"/>
      <c r="BI250" s="61"/>
      <c r="BJ250" s="61"/>
      <c r="BK250" s="61"/>
      <c r="BL250" s="61"/>
      <c r="BM250" s="61"/>
      <c r="BN250" s="61"/>
      <c r="BO250" s="61"/>
      <c r="BP250" s="61"/>
      <c r="BQ250" s="61"/>
      <c r="BR250" s="61"/>
      <c r="BS250" s="61"/>
      <c r="BT250" s="61"/>
      <c r="BU250" s="61"/>
      <c r="BV250" s="61"/>
      <c r="BW250" s="61"/>
      <c r="BX250" s="61"/>
    </row>
    <row r="251">
      <c r="A251" s="62" t="str">
        <f t="shared" si="1"/>
        <v>#REF!</v>
      </c>
      <c r="B251" s="61"/>
      <c r="C251" s="61"/>
      <c r="D251" s="61"/>
      <c r="E251" s="61"/>
      <c r="F251" s="61"/>
      <c r="G251" s="61"/>
      <c r="H251" s="61"/>
      <c r="I251" s="61"/>
      <c r="J251" s="61"/>
      <c r="K251" s="61"/>
      <c r="L251" s="61"/>
      <c r="M251" s="61"/>
      <c r="N251" s="61"/>
      <c r="O251" s="61"/>
      <c r="P251" s="61"/>
      <c r="Q251" s="61"/>
      <c r="R251" s="61"/>
      <c r="S251" s="61"/>
      <c r="T251" s="61"/>
      <c r="U251" s="61"/>
      <c r="V251" s="61"/>
      <c r="W251" s="61"/>
      <c r="X251" s="61"/>
      <c r="Y251" s="61"/>
      <c r="Z251" s="61"/>
      <c r="AA251" s="61"/>
      <c r="AB251" s="61"/>
      <c r="AC251" s="61"/>
      <c r="AD251" s="61"/>
      <c r="AE251" s="61"/>
      <c r="AF251" s="61"/>
      <c r="AG251" s="61"/>
      <c r="AH251" s="61"/>
      <c r="AI251" s="61"/>
      <c r="AJ251" s="61"/>
      <c r="AK251" s="61"/>
      <c r="AL251" s="61"/>
      <c r="AM251" s="61"/>
      <c r="AN251" s="61"/>
      <c r="AO251" s="61"/>
      <c r="AP251" s="61"/>
      <c r="AQ251" s="61"/>
      <c r="AR251" s="61"/>
      <c r="AS251" s="61"/>
      <c r="AT251" s="61"/>
      <c r="AU251" s="61"/>
      <c r="AV251" s="61"/>
      <c r="AW251" s="61"/>
      <c r="AX251" s="61"/>
      <c r="AY251" s="61"/>
      <c r="AZ251" s="61"/>
      <c r="BA251" s="61"/>
      <c r="BB251" s="61"/>
      <c r="BC251" s="61"/>
      <c r="BD251" s="61"/>
      <c r="BE251" s="61"/>
      <c r="BF251" s="61"/>
      <c r="BG251" s="61"/>
      <c r="BH251" s="61"/>
      <c r="BI251" s="61"/>
      <c r="BJ251" s="61"/>
      <c r="BK251" s="61"/>
      <c r="BL251" s="61"/>
      <c r="BM251" s="61"/>
      <c r="BN251" s="61"/>
      <c r="BO251" s="61"/>
      <c r="BP251" s="61"/>
      <c r="BQ251" s="61"/>
      <c r="BR251" s="61"/>
      <c r="BS251" s="61"/>
      <c r="BT251" s="61"/>
      <c r="BU251" s="61"/>
      <c r="BV251" s="61"/>
      <c r="BW251" s="61"/>
      <c r="BX251" s="61"/>
    </row>
    <row r="252">
      <c r="A252" s="62" t="str">
        <f t="shared" si="1"/>
        <v>#REF!</v>
      </c>
      <c r="B252" s="61"/>
      <c r="C252" s="61"/>
      <c r="D252" s="61"/>
      <c r="E252" s="61"/>
      <c r="F252" s="61"/>
      <c r="G252" s="61"/>
      <c r="H252" s="61"/>
      <c r="I252" s="61"/>
      <c r="J252" s="61"/>
      <c r="K252" s="61"/>
      <c r="L252" s="61"/>
      <c r="M252" s="61"/>
      <c r="N252" s="61"/>
      <c r="O252" s="61"/>
      <c r="P252" s="61"/>
      <c r="Q252" s="61"/>
      <c r="R252" s="61"/>
      <c r="S252" s="61"/>
      <c r="T252" s="61"/>
      <c r="U252" s="61"/>
      <c r="V252" s="61"/>
      <c r="W252" s="61"/>
      <c r="X252" s="61"/>
      <c r="Y252" s="61"/>
      <c r="Z252" s="61"/>
      <c r="AA252" s="61"/>
      <c r="AB252" s="61"/>
      <c r="AC252" s="61"/>
      <c r="AD252" s="61"/>
      <c r="AE252" s="61"/>
      <c r="AF252" s="61"/>
      <c r="AG252" s="61"/>
      <c r="AH252" s="61"/>
      <c r="AI252" s="61"/>
      <c r="AJ252" s="61"/>
      <c r="AK252" s="61"/>
      <c r="AL252" s="61"/>
      <c r="AM252" s="61"/>
      <c r="AN252" s="61"/>
      <c r="AO252" s="61"/>
      <c r="AP252" s="61"/>
      <c r="AQ252" s="61"/>
      <c r="AR252" s="61"/>
      <c r="AS252" s="61"/>
      <c r="AT252" s="61"/>
      <c r="AU252" s="61"/>
      <c r="AV252" s="61"/>
      <c r="AW252" s="61"/>
      <c r="AX252" s="61"/>
      <c r="AY252" s="61"/>
      <c r="AZ252" s="61"/>
      <c r="BA252" s="61"/>
      <c r="BB252" s="61"/>
      <c r="BC252" s="61"/>
      <c r="BD252" s="61"/>
      <c r="BE252" s="61"/>
      <c r="BF252" s="61"/>
      <c r="BG252" s="61"/>
      <c r="BH252" s="61"/>
      <c r="BI252" s="61"/>
      <c r="BJ252" s="61"/>
      <c r="BK252" s="61"/>
      <c r="BL252" s="61"/>
      <c r="BM252" s="61"/>
      <c r="BN252" s="61"/>
      <c r="BO252" s="61"/>
      <c r="BP252" s="61"/>
      <c r="BQ252" s="61"/>
      <c r="BR252" s="61"/>
      <c r="BS252" s="61"/>
      <c r="BT252" s="61"/>
      <c r="BU252" s="61"/>
      <c r="BV252" s="61"/>
      <c r="BW252" s="61"/>
      <c r="BX252" s="61"/>
    </row>
    <row r="253">
      <c r="A253" s="62" t="str">
        <f t="shared" si="1"/>
        <v>#REF!</v>
      </c>
      <c r="B253" s="61"/>
      <c r="C253" s="61"/>
      <c r="D253" s="61"/>
      <c r="E253" s="61"/>
      <c r="F253" s="61"/>
      <c r="G253" s="61"/>
      <c r="H253" s="61"/>
      <c r="I253" s="61"/>
      <c r="J253" s="61"/>
      <c r="K253" s="61"/>
      <c r="L253" s="61"/>
      <c r="M253" s="61"/>
      <c r="N253" s="61"/>
      <c r="O253" s="61"/>
      <c r="P253" s="61"/>
      <c r="Q253" s="61"/>
      <c r="R253" s="61"/>
      <c r="S253" s="61"/>
      <c r="T253" s="61"/>
      <c r="U253" s="61"/>
      <c r="V253" s="61"/>
      <c r="W253" s="61"/>
      <c r="X253" s="61"/>
      <c r="Y253" s="61"/>
      <c r="Z253" s="61"/>
      <c r="AA253" s="61"/>
      <c r="AB253" s="61"/>
      <c r="AC253" s="61"/>
      <c r="AD253" s="61"/>
      <c r="AE253" s="61"/>
      <c r="AF253" s="61"/>
      <c r="AG253" s="61"/>
      <c r="AH253" s="61"/>
      <c r="AI253" s="61"/>
      <c r="AJ253" s="61"/>
      <c r="AK253" s="61"/>
      <c r="AL253" s="61"/>
      <c r="AM253" s="61"/>
      <c r="AN253" s="61"/>
      <c r="AO253" s="61"/>
      <c r="AP253" s="61"/>
      <c r="AQ253" s="61"/>
      <c r="AR253" s="61"/>
      <c r="AS253" s="61"/>
      <c r="AT253" s="61"/>
      <c r="AU253" s="61"/>
      <c r="AV253" s="61"/>
      <c r="AW253" s="61"/>
      <c r="AX253" s="61"/>
      <c r="AY253" s="61"/>
      <c r="AZ253" s="61"/>
      <c r="BA253" s="61"/>
      <c r="BB253" s="61"/>
      <c r="BC253" s="61"/>
      <c r="BD253" s="61"/>
      <c r="BE253" s="61"/>
      <c r="BF253" s="61"/>
      <c r="BG253" s="61"/>
      <c r="BH253" s="61"/>
      <c r="BI253" s="61"/>
      <c r="BJ253" s="61"/>
      <c r="BK253" s="61"/>
      <c r="BL253" s="61"/>
      <c r="BM253" s="61"/>
      <c r="BN253" s="61"/>
      <c r="BO253" s="61"/>
      <c r="BP253" s="61"/>
      <c r="BQ253" s="61"/>
      <c r="BR253" s="61"/>
      <c r="BS253" s="61"/>
      <c r="BT253" s="61"/>
      <c r="BU253" s="61"/>
      <c r="BV253" s="61"/>
      <c r="BW253" s="61"/>
      <c r="BX253" s="61"/>
    </row>
    <row r="254">
      <c r="A254" s="62" t="str">
        <f t="shared" si="1"/>
        <v>#REF!</v>
      </c>
      <c r="B254" s="61"/>
      <c r="C254" s="61"/>
      <c r="D254" s="61"/>
      <c r="E254" s="61"/>
      <c r="F254" s="61"/>
      <c r="G254" s="61"/>
      <c r="H254" s="61"/>
      <c r="I254" s="61"/>
      <c r="J254" s="61"/>
      <c r="K254" s="61"/>
      <c r="L254" s="61"/>
      <c r="M254" s="61"/>
      <c r="N254" s="61"/>
      <c r="O254" s="61"/>
      <c r="P254" s="61"/>
      <c r="Q254" s="61"/>
      <c r="R254" s="61"/>
      <c r="S254" s="61"/>
      <c r="T254" s="61"/>
      <c r="U254" s="61"/>
      <c r="V254" s="61"/>
      <c r="W254" s="61"/>
      <c r="X254" s="61"/>
      <c r="Y254" s="61"/>
      <c r="Z254" s="61"/>
      <c r="AA254" s="61"/>
      <c r="AB254" s="61"/>
      <c r="AC254" s="61"/>
      <c r="AD254" s="61"/>
      <c r="AE254" s="61"/>
      <c r="AF254" s="61"/>
      <c r="AG254" s="61"/>
      <c r="AH254" s="61"/>
      <c r="AI254" s="61"/>
      <c r="AJ254" s="61"/>
      <c r="AK254" s="61"/>
      <c r="AL254" s="61"/>
      <c r="AM254" s="61"/>
      <c r="AN254" s="61"/>
      <c r="AO254" s="61"/>
      <c r="AP254" s="61"/>
      <c r="AQ254" s="61"/>
      <c r="AR254" s="61"/>
      <c r="AS254" s="61"/>
      <c r="AT254" s="61"/>
      <c r="AU254" s="61"/>
      <c r="AV254" s="61"/>
      <c r="AW254" s="61"/>
      <c r="AX254" s="61"/>
      <c r="AY254" s="61"/>
      <c r="AZ254" s="61"/>
      <c r="BA254" s="61"/>
      <c r="BB254" s="61"/>
      <c r="BC254" s="61"/>
      <c r="BD254" s="61"/>
      <c r="BE254" s="61"/>
      <c r="BF254" s="61"/>
      <c r="BG254" s="61"/>
      <c r="BH254" s="61"/>
      <c r="BI254" s="61"/>
      <c r="BJ254" s="61"/>
      <c r="BK254" s="61"/>
      <c r="BL254" s="61"/>
      <c r="BM254" s="61"/>
      <c r="BN254" s="61"/>
      <c r="BO254" s="61"/>
      <c r="BP254" s="61"/>
      <c r="BQ254" s="61"/>
      <c r="BR254" s="61"/>
      <c r="BS254" s="61"/>
      <c r="BT254" s="61"/>
      <c r="BU254" s="61"/>
      <c r="BV254" s="61"/>
      <c r="BW254" s="61"/>
      <c r="BX254" s="61"/>
    </row>
    <row r="255">
      <c r="A255" s="62" t="str">
        <f t="shared" si="1"/>
        <v>#REF!</v>
      </c>
      <c r="B255" s="61"/>
      <c r="C255" s="61"/>
      <c r="D255" s="61"/>
      <c r="E255" s="61"/>
      <c r="F255" s="61"/>
      <c r="G255" s="61"/>
      <c r="H255" s="61"/>
      <c r="I255" s="61"/>
      <c r="J255" s="61"/>
      <c r="K255" s="61"/>
      <c r="L255" s="61"/>
      <c r="M255" s="61"/>
      <c r="N255" s="61"/>
      <c r="O255" s="61"/>
      <c r="P255" s="61"/>
      <c r="Q255" s="61"/>
      <c r="R255" s="61"/>
      <c r="S255" s="61"/>
      <c r="T255" s="61"/>
      <c r="U255" s="61"/>
      <c r="V255" s="61"/>
      <c r="W255" s="61"/>
      <c r="X255" s="61"/>
      <c r="Y255" s="61"/>
      <c r="Z255" s="61"/>
      <c r="AA255" s="61"/>
      <c r="AB255" s="61"/>
      <c r="AC255" s="61"/>
      <c r="AD255" s="61"/>
      <c r="AE255" s="61"/>
      <c r="AF255" s="61"/>
      <c r="AG255" s="61"/>
      <c r="AH255" s="61"/>
      <c r="AI255" s="61"/>
      <c r="AJ255" s="61"/>
      <c r="AK255" s="61"/>
      <c r="AL255" s="61"/>
      <c r="AM255" s="61"/>
      <c r="AN255" s="61"/>
      <c r="AO255" s="61"/>
      <c r="AP255" s="61"/>
      <c r="AQ255" s="61"/>
      <c r="AR255" s="61"/>
      <c r="AS255" s="61"/>
      <c r="AT255" s="61"/>
      <c r="AU255" s="61"/>
      <c r="AV255" s="61"/>
      <c r="AW255" s="61"/>
      <c r="AX255" s="61"/>
      <c r="AY255" s="61"/>
      <c r="AZ255" s="61"/>
      <c r="BA255" s="61"/>
      <c r="BB255" s="61"/>
      <c r="BC255" s="61"/>
      <c r="BD255" s="61"/>
      <c r="BE255" s="61"/>
      <c r="BF255" s="61"/>
      <c r="BG255" s="61"/>
      <c r="BH255" s="61"/>
      <c r="BI255" s="61"/>
      <c r="BJ255" s="61"/>
      <c r="BK255" s="61"/>
      <c r="BL255" s="61"/>
      <c r="BM255" s="61"/>
      <c r="BN255" s="61"/>
      <c r="BO255" s="61"/>
      <c r="BP255" s="61"/>
      <c r="BQ255" s="61"/>
      <c r="BR255" s="61"/>
      <c r="BS255" s="61"/>
      <c r="BT255" s="61"/>
      <c r="BU255" s="61"/>
      <c r="BV255" s="61"/>
      <c r="BW255" s="61"/>
      <c r="BX255" s="61"/>
    </row>
    <row r="256">
      <c r="A256" s="62" t="str">
        <f t="shared" si="1"/>
        <v>#REF!</v>
      </c>
      <c r="B256" s="61"/>
      <c r="C256" s="61"/>
      <c r="D256" s="61"/>
      <c r="E256" s="61"/>
      <c r="F256" s="61"/>
      <c r="G256" s="61"/>
      <c r="H256" s="61"/>
      <c r="I256" s="61"/>
      <c r="J256" s="61"/>
      <c r="K256" s="61"/>
      <c r="L256" s="61"/>
      <c r="M256" s="61"/>
      <c r="N256" s="61"/>
      <c r="O256" s="61"/>
      <c r="P256" s="61"/>
      <c r="Q256" s="61"/>
      <c r="R256" s="61"/>
      <c r="S256" s="61"/>
      <c r="T256" s="61"/>
      <c r="U256" s="61"/>
      <c r="V256" s="61"/>
      <c r="W256" s="61"/>
      <c r="X256" s="61"/>
      <c r="Y256" s="61"/>
      <c r="Z256" s="61"/>
      <c r="AA256" s="61"/>
      <c r="AB256" s="61"/>
      <c r="AC256" s="61"/>
      <c r="AD256" s="61"/>
      <c r="AE256" s="61"/>
      <c r="AF256" s="61"/>
      <c r="AG256" s="61"/>
      <c r="AH256" s="61"/>
      <c r="AI256" s="61"/>
      <c r="AJ256" s="61"/>
      <c r="AK256" s="61"/>
      <c r="AL256" s="61"/>
      <c r="AM256" s="61"/>
      <c r="AN256" s="61"/>
      <c r="AO256" s="61"/>
      <c r="AP256" s="61"/>
      <c r="AQ256" s="61"/>
      <c r="AR256" s="61"/>
      <c r="AS256" s="61"/>
      <c r="AT256" s="61"/>
      <c r="AU256" s="61"/>
      <c r="AV256" s="61"/>
      <c r="AW256" s="61"/>
      <c r="AX256" s="61"/>
      <c r="AY256" s="61"/>
      <c r="AZ256" s="61"/>
      <c r="BA256" s="61"/>
      <c r="BB256" s="61"/>
      <c r="BC256" s="61"/>
      <c r="BD256" s="61"/>
      <c r="BE256" s="61"/>
      <c r="BF256" s="61"/>
      <c r="BG256" s="61"/>
      <c r="BH256" s="61"/>
      <c r="BI256" s="61"/>
      <c r="BJ256" s="61"/>
      <c r="BK256" s="61"/>
      <c r="BL256" s="61"/>
      <c r="BM256" s="61"/>
      <c r="BN256" s="61"/>
      <c r="BO256" s="61"/>
      <c r="BP256" s="61"/>
      <c r="BQ256" s="61"/>
      <c r="BR256" s="61"/>
      <c r="BS256" s="61"/>
      <c r="BT256" s="61"/>
      <c r="BU256" s="61"/>
      <c r="BV256" s="61"/>
      <c r="BW256" s="61"/>
      <c r="BX256" s="61"/>
    </row>
    <row r="257">
      <c r="A257" s="62" t="str">
        <f t="shared" si="1"/>
        <v>#REF!</v>
      </c>
      <c r="B257" s="61"/>
      <c r="C257" s="61"/>
      <c r="D257" s="61"/>
      <c r="E257" s="61"/>
      <c r="F257" s="61"/>
      <c r="G257" s="61"/>
      <c r="H257" s="61"/>
      <c r="I257" s="61"/>
      <c r="J257" s="61"/>
      <c r="K257" s="61"/>
      <c r="L257" s="61"/>
      <c r="M257" s="61"/>
      <c r="N257" s="61"/>
      <c r="O257" s="61"/>
      <c r="P257" s="61"/>
      <c r="Q257" s="61"/>
      <c r="R257" s="61"/>
      <c r="S257" s="61"/>
      <c r="T257" s="61"/>
      <c r="U257" s="61"/>
      <c r="V257" s="61"/>
      <c r="W257" s="61"/>
      <c r="X257" s="61"/>
      <c r="Y257" s="61"/>
      <c r="Z257" s="61"/>
      <c r="AA257" s="61"/>
      <c r="AB257" s="61"/>
      <c r="AC257" s="61"/>
      <c r="AD257" s="61"/>
      <c r="AE257" s="61"/>
      <c r="AF257" s="61"/>
      <c r="AG257" s="61"/>
      <c r="AH257" s="61"/>
      <c r="AI257" s="61"/>
      <c r="AJ257" s="61"/>
      <c r="AK257" s="61"/>
      <c r="AL257" s="61"/>
      <c r="AM257" s="61"/>
      <c r="AN257" s="61"/>
      <c r="AO257" s="61"/>
      <c r="AP257" s="61"/>
      <c r="AQ257" s="61"/>
      <c r="AR257" s="61"/>
      <c r="AS257" s="61"/>
      <c r="AT257" s="61"/>
      <c r="AU257" s="61"/>
      <c r="AV257" s="61"/>
      <c r="AW257" s="61"/>
      <c r="AX257" s="61"/>
      <c r="AY257" s="61"/>
      <c r="AZ257" s="61"/>
      <c r="BA257" s="61"/>
      <c r="BB257" s="61"/>
      <c r="BC257" s="61"/>
      <c r="BD257" s="61"/>
      <c r="BE257" s="61"/>
      <c r="BF257" s="61"/>
      <c r="BG257" s="61"/>
      <c r="BH257" s="61"/>
      <c r="BI257" s="61"/>
      <c r="BJ257" s="61"/>
      <c r="BK257" s="61"/>
      <c r="BL257" s="61"/>
      <c r="BM257" s="61"/>
      <c r="BN257" s="61"/>
      <c r="BO257" s="61"/>
      <c r="BP257" s="61"/>
      <c r="BQ257" s="61"/>
      <c r="BR257" s="61"/>
      <c r="BS257" s="61"/>
      <c r="BT257" s="61"/>
      <c r="BU257" s="61"/>
      <c r="BV257" s="61"/>
      <c r="BW257" s="61"/>
      <c r="BX257" s="61"/>
    </row>
    <row r="258">
      <c r="A258" s="62" t="str">
        <f t="shared" si="1"/>
        <v>#REF!</v>
      </c>
      <c r="B258" s="61"/>
      <c r="C258" s="61"/>
      <c r="D258" s="61"/>
      <c r="E258" s="61"/>
      <c r="F258" s="61"/>
      <c r="G258" s="61"/>
      <c r="H258" s="61"/>
      <c r="I258" s="61"/>
      <c r="J258" s="61"/>
      <c r="K258" s="61"/>
      <c r="L258" s="61"/>
      <c r="M258" s="61"/>
      <c r="N258" s="61"/>
      <c r="O258" s="61"/>
      <c r="P258" s="61"/>
      <c r="Q258" s="61"/>
      <c r="R258" s="61"/>
      <c r="S258" s="61"/>
      <c r="T258" s="61"/>
      <c r="U258" s="61"/>
      <c r="V258" s="61"/>
      <c r="W258" s="61"/>
      <c r="X258" s="61"/>
      <c r="Y258" s="61"/>
      <c r="Z258" s="61"/>
      <c r="AA258" s="61"/>
      <c r="AB258" s="61"/>
      <c r="AC258" s="61"/>
      <c r="AD258" s="61"/>
      <c r="AE258" s="61"/>
      <c r="AF258" s="61"/>
      <c r="AG258" s="61"/>
      <c r="AH258" s="61"/>
      <c r="AI258" s="61"/>
      <c r="AJ258" s="61"/>
      <c r="AK258" s="61"/>
      <c r="AL258" s="61"/>
      <c r="AM258" s="61"/>
      <c r="AN258" s="61"/>
      <c r="AO258" s="61"/>
      <c r="AP258" s="61"/>
      <c r="AQ258" s="61"/>
      <c r="AR258" s="61"/>
      <c r="AS258" s="61"/>
      <c r="AT258" s="61"/>
      <c r="AU258" s="61"/>
      <c r="AV258" s="61"/>
      <c r="AW258" s="61"/>
      <c r="AX258" s="61"/>
      <c r="AY258" s="61"/>
      <c r="AZ258" s="61"/>
      <c r="BA258" s="61"/>
      <c r="BB258" s="61"/>
      <c r="BC258" s="61"/>
      <c r="BD258" s="61"/>
      <c r="BE258" s="61"/>
      <c r="BF258" s="61"/>
      <c r="BG258" s="61"/>
      <c r="BH258" s="61"/>
      <c r="BI258" s="61"/>
      <c r="BJ258" s="61"/>
      <c r="BK258" s="61"/>
      <c r="BL258" s="61"/>
      <c r="BM258" s="61"/>
      <c r="BN258" s="61"/>
      <c r="BO258" s="61"/>
      <c r="BP258" s="61"/>
      <c r="BQ258" s="61"/>
      <c r="BR258" s="61"/>
      <c r="BS258" s="61"/>
      <c r="BT258" s="61"/>
      <c r="BU258" s="61"/>
      <c r="BV258" s="61"/>
      <c r="BW258" s="61"/>
      <c r="BX258" s="61"/>
    </row>
    <row r="259">
      <c r="A259" s="62" t="str">
        <f t="shared" si="1"/>
        <v>#REF!</v>
      </c>
      <c r="B259" s="61"/>
      <c r="C259" s="61"/>
      <c r="D259" s="61"/>
      <c r="E259" s="61"/>
      <c r="F259" s="61"/>
      <c r="G259" s="61"/>
      <c r="H259" s="61"/>
      <c r="I259" s="61"/>
      <c r="J259" s="61"/>
      <c r="K259" s="61"/>
      <c r="L259" s="61"/>
      <c r="M259" s="61"/>
      <c r="N259" s="61"/>
      <c r="O259" s="61"/>
      <c r="P259" s="61"/>
      <c r="Q259" s="61"/>
      <c r="R259" s="61"/>
      <c r="S259" s="61"/>
      <c r="T259" s="61"/>
      <c r="U259" s="61"/>
      <c r="V259" s="61"/>
      <c r="W259" s="61"/>
      <c r="X259" s="61"/>
      <c r="Y259" s="61"/>
      <c r="Z259" s="61"/>
      <c r="AA259" s="61"/>
      <c r="AB259" s="61"/>
      <c r="AC259" s="61"/>
      <c r="AD259" s="61"/>
      <c r="AE259" s="61"/>
      <c r="AF259" s="61"/>
      <c r="AG259" s="61"/>
      <c r="AH259" s="61"/>
      <c r="AI259" s="61"/>
      <c r="AJ259" s="61"/>
      <c r="AK259" s="61"/>
      <c r="AL259" s="61"/>
      <c r="AM259" s="61"/>
      <c r="AN259" s="61"/>
      <c r="AO259" s="61"/>
      <c r="AP259" s="61"/>
      <c r="AQ259" s="61"/>
      <c r="AR259" s="61"/>
      <c r="AS259" s="61"/>
      <c r="AT259" s="61"/>
      <c r="AU259" s="61"/>
      <c r="AV259" s="61"/>
      <c r="AW259" s="61"/>
      <c r="AX259" s="61"/>
      <c r="AY259" s="61"/>
      <c r="AZ259" s="61"/>
      <c r="BA259" s="61"/>
      <c r="BB259" s="61"/>
      <c r="BC259" s="61"/>
      <c r="BD259" s="61"/>
      <c r="BE259" s="61"/>
      <c r="BF259" s="61"/>
      <c r="BG259" s="61"/>
      <c r="BH259" s="61"/>
      <c r="BI259" s="61"/>
      <c r="BJ259" s="61"/>
      <c r="BK259" s="61"/>
      <c r="BL259" s="61"/>
      <c r="BM259" s="61"/>
      <c r="BN259" s="61"/>
      <c r="BO259" s="61"/>
      <c r="BP259" s="61"/>
      <c r="BQ259" s="61"/>
      <c r="BR259" s="61"/>
      <c r="BS259" s="61"/>
      <c r="BT259" s="61"/>
      <c r="BU259" s="61"/>
      <c r="BV259" s="61"/>
      <c r="BW259" s="61"/>
      <c r="BX259" s="61"/>
    </row>
    <row r="260">
      <c r="A260" s="62" t="str">
        <f t="shared" si="1"/>
        <v>#REF!</v>
      </c>
      <c r="B260" s="61"/>
      <c r="C260" s="61"/>
      <c r="D260" s="61"/>
      <c r="E260" s="61"/>
      <c r="F260" s="61"/>
      <c r="G260" s="61"/>
      <c r="H260" s="61"/>
      <c r="I260" s="61"/>
      <c r="J260" s="61"/>
      <c r="K260" s="61"/>
      <c r="L260" s="61"/>
      <c r="M260" s="61"/>
      <c r="N260" s="61"/>
      <c r="O260" s="61"/>
      <c r="P260" s="61"/>
      <c r="Q260" s="61"/>
      <c r="R260" s="61"/>
      <c r="S260" s="61"/>
      <c r="T260" s="61"/>
      <c r="U260" s="61"/>
      <c r="V260" s="61"/>
      <c r="W260" s="61"/>
      <c r="X260" s="61"/>
      <c r="Y260" s="61"/>
      <c r="Z260" s="61"/>
      <c r="AA260" s="61"/>
      <c r="AB260" s="61"/>
      <c r="AC260" s="61"/>
      <c r="AD260" s="61"/>
      <c r="AE260" s="61"/>
      <c r="AF260" s="61"/>
      <c r="AG260" s="61"/>
      <c r="AH260" s="61"/>
      <c r="AI260" s="61"/>
      <c r="AJ260" s="61"/>
      <c r="AK260" s="61"/>
      <c r="AL260" s="61"/>
      <c r="AM260" s="61"/>
      <c r="AN260" s="61"/>
      <c r="AO260" s="61"/>
      <c r="AP260" s="61"/>
      <c r="AQ260" s="61"/>
      <c r="AR260" s="61"/>
      <c r="AS260" s="61"/>
      <c r="AT260" s="61"/>
      <c r="AU260" s="61"/>
      <c r="AV260" s="61"/>
      <c r="AW260" s="61"/>
      <c r="AX260" s="61"/>
      <c r="AY260" s="61"/>
      <c r="AZ260" s="61"/>
      <c r="BA260" s="61"/>
      <c r="BB260" s="61"/>
      <c r="BC260" s="61"/>
      <c r="BD260" s="61"/>
      <c r="BE260" s="61"/>
      <c r="BF260" s="61"/>
      <c r="BG260" s="61"/>
      <c r="BH260" s="61"/>
      <c r="BI260" s="61"/>
      <c r="BJ260" s="61"/>
      <c r="BK260" s="61"/>
      <c r="BL260" s="61"/>
      <c r="BM260" s="61"/>
      <c r="BN260" s="61"/>
      <c r="BO260" s="61"/>
      <c r="BP260" s="61"/>
      <c r="BQ260" s="61"/>
      <c r="BR260" s="61"/>
      <c r="BS260" s="61"/>
      <c r="BT260" s="61"/>
      <c r="BU260" s="61"/>
      <c r="BV260" s="61"/>
      <c r="BW260" s="61"/>
      <c r="BX260" s="61"/>
    </row>
    <row r="261">
      <c r="A261" s="62" t="str">
        <f t="shared" si="1"/>
        <v>#REF!</v>
      </c>
      <c r="B261" s="61"/>
      <c r="C261" s="61"/>
      <c r="D261" s="61"/>
      <c r="E261" s="61"/>
      <c r="F261" s="61"/>
      <c r="G261" s="61"/>
      <c r="H261" s="61"/>
      <c r="I261" s="61"/>
      <c r="J261" s="61"/>
      <c r="K261" s="61"/>
      <c r="L261" s="61"/>
      <c r="M261" s="61"/>
      <c r="N261" s="61"/>
      <c r="O261" s="61"/>
      <c r="P261" s="61"/>
      <c r="Q261" s="61"/>
      <c r="R261" s="61"/>
      <c r="S261" s="61"/>
      <c r="T261" s="61"/>
      <c r="U261" s="61"/>
      <c r="V261" s="61"/>
      <c r="W261" s="61"/>
      <c r="X261" s="61"/>
      <c r="Y261" s="61"/>
      <c r="Z261" s="61"/>
      <c r="AA261" s="61"/>
      <c r="AB261" s="61"/>
      <c r="AC261" s="61"/>
      <c r="AD261" s="61"/>
      <c r="AE261" s="61"/>
      <c r="AF261" s="61"/>
      <c r="AG261" s="61"/>
      <c r="AH261" s="61"/>
      <c r="AI261" s="61"/>
      <c r="AJ261" s="61"/>
      <c r="AK261" s="61"/>
      <c r="AL261" s="61"/>
      <c r="AM261" s="61"/>
      <c r="AN261" s="61"/>
      <c r="AO261" s="61"/>
      <c r="AP261" s="61"/>
      <c r="AQ261" s="61"/>
      <c r="AR261" s="61"/>
      <c r="AS261" s="61"/>
      <c r="AT261" s="61"/>
      <c r="AU261" s="61"/>
      <c r="AV261" s="61"/>
      <c r="AW261" s="61"/>
      <c r="AX261" s="61"/>
      <c r="AY261" s="61"/>
      <c r="AZ261" s="61"/>
      <c r="BA261" s="61"/>
      <c r="BB261" s="61"/>
      <c r="BC261" s="61"/>
      <c r="BD261" s="61"/>
      <c r="BE261" s="61"/>
      <c r="BF261" s="61"/>
      <c r="BG261" s="61"/>
      <c r="BH261" s="61"/>
      <c r="BI261" s="61"/>
      <c r="BJ261" s="61"/>
      <c r="BK261" s="61"/>
      <c r="BL261" s="61"/>
      <c r="BM261" s="61"/>
      <c r="BN261" s="61"/>
      <c r="BO261" s="61"/>
      <c r="BP261" s="61"/>
      <c r="BQ261" s="61"/>
      <c r="BR261" s="61"/>
      <c r="BS261" s="61"/>
      <c r="BT261" s="61"/>
      <c r="BU261" s="61"/>
      <c r="BV261" s="61"/>
      <c r="BW261" s="61"/>
      <c r="BX261" s="61"/>
    </row>
    <row r="262">
      <c r="A262" s="62" t="str">
        <f t="shared" si="1"/>
        <v>#REF!</v>
      </c>
      <c r="B262" s="61"/>
      <c r="C262" s="61"/>
      <c r="D262" s="61"/>
      <c r="E262" s="61"/>
      <c r="F262" s="61"/>
      <c r="G262" s="61"/>
      <c r="H262" s="61"/>
      <c r="I262" s="61"/>
      <c r="J262" s="61"/>
      <c r="K262" s="61"/>
      <c r="L262" s="61"/>
      <c r="M262" s="61"/>
      <c r="N262" s="61"/>
      <c r="O262" s="61"/>
      <c r="P262" s="61"/>
      <c r="Q262" s="61"/>
      <c r="R262" s="61"/>
      <c r="S262" s="61"/>
      <c r="T262" s="61"/>
      <c r="U262" s="61"/>
      <c r="V262" s="61"/>
      <c r="W262" s="61"/>
      <c r="X262" s="61"/>
      <c r="Y262" s="61"/>
      <c r="Z262" s="61"/>
      <c r="AA262" s="61"/>
      <c r="AB262" s="61"/>
      <c r="AC262" s="61"/>
      <c r="AD262" s="61"/>
      <c r="AE262" s="61"/>
      <c r="AF262" s="61"/>
      <c r="AG262" s="61"/>
      <c r="AH262" s="61"/>
      <c r="AI262" s="61"/>
      <c r="AJ262" s="61"/>
      <c r="AK262" s="61"/>
      <c r="AL262" s="61"/>
      <c r="AM262" s="61"/>
      <c r="AN262" s="61"/>
      <c r="AO262" s="61"/>
      <c r="AP262" s="61"/>
      <c r="AQ262" s="61"/>
      <c r="AR262" s="61"/>
      <c r="AS262" s="61"/>
      <c r="AT262" s="61"/>
      <c r="AU262" s="61"/>
      <c r="AV262" s="61"/>
      <c r="AW262" s="61"/>
      <c r="AX262" s="61"/>
      <c r="AY262" s="61"/>
      <c r="AZ262" s="61"/>
      <c r="BA262" s="61"/>
      <c r="BB262" s="61"/>
      <c r="BC262" s="61"/>
      <c r="BD262" s="61"/>
      <c r="BE262" s="61"/>
      <c r="BF262" s="61"/>
      <c r="BG262" s="61"/>
      <c r="BH262" s="61"/>
      <c r="BI262" s="61"/>
      <c r="BJ262" s="61"/>
      <c r="BK262" s="61"/>
      <c r="BL262" s="61"/>
      <c r="BM262" s="61"/>
      <c r="BN262" s="61"/>
      <c r="BO262" s="61"/>
      <c r="BP262" s="61"/>
      <c r="BQ262" s="61"/>
      <c r="BR262" s="61"/>
      <c r="BS262" s="61"/>
      <c r="BT262" s="61"/>
      <c r="BU262" s="61"/>
      <c r="BV262" s="61"/>
      <c r="BW262" s="61"/>
      <c r="BX262" s="61"/>
    </row>
    <row r="263">
      <c r="A263" s="62" t="str">
        <f t="shared" si="1"/>
        <v>#REF!</v>
      </c>
      <c r="B263" s="61"/>
      <c r="C263" s="61"/>
      <c r="D263" s="61"/>
      <c r="E263" s="61"/>
      <c r="F263" s="61"/>
      <c r="G263" s="61"/>
      <c r="H263" s="61"/>
      <c r="I263" s="61"/>
      <c r="J263" s="61"/>
      <c r="K263" s="61"/>
      <c r="L263" s="61"/>
      <c r="M263" s="61"/>
      <c r="N263" s="61"/>
      <c r="O263" s="61"/>
      <c r="P263" s="61"/>
      <c r="Q263" s="61"/>
      <c r="R263" s="61"/>
      <c r="S263" s="61"/>
      <c r="T263" s="61"/>
      <c r="U263" s="61"/>
      <c r="V263" s="61"/>
      <c r="W263" s="61"/>
      <c r="X263" s="61"/>
      <c r="Y263" s="61"/>
      <c r="Z263" s="61"/>
      <c r="AA263" s="61"/>
      <c r="AB263" s="61"/>
      <c r="AC263" s="61"/>
      <c r="AD263" s="61"/>
      <c r="AE263" s="61"/>
      <c r="AF263" s="61"/>
      <c r="AG263" s="61"/>
      <c r="AH263" s="61"/>
      <c r="AI263" s="61"/>
      <c r="AJ263" s="61"/>
      <c r="AK263" s="61"/>
      <c r="AL263" s="61"/>
      <c r="AM263" s="61"/>
      <c r="AN263" s="61"/>
      <c r="AO263" s="61"/>
      <c r="AP263" s="61"/>
      <c r="AQ263" s="61"/>
      <c r="AR263" s="61"/>
      <c r="AS263" s="61"/>
      <c r="AT263" s="61"/>
      <c r="AU263" s="61"/>
      <c r="AV263" s="61"/>
      <c r="AW263" s="61"/>
      <c r="AX263" s="61"/>
      <c r="AY263" s="61"/>
      <c r="AZ263" s="61"/>
      <c r="BA263" s="61"/>
      <c r="BB263" s="61"/>
      <c r="BC263" s="61"/>
      <c r="BD263" s="61"/>
      <c r="BE263" s="61"/>
      <c r="BF263" s="61"/>
      <c r="BG263" s="61"/>
      <c r="BH263" s="61"/>
      <c r="BI263" s="61"/>
      <c r="BJ263" s="61"/>
      <c r="BK263" s="61"/>
      <c r="BL263" s="61"/>
      <c r="BM263" s="61"/>
      <c r="BN263" s="61"/>
      <c r="BO263" s="61"/>
      <c r="BP263" s="61"/>
      <c r="BQ263" s="61"/>
      <c r="BR263" s="61"/>
      <c r="BS263" s="61"/>
      <c r="BT263" s="61"/>
      <c r="BU263" s="61"/>
      <c r="BV263" s="61"/>
      <c r="BW263" s="61"/>
      <c r="BX263" s="61"/>
    </row>
    <row r="264">
      <c r="A264" s="62" t="str">
        <f t="shared" si="1"/>
        <v>#REF!</v>
      </c>
      <c r="B264" s="61"/>
      <c r="C264" s="61"/>
      <c r="D264" s="61"/>
      <c r="E264" s="61"/>
      <c r="F264" s="61"/>
      <c r="G264" s="61"/>
      <c r="H264" s="61"/>
      <c r="I264" s="61"/>
      <c r="J264" s="61"/>
      <c r="K264" s="61"/>
      <c r="L264" s="61"/>
      <c r="M264" s="61"/>
      <c r="N264" s="61"/>
      <c r="O264" s="61"/>
      <c r="P264" s="61"/>
      <c r="Q264" s="61"/>
      <c r="R264" s="61"/>
      <c r="S264" s="61"/>
      <c r="T264" s="61"/>
      <c r="U264" s="61"/>
      <c r="V264" s="61"/>
      <c r="W264" s="61"/>
      <c r="X264" s="61"/>
      <c r="Y264" s="61"/>
      <c r="Z264" s="61"/>
      <c r="AA264" s="61"/>
      <c r="AB264" s="61"/>
      <c r="AC264" s="61"/>
      <c r="AD264" s="61"/>
      <c r="AE264" s="61"/>
      <c r="AF264" s="61"/>
      <c r="AG264" s="61"/>
      <c r="AH264" s="61"/>
      <c r="AI264" s="61"/>
      <c r="AJ264" s="61"/>
      <c r="AK264" s="61"/>
      <c r="AL264" s="61"/>
      <c r="AM264" s="61"/>
      <c r="AN264" s="61"/>
      <c r="AO264" s="61"/>
      <c r="AP264" s="61"/>
      <c r="AQ264" s="61"/>
      <c r="AR264" s="61"/>
      <c r="AS264" s="61"/>
      <c r="AT264" s="61"/>
      <c r="AU264" s="61"/>
      <c r="AV264" s="61"/>
      <c r="AW264" s="61"/>
      <c r="AX264" s="61"/>
      <c r="AY264" s="61"/>
      <c r="AZ264" s="61"/>
      <c r="BA264" s="61"/>
      <c r="BB264" s="61"/>
      <c r="BC264" s="61"/>
      <c r="BD264" s="61"/>
      <c r="BE264" s="61"/>
      <c r="BF264" s="61"/>
      <c r="BG264" s="61"/>
      <c r="BH264" s="61"/>
      <c r="BI264" s="61"/>
      <c r="BJ264" s="61"/>
      <c r="BK264" s="61"/>
      <c r="BL264" s="61"/>
      <c r="BM264" s="61"/>
      <c r="BN264" s="61"/>
      <c r="BO264" s="61"/>
      <c r="BP264" s="61"/>
      <c r="BQ264" s="61"/>
      <c r="BR264" s="61"/>
      <c r="BS264" s="61"/>
      <c r="BT264" s="61"/>
      <c r="BU264" s="61"/>
      <c r="BV264" s="61"/>
      <c r="BW264" s="61"/>
      <c r="BX264" s="61"/>
    </row>
    <row r="265">
      <c r="A265" s="62" t="str">
        <f t="shared" si="1"/>
        <v>#REF!</v>
      </c>
      <c r="B265" s="61"/>
      <c r="C265" s="61"/>
      <c r="D265" s="61"/>
      <c r="E265" s="61"/>
      <c r="F265" s="61"/>
      <c r="G265" s="61"/>
      <c r="H265" s="61"/>
      <c r="I265" s="61"/>
      <c r="J265" s="61"/>
      <c r="K265" s="61"/>
      <c r="L265" s="61"/>
      <c r="M265" s="61"/>
      <c r="N265" s="61"/>
      <c r="O265" s="61"/>
      <c r="P265" s="61"/>
      <c r="Q265" s="61"/>
      <c r="R265" s="61"/>
      <c r="S265" s="61"/>
      <c r="T265" s="61"/>
      <c r="U265" s="61"/>
      <c r="V265" s="61"/>
      <c r="W265" s="61"/>
      <c r="X265" s="61"/>
      <c r="Y265" s="61"/>
      <c r="Z265" s="61"/>
      <c r="AA265" s="61"/>
      <c r="AB265" s="61"/>
      <c r="AC265" s="61"/>
      <c r="AD265" s="61"/>
      <c r="AE265" s="61"/>
      <c r="AF265" s="61"/>
      <c r="AG265" s="61"/>
      <c r="AH265" s="61"/>
      <c r="AI265" s="61"/>
      <c r="AJ265" s="61"/>
      <c r="AK265" s="61"/>
      <c r="AL265" s="61"/>
      <c r="AM265" s="61"/>
      <c r="AN265" s="61"/>
      <c r="AO265" s="61"/>
      <c r="AP265" s="61"/>
      <c r="AQ265" s="61"/>
      <c r="AR265" s="61"/>
      <c r="AS265" s="61"/>
      <c r="AT265" s="61"/>
      <c r="AU265" s="61"/>
      <c r="AV265" s="61"/>
      <c r="AW265" s="61"/>
      <c r="AX265" s="61"/>
      <c r="AY265" s="61"/>
      <c r="AZ265" s="61"/>
      <c r="BA265" s="61"/>
      <c r="BB265" s="61"/>
      <c r="BC265" s="61"/>
      <c r="BD265" s="61"/>
      <c r="BE265" s="61"/>
      <c r="BF265" s="61"/>
      <c r="BG265" s="61"/>
      <c r="BH265" s="61"/>
      <c r="BI265" s="61"/>
      <c r="BJ265" s="61"/>
      <c r="BK265" s="61"/>
      <c r="BL265" s="61"/>
      <c r="BM265" s="61"/>
      <c r="BN265" s="61"/>
      <c r="BO265" s="61"/>
      <c r="BP265" s="61"/>
      <c r="BQ265" s="61"/>
      <c r="BR265" s="61"/>
      <c r="BS265" s="61"/>
      <c r="BT265" s="61"/>
      <c r="BU265" s="61"/>
      <c r="BV265" s="61"/>
      <c r="BW265" s="61"/>
      <c r="BX265" s="61"/>
    </row>
    <row r="266">
      <c r="A266" s="62" t="str">
        <f t="shared" si="1"/>
        <v>#REF!</v>
      </c>
      <c r="B266" s="61"/>
      <c r="C266" s="61"/>
      <c r="D266" s="61"/>
      <c r="E266" s="61"/>
      <c r="F266" s="61"/>
      <c r="G266" s="61"/>
      <c r="H266" s="61"/>
      <c r="I266" s="61"/>
      <c r="J266" s="61"/>
      <c r="K266" s="61"/>
      <c r="L266" s="61"/>
      <c r="M266" s="61"/>
      <c r="N266" s="61"/>
      <c r="O266" s="61"/>
      <c r="P266" s="61"/>
      <c r="Q266" s="61"/>
      <c r="R266" s="61"/>
      <c r="S266" s="61"/>
      <c r="T266" s="61"/>
      <c r="U266" s="61"/>
      <c r="V266" s="61"/>
      <c r="W266" s="61"/>
      <c r="X266" s="61"/>
      <c r="Y266" s="61"/>
      <c r="Z266" s="61"/>
      <c r="AA266" s="61"/>
      <c r="AB266" s="61"/>
      <c r="AC266" s="61"/>
      <c r="AD266" s="61"/>
      <c r="AE266" s="61"/>
      <c r="AF266" s="61"/>
      <c r="AG266" s="61"/>
      <c r="AH266" s="61"/>
      <c r="AI266" s="61"/>
      <c r="AJ266" s="61"/>
      <c r="AK266" s="61"/>
      <c r="AL266" s="61"/>
      <c r="AM266" s="61"/>
      <c r="AN266" s="61"/>
      <c r="AO266" s="61"/>
      <c r="AP266" s="61"/>
      <c r="AQ266" s="61"/>
      <c r="AR266" s="61"/>
      <c r="AS266" s="61"/>
      <c r="AT266" s="61"/>
      <c r="AU266" s="61"/>
      <c r="AV266" s="61"/>
      <c r="AW266" s="61"/>
      <c r="AX266" s="61"/>
      <c r="AY266" s="61"/>
      <c r="AZ266" s="61"/>
      <c r="BA266" s="61"/>
      <c r="BB266" s="61"/>
      <c r="BC266" s="61"/>
      <c r="BD266" s="61"/>
      <c r="BE266" s="61"/>
      <c r="BF266" s="61"/>
      <c r="BG266" s="61"/>
      <c r="BH266" s="61"/>
      <c r="BI266" s="61"/>
      <c r="BJ266" s="61"/>
      <c r="BK266" s="61"/>
      <c r="BL266" s="61"/>
      <c r="BM266" s="61"/>
      <c r="BN266" s="61"/>
      <c r="BO266" s="61"/>
      <c r="BP266" s="61"/>
      <c r="BQ266" s="61"/>
      <c r="BR266" s="61"/>
      <c r="BS266" s="61"/>
      <c r="BT266" s="61"/>
      <c r="BU266" s="61"/>
      <c r="BV266" s="61"/>
      <c r="BW266" s="61"/>
      <c r="BX266" s="61"/>
    </row>
    <row r="267">
      <c r="A267" s="62" t="str">
        <f t="shared" si="1"/>
        <v>#REF!</v>
      </c>
      <c r="B267" s="61"/>
      <c r="C267" s="61"/>
      <c r="D267" s="61"/>
      <c r="E267" s="61"/>
      <c r="F267" s="61"/>
      <c r="G267" s="61"/>
      <c r="H267" s="61"/>
      <c r="I267" s="61"/>
      <c r="J267" s="61"/>
      <c r="K267" s="61"/>
      <c r="L267" s="61"/>
      <c r="M267" s="61"/>
      <c r="N267" s="61"/>
      <c r="O267" s="61"/>
      <c r="P267" s="61"/>
      <c r="Q267" s="61"/>
      <c r="R267" s="61"/>
      <c r="S267" s="61"/>
      <c r="T267" s="61"/>
      <c r="U267" s="61"/>
      <c r="V267" s="61"/>
      <c r="W267" s="61"/>
      <c r="X267" s="61"/>
      <c r="Y267" s="61"/>
      <c r="Z267" s="61"/>
      <c r="AA267" s="61"/>
      <c r="AB267" s="61"/>
      <c r="AC267" s="61"/>
      <c r="AD267" s="61"/>
      <c r="AE267" s="61"/>
      <c r="AF267" s="61"/>
      <c r="AG267" s="61"/>
      <c r="AH267" s="61"/>
      <c r="AI267" s="61"/>
      <c r="AJ267" s="61"/>
      <c r="AK267" s="61"/>
      <c r="AL267" s="61"/>
      <c r="AM267" s="61"/>
      <c r="AN267" s="61"/>
      <c r="AO267" s="61"/>
      <c r="AP267" s="61"/>
      <c r="AQ267" s="61"/>
      <c r="AR267" s="61"/>
      <c r="AS267" s="61"/>
      <c r="AT267" s="61"/>
      <c r="AU267" s="61"/>
      <c r="AV267" s="61"/>
      <c r="AW267" s="61"/>
      <c r="AX267" s="61"/>
      <c r="AY267" s="61"/>
      <c r="AZ267" s="61"/>
      <c r="BA267" s="61"/>
      <c r="BB267" s="61"/>
      <c r="BC267" s="61"/>
      <c r="BD267" s="61"/>
      <c r="BE267" s="61"/>
      <c r="BF267" s="61"/>
      <c r="BG267" s="61"/>
      <c r="BH267" s="61"/>
      <c r="BI267" s="61"/>
      <c r="BJ267" s="61"/>
      <c r="BK267" s="61"/>
      <c r="BL267" s="61"/>
      <c r="BM267" s="61"/>
      <c r="BN267" s="61"/>
      <c r="BO267" s="61"/>
      <c r="BP267" s="61"/>
      <c r="BQ267" s="61"/>
      <c r="BR267" s="61"/>
      <c r="BS267" s="61"/>
      <c r="BT267" s="61"/>
      <c r="BU267" s="61"/>
      <c r="BV267" s="61"/>
      <c r="BW267" s="61"/>
      <c r="BX267" s="61"/>
    </row>
    <row r="268">
      <c r="A268" s="62" t="str">
        <f t="shared" si="1"/>
        <v>#REF!</v>
      </c>
      <c r="B268" s="61"/>
      <c r="C268" s="61"/>
      <c r="D268" s="61"/>
      <c r="E268" s="61"/>
      <c r="F268" s="61"/>
      <c r="G268" s="61"/>
      <c r="H268" s="61"/>
      <c r="I268" s="61"/>
      <c r="J268" s="61"/>
      <c r="K268" s="61"/>
      <c r="L268" s="61"/>
      <c r="M268" s="61"/>
      <c r="N268" s="61"/>
      <c r="O268" s="61"/>
      <c r="P268" s="61"/>
      <c r="Q268" s="61"/>
      <c r="R268" s="61"/>
      <c r="S268" s="61"/>
      <c r="T268" s="61"/>
      <c r="U268" s="61"/>
      <c r="V268" s="61"/>
      <c r="W268" s="61"/>
      <c r="X268" s="61"/>
      <c r="Y268" s="61"/>
      <c r="Z268" s="61"/>
      <c r="AA268" s="61"/>
      <c r="AB268" s="61"/>
      <c r="AC268" s="61"/>
      <c r="AD268" s="61"/>
      <c r="AE268" s="61"/>
      <c r="AF268" s="61"/>
      <c r="AG268" s="61"/>
      <c r="AH268" s="61"/>
      <c r="AI268" s="61"/>
      <c r="AJ268" s="61"/>
      <c r="AK268" s="61"/>
      <c r="AL268" s="61"/>
      <c r="AM268" s="61"/>
      <c r="AN268" s="61"/>
      <c r="AO268" s="61"/>
      <c r="AP268" s="61"/>
      <c r="AQ268" s="61"/>
      <c r="AR268" s="61"/>
      <c r="AS268" s="61"/>
      <c r="AT268" s="61"/>
      <c r="AU268" s="61"/>
      <c r="AV268" s="61"/>
      <c r="AW268" s="61"/>
      <c r="AX268" s="61"/>
      <c r="AY268" s="61"/>
      <c r="AZ268" s="61"/>
      <c r="BA268" s="61"/>
      <c r="BB268" s="61"/>
      <c r="BC268" s="61"/>
      <c r="BD268" s="61"/>
      <c r="BE268" s="61"/>
      <c r="BF268" s="61"/>
      <c r="BG268" s="61"/>
      <c r="BH268" s="61"/>
      <c r="BI268" s="61"/>
      <c r="BJ268" s="61"/>
      <c r="BK268" s="61"/>
      <c r="BL268" s="61"/>
      <c r="BM268" s="61"/>
      <c r="BN268" s="61"/>
      <c r="BO268" s="61"/>
      <c r="BP268" s="61"/>
      <c r="BQ268" s="61"/>
      <c r="BR268" s="61"/>
      <c r="BS268" s="61"/>
      <c r="BT268" s="61"/>
      <c r="BU268" s="61"/>
      <c r="BV268" s="61"/>
      <c r="BW268" s="61"/>
      <c r="BX268" s="61"/>
    </row>
    <row r="269">
      <c r="A269" s="62" t="str">
        <f t="shared" si="1"/>
        <v>#REF!</v>
      </c>
      <c r="B269" s="61"/>
      <c r="C269" s="61"/>
      <c r="D269" s="61"/>
      <c r="E269" s="61"/>
      <c r="F269" s="61"/>
      <c r="G269" s="61"/>
      <c r="H269" s="61"/>
      <c r="I269" s="61"/>
      <c r="J269" s="61"/>
      <c r="K269" s="61"/>
      <c r="L269" s="61"/>
      <c r="M269" s="61"/>
      <c r="N269" s="61"/>
      <c r="O269" s="61"/>
      <c r="P269" s="61"/>
      <c r="Q269" s="61"/>
      <c r="R269" s="61"/>
      <c r="S269" s="61"/>
      <c r="T269" s="61"/>
      <c r="U269" s="61"/>
      <c r="V269" s="61"/>
      <c r="W269" s="61"/>
      <c r="X269" s="61"/>
      <c r="Y269" s="61"/>
      <c r="Z269" s="61"/>
      <c r="AA269" s="61"/>
      <c r="AB269" s="61"/>
      <c r="AC269" s="61"/>
      <c r="AD269" s="61"/>
      <c r="AE269" s="61"/>
      <c r="AF269" s="61"/>
      <c r="AG269" s="61"/>
      <c r="AH269" s="61"/>
      <c r="AI269" s="61"/>
      <c r="AJ269" s="61"/>
      <c r="AK269" s="61"/>
      <c r="AL269" s="61"/>
      <c r="AM269" s="61"/>
      <c r="AN269" s="61"/>
      <c r="AO269" s="61"/>
      <c r="AP269" s="61"/>
      <c r="AQ269" s="61"/>
      <c r="AR269" s="61"/>
      <c r="AS269" s="61"/>
      <c r="AT269" s="61"/>
      <c r="AU269" s="61"/>
      <c r="AV269" s="61"/>
      <c r="AW269" s="61"/>
      <c r="AX269" s="61"/>
      <c r="AY269" s="61"/>
      <c r="AZ269" s="61"/>
      <c r="BA269" s="61"/>
      <c r="BB269" s="61"/>
      <c r="BC269" s="61"/>
      <c r="BD269" s="61"/>
      <c r="BE269" s="61"/>
      <c r="BF269" s="61"/>
      <c r="BG269" s="61"/>
      <c r="BH269" s="61"/>
      <c r="BI269" s="61"/>
      <c r="BJ269" s="61"/>
      <c r="BK269" s="61"/>
      <c r="BL269" s="61"/>
      <c r="BM269" s="61"/>
      <c r="BN269" s="61"/>
      <c r="BO269" s="61"/>
      <c r="BP269" s="61"/>
      <c r="BQ269" s="61"/>
      <c r="BR269" s="61"/>
      <c r="BS269" s="61"/>
      <c r="BT269" s="61"/>
      <c r="BU269" s="61"/>
      <c r="BV269" s="61"/>
      <c r="BW269" s="61"/>
      <c r="BX269" s="61"/>
    </row>
    <row r="270">
      <c r="A270" s="62" t="str">
        <f t="shared" si="1"/>
        <v>#REF!</v>
      </c>
      <c r="B270" s="61"/>
      <c r="C270" s="61"/>
      <c r="D270" s="61"/>
      <c r="E270" s="61"/>
      <c r="F270" s="61"/>
      <c r="G270" s="61"/>
      <c r="H270" s="61"/>
      <c r="I270" s="61"/>
      <c r="J270" s="61"/>
      <c r="K270" s="61"/>
      <c r="L270" s="61"/>
      <c r="M270" s="61"/>
      <c r="N270" s="61"/>
      <c r="O270" s="61"/>
      <c r="P270" s="61"/>
      <c r="Q270" s="61"/>
      <c r="R270" s="61"/>
      <c r="S270" s="61"/>
      <c r="T270" s="61"/>
      <c r="U270" s="61"/>
      <c r="V270" s="61"/>
      <c r="W270" s="61"/>
      <c r="X270" s="61"/>
      <c r="Y270" s="61"/>
      <c r="Z270" s="61"/>
      <c r="AA270" s="61"/>
      <c r="AB270" s="61"/>
      <c r="AC270" s="61"/>
      <c r="AD270" s="61"/>
      <c r="AE270" s="61"/>
      <c r="AF270" s="61"/>
      <c r="AG270" s="61"/>
      <c r="AH270" s="61"/>
      <c r="AI270" s="61"/>
      <c r="AJ270" s="61"/>
      <c r="AK270" s="61"/>
      <c r="AL270" s="61"/>
      <c r="AM270" s="61"/>
      <c r="AN270" s="61"/>
      <c r="AO270" s="61"/>
      <c r="AP270" s="61"/>
      <c r="AQ270" s="61"/>
      <c r="AR270" s="61"/>
      <c r="AS270" s="61"/>
      <c r="AT270" s="61"/>
      <c r="AU270" s="61"/>
      <c r="AV270" s="61"/>
      <c r="AW270" s="61"/>
      <c r="AX270" s="61"/>
      <c r="AY270" s="61"/>
      <c r="AZ270" s="61"/>
      <c r="BA270" s="61"/>
      <c r="BB270" s="61"/>
      <c r="BC270" s="61"/>
      <c r="BD270" s="61"/>
      <c r="BE270" s="61"/>
      <c r="BF270" s="61"/>
      <c r="BG270" s="61"/>
      <c r="BH270" s="61"/>
      <c r="BI270" s="61"/>
      <c r="BJ270" s="61"/>
      <c r="BK270" s="61"/>
      <c r="BL270" s="61"/>
      <c r="BM270" s="61"/>
      <c r="BN270" s="61"/>
      <c r="BO270" s="61"/>
      <c r="BP270" s="61"/>
      <c r="BQ270" s="61"/>
      <c r="BR270" s="61"/>
      <c r="BS270" s="61"/>
      <c r="BT270" s="61"/>
      <c r="BU270" s="61"/>
      <c r="BV270" s="61"/>
      <c r="BW270" s="61"/>
      <c r="BX270" s="61"/>
    </row>
    <row r="271">
      <c r="A271" s="62" t="str">
        <f t="shared" si="1"/>
        <v>#REF!</v>
      </c>
      <c r="B271" s="61"/>
      <c r="C271" s="61"/>
      <c r="D271" s="61"/>
      <c r="E271" s="61"/>
      <c r="F271" s="61"/>
      <c r="G271" s="61"/>
      <c r="H271" s="61"/>
      <c r="I271" s="61"/>
      <c r="J271" s="61"/>
      <c r="K271" s="61"/>
      <c r="L271" s="61"/>
      <c r="M271" s="61"/>
      <c r="N271" s="61"/>
      <c r="O271" s="61"/>
      <c r="P271" s="61"/>
      <c r="Q271" s="61"/>
      <c r="R271" s="61"/>
      <c r="S271" s="61"/>
      <c r="T271" s="61"/>
      <c r="U271" s="61"/>
      <c r="V271" s="61"/>
      <c r="W271" s="61"/>
      <c r="X271" s="61"/>
      <c r="Y271" s="61"/>
      <c r="Z271" s="61"/>
      <c r="AA271" s="61"/>
      <c r="AB271" s="61"/>
      <c r="AC271" s="61"/>
      <c r="AD271" s="61"/>
      <c r="AE271" s="61"/>
      <c r="AF271" s="61"/>
      <c r="AG271" s="61"/>
      <c r="AH271" s="61"/>
      <c r="AI271" s="61"/>
      <c r="AJ271" s="61"/>
      <c r="AK271" s="61"/>
      <c r="AL271" s="61"/>
      <c r="AM271" s="61"/>
      <c r="AN271" s="61"/>
      <c r="AO271" s="61"/>
      <c r="AP271" s="61"/>
      <c r="AQ271" s="61"/>
      <c r="AR271" s="61"/>
      <c r="AS271" s="61"/>
      <c r="AT271" s="61"/>
      <c r="AU271" s="61"/>
      <c r="AV271" s="61"/>
      <c r="AW271" s="61"/>
      <c r="AX271" s="61"/>
      <c r="AY271" s="61"/>
      <c r="AZ271" s="61"/>
      <c r="BA271" s="61"/>
      <c r="BB271" s="61"/>
      <c r="BC271" s="61"/>
      <c r="BD271" s="61"/>
      <c r="BE271" s="61"/>
      <c r="BF271" s="61"/>
      <c r="BG271" s="61"/>
      <c r="BH271" s="61"/>
      <c r="BI271" s="61"/>
      <c r="BJ271" s="61"/>
      <c r="BK271" s="61"/>
      <c r="BL271" s="61"/>
      <c r="BM271" s="61"/>
      <c r="BN271" s="61"/>
      <c r="BO271" s="61"/>
      <c r="BP271" s="61"/>
      <c r="BQ271" s="61"/>
      <c r="BR271" s="61"/>
      <c r="BS271" s="61"/>
      <c r="BT271" s="61"/>
      <c r="BU271" s="61"/>
      <c r="BV271" s="61"/>
      <c r="BW271" s="61"/>
      <c r="BX271" s="61"/>
    </row>
    <row r="272">
      <c r="A272" s="62" t="str">
        <f t="shared" si="1"/>
        <v>#REF!</v>
      </c>
      <c r="B272" s="61"/>
      <c r="C272" s="61"/>
      <c r="D272" s="61"/>
      <c r="E272" s="61"/>
      <c r="F272" s="61"/>
      <c r="G272" s="61"/>
      <c r="H272" s="61"/>
      <c r="I272" s="61"/>
      <c r="J272" s="61"/>
      <c r="K272" s="61"/>
      <c r="L272" s="61"/>
      <c r="M272" s="61"/>
      <c r="N272" s="61"/>
      <c r="O272" s="61"/>
      <c r="P272" s="61"/>
      <c r="Q272" s="61"/>
      <c r="R272" s="61"/>
      <c r="S272" s="61"/>
      <c r="T272" s="61"/>
      <c r="U272" s="61"/>
      <c r="V272" s="61"/>
      <c r="W272" s="61"/>
      <c r="X272" s="61"/>
      <c r="Y272" s="61"/>
      <c r="Z272" s="61"/>
      <c r="AA272" s="61"/>
      <c r="AB272" s="61"/>
      <c r="AC272" s="61"/>
      <c r="AD272" s="61"/>
      <c r="AE272" s="61"/>
      <c r="AF272" s="61"/>
      <c r="AG272" s="61"/>
      <c r="AH272" s="61"/>
      <c r="AI272" s="61"/>
      <c r="AJ272" s="61"/>
      <c r="AK272" s="61"/>
      <c r="AL272" s="61"/>
      <c r="AM272" s="61"/>
      <c r="AN272" s="61"/>
      <c r="AO272" s="61"/>
      <c r="AP272" s="61"/>
      <c r="AQ272" s="61"/>
      <c r="AR272" s="61"/>
      <c r="AS272" s="61"/>
      <c r="AT272" s="61"/>
      <c r="AU272" s="61"/>
      <c r="AV272" s="61"/>
      <c r="AW272" s="61"/>
      <c r="AX272" s="61"/>
      <c r="AY272" s="61"/>
      <c r="AZ272" s="61"/>
      <c r="BA272" s="61"/>
      <c r="BB272" s="61"/>
      <c r="BC272" s="61"/>
      <c r="BD272" s="61"/>
      <c r="BE272" s="61"/>
      <c r="BF272" s="61"/>
      <c r="BG272" s="61"/>
      <c r="BH272" s="61"/>
      <c r="BI272" s="61"/>
      <c r="BJ272" s="61"/>
      <c r="BK272" s="61"/>
      <c r="BL272" s="61"/>
      <c r="BM272" s="61"/>
      <c r="BN272" s="61"/>
      <c r="BO272" s="61"/>
      <c r="BP272" s="61"/>
      <c r="BQ272" s="61"/>
      <c r="BR272" s="61"/>
      <c r="BS272" s="61"/>
      <c r="BT272" s="61"/>
      <c r="BU272" s="61"/>
      <c r="BV272" s="61"/>
      <c r="BW272" s="61"/>
      <c r="BX272" s="61"/>
    </row>
    <row r="273">
      <c r="A273" s="62" t="str">
        <f t="shared" ref="A273:A277" si="74">CONCATENATE('Term Reference Guide (in-progress)'!B3," [",'Term Reference Guide (in-progress)'!C3,"]")</f>
        <v>#REF!</v>
      </c>
      <c r="B273" s="61"/>
      <c r="C273" s="61"/>
      <c r="D273" s="61"/>
      <c r="E273" s="61"/>
      <c r="F273" s="61"/>
      <c r="G273" s="61"/>
      <c r="H273" s="61"/>
      <c r="I273" s="61"/>
      <c r="J273" s="61"/>
      <c r="K273" s="61"/>
      <c r="L273" s="61"/>
      <c r="M273" s="61"/>
      <c r="N273" s="61"/>
      <c r="O273" s="61"/>
      <c r="P273" s="61"/>
      <c r="Q273" s="61"/>
      <c r="R273" s="61"/>
      <c r="S273" s="61"/>
      <c r="T273" s="61"/>
      <c r="U273" s="61"/>
      <c r="V273" s="61"/>
      <c r="W273" s="61"/>
      <c r="X273" s="61"/>
      <c r="Y273" s="61"/>
      <c r="Z273" s="61"/>
      <c r="AA273" s="61"/>
      <c r="AB273" s="61"/>
      <c r="AC273" s="61"/>
      <c r="AD273" s="61"/>
      <c r="AE273" s="61"/>
      <c r="AF273" s="61"/>
      <c r="AG273" s="61"/>
      <c r="AH273" s="61"/>
      <c r="AI273" s="61"/>
      <c r="AJ273" s="61"/>
      <c r="AK273" s="61"/>
      <c r="AL273" s="61"/>
      <c r="AM273" s="61"/>
      <c r="AN273" s="61"/>
      <c r="AO273" s="61"/>
      <c r="AP273" s="61"/>
      <c r="AQ273" s="61"/>
      <c r="AR273" s="61"/>
      <c r="AS273" s="61"/>
      <c r="AT273" s="61"/>
      <c r="AU273" s="61"/>
      <c r="AV273" s="61"/>
      <c r="AW273" s="61"/>
      <c r="AX273" s="61"/>
      <c r="AY273" s="61"/>
      <c r="AZ273" s="61"/>
      <c r="BA273" s="61"/>
      <c r="BB273" s="61"/>
      <c r="BC273" s="61"/>
      <c r="BD273" s="61"/>
      <c r="BE273" s="61"/>
      <c r="BF273" s="61"/>
      <c r="BG273" s="61"/>
      <c r="BH273" s="61"/>
      <c r="BI273" s="61"/>
      <c r="BJ273" s="61"/>
      <c r="BK273" s="61"/>
      <c r="BL273" s="61"/>
      <c r="BM273" s="61"/>
      <c r="BN273" s="61"/>
      <c r="BO273" s="61"/>
      <c r="BP273" s="61"/>
      <c r="BQ273" s="61"/>
      <c r="BR273" s="61"/>
      <c r="BS273" s="61"/>
      <c r="BT273" s="61"/>
      <c r="BU273" s="61"/>
      <c r="BV273" s="61"/>
      <c r="BW273" s="61"/>
      <c r="BX273" s="61"/>
    </row>
    <row r="274">
      <c r="A274" s="62" t="str">
        <f t="shared" si="74"/>
        <v>#REF!</v>
      </c>
      <c r="B274" s="61"/>
      <c r="C274" s="61"/>
      <c r="D274" s="61"/>
      <c r="E274" s="61"/>
      <c r="F274" s="61"/>
      <c r="G274" s="61"/>
      <c r="H274" s="61"/>
      <c r="I274" s="61"/>
      <c r="J274" s="61"/>
      <c r="K274" s="61"/>
      <c r="L274" s="61"/>
      <c r="M274" s="61"/>
      <c r="N274" s="61"/>
      <c r="O274" s="61"/>
      <c r="P274" s="61"/>
      <c r="Q274" s="61"/>
      <c r="R274" s="61"/>
      <c r="S274" s="61"/>
      <c r="T274" s="61"/>
      <c r="U274" s="61"/>
      <c r="V274" s="61"/>
      <c r="W274" s="61"/>
      <c r="X274" s="61"/>
      <c r="Y274" s="61"/>
      <c r="Z274" s="61"/>
      <c r="AA274" s="61"/>
      <c r="AB274" s="61"/>
      <c r="AC274" s="61"/>
      <c r="AD274" s="61"/>
      <c r="AE274" s="61"/>
      <c r="AF274" s="61"/>
      <c r="AG274" s="61"/>
      <c r="AH274" s="61"/>
      <c r="AI274" s="61"/>
      <c r="AJ274" s="61"/>
      <c r="AK274" s="61"/>
      <c r="AL274" s="61"/>
      <c r="AM274" s="61"/>
      <c r="AN274" s="61"/>
      <c r="AO274" s="61"/>
      <c r="AP274" s="61"/>
      <c r="AQ274" s="61"/>
      <c r="AR274" s="61"/>
      <c r="AS274" s="61"/>
      <c r="AT274" s="61"/>
      <c r="AU274" s="61"/>
      <c r="AV274" s="61"/>
      <c r="AW274" s="61"/>
      <c r="AX274" s="61"/>
      <c r="AY274" s="61"/>
      <c r="AZ274" s="61"/>
      <c r="BA274" s="61"/>
      <c r="BB274" s="61"/>
      <c r="BC274" s="61"/>
      <c r="BD274" s="61"/>
      <c r="BE274" s="61"/>
      <c r="BF274" s="61"/>
      <c r="BG274" s="61"/>
      <c r="BH274" s="61"/>
      <c r="BI274" s="61"/>
      <c r="BJ274" s="61"/>
      <c r="BK274" s="61"/>
      <c r="BL274" s="61"/>
      <c r="BM274" s="61"/>
      <c r="BN274" s="61"/>
      <c r="BO274" s="61"/>
      <c r="BP274" s="61"/>
      <c r="BQ274" s="61"/>
      <c r="BR274" s="61"/>
      <c r="BS274" s="61"/>
      <c r="BT274" s="61"/>
      <c r="BU274" s="61"/>
      <c r="BV274" s="61"/>
      <c r="BW274" s="61"/>
      <c r="BX274" s="61"/>
    </row>
    <row r="275">
      <c r="A275" s="62" t="str">
        <f t="shared" si="74"/>
        <v>#REF!</v>
      </c>
      <c r="B275" s="61"/>
      <c r="C275" s="61"/>
      <c r="D275" s="61"/>
      <c r="E275" s="61"/>
      <c r="F275" s="61"/>
      <c r="G275" s="61"/>
      <c r="H275" s="61"/>
      <c r="I275" s="61"/>
      <c r="J275" s="61"/>
      <c r="K275" s="61"/>
      <c r="L275" s="61"/>
      <c r="M275" s="61"/>
      <c r="N275" s="61"/>
      <c r="O275" s="61"/>
      <c r="P275" s="61"/>
      <c r="Q275" s="61"/>
      <c r="R275" s="61"/>
      <c r="S275" s="61"/>
      <c r="T275" s="61"/>
      <c r="U275" s="61"/>
      <c r="V275" s="61"/>
      <c r="W275" s="61"/>
      <c r="X275" s="61"/>
      <c r="Y275" s="61"/>
      <c r="Z275" s="61"/>
      <c r="AA275" s="61"/>
      <c r="AB275" s="61"/>
      <c r="AC275" s="61"/>
      <c r="AD275" s="61"/>
      <c r="AE275" s="61"/>
      <c r="AF275" s="61"/>
      <c r="AG275" s="61"/>
      <c r="AH275" s="61"/>
      <c r="AI275" s="61"/>
      <c r="AJ275" s="61"/>
      <c r="AK275" s="61"/>
      <c r="AL275" s="61"/>
      <c r="AM275" s="61"/>
      <c r="AN275" s="61"/>
      <c r="AO275" s="61"/>
      <c r="AP275" s="61"/>
      <c r="AQ275" s="61"/>
      <c r="AR275" s="61"/>
      <c r="AS275" s="61"/>
      <c r="AT275" s="61"/>
      <c r="AU275" s="61"/>
      <c r="AV275" s="61"/>
      <c r="AW275" s="61"/>
      <c r="AX275" s="61"/>
      <c r="AY275" s="61"/>
      <c r="AZ275" s="61"/>
      <c r="BA275" s="61"/>
      <c r="BB275" s="61"/>
      <c r="BC275" s="61"/>
      <c r="BD275" s="61"/>
      <c r="BE275" s="61"/>
      <c r="BF275" s="61"/>
      <c r="BG275" s="61"/>
      <c r="BH275" s="61"/>
      <c r="BI275" s="61"/>
      <c r="BJ275" s="61"/>
      <c r="BK275" s="61"/>
      <c r="BL275" s="61"/>
      <c r="BM275" s="61"/>
      <c r="BN275" s="61"/>
      <c r="BO275" s="61"/>
      <c r="BP275" s="61"/>
      <c r="BQ275" s="61"/>
      <c r="BR275" s="61"/>
      <c r="BS275" s="61"/>
      <c r="BT275" s="61"/>
      <c r="BU275" s="61"/>
      <c r="BV275" s="61"/>
      <c r="BW275" s="61"/>
      <c r="BX275" s="61"/>
    </row>
    <row r="276">
      <c r="A276" s="62" t="str">
        <f t="shared" si="74"/>
        <v>#REF!</v>
      </c>
      <c r="B276" s="61"/>
      <c r="C276" s="61"/>
      <c r="D276" s="61"/>
      <c r="E276" s="61"/>
      <c r="F276" s="61"/>
      <c r="G276" s="61"/>
      <c r="H276" s="61"/>
      <c r="I276" s="61"/>
      <c r="J276" s="61"/>
      <c r="K276" s="61"/>
      <c r="L276" s="61"/>
      <c r="M276" s="61"/>
      <c r="N276" s="61"/>
      <c r="O276" s="61"/>
      <c r="P276" s="61"/>
      <c r="Q276" s="61"/>
      <c r="R276" s="61"/>
      <c r="S276" s="61"/>
      <c r="T276" s="61"/>
      <c r="U276" s="61"/>
      <c r="V276" s="61"/>
      <c r="W276" s="61"/>
      <c r="X276" s="61"/>
      <c r="Y276" s="61"/>
      <c r="Z276" s="61"/>
      <c r="AA276" s="61"/>
      <c r="AB276" s="61"/>
      <c r="AC276" s="61"/>
      <c r="AD276" s="61"/>
      <c r="AE276" s="61"/>
      <c r="AF276" s="61"/>
      <c r="AG276" s="61"/>
      <c r="AH276" s="61"/>
      <c r="AI276" s="61"/>
      <c r="AJ276" s="61"/>
      <c r="AK276" s="61"/>
      <c r="AL276" s="61"/>
      <c r="AM276" s="61"/>
      <c r="AN276" s="61"/>
      <c r="AO276" s="61"/>
      <c r="AP276" s="61"/>
      <c r="AQ276" s="61"/>
      <c r="AR276" s="61"/>
      <c r="AS276" s="61"/>
      <c r="AT276" s="61"/>
      <c r="AU276" s="61"/>
      <c r="AV276" s="61"/>
      <c r="AW276" s="61"/>
      <c r="AX276" s="61"/>
      <c r="AY276" s="61"/>
      <c r="AZ276" s="61"/>
      <c r="BA276" s="61"/>
      <c r="BB276" s="61"/>
      <c r="BC276" s="61"/>
      <c r="BD276" s="61"/>
      <c r="BE276" s="61"/>
      <c r="BF276" s="61"/>
      <c r="BG276" s="61"/>
      <c r="BH276" s="61"/>
      <c r="BI276" s="61"/>
      <c r="BJ276" s="61"/>
      <c r="BK276" s="61"/>
      <c r="BL276" s="61"/>
      <c r="BM276" s="61"/>
      <c r="BN276" s="61"/>
      <c r="BO276" s="61"/>
      <c r="BP276" s="61"/>
      <c r="BQ276" s="61"/>
      <c r="BR276" s="61"/>
      <c r="BS276" s="61"/>
      <c r="BT276" s="61"/>
      <c r="BU276" s="61"/>
      <c r="BV276" s="61"/>
      <c r="BW276" s="61"/>
      <c r="BX276" s="61"/>
    </row>
    <row r="277">
      <c r="A277" s="62" t="str">
        <f t="shared" si="74"/>
        <v>#REF!</v>
      </c>
      <c r="B277" s="61"/>
      <c r="C277" s="61"/>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1"/>
      <c r="AJ277" s="61"/>
      <c r="AK277" s="61"/>
      <c r="AL277" s="61"/>
      <c r="AM277" s="61"/>
      <c r="AN277" s="61"/>
      <c r="AO277" s="61"/>
      <c r="AP277" s="61"/>
      <c r="AQ277" s="61"/>
      <c r="AR277" s="61"/>
      <c r="AS277" s="61"/>
      <c r="AT277" s="61"/>
      <c r="AU277" s="61"/>
      <c r="AV277" s="61"/>
      <c r="AW277" s="61"/>
      <c r="AX277" s="61"/>
      <c r="AY277" s="61"/>
      <c r="AZ277" s="61"/>
      <c r="BA277" s="61"/>
      <c r="BB277" s="61"/>
      <c r="BC277" s="61"/>
      <c r="BD277" s="61"/>
      <c r="BE277" s="61"/>
      <c r="BF277" s="61"/>
      <c r="BG277" s="61"/>
      <c r="BH277" s="61"/>
      <c r="BI277" s="61"/>
      <c r="BJ277" s="61"/>
      <c r="BK277" s="61"/>
      <c r="BL277" s="61"/>
      <c r="BM277" s="61"/>
      <c r="BN277" s="61"/>
      <c r="BO277" s="61"/>
      <c r="BP277" s="61"/>
      <c r="BQ277" s="61"/>
      <c r="BR277" s="61"/>
      <c r="BS277" s="61"/>
      <c r="BT277" s="61"/>
      <c r="BU277" s="61"/>
      <c r="BV277" s="61"/>
      <c r="BW277" s="61"/>
      <c r="BX277" s="61"/>
    </row>
    <row r="278">
      <c r="B278" s="61"/>
      <c r="C278" s="61"/>
      <c r="D278" s="61"/>
      <c r="E278" s="61"/>
      <c r="F278" s="61"/>
      <c r="G278" s="61"/>
      <c r="H278" s="61"/>
      <c r="I278" s="61"/>
      <c r="J278" s="61"/>
      <c r="K278" s="61"/>
      <c r="L278" s="61"/>
      <c r="M278" s="61"/>
      <c r="N278" s="61"/>
      <c r="O278" s="61"/>
      <c r="P278" s="61"/>
      <c r="Q278" s="61"/>
      <c r="R278" s="61"/>
      <c r="S278" s="61"/>
      <c r="T278" s="61"/>
      <c r="U278" s="61"/>
      <c r="V278" s="61"/>
      <c r="W278" s="61"/>
      <c r="X278" s="61"/>
      <c r="Y278" s="61"/>
      <c r="Z278" s="61"/>
      <c r="AA278" s="61"/>
      <c r="AB278" s="61"/>
      <c r="AC278" s="61"/>
      <c r="AD278" s="61"/>
      <c r="AE278" s="61"/>
      <c r="AF278" s="61"/>
      <c r="AG278" s="61"/>
      <c r="AH278" s="61"/>
      <c r="AI278" s="61"/>
      <c r="AJ278" s="61"/>
      <c r="AK278" s="61"/>
      <c r="AL278" s="61"/>
      <c r="AM278" s="61"/>
      <c r="AN278" s="61"/>
      <c r="AO278" s="61"/>
      <c r="AP278" s="61"/>
      <c r="AQ278" s="61"/>
      <c r="AR278" s="61"/>
      <c r="AS278" s="61"/>
      <c r="AT278" s="61"/>
      <c r="AU278" s="61"/>
      <c r="AV278" s="61"/>
      <c r="AW278" s="61"/>
      <c r="AX278" s="61"/>
      <c r="AY278" s="61"/>
      <c r="AZ278" s="61"/>
      <c r="BA278" s="61"/>
      <c r="BB278" s="61"/>
      <c r="BC278" s="61"/>
      <c r="BD278" s="61"/>
      <c r="BE278" s="61"/>
      <c r="BF278" s="61"/>
      <c r="BG278" s="61"/>
      <c r="BH278" s="61"/>
      <c r="BI278" s="61"/>
      <c r="BJ278" s="61"/>
      <c r="BK278" s="61"/>
      <c r="BL278" s="61"/>
      <c r="BM278" s="61"/>
      <c r="BN278" s="61"/>
      <c r="BO278" s="61"/>
      <c r="BP278" s="61"/>
      <c r="BQ278" s="61"/>
      <c r="BR278" s="61"/>
      <c r="BS278" s="61"/>
      <c r="BT278" s="61"/>
      <c r="BU278" s="61"/>
      <c r="BV278" s="61"/>
      <c r="BW278" s="61"/>
      <c r="BX278" s="61"/>
    </row>
    <row r="279">
      <c r="B279" s="61"/>
      <c r="C279" s="61"/>
      <c r="D279" s="61"/>
      <c r="E279" s="61"/>
      <c r="F279" s="61"/>
      <c r="G279" s="61"/>
      <c r="H279" s="61"/>
      <c r="I279" s="61"/>
      <c r="J279" s="61"/>
      <c r="K279" s="61"/>
      <c r="L279" s="61"/>
      <c r="M279" s="61"/>
      <c r="N279" s="61"/>
      <c r="O279" s="61"/>
      <c r="P279" s="61"/>
      <c r="Q279" s="61"/>
      <c r="R279" s="61"/>
      <c r="S279" s="61"/>
      <c r="T279" s="61"/>
      <c r="U279" s="61"/>
      <c r="V279" s="61"/>
      <c r="W279" s="61"/>
      <c r="X279" s="61"/>
      <c r="Y279" s="61"/>
      <c r="Z279" s="61"/>
      <c r="AA279" s="61"/>
      <c r="AB279" s="61"/>
      <c r="AC279" s="61"/>
      <c r="AD279" s="61"/>
      <c r="AE279" s="61"/>
      <c r="AF279" s="61"/>
      <c r="AG279" s="61"/>
      <c r="AH279" s="61"/>
      <c r="AI279" s="61"/>
      <c r="AJ279" s="61"/>
      <c r="AK279" s="61"/>
      <c r="AL279" s="61"/>
      <c r="AM279" s="61"/>
      <c r="AN279" s="61"/>
      <c r="AO279" s="61"/>
      <c r="AP279" s="61"/>
      <c r="AQ279" s="61"/>
      <c r="AR279" s="61"/>
      <c r="AS279" s="61"/>
      <c r="AT279" s="61"/>
      <c r="AU279" s="61"/>
      <c r="AV279" s="61"/>
      <c r="AW279" s="61"/>
      <c r="AX279" s="61"/>
      <c r="AY279" s="61"/>
      <c r="AZ279" s="61"/>
      <c r="BA279" s="61"/>
      <c r="BB279" s="61"/>
      <c r="BC279" s="61"/>
      <c r="BD279" s="61"/>
      <c r="BE279" s="61"/>
      <c r="BF279" s="61"/>
      <c r="BG279" s="61"/>
      <c r="BH279" s="61"/>
      <c r="BI279" s="61"/>
      <c r="BJ279" s="61"/>
      <c r="BK279" s="61"/>
      <c r="BL279" s="61"/>
      <c r="BM279" s="61"/>
      <c r="BN279" s="61"/>
      <c r="BO279" s="61"/>
      <c r="BP279" s="61"/>
      <c r="BQ279" s="61"/>
      <c r="BR279" s="61"/>
      <c r="BS279" s="61"/>
      <c r="BT279" s="61"/>
      <c r="BU279" s="61"/>
      <c r="BV279" s="61"/>
      <c r="BW279" s="61"/>
      <c r="BX279" s="61"/>
    </row>
    <row r="280">
      <c r="B280" s="61"/>
      <c r="C280" s="61"/>
      <c r="D280" s="61"/>
      <c r="E280" s="61"/>
      <c r="F280" s="61"/>
      <c r="G280" s="61"/>
      <c r="H280" s="61"/>
      <c r="I280" s="61"/>
      <c r="J280" s="61"/>
      <c r="K280" s="61"/>
      <c r="L280" s="61"/>
      <c r="M280" s="61"/>
      <c r="N280" s="61"/>
      <c r="O280" s="61"/>
      <c r="P280" s="61"/>
      <c r="Q280" s="61"/>
      <c r="R280" s="61"/>
      <c r="S280" s="61"/>
      <c r="T280" s="61"/>
      <c r="U280" s="61"/>
      <c r="V280" s="61"/>
      <c r="W280" s="61"/>
      <c r="X280" s="61"/>
      <c r="Y280" s="61"/>
      <c r="Z280" s="61"/>
      <c r="AA280" s="61"/>
      <c r="AB280" s="61"/>
      <c r="AC280" s="61"/>
      <c r="AD280" s="61"/>
      <c r="AE280" s="61"/>
      <c r="AF280" s="61"/>
      <c r="AG280" s="61"/>
      <c r="AH280" s="61"/>
      <c r="AI280" s="61"/>
      <c r="AJ280" s="61"/>
      <c r="AK280" s="61"/>
      <c r="AL280" s="61"/>
      <c r="AM280" s="61"/>
      <c r="AN280" s="61"/>
      <c r="AO280" s="61"/>
      <c r="AP280" s="61"/>
      <c r="AQ280" s="61"/>
      <c r="AR280" s="61"/>
      <c r="AS280" s="61"/>
      <c r="AT280" s="61"/>
      <c r="AU280" s="61"/>
      <c r="AV280" s="61"/>
      <c r="AW280" s="61"/>
      <c r="AX280" s="61"/>
      <c r="AY280" s="61"/>
      <c r="AZ280" s="61"/>
      <c r="BA280" s="61"/>
      <c r="BB280" s="61"/>
      <c r="BC280" s="61"/>
      <c r="BD280" s="61"/>
      <c r="BE280" s="61"/>
      <c r="BF280" s="61"/>
      <c r="BG280" s="61"/>
      <c r="BH280" s="61"/>
      <c r="BI280" s="61"/>
      <c r="BJ280" s="61"/>
      <c r="BK280" s="61"/>
      <c r="BL280" s="61"/>
      <c r="BM280" s="61"/>
      <c r="BN280" s="61"/>
      <c r="BO280" s="61"/>
      <c r="BP280" s="61"/>
      <c r="BQ280" s="61"/>
      <c r="BR280" s="61"/>
      <c r="BS280" s="61"/>
      <c r="BT280" s="61"/>
      <c r="BU280" s="61"/>
      <c r="BV280" s="61"/>
      <c r="BW280" s="61"/>
      <c r="BX280" s="61"/>
    </row>
    <row r="281">
      <c r="B281" s="61"/>
      <c r="C281" s="61"/>
      <c r="D281" s="61"/>
      <c r="E281" s="61"/>
      <c r="F281" s="61"/>
      <c r="G281" s="61"/>
      <c r="H281" s="61"/>
      <c r="I281" s="61"/>
      <c r="J281" s="61"/>
      <c r="K281" s="61"/>
      <c r="L281" s="61"/>
      <c r="M281" s="61"/>
      <c r="N281" s="61"/>
      <c r="O281" s="61"/>
      <c r="P281" s="61"/>
      <c r="Q281" s="61"/>
      <c r="R281" s="61"/>
      <c r="S281" s="61"/>
      <c r="T281" s="61"/>
      <c r="U281" s="61"/>
      <c r="V281" s="61"/>
      <c r="W281" s="61"/>
      <c r="X281" s="61"/>
      <c r="Y281" s="61"/>
      <c r="Z281" s="61"/>
      <c r="AA281" s="61"/>
      <c r="AB281" s="61"/>
      <c r="AC281" s="61"/>
      <c r="AD281" s="61"/>
      <c r="AE281" s="61"/>
      <c r="AF281" s="61"/>
      <c r="AG281" s="61"/>
      <c r="AH281" s="61"/>
      <c r="AI281" s="61"/>
      <c r="AJ281" s="61"/>
      <c r="AK281" s="61"/>
      <c r="AL281" s="61"/>
      <c r="AM281" s="61"/>
      <c r="AN281" s="61"/>
      <c r="AO281" s="61"/>
      <c r="AP281" s="61"/>
      <c r="AQ281" s="61"/>
      <c r="AR281" s="61"/>
      <c r="AS281" s="61"/>
      <c r="AT281" s="61"/>
      <c r="AU281" s="61"/>
      <c r="AV281" s="61"/>
      <c r="AW281" s="61"/>
      <c r="AX281" s="61"/>
      <c r="AY281" s="61"/>
      <c r="AZ281" s="61"/>
      <c r="BA281" s="61"/>
      <c r="BB281" s="61"/>
      <c r="BC281" s="61"/>
      <c r="BD281" s="61"/>
      <c r="BE281" s="61"/>
      <c r="BF281" s="61"/>
      <c r="BG281" s="61"/>
      <c r="BH281" s="61"/>
      <c r="BI281" s="61"/>
      <c r="BJ281" s="61"/>
      <c r="BK281" s="61"/>
      <c r="BL281" s="61"/>
      <c r="BM281" s="61"/>
      <c r="BN281" s="61"/>
      <c r="BO281" s="61"/>
      <c r="BP281" s="61"/>
      <c r="BQ281" s="61"/>
      <c r="BR281" s="61"/>
      <c r="BS281" s="61"/>
      <c r="BT281" s="61"/>
      <c r="BU281" s="61"/>
      <c r="BV281" s="61"/>
      <c r="BW281" s="61"/>
      <c r="BX281" s="61"/>
    </row>
    <row r="282">
      <c r="B282" s="61"/>
      <c r="C282" s="61"/>
      <c r="D282" s="61"/>
      <c r="E282" s="61"/>
      <c r="F282" s="61"/>
      <c r="G282" s="61"/>
      <c r="H282" s="61"/>
      <c r="I282" s="61"/>
      <c r="J282" s="61"/>
      <c r="K282" s="61"/>
      <c r="L282" s="61"/>
      <c r="M282" s="61"/>
      <c r="N282" s="61"/>
      <c r="O282" s="61"/>
      <c r="P282" s="61"/>
      <c r="Q282" s="61"/>
      <c r="R282" s="61"/>
      <c r="S282" s="61"/>
      <c r="T282" s="61"/>
      <c r="U282" s="61"/>
      <c r="V282" s="61"/>
      <c r="W282" s="61"/>
      <c r="X282" s="61"/>
      <c r="Y282" s="61"/>
      <c r="Z282" s="61"/>
      <c r="AA282" s="61"/>
      <c r="AB282" s="61"/>
      <c r="AC282" s="61"/>
      <c r="AD282" s="61"/>
      <c r="AE282" s="61"/>
      <c r="AF282" s="61"/>
      <c r="AG282" s="61"/>
      <c r="AH282" s="61"/>
      <c r="AI282" s="61"/>
      <c r="AJ282" s="61"/>
      <c r="AK282" s="61"/>
      <c r="AL282" s="61"/>
      <c r="AM282" s="61"/>
      <c r="AN282" s="61"/>
      <c r="AO282" s="61"/>
      <c r="AP282" s="61"/>
      <c r="AQ282" s="61"/>
      <c r="AR282" s="61"/>
      <c r="AS282" s="61"/>
      <c r="AT282" s="61"/>
      <c r="AU282" s="61"/>
      <c r="AV282" s="61"/>
      <c r="AW282" s="61"/>
      <c r="AX282" s="61"/>
      <c r="AY282" s="61"/>
      <c r="AZ282" s="61"/>
      <c r="BA282" s="61"/>
      <c r="BB282" s="61"/>
      <c r="BC282" s="61"/>
      <c r="BD282" s="61"/>
      <c r="BE282" s="61"/>
      <c r="BF282" s="61"/>
      <c r="BG282" s="61"/>
      <c r="BH282" s="61"/>
      <c r="BI282" s="61"/>
      <c r="BJ282" s="61"/>
      <c r="BK282" s="61"/>
      <c r="BL282" s="61"/>
      <c r="BM282" s="61"/>
      <c r="BN282" s="61"/>
      <c r="BO282" s="61"/>
      <c r="BP282" s="61"/>
      <c r="BQ282" s="61"/>
      <c r="BR282" s="61"/>
      <c r="BS282" s="61"/>
      <c r="BT282" s="61"/>
      <c r="BU282" s="61"/>
      <c r="BV282" s="61"/>
      <c r="BW282" s="61"/>
      <c r="BX282" s="61"/>
    </row>
    <row r="283">
      <c r="B283" s="61"/>
      <c r="C283" s="61"/>
      <c r="D283" s="61"/>
      <c r="E283" s="61"/>
      <c r="F283" s="61"/>
      <c r="G283" s="61"/>
      <c r="H283" s="61"/>
      <c r="I283" s="61"/>
      <c r="J283" s="61"/>
      <c r="K283" s="61"/>
      <c r="L283" s="61"/>
      <c r="M283" s="61"/>
      <c r="N283" s="61"/>
      <c r="O283" s="61"/>
      <c r="P283" s="61"/>
      <c r="Q283" s="61"/>
      <c r="R283" s="61"/>
      <c r="S283" s="61"/>
      <c r="T283" s="61"/>
      <c r="U283" s="61"/>
      <c r="V283" s="61"/>
      <c r="W283" s="61"/>
      <c r="X283" s="61"/>
      <c r="Y283" s="61"/>
      <c r="Z283" s="61"/>
      <c r="AA283" s="61"/>
      <c r="AB283" s="61"/>
      <c r="AC283" s="61"/>
      <c r="AD283" s="61"/>
      <c r="AE283" s="61"/>
      <c r="AF283" s="61"/>
      <c r="AG283" s="61"/>
      <c r="AH283" s="61"/>
      <c r="AI283" s="61"/>
      <c r="AJ283" s="61"/>
      <c r="AK283" s="61"/>
      <c r="AL283" s="61"/>
      <c r="AM283" s="61"/>
      <c r="AN283" s="61"/>
      <c r="AO283" s="61"/>
      <c r="AP283" s="61"/>
      <c r="AQ283" s="61"/>
      <c r="AR283" s="61"/>
      <c r="AS283" s="61"/>
      <c r="AT283" s="61"/>
      <c r="AU283" s="61"/>
      <c r="AV283" s="61"/>
      <c r="AW283" s="61"/>
      <c r="AX283" s="61"/>
      <c r="AY283" s="61"/>
      <c r="AZ283" s="61"/>
      <c r="BA283" s="61"/>
      <c r="BB283" s="61"/>
      <c r="BC283" s="61"/>
      <c r="BD283" s="61"/>
      <c r="BE283" s="61"/>
      <c r="BF283" s="61"/>
      <c r="BG283" s="61"/>
      <c r="BH283" s="61"/>
      <c r="BI283" s="61"/>
      <c r="BJ283" s="61"/>
      <c r="BK283" s="61"/>
      <c r="BL283" s="61"/>
      <c r="BM283" s="61"/>
      <c r="BN283" s="61"/>
      <c r="BO283" s="61"/>
      <c r="BP283" s="61"/>
      <c r="BQ283" s="61"/>
      <c r="BR283" s="61"/>
      <c r="BS283" s="61"/>
      <c r="BT283" s="61"/>
      <c r="BU283" s="61"/>
      <c r="BV283" s="61"/>
      <c r="BW283" s="61"/>
      <c r="BX283" s="61"/>
    </row>
    <row r="284">
      <c r="B284" s="61"/>
      <c r="C284" s="61"/>
      <c r="D284" s="61"/>
      <c r="E284" s="61"/>
      <c r="F284" s="61"/>
      <c r="G284" s="61"/>
      <c r="H284" s="61"/>
      <c r="I284" s="61"/>
      <c r="J284" s="61"/>
      <c r="K284" s="61"/>
      <c r="L284" s="61"/>
      <c r="M284" s="61"/>
      <c r="N284" s="61"/>
      <c r="O284" s="61"/>
      <c r="P284" s="61"/>
      <c r="Q284" s="61"/>
      <c r="R284" s="61"/>
      <c r="S284" s="61"/>
      <c r="T284" s="61"/>
      <c r="U284" s="61"/>
      <c r="V284" s="61"/>
      <c r="W284" s="61"/>
      <c r="X284" s="61"/>
      <c r="Y284" s="61"/>
      <c r="Z284" s="61"/>
      <c r="AA284" s="61"/>
      <c r="AB284" s="61"/>
      <c r="AC284" s="61"/>
      <c r="AD284" s="61"/>
      <c r="AE284" s="61"/>
      <c r="AF284" s="61"/>
      <c r="AG284" s="61"/>
      <c r="AH284" s="61"/>
      <c r="AI284" s="61"/>
      <c r="AJ284" s="61"/>
      <c r="AK284" s="61"/>
      <c r="AL284" s="61"/>
      <c r="AM284" s="61"/>
      <c r="AN284" s="61"/>
      <c r="AO284" s="61"/>
      <c r="AP284" s="61"/>
      <c r="AQ284" s="61"/>
      <c r="AR284" s="61"/>
      <c r="AS284" s="61"/>
      <c r="AT284" s="61"/>
      <c r="AU284" s="61"/>
      <c r="AV284" s="61"/>
      <c r="AW284" s="61"/>
      <c r="AX284" s="61"/>
      <c r="AY284" s="61"/>
      <c r="AZ284" s="61"/>
      <c r="BA284" s="61"/>
      <c r="BB284" s="61"/>
      <c r="BC284" s="61"/>
      <c r="BD284" s="61"/>
      <c r="BE284" s="61"/>
      <c r="BF284" s="61"/>
      <c r="BG284" s="61"/>
      <c r="BH284" s="61"/>
      <c r="BI284" s="61"/>
      <c r="BJ284" s="61"/>
      <c r="BK284" s="61"/>
      <c r="BL284" s="61"/>
      <c r="BM284" s="61"/>
      <c r="BN284" s="61"/>
      <c r="BO284" s="61"/>
      <c r="BP284" s="61"/>
      <c r="BQ284" s="61"/>
      <c r="BR284" s="61"/>
      <c r="BS284" s="61"/>
      <c r="BT284" s="61"/>
      <c r="BU284" s="61"/>
      <c r="BV284" s="61"/>
      <c r="BW284" s="61"/>
      <c r="BX284" s="61"/>
    </row>
    <row r="285">
      <c r="B285" s="61"/>
      <c r="C285" s="61"/>
      <c r="D285" s="61"/>
      <c r="E285" s="61"/>
      <c r="F285" s="61"/>
      <c r="G285" s="61"/>
      <c r="H285" s="61"/>
      <c r="I285" s="61"/>
      <c r="J285" s="61"/>
      <c r="K285" s="61"/>
      <c r="L285" s="61"/>
      <c r="M285" s="61"/>
      <c r="N285" s="61"/>
      <c r="O285" s="61"/>
      <c r="P285" s="61"/>
      <c r="Q285" s="61"/>
      <c r="R285" s="61"/>
      <c r="S285" s="61"/>
      <c r="T285" s="61"/>
      <c r="U285" s="61"/>
      <c r="V285" s="61"/>
      <c r="W285" s="61"/>
      <c r="X285" s="61"/>
      <c r="Y285" s="61"/>
      <c r="Z285" s="61"/>
      <c r="AA285" s="61"/>
      <c r="AB285" s="61"/>
      <c r="AC285" s="61"/>
      <c r="AD285" s="61"/>
      <c r="AE285" s="61"/>
      <c r="AF285" s="61"/>
      <c r="AG285" s="61"/>
      <c r="AH285" s="61"/>
      <c r="AI285" s="61"/>
      <c r="AJ285" s="61"/>
      <c r="AK285" s="61"/>
      <c r="AL285" s="61"/>
      <c r="AM285" s="61"/>
      <c r="AN285" s="61"/>
      <c r="AO285" s="61"/>
      <c r="AP285" s="61"/>
      <c r="AQ285" s="61"/>
      <c r="AR285" s="61"/>
      <c r="AS285" s="61"/>
      <c r="AT285" s="61"/>
      <c r="AU285" s="61"/>
      <c r="AV285" s="61"/>
      <c r="AW285" s="61"/>
      <c r="AX285" s="61"/>
      <c r="AY285" s="61"/>
      <c r="AZ285" s="61"/>
      <c r="BA285" s="61"/>
      <c r="BB285" s="61"/>
      <c r="BC285" s="61"/>
      <c r="BD285" s="61"/>
      <c r="BE285" s="61"/>
      <c r="BF285" s="61"/>
      <c r="BG285" s="61"/>
      <c r="BH285" s="61"/>
      <c r="BI285" s="61"/>
      <c r="BJ285" s="61"/>
      <c r="BK285" s="61"/>
      <c r="BL285" s="61"/>
      <c r="BM285" s="61"/>
      <c r="BN285" s="61"/>
      <c r="BO285" s="61"/>
      <c r="BP285" s="61"/>
      <c r="BQ285" s="61"/>
      <c r="BR285" s="61"/>
      <c r="BS285" s="61"/>
      <c r="BT285" s="61"/>
      <c r="BU285" s="61"/>
      <c r="BV285" s="61"/>
      <c r="BW285" s="61"/>
      <c r="BX285" s="61"/>
    </row>
  </sheetData>
  <mergeCells count="1">
    <mergeCell ref="I8:J8"/>
  </mergeCells>
  <drawing r:id="rId2"/>
  <legacyDrawing r:id="rId3"/>
</worksheet>
</file>